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7.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8.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P:\stats\SD5\publishing\13 August 2020\Estimates of housing need\"/>
    </mc:Choice>
  </mc:AlternateContent>
  <bookViews>
    <workbookView xWindow="360" yWindow="120" windowWidth="13100" windowHeight="6150" tabRatio="825" firstSheet="1" activeTab="1"/>
  </bookViews>
  <sheets>
    <sheet name="Inputs" sheetId="46" state="hidden" r:id="rId1"/>
    <sheet name="Tudalen Flaen" sheetId="1" r:id="rId2"/>
    <sheet name="Cyngor ar ddefnyddio'r adnodd" sheetId="45" r:id="rId3"/>
    <sheet name="Canllawiau ar Newidynnau" sheetId="21" r:id="rId4"/>
    <sheet name="Rhaniad y Ddeiliadaeth (Cymru)" sheetId="18" r:id="rId5"/>
    <sheet name="Rhaniad y Ddeiliadaeth (Gog)" sheetId="33" r:id="rId6"/>
    <sheet name="Rhaniad y Ddeiliadaeth (Canol)" sheetId="41" r:id="rId7"/>
    <sheet name="Rhaniad y Ddeiliadaeth (De-o)" sheetId="47" r:id="rId8"/>
    <sheet name="Rhaniad y Ddeiliadaeth (De-ddn)" sheetId="42" r:id="rId9"/>
    <sheet name="Cyfrifiadau - Cymru" sheetId="17" r:id="rId10"/>
    <sheet name="Cyfrifiadau - Gogledd" sheetId="34" r:id="rId11"/>
    <sheet name="Cyfrifiadau - Canolbarth" sheetId="39" r:id="rId12"/>
    <sheet name="Cyfrifiadau - De-orllewin" sheetId="48" r:id="rId13"/>
    <sheet name="Cyfrifiadau De-ddwyrain" sheetId="40" r:id="rId14"/>
    <sheet name="Amcanestyniadau Aelwydydd" sheetId="23" r:id="rId15"/>
    <sheet name="Angen o'r Newydd" sheetId="24" r:id="rId16"/>
    <sheet name="Angen Presennol Nas Diwallwyd" sheetId="7" r:id="rId17"/>
    <sheet name="Rhagdybiaeth Blynyddol" sheetId="25" r:id="rId18"/>
    <sheet name="Rhagolygon y Dyfodol" sheetId="22" r:id="rId19"/>
    <sheet name="Prisiau Rhenti" sheetId="27" r:id="rId20"/>
    <sheet name="Incwm (Cymru)" sheetId="10" r:id="rId21"/>
    <sheet name="Incwm (Gogledd)" sheetId="30" r:id="rId22"/>
    <sheet name="Incwm (Canolbarth)" sheetId="31" r:id="rId23"/>
    <sheet name="Incwm (De-orllewin)" sheetId="49" r:id="rId24"/>
    <sheet name="Incwm (De-ddwyrain)" sheetId="32" r:id="rId25"/>
    <sheet name="Prisiau Tai (Cymru)" sheetId="26" r:id="rId26"/>
    <sheet name="Prisiau Tai (Gogledd)" sheetId="36" r:id="rId27"/>
    <sheet name="Prisiau Tai (Canolbarth)" sheetId="37" r:id="rId28"/>
    <sheet name="Prisiau Tai (De-orllewin)" sheetId="50" r:id="rId29"/>
    <sheet name="Prisiau Tai (De-ddwyrain)" sheetId="38" r:id="rId30"/>
    <sheet name="Map Rhanbarthol" sheetId="44" r:id="rId31"/>
  </sheets>
  <definedNames>
    <definedName name="Updated">Inputs!#REF!</definedName>
    <definedName name="Year1">Inputs!$C$7</definedName>
    <definedName name="Year2">Inputs!$C$8</definedName>
    <definedName name="Year3">Inputs!$C$9</definedName>
    <definedName name="Year4">Inputs!$C$10</definedName>
    <definedName name="Year5">Inputs!$C$11</definedName>
  </definedNames>
  <calcPr calcId="162913"/>
</workbook>
</file>

<file path=xl/calcChain.xml><?xml version="1.0" encoding="utf-8"?>
<calcChain xmlns="http://schemas.openxmlformats.org/spreadsheetml/2006/main">
  <c r="F25" i="18" l="1"/>
  <c r="I28" i="22"/>
  <c r="F23" i="18"/>
  <c r="F20" i="18"/>
  <c r="E12" i="25" s="1"/>
  <c r="K4" i="26"/>
  <c r="K5" i="26" s="1"/>
  <c r="K4" i="32"/>
  <c r="P4" i="32" s="1"/>
  <c r="K4" i="49"/>
  <c r="K5" i="49" s="1"/>
  <c r="K4" i="31"/>
  <c r="K5" i="31" s="1"/>
  <c r="K4" i="30"/>
  <c r="K7" i="30" s="1"/>
  <c r="K4" i="10"/>
  <c r="K5" i="10" s="1"/>
  <c r="F15" i="18"/>
  <c r="K16" i="22" s="1"/>
  <c r="F14" i="18"/>
  <c r="K11" i="22" s="1"/>
  <c r="F11" i="18"/>
  <c r="E9" i="25" s="1"/>
  <c r="F9" i="18"/>
  <c r="F12" i="18"/>
  <c r="K5" i="32" l="1"/>
  <c r="K7" i="32"/>
  <c r="P4" i="49"/>
  <c r="K7" i="49"/>
  <c r="K7" i="31"/>
  <c r="P4" i="30"/>
  <c r="K5" i="30"/>
  <c r="P4" i="10"/>
  <c r="P4" i="31"/>
  <c r="J22" i="23" l="1"/>
  <c r="F7" i="18"/>
  <c r="E25" i="24"/>
  <c r="F26" i="24"/>
  <c r="D23" i="24"/>
  <c r="D27" i="24" s="1"/>
  <c r="D24" i="24"/>
  <c r="E24" i="24"/>
  <c r="F24" i="24"/>
  <c r="G24" i="24"/>
  <c r="H24" i="24"/>
  <c r="D25" i="24"/>
  <c r="F25" i="24"/>
  <c r="G25" i="24"/>
  <c r="J20" i="23"/>
  <c r="J21" i="23"/>
  <c r="D26" i="24"/>
  <c r="E26" i="24"/>
  <c r="G26" i="24"/>
  <c r="H26" i="24"/>
  <c r="E23" i="24"/>
  <c r="F23" i="24"/>
  <c r="G23" i="24"/>
  <c r="G27" i="24" s="1"/>
  <c r="F27" i="24" l="1"/>
  <c r="E27" i="24"/>
  <c r="H25" i="24"/>
  <c r="H23" i="24"/>
  <c r="H27" i="24" s="1"/>
  <c r="J18" i="23"/>
  <c r="J19" i="23"/>
  <c r="I22" i="22"/>
  <c r="F16" i="18" s="1"/>
  <c r="K22" i="22" s="1"/>
  <c r="I16" i="22"/>
  <c r="I11" i="22"/>
  <c r="E114" i="18" l="1"/>
  <c r="F114" i="18"/>
  <c r="G114" i="18"/>
  <c r="D114" i="18"/>
  <c r="C29" i="7" l="1"/>
  <c r="E12" i="40" l="1"/>
  <c r="C12" i="48"/>
  <c r="F12" i="34"/>
  <c r="E12" i="39"/>
  <c r="F12" i="17"/>
  <c r="F12" i="39"/>
  <c r="D12" i="48"/>
  <c r="C12" i="17"/>
  <c r="D12" i="40"/>
  <c r="D12" i="17"/>
  <c r="F12" i="40"/>
  <c r="D12" i="39"/>
  <c r="G12" i="34"/>
  <c r="G12" i="40"/>
  <c r="C12" i="40"/>
  <c r="G12" i="17"/>
  <c r="G12" i="39"/>
  <c r="E12" i="48"/>
  <c r="G12" i="48"/>
  <c r="E12" i="17"/>
  <c r="C12" i="39"/>
  <c r="C12" i="34"/>
  <c r="F12" i="48"/>
  <c r="D12" i="34"/>
  <c r="E12" i="34"/>
  <c r="C180" i="41"/>
  <c r="C180" i="33"/>
  <c r="C180" i="42"/>
  <c r="C180" i="18"/>
  <c r="C180" i="47"/>
  <c r="B204" i="42"/>
  <c r="B203" i="42"/>
  <c r="B202" i="42"/>
  <c r="B201" i="42"/>
  <c r="B200" i="42"/>
  <c r="B199" i="42"/>
  <c r="B198" i="42"/>
  <c r="B204" i="47"/>
  <c r="B203" i="47"/>
  <c r="B202" i="47"/>
  <c r="B201" i="47"/>
  <c r="B200" i="47"/>
  <c r="B199" i="47"/>
  <c r="B198" i="47"/>
  <c r="B204" i="41"/>
  <c r="B203" i="41"/>
  <c r="B202" i="41"/>
  <c r="B201" i="41"/>
  <c r="B200" i="41"/>
  <c r="B199" i="41"/>
  <c r="B198" i="41"/>
  <c r="B204" i="33"/>
  <c r="B203" i="33"/>
  <c r="B202" i="33"/>
  <c r="B201" i="33"/>
  <c r="B200" i="33"/>
  <c r="B199" i="33"/>
  <c r="B198" i="33"/>
  <c r="B198" i="18"/>
  <c r="B204" i="18"/>
  <c r="B203" i="18"/>
  <c r="B202" i="18"/>
  <c r="B201" i="18"/>
  <c r="B200" i="18"/>
  <c r="B199" i="18"/>
  <c r="C184" i="18"/>
  <c r="C183" i="18"/>
  <c r="C182" i="18"/>
  <c r="C181" i="18"/>
  <c r="G117" i="18"/>
  <c r="F117" i="18"/>
  <c r="E117" i="18"/>
  <c r="D117" i="18"/>
  <c r="C117" i="18"/>
  <c r="C179" i="18" s="1"/>
  <c r="G108" i="18"/>
  <c r="F108" i="18"/>
  <c r="E108" i="18"/>
  <c r="D108" i="18"/>
  <c r="C108" i="18"/>
  <c r="C178" i="18" s="1"/>
  <c r="C114" i="18"/>
  <c r="C171" i="18"/>
  <c r="C174" i="18"/>
  <c r="C173" i="18"/>
  <c r="C172" i="18"/>
  <c r="C170" i="18"/>
  <c r="C8" i="21" l="1"/>
  <c r="G22" i="24" l="1"/>
  <c r="E17" i="24"/>
  <c r="H22" i="24" l="1"/>
  <c r="E22" i="24"/>
  <c r="D17" i="24"/>
  <c r="H12" i="24"/>
  <c r="F17" i="24"/>
  <c r="G12" i="24"/>
  <c r="G17" i="24"/>
  <c r="D22" i="24"/>
  <c r="F22" i="24"/>
  <c r="H17" i="24"/>
  <c r="E12" i="24"/>
  <c r="D12" i="24"/>
  <c r="F12" i="24"/>
  <c r="J22" i="24" l="1"/>
  <c r="H14" i="22"/>
  <c r="G14" i="22"/>
  <c r="F14" i="22"/>
  <c r="E14" i="22"/>
  <c r="F10" i="24" l="1"/>
  <c r="H8" i="24" l="1"/>
  <c r="D9" i="24"/>
  <c r="H10" i="24"/>
  <c r="E9" i="24"/>
  <c r="D11" i="24"/>
  <c r="G11" i="24"/>
  <c r="F8" i="24"/>
  <c r="G10" i="24"/>
  <c r="F9" i="24"/>
  <c r="F11" i="24"/>
  <c r="H9" i="24"/>
  <c r="E8" i="24"/>
  <c r="H11" i="24"/>
  <c r="E10" i="24"/>
  <c r="G8" i="24"/>
  <c r="D10" i="24"/>
  <c r="E11" i="24"/>
  <c r="G9" i="24"/>
  <c r="D8" i="24"/>
  <c r="D25" i="42" l="1"/>
  <c r="C183" i="42" s="1"/>
  <c r="D23" i="42"/>
  <c r="D22" i="42"/>
  <c r="D21" i="42"/>
  <c r="D20" i="42"/>
  <c r="D18" i="42"/>
  <c r="D16" i="42"/>
  <c r="C184" i="42" s="1"/>
  <c r="D15" i="42"/>
  <c r="C182" i="42" s="1"/>
  <c r="D14" i="42"/>
  <c r="C181" i="42" s="1"/>
  <c r="D12" i="42"/>
  <c r="D11" i="42"/>
  <c r="D9" i="42"/>
  <c r="C174" i="42" s="1"/>
  <c r="D8" i="42"/>
  <c r="C172" i="42" s="1"/>
  <c r="D7" i="42"/>
  <c r="C171" i="42" s="1"/>
  <c r="D6" i="42"/>
  <c r="C170" i="42" s="1"/>
  <c r="D25" i="47"/>
  <c r="C183" i="47" s="1"/>
  <c r="D23" i="47"/>
  <c r="D22" i="47"/>
  <c r="D21" i="47"/>
  <c r="D20" i="47"/>
  <c r="D18" i="47"/>
  <c r="K4" i="50" s="1"/>
  <c r="K5" i="50" s="1"/>
  <c r="D16" i="47"/>
  <c r="C184" i="47" s="1"/>
  <c r="D15" i="47"/>
  <c r="C182" i="47" s="1"/>
  <c r="D14" i="47"/>
  <c r="C181" i="47" s="1"/>
  <c r="D12" i="47"/>
  <c r="D11" i="47"/>
  <c r="D9" i="47"/>
  <c r="C174" i="47" s="1"/>
  <c r="D8" i="47"/>
  <c r="C172" i="47" s="1"/>
  <c r="D7" i="47"/>
  <c r="C171" i="47" s="1"/>
  <c r="D6" i="47"/>
  <c r="C170" i="47" s="1"/>
  <c r="D25" i="41"/>
  <c r="C183" i="41" s="1"/>
  <c r="D23" i="41"/>
  <c r="D22" i="41"/>
  <c r="D21" i="41"/>
  <c r="D20" i="41"/>
  <c r="D18" i="41"/>
  <c r="K4" i="37" s="1"/>
  <c r="K5" i="37" s="1"/>
  <c r="D16" i="41"/>
  <c r="C184" i="41" s="1"/>
  <c r="D15" i="41"/>
  <c r="C182" i="41" s="1"/>
  <c r="D14" i="41"/>
  <c r="C181" i="41" s="1"/>
  <c r="D12" i="41"/>
  <c r="D11" i="41"/>
  <c r="D9" i="41"/>
  <c r="C174" i="41" s="1"/>
  <c r="D8" i="41"/>
  <c r="D7" i="41"/>
  <c r="C171" i="41" s="1"/>
  <c r="D6" i="41"/>
  <c r="C170" i="41" s="1"/>
  <c r="D25" i="33"/>
  <c r="C183" i="33" s="1"/>
  <c r="D21" i="33"/>
  <c r="D22" i="33"/>
  <c r="D23" i="33"/>
  <c r="D20" i="33"/>
  <c r="D18" i="33"/>
  <c r="D16" i="33"/>
  <c r="C184" i="33" s="1"/>
  <c r="D15" i="33"/>
  <c r="C182" i="33" s="1"/>
  <c r="D14" i="33"/>
  <c r="C181" i="33" s="1"/>
  <c r="D12" i="33"/>
  <c r="D11" i="33"/>
  <c r="D7" i="33"/>
  <c r="D8" i="33"/>
  <c r="C172" i="33" s="1"/>
  <c r="D9" i="33"/>
  <c r="C174" i="33" s="1"/>
  <c r="D6" i="33"/>
  <c r="C170" i="33" s="1"/>
  <c r="C173" i="42" l="1"/>
  <c r="K4" i="38"/>
  <c r="K5" i="38" s="1"/>
  <c r="C173" i="33"/>
  <c r="K4" i="36"/>
  <c r="K5" i="36" s="1"/>
  <c r="C172" i="41"/>
  <c r="C171" i="33"/>
  <c r="D24" i="7"/>
  <c r="D21" i="7"/>
  <c r="D20" i="7"/>
  <c r="D22" i="7"/>
  <c r="D23" i="7"/>
  <c r="F18" i="47"/>
  <c r="C173" i="47"/>
  <c r="F18" i="41"/>
  <c r="C173" i="41"/>
  <c r="D118" i="18"/>
  <c r="C118" i="18"/>
  <c r="AH3" i="38"/>
  <c r="AG3" i="38"/>
  <c r="AF3" i="38"/>
  <c r="AE3" i="38"/>
  <c r="AD3" i="38"/>
  <c r="N3" i="38"/>
  <c r="I3" i="38"/>
  <c r="H3" i="38"/>
  <c r="G3" i="38"/>
  <c r="F3" i="38"/>
  <c r="E3" i="38"/>
  <c r="AH3" i="50"/>
  <c r="AG3" i="50"/>
  <c r="AF3" i="50"/>
  <c r="AE3" i="50"/>
  <c r="AD3" i="50"/>
  <c r="N3" i="50"/>
  <c r="I3" i="50"/>
  <c r="H3" i="50"/>
  <c r="G3" i="50"/>
  <c r="F3" i="50"/>
  <c r="E3" i="50"/>
  <c r="AH3" i="37"/>
  <c r="AG3" i="37"/>
  <c r="AF3" i="37"/>
  <c r="AE3" i="37"/>
  <c r="AD3" i="37"/>
  <c r="N3" i="37"/>
  <c r="I3" i="37"/>
  <c r="H3" i="37"/>
  <c r="G3" i="37"/>
  <c r="F3" i="37"/>
  <c r="E3" i="37"/>
  <c r="AH3" i="36"/>
  <c r="AG3" i="36"/>
  <c r="AF3" i="36"/>
  <c r="AE3" i="36"/>
  <c r="AD3" i="36"/>
  <c r="N3" i="36"/>
  <c r="I3" i="36"/>
  <c r="H3" i="36"/>
  <c r="G3" i="36"/>
  <c r="F3" i="36"/>
  <c r="E3" i="36"/>
  <c r="I3" i="26"/>
  <c r="H3" i="26"/>
  <c r="G3" i="26"/>
  <c r="F3" i="26"/>
  <c r="E3" i="26"/>
  <c r="AH3" i="10" l="1"/>
  <c r="AG3" i="10"/>
  <c r="AF3" i="10"/>
  <c r="AE3" i="10"/>
  <c r="AD3" i="10"/>
  <c r="N3" i="10"/>
  <c r="AH3" i="30"/>
  <c r="AG3" i="30"/>
  <c r="AF3" i="30"/>
  <c r="AE3" i="30"/>
  <c r="AD3" i="30"/>
  <c r="N3" i="30"/>
  <c r="AH3" i="31"/>
  <c r="AG3" i="31"/>
  <c r="AF3" i="31"/>
  <c r="AE3" i="31"/>
  <c r="AD3" i="31"/>
  <c r="N3" i="31"/>
  <c r="AH3" i="49"/>
  <c r="AG3" i="49"/>
  <c r="AF3" i="49"/>
  <c r="AE3" i="49"/>
  <c r="AD3" i="49"/>
  <c r="N3" i="49"/>
  <c r="AH3" i="32"/>
  <c r="AG3" i="32"/>
  <c r="AF3" i="32"/>
  <c r="AE3" i="32"/>
  <c r="AD3" i="32"/>
  <c r="N3" i="32"/>
  <c r="H21" i="24" l="1"/>
  <c r="G21" i="24"/>
  <c r="F21" i="24"/>
  <c r="E21" i="24"/>
  <c r="D21" i="24"/>
  <c r="H20" i="24"/>
  <c r="G20" i="24"/>
  <c r="F20" i="24"/>
  <c r="E20" i="24"/>
  <c r="D20" i="24"/>
  <c r="H19" i="24"/>
  <c r="G19" i="24"/>
  <c r="F19" i="24"/>
  <c r="E19" i="24"/>
  <c r="D19" i="24"/>
  <c r="H18" i="24"/>
  <c r="G18" i="24"/>
  <c r="F18" i="24"/>
  <c r="E18" i="24"/>
  <c r="D18" i="24"/>
  <c r="H16" i="24"/>
  <c r="G16" i="24"/>
  <c r="F16" i="24"/>
  <c r="E16" i="24"/>
  <c r="D16" i="24"/>
  <c r="H15" i="24"/>
  <c r="G15" i="24"/>
  <c r="F15" i="24"/>
  <c r="E15" i="24"/>
  <c r="D15" i="24"/>
  <c r="H14" i="24"/>
  <c r="G14" i="24"/>
  <c r="F14" i="24"/>
  <c r="E14" i="24"/>
  <c r="D14" i="24"/>
  <c r="H13" i="24"/>
  <c r="G13" i="24"/>
  <c r="F13" i="24"/>
  <c r="E13" i="24"/>
  <c r="D13" i="24"/>
  <c r="C11" i="17" l="1" a="1"/>
  <c r="C11" i="17" s="1"/>
  <c r="C10" i="21" l="1"/>
  <c r="C9" i="21"/>
  <c r="D1" i="42" l="1"/>
  <c r="D1" i="47"/>
  <c r="D1" i="41"/>
  <c r="D1" i="33"/>
  <c r="D1" i="18"/>
  <c r="C14" i="24"/>
  <c r="C19" i="24" s="1"/>
  <c r="C24" i="24" s="1"/>
  <c r="C15" i="24"/>
  <c r="C20" i="24" s="1"/>
  <c r="C25" i="24" s="1"/>
  <c r="C16" i="24"/>
  <c r="C21" i="24" s="1"/>
  <c r="C26" i="24" s="1"/>
  <c r="C17" i="24"/>
  <c r="C22" i="24" s="1"/>
  <c r="C27" i="24" s="1"/>
  <c r="C13" i="24"/>
  <c r="C18" i="24" l="1"/>
  <c r="C23" i="24" s="1"/>
  <c r="G11" i="17" l="1" a="1"/>
  <c r="G11" i="17" s="1"/>
  <c r="E11" i="17" a="1"/>
  <c r="E11" i="17" s="1"/>
  <c r="D11" i="17" a="1"/>
  <c r="D11" i="17" s="1"/>
  <c r="F11" i="17" a="1"/>
  <c r="F11" i="17" s="1"/>
  <c r="E11" i="26"/>
  <c r="E2" i="23" l="1"/>
  <c r="F2" i="23" s="1"/>
  <c r="G2" i="23" s="1"/>
  <c r="H2" i="23" s="1"/>
  <c r="I2" i="23" s="1"/>
  <c r="J2" i="23" s="1"/>
  <c r="AH3" i="26" l="1"/>
  <c r="AG3" i="26"/>
  <c r="AF3" i="26"/>
  <c r="AE3" i="26"/>
  <c r="AD3" i="26"/>
  <c r="H7" i="24"/>
  <c r="G7" i="24"/>
  <c r="F7" i="24"/>
  <c r="E7" i="24"/>
  <c r="D7" i="24"/>
  <c r="U84" i="50" l="1"/>
  <c r="O84" i="50"/>
  <c r="M84" i="50"/>
  <c r="U83" i="50"/>
  <c r="O83" i="50"/>
  <c r="M83" i="50"/>
  <c r="U82" i="50"/>
  <c r="O82" i="50"/>
  <c r="M82" i="50"/>
  <c r="U81" i="50"/>
  <c r="O81" i="50"/>
  <c r="M81" i="50"/>
  <c r="U80" i="50"/>
  <c r="O80" i="50"/>
  <c r="M80" i="50"/>
  <c r="U79" i="50"/>
  <c r="O79" i="50"/>
  <c r="M79" i="50"/>
  <c r="U78" i="50"/>
  <c r="O78" i="50"/>
  <c r="M78" i="50"/>
  <c r="U77" i="50"/>
  <c r="O77" i="50"/>
  <c r="M77" i="50"/>
  <c r="U76" i="50"/>
  <c r="O76" i="50"/>
  <c r="M76" i="50"/>
  <c r="U75" i="50"/>
  <c r="O75" i="50"/>
  <c r="M75" i="50"/>
  <c r="U74" i="50"/>
  <c r="O74" i="50"/>
  <c r="M74" i="50"/>
  <c r="U73" i="50"/>
  <c r="O73" i="50"/>
  <c r="M73" i="50"/>
  <c r="U72" i="50"/>
  <c r="O72" i="50"/>
  <c r="M72" i="50"/>
  <c r="U71" i="50"/>
  <c r="O71" i="50"/>
  <c r="M71" i="50"/>
  <c r="U70" i="50"/>
  <c r="O70" i="50"/>
  <c r="M70" i="50"/>
  <c r="U69" i="50"/>
  <c r="O69" i="50"/>
  <c r="M69" i="50"/>
  <c r="U68" i="50"/>
  <c r="O68" i="50"/>
  <c r="M68" i="50"/>
  <c r="U67" i="50"/>
  <c r="O67" i="50"/>
  <c r="M67" i="50"/>
  <c r="U66" i="50"/>
  <c r="O66" i="50"/>
  <c r="M66" i="50"/>
  <c r="U65" i="50"/>
  <c r="O65" i="50"/>
  <c r="M65" i="50"/>
  <c r="U64" i="50"/>
  <c r="O64" i="50"/>
  <c r="M64" i="50"/>
  <c r="U63" i="50"/>
  <c r="O63" i="50"/>
  <c r="M63" i="50"/>
  <c r="U62" i="50"/>
  <c r="O62" i="50"/>
  <c r="M62" i="50"/>
  <c r="U61" i="50"/>
  <c r="O61" i="50"/>
  <c r="M61" i="50"/>
  <c r="U60" i="50"/>
  <c r="O60" i="50"/>
  <c r="M60" i="50"/>
  <c r="U59" i="50"/>
  <c r="O59" i="50"/>
  <c r="M59" i="50"/>
  <c r="U58" i="50"/>
  <c r="O58" i="50"/>
  <c r="M58" i="50"/>
  <c r="U57" i="50"/>
  <c r="O57" i="50"/>
  <c r="M57" i="50"/>
  <c r="U56" i="50"/>
  <c r="O56" i="50"/>
  <c r="M56" i="50"/>
  <c r="U55" i="50"/>
  <c r="O55" i="50"/>
  <c r="M55" i="50"/>
  <c r="U54" i="50"/>
  <c r="O54" i="50"/>
  <c r="M54" i="50"/>
  <c r="U53" i="50"/>
  <c r="O53" i="50"/>
  <c r="M53" i="50"/>
  <c r="U52" i="50"/>
  <c r="O52" i="50"/>
  <c r="M52" i="50"/>
  <c r="U51" i="50"/>
  <c r="O51" i="50"/>
  <c r="M51" i="50"/>
  <c r="U50" i="50"/>
  <c r="O50" i="50"/>
  <c r="M50" i="50"/>
  <c r="U49" i="50"/>
  <c r="O49" i="50"/>
  <c r="M49" i="50"/>
  <c r="U48" i="50"/>
  <c r="O48" i="50"/>
  <c r="M48" i="50"/>
  <c r="U47" i="50"/>
  <c r="O47" i="50"/>
  <c r="M47" i="50"/>
  <c r="U46" i="50"/>
  <c r="O46" i="50"/>
  <c r="M46" i="50"/>
  <c r="U45" i="50"/>
  <c r="O45" i="50"/>
  <c r="M45" i="50"/>
  <c r="U44" i="50"/>
  <c r="O44" i="50"/>
  <c r="M44" i="50"/>
  <c r="U43" i="50"/>
  <c r="O43" i="50"/>
  <c r="M43" i="50"/>
  <c r="U42" i="50"/>
  <c r="O42" i="50"/>
  <c r="M42" i="50"/>
  <c r="U41" i="50"/>
  <c r="O41" i="50"/>
  <c r="M41" i="50"/>
  <c r="U40" i="50"/>
  <c r="O40" i="50"/>
  <c r="M40" i="50"/>
  <c r="U39" i="50"/>
  <c r="O39" i="50"/>
  <c r="M39" i="50"/>
  <c r="V38" i="50"/>
  <c r="U38" i="50"/>
  <c r="O38" i="50"/>
  <c r="M38" i="50"/>
  <c r="U37" i="50"/>
  <c r="O37" i="50"/>
  <c r="M37" i="50"/>
  <c r="U36" i="50"/>
  <c r="O36" i="50"/>
  <c r="M36" i="50"/>
  <c r="U35" i="50"/>
  <c r="O35" i="50"/>
  <c r="M35" i="50"/>
  <c r="U34" i="50"/>
  <c r="O34" i="50"/>
  <c r="M34" i="50"/>
  <c r="U33" i="50"/>
  <c r="O33" i="50"/>
  <c r="M33" i="50"/>
  <c r="U32" i="50"/>
  <c r="O32" i="50"/>
  <c r="M32" i="50"/>
  <c r="U31" i="50"/>
  <c r="O31" i="50"/>
  <c r="M31" i="50"/>
  <c r="V30" i="50"/>
  <c r="U30" i="50"/>
  <c r="O30" i="50"/>
  <c r="M30" i="50"/>
  <c r="U29" i="50"/>
  <c r="O29" i="50"/>
  <c r="M29" i="50"/>
  <c r="U28" i="50"/>
  <c r="O28" i="50"/>
  <c r="M28" i="50"/>
  <c r="U27" i="50"/>
  <c r="O27" i="50"/>
  <c r="M27" i="50"/>
  <c r="U26" i="50"/>
  <c r="O26" i="50"/>
  <c r="M26" i="50"/>
  <c r="U25" i="50"/>
  <c r="O25" i="50"/>
  <c r="M25" i="50"/>
  <c r="U24" i="50"/>
  <c r="O24" i="50"/>
  <c r="M24" i="50"/>
  <c r="U23" i="50"/>
  <c r="O23" i="50"/>
  <c r="M23" i="50"/>
  <c r="V22" i="50"/>
  <c r="U22" i="50"/>
  <c r="O22" i="50"/>
  <c r="M22" i="50"/>
  <c r="U21" i="50"/>
  <c r="O21" i="50"/>
  <c r="M21" i="50"/>
  <c r="U20" i="50"/>
  <c r="O20" i="50"/>
  <c r="M20" i="50"/>
  <c r="U19" i="50"/>
  <c r="O19" i="50"/>
  <c r="M19" i="50"/>
  <c r="U18" i="50"/>
  <c r="O18" i="50"/>
  <c r="M18" i="50"/>
  <c r="U17" i="50"/>
  <c r="O17" i="50"/>
  <c r="M17" i="50"/>
  <c r="U16" i="50"/>
  <c r="O16" i="50"/>
  <c r="M16" i="50"/>
  <c r="V15" i="50"/>
  <c r="U15" i="50"/>
  <c r="O15" i="50"/>
  <c r="M15" i="50"/>
  <c r="V14" i="50"/>
  <c r="U14" i="50"/>
  <c r="O14" i="50"/>
  <c r="M14" i="50"/>
  <c r="U13" i="50"/>
  <c r="O13" i="50"/>
  <c r="M13" i="50"/>
  <c r="U12" i="50"/>
  <c r="O12" i="50"/>
  <c r="M12" i="50"/>
  <c r="V11" i="50"/>
  <c r="U11" i="50"/>
  <c r="O11" i="50"/>
  <c r="M11" i="50"/>
  <c r="U10" i="50"/>
  <c r="O10" i="50"/>
  <c r="M10" i="50"/>
  <c r="U9" i="50"/>
  <c r="O9" i="50"/>
  <c r="M9" i="50"/>
  <c r="U8" i="50"/>
  <c r="O8" i="50"/>
  <c r="M8" i="50"/>
  <c r="V7" i="50"/>
  <c r="U7" i="50"/>
  <c r="O7" i="50"/>
  <c r="M7" i="50"/>
  <c r="U6" i="50"/>
  <c r="O6" i="50"/>
  <c r="M6" i="50"/>
  <c r="V5" i="50"/>
  <c r="U5" i="50"/>
  <c r="O5" i="50"/>
  <c r="M5" i="50"/>
  <c r="V4" i="50"/>
  <c r="U4" i="50"/>
  <c r="O4" i="50"/>
  <c r="M4" i="50"/>
  <c r="U84" i="49"/>
  <c r="O84" i="49"/>
  <c r="M84" i="49"/>
  <c r="U83" i="49"/>
  <c r="O83" i="49"/>
  <c r="M83" i="49"/>
  <c r="U82" i="49"/>
  <c r="O82" i="49"/>
  <c r="M82" i="49"/>
  <c r="U81" i="49"/>
  <c r="O81" i="49"/>
  <c r="M81" i="49"/>
  <c r="V80" i="49"/>
  <c r="U80" i="49"/>
  <c r="O80" i="49"/>
  <c r="M80" i="49"/>
  <c r="U79" i="49"/>
  <c r="O79" i="49"/>
  <c r="M79" i="49"/>
  <c r="U78" i="49"/>
  <c r="O78" i="49"/>
  <c r="M78" i="49"/>
  <c r="U77" i="49"/>
  <c r="O77" i="49"/>
  <c r="M77" i="49"/>
  <c r="U76" i="49"/>
  <c r="O76" i="49"/>
  <c r="M76" i="49"/>
  <c r="U75" i="49"/>
  <c r="O75" i="49"/>
  <c r="M75" i="49"/>
  <c r="U74" i="49"/>
  <c r="O74" i="49"/>
  <c r="M74" i="49"/>
  <c r="U73" i="49"/>
  <c r="O73" i="49"/>
  <c r="M73" i="49"/>
  <c r="U72" i="49"/>
  <c r="O72" i="49"/>
  <c r="M72" i="49"/>
  <c r="U71" i="49"/>
  <c r="O71" i="49"/>
  <c r="M71" i="49"/>
  <c r="U70" i="49"/>
  <c r="O70" i="49"/>
  <c r="M70" i="49"/>
  <c r="U69" i="49"/>
  <c r="O69" i="49"/>
  <c r="M69" i="49"/>
  <c r="U68" i="49"/>
  <c r="O68" i="49"/>
  <c r="M68" i="49"/>
  <c r="U67" i="49"/>
  <c r="O67" i="49"/>
  <c r="M67" i="49"/>
  <c r="U66" i="49"/>
  <c r="O66" i="49"/>
  <c r="M66" i="49"/>
  <c r="U65" i="49"/>
  <c r="O65" i="49"/>
  <c r="M65" i="49"/>
  <c r="U64" i="49"/>
  <c r="O64" i="49"/>
  <c r="M64" i="49"/>
  <c r="U63" i="49"/>
  <c r="O63" i="49"/>
  <c r="M63" i="49"/>
  <c r="U62" i="49"/>
  <c r="O62" i="49"/>
  <c r="M62" i="49"/>
  <c r="U61" i="49"/>
  <c r="O61" i="49"/>
  <c r="M61" i="49"/>
  <c r="U60" i="49"/>
  <c r="O60" i="49"/>
  <c r="M60" i="49"/>
  <c r="U59" i="49"/>
  <c r="O59" i="49"/>
  <c r="M59" i="49"/>
  <c r="U58" i="49"/>
  <c r="O58" i="49"/>
  <c r="M58" i="49"/>
  <c r="U57" i="49"/>
  <c r="O57" i="49"/>
  <c r="M57" i="49"/>
  <c r="U56" i="49"/>
  <c r="O56" i="49"/>
  <c r="M56" i="49"/>
  <c r="U55" i="49"/>
  <c r="O55" i="49"/>
  <c r="M55" i="49"/>
  <c r="U54" i="49"/>
  <c r="O54" i="49"/>
  <c r="M54" i="49"/>
  <c r="U53" i="49"/>
  <c r="O53" i="49"/>
  <c r="M53" i="49"/>
  <c r="U52" i="49"/>
  <c r="O52" i="49"/>
  <c r="M52" i="49"/>
  <c r="U51" i="49"/>
  <c r="O51" i="49"/>
  <c r="M51" i="49"/>
  <c r="U50" i="49"/>
  <c r="O50" i="49"/>
  <c r="M50" i="49"/>
  <c r="U49" i="49"/>
  <c r="O49" i="49"/>
  <c r="M49" i="49"/>
  <c r="V48" i="49"/>
  <c r="U48" i="49"/>
  <c r="O48" i="49"/>
  <c r="M48" i="49"/>
  <c r="U47" i="49"/>
  <c r="O47" i="49"/>
  <c r="M47" i="49"/>
  <c r="U46" i="49"/>
  <c r="O46" i="49"/>
  <c r="M46" i="49"/>
  <c r="U45" i="49"/>
  <c r="O45" i="49"/>
  <c r="M45" i="49"/>
  <c r="U44" i="49"/>
  <c r="O44" i="49"/>
  <c r="M44" i="49"/>
  <c r="U43" i="49"/>
  <c r="O43" i="49"/>
  <c r="M43" i="49"/>
  <c r="U42" i="49"/>
  <c r="O42" i="49"/>
  <c r="M42" i="49"/>
  <c r="U41" i="49"/>
  <c r="O41" i="49"/>
  <c r="M41" i="49"/>
  <c r="U40" i="49"/>
  <c r="O40" i="49"/>
  <c r="M40" i="49"/>
  <c r="U39" i="49"/>
  <c r="O39" i="49"/>
  <c r="M39" i="49"/>
  <c r="U38" i="49"/>
  <c r="O38" i="49"/>
  <c r="M38" i="49"/>
  <c r="U37" i="49"/>
  <c r="O37" i="49"/>
  <c r="M37" i="49"/>
  <c r="U36" i="49"/>
  <c r="O36" i="49"/>
  <c r="M36" i="49"/>
  <c r="U35" i="49"/>
  <c r="O35" i="49"/>
  <c r="M35" i="49"/>
  <c r="U34" i="49"/>
  <c r="O34" i="49"/>
  <c r="M34" i="49"/>
  <c r="U33" i="49"/>
  <c r="O33" i="49"/>
  <c r="M33" i="49"/>
  <c r="U32" i="49"/>
  <c r="O32" i="49"/>
  <c r="M32" i="49"/>
  <c r="U31" i="49"/>
  <c r="O31" i="49"/>
  <c r="M31" i="49"/>
  <c r="U30" i="49"/>
  <c r="O30" i="49"/>
  <c r="M30" i="49"/>
  <c r="U29" i="49"/>
  <c r="O29" i="49"/>
  <c r="M29" i="49"/>
  <c r="U28" i="49"/>
  <c r="O28" i="49"/>
  <c r="M28" i="49"/>
  <c r="U27" i="49"/>
  <c r="O27" i="49"/>
  <c r="M27" i="49"/>
  <c r="V26" i="49"/>
  <c r="U26" i="49"/>
  <c r="O26" i="49"/>
  <c r="M26" i="49"/>
  <c r="V25" i="49"/>
  <c r="U25" i="49"/>
  <c r="O25" i="49"/>
  <c r="M25" i="49"/>
  <c r="V24" i="49"/>
  <c r="U24" i="49"/>
  <c r="O24" i="49"/>
  <c r="M24" i="49"/>
  <c r="U23" i="49"/>
  <c r="O23" i="49"/>
  <c r="M23" i="49"/>
  <c r="U22" i="49"/>
  <c r="O22" i="49"/>
  <c r="M22" i="49"/>
  <c r="U21" i="49"/>
  <c r="O21" i="49"/>
  <c r="M21" i="49"/>
  <c r="U20" i="49"/>
  <c r="O20" i="49"/>
  <c r="M20" i="49"/>
  <c r="U19" i="49"/>
  <c r="O19" i="49"/>
  <c r="M19" i="49"/>
  <c r="V18" i="49"/>
  <c r="U18" i="49"/>
  <c r="O18" i="49"/>
  <c r="M18" i="49"/>
  <c r="V17" i="49"/>
  <c r="U17" i="49"/>
  <c r="O17" i="49"/>
  <c r="M17" i="49"/>
  <c r="V16" i="49"/>
  <c r="U16" i="49"/>
  <c r="O16" i="49"/>
  <c r="M16" i="49"/>
  <c r="U15" i="49"/>
  <c r="O15" i="49"/>
  <c r="M15" i="49"/>
  <c r="V14" i="49"/>
  <c r="U14" i="49"/>
  <c r="O14" i="49"/>
  <c r="M14" i="49"/>
  <c r="V13" i="49"/>
  <c r="U13" i="49"/>
  <c r="O13" i="49"/>
  <c r="M13" i="49"/>
  <c r="U12" i="49"/>
  <c r="O12" i="49"/>
  <c r="M12" i="49"/>
  <c r="V11" i="49"/>
  <c r="U11" i="49"/>
  <c r="O11" i="49"/>
  <c r="M11" i="49"/>
  <c r="U10" i="49"/>
  <c r="O10" i="49"/>
  <c r="M10" i="49"/>
  <c r="U9" i="49"/>
  <c r="O9" i="49"/>
  <c r="M9" i="49"/>
  <c r="V8" i="49"/>
  <c r="U8" i="49"/>
  <c r="O8" i="49"/>
  <c r="M8" i="49"/>
  <c r="U7" i="49"/>
  <c r="O7" i="49"/>
  <c r="M7" i="49"/>
  <c r="V6" i="49"/>
  <c r="U6" i="49"/>
  <c r="O6" i="49"/>
  <c r="M6" i="49"/>
  <c r="U5" i="49"/>
  <c r="O5" i="49"/>
  <c r="M5" i="49"/>
  <c r="V4" i="49"/>
  <c r="U4" i="49"/>
  <c r="O4" i="49"/>
  <c r="M4" i="49"/>
  <c r="G10" i="48"/>
  <c r="F10" i="48"/>
  <c r="E10" i="48"/>
  <c r="D10" i="48"/>
  <c r="C10" i="48"/>
  <c r="G107" i="47"/>
  <c r="F107" i="47"/>
  <c r="E107" i="47"/>
  <c r="D107" i="47"/>
  <c r="C107" i="47"/>
  <c r="F9" i="47"/>
  <c r="G107" i="41"/>
  <c r="F107" i="41"/>
  <c r="E107" i="41"/>
  <c r="D107" i="41"/>
  <c r="C107" i="41"/>
  <c r="E18" i="41"/>
  <c r="C137" i="41" s="1"/>
  <c r="F7" i="41"/>
  <c r="E7" i="41" s="1"/>
  <c r="C123" i="41" s="1"/>
  <c r="C13" i="7"/>
  <c r="K9" i="49" l="1"/>
  <c r="K9" i="50"/>
  <c r="E9" i="47"/>
  <c r="C125" i="47" s="1"/>
  <c r="E18" i="47"/>
  <c r="C137" i="47" s="1"/>
  <c r="F6" i="47"/>
  <c r="F6" i="41"/>
  <c r="V9" i="50"/>
  <c r="V17" i="50"/>
  <c r="V18" i="50"/>
  <c r="V26" i="50"/>
  <c r="V34" i="50"/>
  <c r="V12" i="50"/>
  <c r="V21" i="50"/>
  <c r="V29" i="50"/>
  <c r="V37" i="50"/>
  <c r="V42" i="50"/>
  <c r="V77" i="50"/>
  <c r="V69" i="50"/>
  <c r="V61" i="50"/>
  <c r="V53" i="50"/>
  <c r="V45" i="50"/>
  <c r="V82" i="50"/>
  <c r="V74" i="50"/>
  <c r="V66" i="50"/>
  <c r="V58" i="50"/>
  <c r="V79" i="50"/>
  <c r="V71" i="50"/>
  <c r="V63" i="50"/>
  <c r="V55" i="50"/>
  <c r="V47" i="50"/>
  <c r="V39" i="50"/>
  <c r="V31" i="50"/>
  <c r="V23" i="50"/>
  <c r="V84" i="50"/>
  <c r="V76" i="50"/>
  <c r="V68" i="50"/>
  <c r="V60" i="50"/>
  <c r="V52" i="50"/>
  <c r="V81" i="50"/>
  <c r="V73" i="50"/>
  <c r="V65" i="50"/>
  <c r="V57" i="50"/>
  <c r="V49" i="50"/>
  <c r="V41" i="50"/>
  <c r="V33" i="50"/>
  <c r="V25" i="50"/>
  <c r="V78" i="50"/>
  <c r="V70" i="50"/>
  <c r="V62" i="50"/>
  <c r="V54" i="50"/>
  <c r="V46" i="50"/>
  <c r="V83" i="50"/>
  <c r="V75" i="50"/>
  <c r="V67" i="50"/>
  <c r="V59" i="50"/>
  <c r="V51" i="50"/>
  <c r="V43" i="50"/>
  <c r="V35" i="50"/>
  <c r="V27" i="50"/>
  <c r="V19" i="50"/>
  <c r="V80" i="50"/>
  <c r="V72" i="50"/>
  <c r="V64" i="50"/>
  <c r="V56" i="50"/>
  <c r="V48" i="50"/>
  <c r="V40" i="50"/>
  <c r="V32" i="50"/>
  <c r="V24" i="50"/>
  <c r="O85" i="50"/>
  <c r="V10" i="50"/>
  <c r="V50" i="50"/>
  <c r="V8" i="50"/>
  <c r="V13" i="50"/>
  <c r="V20" i="50"/>
  <c r="V28" i="50"/>
  <c r="V36" i="50"/>
  <c r="V6" i="50"/>
  <c r="V16" i="50"/>
  <c r="V44" i="50"/>
  <c r="V36" i="49"/>
  <c r="V40" i="49"/>
  <c r="V50" i="49"/>
  <c r="V9" i="49"/>
  <c r="V20" i="49"/>
  <c r="V21" i="49"/>
  <c r="V52" i="49"/>
  <c r="V7" i="49"/>
  <c r="V12" i="49"/>
  <c r="V32" i="49"/>
  <c r="V42" i="49"/>
  <c r="V64" i="49"/>
  <c r="V5" i="49"/>
  <c r="V15" i="49"/>
  <c r="V29" i="49"/>
  <c r="V44" i="49"/>
  <c r="V77" i="49"/>
  <c r="V69" i="49"/>
  <c r="V61" i="49"/>
  <c r="V53" i="49"/>
  <c r="V45" i="49"/>
  <c r="V37" i="49"/>
  <c r="V82" i="49"/>
  <c r="V74" i="49"/>
  <c r="V66" i="49"/>
  <c r="V58" i="49"/>
  <c r="V79" i="49"/>
  <c r="V71" i="49"/>
  <c r="V63" i="49"/>
  <c r="V55" i="49"/>
  <c r="V47" i="49"/>
  <c r="V39" i="49"/>
  <c r="V31" i="49"/>
  <c r="V23" i="49"/>
  <c r="V84" i="49"/>
  <c r="V76" i="49"/>
  <c r="V68" i="49"/>
  <c r="V60" i="49"/>
  <c r="V81" i="49"/>
  <c r="V73" i="49"/>
  <c r="V65" i="49"/>
  <c r="V57" i="49"/>
  <c r="V49" i="49"/>
  <c r="V41" i="49"/>
  <c r="V33" i="49"/>
  <c r="V78" i="49"/>
  <c r="V70" i="49"/>
  <c r="V62" i="49"/>
  <c r="V54" i="49"/>
  <c r="V46" i="49"/>
  <c r="V38" i="49"/>
  <c r="V30" i="49"/>
  <c r="V22" i="49"/>
  <c r="V83" i="49"/>
  <c r="V75" i="49"/>
  <c r="V67" i="49"/>
  <c r="V59" i="49"/>
  <c r="V51" i="49"/>
  <c r="V43" i="49"/>
  <c r="V35" i="49"/>
  <c r="V27" i="49"/>
  <c r="V19" i="49"/>
  <c r="O85" i="49"/>
  <c r="V10" i="49"/>
  <c r="V28" i="49"/>
  <c r="V34" i="49"/>
  <c r="V56" i="49"/>
  <c r="V72" i="49"/>
  <c r="F7" i="47"/>
  <c r="F9" i="41"/>
  <c r="K7" i="50" l="1"/>
  <c r="P4" i="50"/>
  <c r="E6" i="47"/>
  <c r="C122" i="47" s="1"/>
  <c r="E7" i="47"/>
  <c r="C123" i="47" s="1"/>
  <c r="E6" i="41"/>
  <c r="C122" i="41" s="1"/>
  <c r="E9" i="41"/>
  <c r="C125" i="41" s="1"/>
  <c r="D7" i="22" l="1"/>
  <c r="H7" i="22"/>
  <c r="G7" i="22"/>
  <c r="F7" i="22"/>
  <c r="E7" i="22"/>
  <c r="G10" i="40"/>
  <c r="F10" i="40"/>
  <c r="E10" i="40"/>
  <c r="D10" i="40"/>
  <c r="C10" i="40"/>
  <c r="G10" i="39"/>
  <c r="F10" i="39"/>
  <c r="E10" i="39"/>
  <c r="D10" i="39"/>
  <c r="C10" i="39"/>
  <c r="G10" i="34"/>
  <c r="F10" i="34"/>
  <c r="E10" i="34"/>
  <c r="D10" i="34"/>
  <c r="C10" i="34"/>
  <c r="G10" i="17"/>
  <c r="F10" i="17"/>
  <c r="E10" i="17"/>
  <c r="D10" i="17"/>
  <c r="C10" i="17"/>
  <c r="G107" i="42"/>
  <c r="F107" i="42"/>
  <c r="E107" i="42"/>
  <c r="D107" i="42"/>
  <c r="C107" i="42"/>
  <c r="G107" i="33"/>
  <c r="F107" i="33"/>
  <c r="E107" i="33"/>
  <c r="D107" i="33"/>
  <c r="C107" i="33"/>
  <c r="G107" i="18"/>
  <c r="F107" i="18"/>
  <c r="E107" i="18"/>
  <c r="D107" i="18"/>
  <c r="C107" i="18"/>
  <c r="C111" i="18" l="1"/>
  <c r="C111" i="47" l="1"/>
  <c r="C111" i="41"/>
  <c r="C113" i="47" l="1"/>
  <c r="C112" i="47"/>
  <c r="C113" i="41"/>
  <c r="C112" i="41"/>
  <c r="J7" i="23"/>
  <c r="C47" i="48" l="1"/>
  <c r="C18" i="48"/>
  <c r="C113" i="18"/>
  <c r="O5" i="30" l="1"/>
  <c r="O6" i="30"/>
  <c r="O7" i="30"/>
  <c r="O8" i="30"/>
  <c r="O9" i="30"/>
  <c r="O10" i="30"/>
  <c r="O11" i="30"/>
  <c r="O12" i="30"/>
  <c r="O13" i="30"/>
  <c r="O14" i="30"/>
  <c r="O15" i="30"/>
  <c r="O16" i="30"/>
  <c r="O17" i="30"/>
  <c r="O18" i="30"/>
  <c r="O19" i="30"/>
  <c r="O20" i="30"/>
  <c r="O21" i="30"/>
  <c r="O22" i="30"/>
  <c r="O23" i="30"/>
  <c r="O24" i="30"/>
  <c r="O25" i="30"/>
  <c r="O26" i="30"/>
  <c r="O27" i="30"/>
  <c r="O28" i="30"/>
  <c r="O29" i="30"/>
  <c r="O30" i="30"/>
  <c r="O31" i="30"/>
  <c r="O32" i="30"/>
  <c r="O33" i="30"/>
  <c r="O34" i="30"/>
  <c r="O35" i="30"/>
  <c r="O36" i="30"/>
  <c r="O37" i="30"/>
  <c r="O38" i="30"/>
  <c r="O39" i="30"/>
  <c r="O40" i="30"/>
  <c r="O41" i="30"/>
  <c r="O42" i="30"/>
  <c r="O43" i="30"/>
  <c r="O44" i="30"/>
  <c r="O45" i="30"/>
  <c r="O46" i="30"/>
  <c r="O47" i="30"/>
  <c r="O48" i="30"/>
  <c r="O49" i="30"/>
  <c r="O50" i="30"/>
  <c r="O51" i="30"/>
  <c r="O52" i="30"/>
  <c r="O53" i="30"/>
  <c r="O54" i="30"/>
  <c r="O55" i="30"/>
  <c r="O56" i="30"/>
  <c r="O57" i="30"/>
  <c r="O58" i="30"/>
  <c r="O59" i="30"/>
  <c r="O60" i="30"/>
  <c r="O61" i="30"/>
  <c r="O62" i="30"/>
  <c r="O63" i="30"/>
  <c r="O64" i="30"/>
  <c r="O65" i="30"/>
  <c r="O66" i="30"/>
  <c r="O67" i="30"/>
  <c r="O68" i="30"/>
  <c r="O69" i="30"/>
  <c r="O70" i="30"/>
  <c r="O71" i="30"/>
  <c r="O72" i="30"/>
  <c r="O73" i="30"/>
  <c r="O74" i="30"/>
  <c r="O75" i="30"/>
  <c r="O76" i="30"/>
  <c r="O77" i="30"/>
  <c r="O78" i="30"/>
  <c r="O79" i="30"/>
  <c r="O80" i="30"/>
  <c r="O81" i="30"/>
  <c r="O82" i="30"/>
  <c r="O83" i="30"/>
  <c r="O84" i="30"/>
  <c r="O4" i="30"/>
  <c r="F6" i="18"/>
  <c r="O85" i="30" l="1"/>
  <c r="F8" i="41" l="1"/>
  <c r="E8" i="41" s="1"/>
  <c r="C124" i="41" s="1"/>
  <c r="F8" i="47"/>
  <c r="E8" i="47" s="1"/>
  <c r="C124" i="47" s="1"/>
  <c r="F8" i="42"/>
  <c r="F8" i="33"/>
  <c r="G117" i="41"/>
  <c r="G117" i="47"/>
  <c r="F117" i="41"/>
  <c r="F117" i="47"/>
  <c r="C108" i="47"/>
  <c r="C178" i="47" s="1"/>
  <c r="C108" i="41"/>
  <c r="C178" i="41" s="1"/>
  <c r="E117" i="41"/>
  <c r="E117" i="47"/>
  <c r="G108" i="41"/>
  <c r="G108" i="47"/>
  <c r="D117" i="42"/>
  <c r="D117" i="41"/>
  <c r="D117" i="47"/>
  <c r="F108" i="33"/>
  <c r="F108" i="47"/>
  <c r="F108" i="41"/>
  <c r="E114" i="42"/>
  <c r="E114" i="41"/>
  <c r="E114" i="47"/>
  <c r="D114" i="42"/>
  <c r="D114" i="41"/>
  <c r="D114" i="47"/>
  <c r="C114" i="42"/>
  <c r="C175" i="42" s="1"/>
  <c r="C114" i="41"/>
  <c r="C175" i="41" s="1"/>
  <c r="C114" i="47"/>
  <c r="C175" i="47" s="1"/>
  <c r="E108" i="47"/>
  <c r="E108" i="41"/>
  <c r="G114" i="47"/>
  <c r="G114" i="41"/>
  <c r="D108" i="42"/>
  <c r="D108" i="47"/>
  <c r="D108" i="41"/>
  <c r="F114" i="47"/>
  <c r="F114" i="41"/>
  <c r="C117" i="47"/>
  <c r="C179" i="47" s="1"/>
  <c r="C117" i="41"/>
  <c r="C179" i="41" s="1"/>
  <c r="F114" i="42"/>
  <c r="F114" i="33"/>
  <c r="F117" i="33"/>
  <c r="F117" i="42"/>
  <c r="E108" i="42"/>
  <c r="E117" i="42"/>
  <c r="E117" i="33"/>
  <c r="G114" i="42"/>
  <c r="G114" i="33"/>
  <c r="G117" i="33"/>
  <c r="C117" i="33"/>
  <c r="C179" i="33" s="1"/>
  <c r="G117" i="42"/>
  <c r="C117" i="42"/>
  <c r="C179" i="42" s="1"/>
  <c r="E114" i="33"/>
  <c r="C114" i="33"/>
  <c r="C175" i="33" s="1"/>
  <c r="D114" i="33"/>
  <c r="D117" i="33"/>
  <c r="G108" i="33"/>
  <c r="E108" i="33"/>
  <c r="G108" i="42"/>
  <c r="C108" i="42"/>
  <c r="C178" i="42" s="1"/>
  <c r="C108" i="33"/>
  <c r="C178" i="33" s="1"/>
  <c r="D108" i="33"/>
  <c r="F108" i="42"/>
  <c r="C48" i="48" l="1"/>
  <c r="C19" i="48"/>
  <c r="F7" i="42" l="1"/>
  <c r="F9" i="42"/>
  <c r="E9" i="42" s="1"/>
  <c r="U84" i="38"/>
  <c r="O84" i="38"/>
  <c r="M84" i="38"/>
  <c r="U83" i="38"/>
  <c r="O83" i="38"/>
  <c r="M83" i="38"/>
  <c r="U82" i="38"/>
  <c r="O82" i="38"/>
  <c r="M82" i="38"/>
  <c r="U81" i="38"/>
  <c r="O81" i="38"/>
  <c r="M81" i="38"/>
  <c r="U80" i="38"/>
  <c r="O80" i="38"/>
  <c r="M80" i="38"/>
  <c r="U79" i="38"/>
  <c r="O79" i="38"/>
  <c r="M79" i="38"/>
  <c r="U78" i="38"/>
  <c r="O78" i="38"/>
  <c r="M78" i="38"/>
  <c r="U77" i="38"/>
  <c r="O77" i="38"/>
  <c r="M77" i="38"/>
  <c r="U76" i="38"/>
  <c r="O76" i="38"/>
  <c r="M76" i="38"/>
  <c r="U75" i="38"/>
  <c r="O75" i="38"/>
  <c r="M75" i="38"/>
  <c r="U74" i="38"/>
  <c r="O74" i="38"/>
  <c r="M74" i="38"/>
  <c r="U73" i="38"/>
  <c r="O73" i="38"/>
  <c r="M73" i="38"/>
  <c r="U72" i="38"/>
  <c r="O72" i="38"/>
  <c r="M72" i="38"/>
  <c r="U71" i="38"/>
  <c r="O71" i="38"/>
  <c r="M71" i="38"/>
  <c r="U70" i="38"/>
  <c r="O70" i="38"/>
  <c r="M70" i="38"/>
  <c r="U69" i="38"/>
  <c r="O69" i="38"/>
  <c r="M69" i="38"/>
  <c r="U68" i="38"/>
  <c r="O68" i="38"/>
  <c r="M68" i="38"/>
  <c r="U67" i="38"/>
  <c r="O67" i="38"/>
  <c r="M67" i="38"/>
  <c r="U66" i="38"/>
  <c r="O66" i="38"/>
  <c r="M66" i="38"/>
  <c r="U65" i="38"/>
  <c r="O65" i="38"/>
  <c r="M65" i="38"/>
  <c r="U64" i="38"/>
  <c r="O64" i="38"/>
  <c r="M64" i="38"/>
  <c r="U63" i="38"/>
  <c r="O63" i="38"/>
  <c r="M63" i="38"/>
  <c r="U62" i="38"/>
  <c r="O62" i="38"/>
  <c r="M62" i="38"/>
  <c r="U61" i="38"/>
  <c r="O61" i="38"/>
  <c r="M61" i="38"/>
  <c r="U60" i="38"/>
  <c r="O60" i="38"/>
  <c r="M60" i="38"/>
  <c r="U59" i="38"/>
  <c r="O59" i="38"/>
  <c r="M59" i="38"/>
  <c r="U58" i="38"/>
  <c r="O58" i="38"/>
  <c r="M58" i="38"/>
  <c r="U57" i="38"/>
  <c r="O57" i="38"/>
  <c r="M57" i="38"/>
  <c r="U56" i="38"/>
  <c r="O56" i="38"/>
  <c r="M56" i="38"/>
  <c r="U55" i="38"/>
  <c r="O55" i="38"/>
  <c r="M55" i="38"/>
  <c r="U54" i="38"/>
  <c r="O54" i="38"/>
  <c r="M54" i="38"/>
  <c r="U53" i="38"/>
  <c r="O53" i="38"/>
  <c r="M53" i="38"/>
  <c r="U52" i="38"/>
  <c r="O52" i="38"/>
  <c r="M52" i="38"/>
  <c r="U51" i="38"/>
  <c r="O51" i="38"/>
  <c r="M51" i="38"/>
  <c r="U50" i="38"/>
  <c r="O50" i="38"/>
  <c r="M50" i="38"/>
  <c r="U49" i="38"/>
  <c r="O49" i="38"/>
  <c r="M49" i="38"/>
  <c r="U48" i="38"/>
  <c r="O48" i="38"/>
  <c r="M48" i="38"/>
  <c r="U47" i="38"/>
  <c r="O47" i="38"/>
  <c r="M47" i="38"/>
  <c r="U46" i="38"/>
  <c r="O46" i="38"/>
  <c r="M46" i="38"/>
  <c r="U45" i="38"/>
  <c r="O45" i="38"/>
  <c r="M45" i="38"/>
  <c r="U44" i="38"/>
  <c r="O44" i="38"/>
  <c r="M44" i="38"/>
  <c r="U43" i="38"/>
  <c r="O43" i="38"/>
  <c r="M43" i="38"/>
  <c r="U42" i="38"/>
  <c r="O42" i="38"/>
  <c r="M42" i="38"/>
  <c r="U41" i="38"/>
  <c r="O41" i="38"/>
  <c r="M41" i="38"/>
  <c r="U40" i="38"/>
  <c r="O40" i="38"/>
  <c r="M40" i="38"/>
  <c r="U39" i="38"/>
  <c r="O39" i="38"/>
  <c r="M39" i="38"/>
  <c r="U38" i="38"/>
  <c r="O38" i="38"/>
  <c r="M38" i="38"/>
  <c r="U37" i="38"/>
  <c r="O37" i="38"/>
  <c r="M37" i="38"/>
  <c r="U36" i="38"/>
  <c r="O36" i="38"/>
  <c r="M36" i="38"/>
  <c r="U35" i="38"/>
  <c r="O35" i="38"/>
  <c r="M35" i="38"/>
  <c r="U34" i="38"/>
  <c r="O34" i="38"/>
  <c r="M34" i="38"/>
  <c r="U33" i="38"/>
  <c r="O33" i="38"/>
  <c r="M33" i="38"/>
  <c r="U32" i="38"/>
  <c r="O32" i="38"/>
  <c r="M32" i="38"/>
  <c r="U31" i="38"/>
  <c r="O31" i="38"/>
  <c r="M31" i="38"/>
  <c r="U30" i="38"/>
  <c r="O30" i="38"/>
  <c r="M30" i="38"/>
  <c r="U29" i="38"/>
  <c r="O29" i="38"/>
  <c r="M29" i="38"/>
  <c r="U28" i="38"/>
  <c r="O28" i="38"/>
  <c r="M28" i="38"/>
  <c r="U27" i="38"/>
  <c r="O27" i="38"/>
  <c r="M27" i="38"/>
  <c r="U26" i="38"/>
  <c r="O26" i="38"/>
  <c r="M26" i="38"/>
  <c r="U25" i="38"/>
  <c r="O25" i="38"/>
  <c r="M25" i="38"/>
  <c r="U24" i="38"/>
  <c r="O24" i="38"/>
  <c r="M24" i="38"/>
  <c r="U23" i="38"/>
  <c r="O23" i="38"/>
  <c r="M23" i="38"/>
  <c r="U22" i="38"/>
  <c r="O22" i="38"/>
  <c r="M22" i="38"/>
  <c r="U21" i="38"/>
  <c r="O21" i="38"/>
  <c r="M21" i="38"/>
  <c r="U20" i="38"/>
  <c r="O20" i="38"/>
  <c r="M20" i="38"/>
  <c r="U19" i="38"/>
  <c r="O19" i="38"/>
  <c r="M19" i="38"/>
  <c r="U18" i="38"/>
  <c r="O18" i="38"/>
  <c r="M18" i="38"/>
  <c r="U17" i="38"/>
  <c r="O17" i="38"/>
  <c r="M17" i="38"/>
  <c r="U16" i="38"/>
  <c r="O16" i="38"/>
  <c r="M16" i="38"/>
  <c r="U15" i="38"/>
  <c r="O15" i="38"/>
  <c r="M15" i="38"/>
  <c r="U14" i="38"/>
  <c r="O14" i="38"/>
  <c r="M14" i="38"/>
  <c r="U13" i="38"/>
  <c r="O13" i="38"/>
  <c r="M13" i="38"/>
  <c r="U12" i="38"/>
  <c r="O12" i="38"/>
  <c r="M12" i="38"/>
  <c r="U11" i="38"/>
  <c r="O11" i="38"/>
  <c r="M11" i="38"/>
  <c r="U10" i="38"/>
  <c r="O10" i="38"/>
  <c r="M10" i="38"/>
  <c r="U9" i="38"/>
  <c r="O9" i="38"/>
  <c r="M9" i="38"/>
  <c r="U8" i="38"/>
  <c r="O8" i="38"/>
  <c r="M8" i="38"/>
  <c r="U7" i="38"/>
  <c r="O7" i="38"/>
  <c r="M7" i="38"/>
  <c r="U6" i="38"/>
  <c r="O6" i="38"/>
  <c r="M6" i="38"/>
  <c r="U5" i="38"/>
  <c r="O5" i="38"/>
  <c r="M5" i="38"/>
  <c r="U4" i="38"/>
  <c r="O4" i="38"/>
  <c r="M4" i="38"/>
  <c r="K9" i="38"/>
  <c r="V64" i="38"/>
  <c r="U84" i="37"/>
  <c r="O84" i="37"/>
  <c r="M84" i="37"/>
  <c r="U83" i="37"/>
  <c r="O83" i="37"/>
  <c r="M83" i="37"/>
  <c r="U82" i="37"/>
  <c r="O82" i="37"/>
  <c r="M82" i="37"/>
  <c r="U81" i="37"/>
  <c r="O81" i="37"/>
  <c r="M81" i="37"/>
  <c r="U80" i="37"/>
  <c r="O80" i="37"/>
  <c r="M80" i="37"/>
  <c r="U79" i="37"/>
  <c r="O79" i="37"/>
  <c r="M79" i="37"/>
  <c r="U78" i="37"/>
  <c r="O78" i="37"/>
  <c r="M78" i="37"/>
  <c r="U77" i="37"/>
  <c r="O77" i="37"/>
  <c r="M77" i="37"/>
  <c r="U76" i="37"/>
  <c r="O76" i="37"/>
  <c r="M76" i="37"/>
  <c r="U75" i="37"/>
  <c r="O75" i="37"/>
  <c r="M75" i="37"/>
  <c r="U74" i="37"/>
  <c r="O74" i="37"/>
  <c r="M74" i="37"/>
  <c r="U73" i="37"/>
  <c r="O73" i="37"/>
  <c r="M73" i="37"/>
  <c r="U72" i="37"/>
  <c r="O72" i="37"/>
  <c r="M72" i="37"/>
  <c r="U71" i="37"/>
  <c r="O71" i="37"/>
  <c r="M71" i="37"/>
  <c r="U70" i="37"/>
  <c r="O70" i="37"/>
  <c r="M70" i="37"/>
  <c r="U69" i="37"/>
  <c r="O69" i="37"/>
  <c r="M69" i="37"/>
  <c r="U68" i="37"/>
  <c r="O68" i="37"/>
  <c r="M68" i="37"/>
  <c r="U67" i="37"/>
  <c r="O67" i="37"/>
  <c r="M67" i="37"/>
  <c r="U66" i="37"/>
  <c r="O66" i="37"/>
  <c r="M66" i="37"/>
  <c r="U65" i="37"/>
  <c r="O65" i="37"/>
  <c r="M65" i="37"/>
  <c r="U64" i="37"/>
  <c r="O64" i="37"/>
  <c r="M64" i="37"/>
  <c r="U63" i="37"/>
  <c r="O63" i="37"/>
  <c r="M63" i="37"/>
  <c r="U62" i="37"/>
  <c r="O62" i="37"/>
  <c r="M62" i="37"/>
  <c r="U61" i="37"/>
  <c r="O61" i="37"/>
  <c r="M61" i="37"/>
  <c r="U60" i="37"/>
  <c r="O60" i="37"/>
  <c r="M60" i="37"/>
  <c r="U59" i="37"/>
  <c r="O59" i="37"/>
  <c r="M59" i="37"/>
  <c r="U58" i="37"/>
  <c r="O58" i="37"/>
  <c r="M58" i="37"/>
  <c r="U57" i="37"/>
  <c r="O57" i="37"/>
  <c r="M57" i="37"/>
  <c r="U56" i="37"/>
  <c r="O56" i="37"/>
  <c r="M56" i="37"/>
  <c r="U55" i="37"/>
  <c r="O55" i="37"/>
  <c r="M55" i="37"/>
  <c r="U54" i="37"/>
  <c r="O54" i="37"/>
  <c r="M54" i="37"/>
  <c r="U53" i="37"/>
  <c r="O53" i="37"/>
  <c r="M53" i="37"/>
  <c r="U52" i="37"/>
  <c r="O52" i="37"/>
  <c r="M52" i="37"/>
  <c r="U51" i="37"/>
  <c r="O51" i="37"/>
  <c r="M51" i="37"/>
  <c r="U50" i="37"/>
  <c r="O50" i="37"/>
  <c r="M50" i="37"/>
  <c r="U49" i="37"/>
  <c r="O49" i="37"/>
  <c r="M49" i="37"/>
  <c r="U48" i="37"/>
  <c r="O48" i="37"/>
  <c r="M48" i="37"/>
  <c r="U47" i="37"/>
  <c r="O47" i="37"/>
  <c r="M47" i="37"/>
  <c r="U46" i="37"/>
  <c r="O46" i="37"/>
  <c r="M46" i="37"/>
  <c r="U45" i="37"/>
  <c r="O45" i="37"/>
  <c r="M45" i="37"/>
  <c r="U44" i="37"/>
  <c r="O44" i="37"/>
  <c r="M44" i="37"/>
  <c r="U43" i="37"/>
  <c r="O43" i="37"/>
  <c r="M43" i="37"/>
  <c r="U42" i="37"/>
  <c r="O42" i="37"/>
  <c r="M42" i="37"/>
  <c r="U41" i="37"/>
  <c r="O41" i="37"/>
  <c r="M41" i="37"/>
  <c r="U40" i="37"/>
  <c r="O40" i="37"/>
  <c r="M40" i="37"/>
  <c r="U39" i="37"/>
  <c r="O39" i="37"/>
  <c r="M39" i="37"/>
  <c r="U38" i="37"/>
  <c r="O38" i="37"/>
  <c r="M38" i="37"/>
  <c r="U37" i="37"/>
  <c r="O37" i="37"/>
  <c r="M37" i="37"/>
  <c r="U36" i="37"/>
  <c r="O36" i="37"/>
  <c r="M36" i="37"/>
  <c r="U35" i="37"/>
  <c r="O35" i="37"/>
  <c r="M35" i="37"/>
  <c r="U34" i="37"/>
  <c r="O34" i="37"/>
  <c r="M34" i="37"/>
  <c r="U33" i="37"/>
  <c r="O33" i="37"/>
  <c r="M33" i="37"/>
  <c r="U32" i="37"/>
  <c r="O32" i="37"/>
  <c r="M32" i="37"/>
  <c r="U31" i="37"/>
  <c r="O31" i="37"/>
  <c r="M31" i="37"/>
  <c r="U30" i="37"/>
  <c r="O30" i="37"/>
  <c r="M30" i="37"/>
  <c r="U29" i="37"/>
  <c r="O29" i="37"/>
  <c r="M29" i="37"/>
  <c r="U28" i="37"/>
  <c r="O28" i="37"/>
  <c r="M28" i="37"/>
  <c r="U27" i="37"/>
  <c r="O27" i="37"/>
  <c r="M27" i="37"/>
  <c r="U26" i="37"/>
  <c r="O26" i="37"/>
  <c r="M26" i="37"/>
  <c r="U25" i="37"/>
  <c r="O25" i="37"/>
  <c r="M25" i="37"/>
  <c r="U24" i="37"/>
  <c r="O24" i="37"/>
  <c r="M24" i="37"/>
  <c r="U23" i="37"/>
  <c r="O23" i="37"/>
  <c r="M23" i="37"/>
  <c r="U22" i="37"/>
  <c r="O22" i="37"/>
  <c r="M22" i="37"/>
  <c r="U21" i="37"/>
  <c r="O21" i="37"/>
  <c r="M21" i="37"/>
  <c r="U20" i="37"/>
  <c r="O20" i="37"/>
  <c r="M20" i="37"/>
  <c r="U19" i="37"/>
  <c r="O19" i="37"/>
  <c r="M19" i="37"/>
  <c r="U18" i="37"/>
  <c r="O18" i="37"/>
  <c r="M18" i="37"/>
  <c r="U17" i="37"/>
  <c r="O17" i="37"/>
  <c r="M17" i="37"/>
  <c r="U16" i="37"/>
  <c r="O16" i="37"/>
  <c r="M16" i="37"/>
  <c r="U15" i="37"/>
  <c r="O15" i="37"/>
  <c r="M15" i="37"/>
  <c r="U14" i="37"/>
  <c r="O14" i="37"/>
  <c r="M14" i="37"/>
  <c r="U13" i="37"/>
  <c r="O13" i="37"/>
  <c r="M13" i="37"/>
  <c r="U12" i="37"/>
  <c r="O12" i="37"/>
  <c r="M12" i="37"/>
  <c r="U11" i="37"/>
  <c r="O11" i="37"/>
  <c r="M11" i="37"/>
  <c r="U10" i="37"/>
  <c r="O10" i="37"/>
  <c r="M10" i="37"/>
  <c r="U9" i="37"/>
  <c r="O9" i="37"/>
  <c r="M9" i="37"/>
  <c r="U8" i="37"/>
  <c r="O8" i="37"/>
  <c r="M8" i="37"/>
  <c r="U7" i="37"/>
  <c r="O7" i="37"/>
  <c r="M7" i="37"/>
  <c r="U6" i="37"/>
  <c r="O6" i="37"/>
  <c r="M6" i="37"/>
  <c r="U5" i="37"/>
  <c r="O5" i="37"/>
  <c r="M5" i="37"/>
  <c r="U4" i="37"/>
  <c r="O4" i="37"/>
  <c r="M4" i="37"/>
  <c r="K9" i="37"/>
  <c r="E7" i="42" l="1"/>
  <c r="C123" i="42" s="1"/>
  <c r="V6" i="38"/>
  <c r="V7" i="38"/>
  <c r="V14" i="38"/>
  <c r="V50" i="38"/>
  <c r="V12" i="38"/>
  <c r="V10" i="38"/>
  <c r="V26" i="38"/>
  <c r="V31" i="38"/>
  <c r="V20" i="38"/>
  <c r="O85" i="38"/>
  <c r="P4" i="38" s="1"/>
  <c r="O85" i="37"/>
  <c r="C125" i="42"/>
  <c r="V81" i="38"/>
  <c r="V77" i="38"/>
  <c r="V73" i="38"/>
  <c r="V69" i="38"/>
  <c r="V65" i="38"/>
  <c r="V83" i="38"/>
  <c r="V79" i="38"/>
  <c r="V75" i="38"/>
  <c r="V71" i="38"/>
  <c r="V67" i="38"/>
  <c r="V63" i="38"/>
  <c r="V84" i="38"/>
  <c r="V80" i="38"/>
  <c r="V82" i="38"/>
  <c r="V74" i="38"/>
  <c r="V66" i="38"/>
  <c r="V61" i="38"/>
  <c r="V57" i="38"/>
  <c r="V53" i="38"/>
  <c r="V76" i="38"/>
  <c r="V68" i="38"/>
  <c r="V62" i="38"/>
  <c r="V56" i="38"/>
  <c r="V51" i="38"/>
  <c r="V49" i="38"/>
  <c r="V45" i="38"/>
  <c r="V41" i="38"/>
  <c r="V37" i="38"/>
  <c r="V33" i="38"/>
  <c r="V29" i="38"/>
  <c r="V25" i="38"/>
  <c r="V21" i="38"/>
  <c r="V72" i="38"/>
  <c r="V58" i="38"/>
  <c r="V52" i="38"/>
  <c r="V46" i="38"/>
  <c r="V78" i="38"/>
  <c r="V59" i="38"/>
  <c r="V55" i="38"/>
  <c r="V43" i="38"/>
  <c r="V40" i="38"/>
  <c r="V35" i="38"/>
  <c r="V30" i="38"/>
  <c r="V24" i="38"/>
  <c r="V19" i="38"/>
  <c r="V15" i="38"/>
  <c r="V11" i="38"/>
  <c r="V5" i="38"/>
  <c r="V4" i="38"/>
  <c r="V70" i="38"/>
  <c r="V47" i="38"/>
  <c r="V38" i="38"/>
  <c r="V32" i="38"/>
  <c r="V27" i="38"/>
  <c r="V22" i="38"/>
  <c r="V17" i="38"/>
  <c r="V13" i="38"/>
  <c r="V9" i="38"/>
  <c r="V8" i="38"/>
  <c r="V60" i="38"/>
  <c r="V48" i="38"/>
  <c r="V39" i="38"/>
  <c r="V34" i="38"/>
  <c r="V28" i="38"/>
  <c r="V23" i="38"/>
  <c r="V16" i="38"/>
  <c r="V18" i="38"/>
  <c r="V42" i="38"/>
  <c r="V54" i="38"/>
  <c r="V36" i="38"/>
  <c r="V44" i="38"/>
  <c r="V81" i="37"/>
  <c r="V77" i="37"/>
  <c r="V73" i="37"/>
  <c r="V69" i="37"/>
  <c r="V65" i="37"/>
  <c r="V82" i="37"/>
  <c r="V78" i="37"/>
  <c r="V74" i="37"/>
  <c r="V70" i="37"/>
  <c r="V66" i="37"/>
  <c r="V83" i="37"/>
  <c r="V79" i="37"/>
  <c r="V75" i="37"/>
  <c r="V71" i="37"/>
  <c r="V67" i="37"/>
  <c r="V63" i="37"/>
  <c r="V61" i="37"/>
  <c r="V57" i="37"/>
  <c r="V53" i="37"/>
  <c r="V49" i="37"/>
  <c r="V84" i="37"/>
  <c r="V58" i="37"/>
  <c r="V80" i="37"/>
  <c r="V76" i="37"/>
  <c r="V72" i="37"/>
  <c r="V68" i="37"/>
  <c r="V64" i="37"/>
  <c r="V62" i="37"/>
  <c r="V59" i="37"/>
  <c r="V55" i="37"/>
  <c r="V51" i="37"/>
  <c r="V47" i="37"/>
  <c r="V60" i="37"/>
  <c r="V54" i="37"/>
  <c r="V46" i="37"/>
  <c r="V42" i="37"/>
  <c r="V38" i="37"/>
  <c r="V34" i="37"/>
  <c r="V56" i="37"/>
  <c r="V48" i="37"/>
  <c r="V43" i="37"/>
  <c r="V39" i="37"/>
  <c r="V35" i="37"/>
  <c r="V31" i="37"/>
  <c r="V50" i="37"/>
  <c r="V44" i="37"/>
  <c r="V40" i="37"/>
  <c r="V36" i="37"/>
  <c r="V32" i="37"/>
  <c r="V10" i="37"/>
  <c r="V22" i="37"/>
  <c r="V8" i="37"/>
  <c r="V9" i="37"/>
  <c r="V13" i="37"/>
  <c r="V17" i="37"/>
  <c r="V21" i="37"/>
  <c r="V25" i="37"/>
  <c r="V29" i="37"/>
  <c r="V45" i="37"/>
  <c r="V6" i="37"/>
  <c r="V7" i="37"/>
  <c r="V12" i="37"/>
  <c r="V16" i="37"/>
  <c r="V20" i="37"/>
  <c r="V24" i="37"/>
  <c r="V28" i="37"/>
  <c r="V30" i="37"/>
  <c r="V33" i="37"/>
  <c r="V52" i="37"/>
  <c r="V14" i="37"/>
  <c r="V18" i="37"/>
  <c r="V26" i="37"/>
  <c r="V4" i="37"/>
  <c r="V5" i="37"/>
  <c r="V11" i="37"/>
  <c r="V15" i="37"/>
  <c r="V19" i="37"/>
  <c r="V23" i="37"/>
  <c r="V27" i="37"/>
  <c r="V37" i="37"/>
  <c r="V41" i="37"/>
  <c r="K7" i="37" l="1"/>
  <c r="P4" i="37"/>
  <c r="F18" i="42"/>
  <c r="E18" i="42" s="1"/>
  <c r="C137" i="42" s="1"/>
  <c r="K7" i="38"/>
  <c r="U84" i="36" l="1"/>
  <c r="O84" i="36"/>
  <c r="M84" i="36"/>
  <c r="U83" i="36"/>
  <c r="O83" i="36"/>
  <c r="M83" i="36"/>
  <c r="U82" i="36"/>
  <c r="O82" i="36"/>
  <c r="M82" i="36"/>
  <c r="U81" i="36"/>
  <c r="O81" i="36"/>
  <c r="M81" i="36"/>
  <c r="U80" i="36"/>
  <c r="O80" i="36"/>
  <c r="M80" i="36"/>
  <c r="U79" i="36"/>
  <c r="O79" i="36"/>
  <c r="M79" i="36"/>
  <c r="U78" i="36"/>
  <c r="O78" i="36"/>
  <c r="M78" i="36"/>
  <c r="U77" i="36"/>
  <c r="O77" i="36"/>
  <c r="M77" i="36"/>
  <c r="U76" i="36"/>
  <c r="O76" i="36"/>
  <c r="M76" i="36"/>
  <c r="U75" i="36"/>
  <c r="O75" i="36"/>
  <c r="M75" i="36"/>
  <c r="U74" i="36"/>
  <c r="O74" i="36"/>
  <c r="M74" i="36"/>
  <c r="U73" i="36"/>
  <c r="O73" i="36"/>
  <c r="M73" i="36"/>
  <c r="U72" i="36"/>
  <c r="O72" i="36"/>
  <c r="M72" i="36"/>
  <c r="U71" i="36"/>
  <c r="O71" i="36"/>
  <c r="M71" i="36"/>
  <c r="U70" i="36"/>
  <c r="O70" i="36"/>
  <c r="M70" i="36"/>
  <c r="U69" i="36"/>
  <c r="O69" i="36"/>
  <c r="M69" i="36"/>
  <c r="U68" i="36"/>
  <c r="O68" i="36"/>
  <c r="M68" i="36"/>
  <c r="U67" i="36"/>
  <c r="O67" i="36"/>
  <c r="M67" i="36"/>
  <c r="U66" i="36"/>
  <c r="O66" i="36"/>
  <c r="M66" i="36"/>
  <c r="U65" i="36"/>
  <c r="O65" i="36"/>
  <c r="M65" i="36"/>
  <c r="U64" i="36"/>
  <c r="O64" i="36"/>
  <c r="M64" i="36"/>
  <c r="U63" i="36"/>
  <c r="O63" i="36"/>
  <c r="M63" i="36"/>
  <c r="U62" i="36"/>
  <c r="O62" i="36"/>
  <c r="M62" i="36"/>
  <c r="U61" i="36"/>
  <c r="O61" i="36"/>
  <c r="M61" i="36"/>
  <c r="U60" i="36"/>
  <c r="O60" i="36"/>
  <c r="M60" i="36"/>
  <c r="U59" i="36"/>
  <c r="O59" i="36"/>
  <c r="M59" i="36"/>
  <c r="U58" i="36"/>
  <c r="O58" i="36"/>
  <c r="M58" i="36"/>
  <c r="U57" i="36"/>
  <c r="O57" i="36"/>
  <c r="M57" i="36"/>
  <c r="U56" i="36"/>
  <c r="O56" i="36"/>
  <c r="M56" i="36"/>
  <c r="U55" i="36"/>
  <c r="O55" i="36"/>
  <c r="M55" i="36"/>
  <c r="U54" i="36"/>
  <c r="O54" i="36"/>
  <c r="M54" i="36"/>
  <c r="U53" i="36"/>
  <c r="O53" i="36"/>
  <c r="M53" i="36"/>
  <c r="U52" i="36"/>
  <c r="O52" i="36"/>
  <c r="M52" i="36"/>
  <c r="U51" i="36"/>
  <c r="O51" i="36"/>
  <c r="M51" i="36"/>
  <c r="U50" i="36"/>
  <c r="O50" i="36"/>
  <c r="M50" i="36"/>
  <c r="U49" i="36"/>
  <c r="O49" i="36"/>
  <c r="M49" i="36"/>
  <c r="U48" i="36"/>
  <c r="O48" i="36"/>
  <c r="M48" i="36"/>
  <c r="U47" i="36"/>
  <c r="O47" i="36"/>
  <c r="M47" i="36"/>
  <c r="U46" i="36"/>
  <c r="O46" i="36"/>
  <c r="M46" i="36"/>
  <c r="U45" i="36"/>
  <c r="O45" i="36"/>
  <c r="M45" i="36"/>
  <c r="U44" i="36"/>
  <c r="O44" i="36"/>
  <c r="M44" i="36"/>
  <c r="U43" i="36"/>
  <c r="O43" i="36"/>
  <c r="M43" i="36"/>
  <c r="U42" i="36"/>
  <c r="O42" i="36"/>
  <c r="M42" i="36"/>
  <c r="U41" i="36"/>
  <c r="O41" i="36"/>
  <c r="M41" i="36"/>
  <c r="U40" i="36"/>
  <c r="O40" i="36"/>
  <c r="M40" i="36"/>
  <c r="U39" i="36"/>
  <c r="O39" i="36"/>
  <c r="M39" i="36"/>
  <c r="U38" i="36"/>
  <c r="O38" i="36"/>
  <c r="M38" i="36"/>
  <c r="U37" i="36"/>
  <c r="O37" i="36"/>
  <c r="M37" i="36"/>
  <c r="U36" i="36"/>
  <c r="O36" i="36"/>
  <c r="M36" i="36"/>
  <c r="U35" i="36"/>
  <c r="O35" i="36"/>
  <c r="M35" i="36"/>
  <c r="U34" i="36"/>
  <c r="O34" i="36"/>
  <c r="M34" i="36"/>
  <c r="U33" i="36"/>
  <c r="O33" i="36"/>
  <c r="M33" i="36"/>
  <c r="U32" i="36"/>
  <c r="O32" i="36"/>
  <c r="M32" i="36"/>
  <c r="U31" i="36"/>
  <c r="O31" i="36"/>
  <c r="M31" i="36"/>
  <c r="U30" i="36"/>
  <c r="O30" i="36"/>
  <c r="M30" i="36"/>
  <c r="U29" i="36"/>
  <c r="O29" i="36"/>
  <c r="M29" i="36"/>
  <c r="U28" i="36"/>
  <c r="O28" i="36"/>
  <c r="M28" i="36"/>
  <c r="U27" i="36"/>
  <c r="O27" i="36"/>
  <c r="M27" i="36"/>
  <c r="U26" i="36"/>
  <c r="O26" i="36"/>
  <c r="M26" i="36"/>
  <c r="U25" i="36"/>
  <c r="O25" i="36"/>
  <c r="M25" i="36"/>
  <c r="U24" i="36"/>
  <c r="O24" i="36"/>
  <c r="M24" i="36"/>
  <c r="U23" i="36"/>
  <c r="O23" i="36"/>
  <c r="M23" i="36"/>
  <c r="U22" i="36"/>
  <c r="O22" i="36"/>
  <c r="M22" i="36"/>
  <c r="U21" i="36"/>
  <c r="O21" i="36"/>
  <c r="M21" i="36"/>
  <c r="U20" i="36"/>
  <c r="O20" i="36"/>
  <c r="M20" i="36"/>
  <c r="U19" i="36"/>
  <c r="O19" i="36"/>
  <c r="M19" i="36"/>
  <c r="U18" i="36"/>
  <c r="O18" i="36"/>
  <c r="M18" i="36"/>
  <c r="U17" i="36"/>
  <c r="O17" i="36"/>
  <c r="M17" i="36"/>
  <c r="U16" i="36"/>
  <c r="O16" i="36"/>
  <c r="M16" i="36"/>
  <c r="U15" i="36"/>
  <c r="O15" i="36"/>
  <c r="M15" i="36"/>
  <c r="U14" i="36"/>
  <c r="O14" i="36"/>
  <c r="M14" i="36"/>
  <c r="U13" i="36"/>
  <c r="O13" i="36"/>
  <c r="M13" i="36"/>
  <c r="U12" i="36"/>
  <c r="O12" i="36"/>
  <c r="M12" i="36"/>
  <c r="U11" i="36"/>
  <c r="O11" i="36"/>
  <c r="M11" i="36"/>
  <c r="U10" i="36"/>
  <c r="O10" i="36"/>
  <c r="M10" i="36"/>
  <c r="U9" i="36"/>
  <c r="O9" i="36"/>
  <c r="M9" i="36"/>
  <c r="U8" i="36"/>
  <c r="O8" i="36"/>
  <c r="M8" i="36"/>
  <c r="U7" i="36"/>
  <c r="O7" i="36"/>
  <c r="M7" i="36"/>
  <c r="U6" i="36"/>
  <c r="O6" i="36"/>
  <c r="M6" i="36"/>
  <c r="U5" i="36"/>
  <c r="O5" i="36"/>
  <c r="M5" i="36"/>
  <c r="U4" i="36"/>
  <c r="O4" i="36"/>
  <c r="M4" i="36"/>
  <c r="K9" i="36"/>
  <c r="V4" i="36"/>
  <c r="E8" i="33"/>
  <c r="U84" i="32"/>
  <c r="O84" i="32"/>
  <c r="M84" i="32"/>
  <c r="U83" i="32"/>
  <c r="O83" i="32"/>
  <c r="M83" i="32"/>
  <c r="U82" i="32"/>
  <c r="O82" i="32"/>
  <c r="M82" i="32"/>
  <c r="U81" i="32"/>
  <c r="O81" i="32"/>
  <c r="M81" i="32"/>
  <c r="U80" i="32"/>
  <c r="O80" i="32"/>
  <c r="M80" i="32"/>
  <c r="U79" i="32"/>
  <c r="O79" i="32"/>
  <c r="M79" i="32"/>
  <c r="U78" i="32"/>
  <c r="O78" i="32"/>
  <c r="M78" i="32"/>
  <c r="U77" i="32"/>
  <c r="O77" i="32"/>
  <c r="M77" i="32"/>
  <c r="U76" i="32"/>
  <c r="O76" i="32"/>
  <c r="M76" i="32"/>
  <c r="U75" i="32"/>
  <c r="O75" i="32"/>
  <c r="M75" i="32"/>
  <c r="U74" i="32"/>
  <c r="O74" i="32"/>
  <c r="M74" i="32"/>
  <c r="U73" i="32"/>
  <c r="O73" i="32"/>
  <c r="M73" i="32"/>
  <c r="U72" i="32"/>
  <c r="O72" i="32"/>
  <c r="M72" i="32"/>
  <c r="U71" i="32"/>
  <c r="O71" i="32"/>
  <c r="M71" i="32"/>
  <c r="U70" i="32"/>
  <c r="O70" i="32"/>
  <c r="M70" i="32"/>
  <c r="U69" i="32"/>
  <c r="O69" i="32"/>
  <c r="M69" i="32"/>
  <c r="U68" i="32"/>
  <c r="O68" i="32"/>
  <c r="M68" i="32"/>
  <c r="U67" i="32"/>
  <c r="O67" i="32"/>
  <c r="M67" i="32"/>
  <c r="U66" i="32"/>
  <c r="O66" i="32"/>
  <c r="M66" i="32"/>
  <c r="U65" i="32"/>
  <c r="O65" i="32"/>
  <c r="M65" i="32"/>
  <c r="U64" i="32"/>
  <c r="O64" i="32"/>
  <c r="M64" i="32"/>
  <c r="U63" i="32"/>
  <c r="O63" i="32"/>
  <c r="M63" i="32"/>
  <c r="U62" i="32"/>
  <c r="O62" i="32"/>
  <c r="M62" i="32"/>
  <c r="U61" i="32"/>
  <c r="O61" i="32"/>
  <c r="M61" i="32"/>
  <c r="U60" i="32"/>
  <c r="O60" i="32"/>
  <c r="M60" i="32"/>
  <c r="U59" i="32"/>
  <c r="O59" i="32"/>
  <c r="M59" i="32"/>
  <c r="U58" i="32"/>
  <c r="O58" i="32"/>
  <c r="M58" i="32"/>
  <c r="U57" i="32"/>
  <c r="O57" i="32"/>
  <c r="M57" i="32"/>
  <c r="U56" i="32"/>
  <c r="O56" i="32"/>
  <c r="M56" i="32"/>
  <c r="U55" i="32"/>
  <c r="O55" i="32"/>
  <c r="M55" i="32"/>
  <c r="U54" i="32"/>
  <c r="O54" i="32"/>
  <c r="M54" i="32"/>
  <c r="U53" i="32"/>
  <c r="O53" i="32"/>
  <c r="M53" i="32"/>
  <c r="U52" i="32"/>
  <c r="O52" i="32"/>
  <c r="M52" i="32"/>
  <c r="U51" i="32"/>
  <c r="O51" i="32"/>
  <c r="M51" i="32"/>
  <c r="U50" i="32"/>
  <c r="O50" i="32"/>
  <c r="M50" i="32"/>
  <c r="U49" i="32"/>
  <c r="O49" i="32"/>
  <c r="M49" i="32"/>
  <c r="U48" i="32"/>
  <c r="O48" i="32"/>
  <c r="M48" i="32"/>
  <c r="U47" i="32"/>
  <c r="O47" i="32"/>
  <c r="M47" i="32"/>
  <c r="U46" i="32"/>
  <c r="O46" i="32"/>
  <c r="M46" i="32"/>
  <c r="U45" i="32"/>
  <c r="O45" i="32"/>
  <c r="M45" i="32"/>
  <c r="U44" i="32"/>
  <c r="O44" i="32"/>
  <c r="M44" i="32"/>
  <c r="U43" i="32"/>
  <c r="O43" i="32"/>
  <c r="M43" i="32"/>
  <c r="U42" i="32"/>
  <c r="O42" i="32"/>
  <c r="M42" i="32"/>
  <c r="U41" i="32"/>
  <c r="O41" i="32"/>
  <c r="M41" i="32"/>
  <c r="U40" i="32"/>
  <c r="O40" i="32"/>
  <c r="M40" i="32"/>
  <c r="U39" i="32"/>
  <c r="O39" i="32"/>
  <c r="M39" i="32"/>
  <c r="U38" i="32"/>
  <c r="O38" i="32"/>
  <c r="M38" i="32"/>
  <c r="U37" i="32"/>
  <c r="O37" i="32"/>
  <c r="M37" i="32"/>
  <c r="U36" i="32"/>
  <c r="O36" i="32"/>
  <c r="M36" i="32"/>
  <c r="U35" i="32"/>
  <c r="O35" i="32"/>
  <c r="M35" i="32"/>
  <c r="U34" i="32"/>
  <c r="O34" i="32"/>
  <c r="M34" i="32"/>
  <c r="U33" i="32"/>
  <c r="O33" i="32"/>
  <c r="M33" i="32"/>
  <c r="U32" i="32"/>
  <c r="O32" i="32"/>
  <c r="M32" i="32"/>
  <c r="U31" i="32"/>
  <c r="O31" i="32"/>
  <c r="M31" i="32"/>
  <c r="U30" i="32"/>
  <c r="O30" i="32"/>
  <c r="M30" i="32"/>
  <c r="U29" i="32"/>
  <c r="O29" i="32"/>
  <c r="M29" i="32"/>
  <c r="U28" i="32"/>
  <c r="O28" i="32"/>
  <c r="M28" i="32"/>
  <c r="U27" i="32"/>
  <c r="O27" i="32"/>
  <c r="M27" i="32"/>
  <c r="U26" i="32"/>
  <c r="O26" i="32"/>
  <c r="M26" i="32"/>
  <c r="U25" i="32"/>
  <c r="O25" i="32"/>
  <c r="M25" i="32"/>
  <c r="U24" i="32"/>
  <c r="O24" i="32"/>
  <c r="M24" i="32"/>
  <c r="U23" i="32"/>
  <c r="O23" i="32"/>
  <c r="M23" i="32"/>
  <c r="U22" i="32"/>
  <c r="O22" i="32"/>
  <c r="M22" i="32"/>
  <c r="U21" i="32"/>
  <c r="O21" i="32"/>
  <c r="M21" i="32"/>
  <c r="U20" i="32"/>
  <c r="O20" i="32"/>
  <c r="M20" i="32"/>
  <c r="U19" i="32"/>
  <c r="O19" i="32"/>
  <c r="M19" i="32"/>
  <c r="U18" i="32"/>
  <c r="O18" i="32"/>
  <c r="M18" i="32"/>
  <c r="U17" i="32"/>
  <c r="O17" i="32"/>
  <c r="M17" i="32"/>
  <c r="U16" i="32"/>
  <c r="O16" i="32"/>
  <c r="M16" i="32"/>
  <c r="U15" i="32"/>
  <c r="O15" i="32"/>
  <c r="M15" i="32"/>
  <c r="U14" i="32"/>
  <c r="O14" i="32"/>
  <c r="M14" i="32"/>
  <c r="U13" i="32"/>
  <c r="O13" i="32"/>
  <c r="M13" i="32"/>
  <c r="U12" i="32"/>
  <c r="O12" i="32"/>
  <c r="M12" i="32"/>
  <c r="U11" i="32"/>
  <c r="O11" i="32"/>
  <c r="M11" i="32"/>
  <c r="U10" i="32"/>
  <c r="O10" i="32"/>
  <c r="M10" i="32"/>
  <c r="U9" i="32"/>
  <c r="O9" i="32"/>
  <c r="M9" i="32"/>
  <c r="U8" i="32"/>
  <c r="O8" i="32"/>
  <c r="M8" i="32"/>
  <c r="U7" i="32"/>
  <c r="O7" i="32"/>
  <c r="M7" i="32"/>
  <c r="U6" i="32"/>
  <c r="O6" i="32"/>
  <c r="M6" i="32"/>
  <c r="U5" i="32"/>
  <c r="O5" i="32"/>
  <c r="M5" i="32"/>
  <c r="U4" i="32"/>
  <c r="O4" i="32"/>
  <c r="M4" i="32"/>
  <c r="K9" i="32"/>
  <c r="V28" i="32"/>
  <c r="U84" i="31"/>
  <c r="O84" i="31"/>
  <c r="M84" i="31"/>
  <c r="U83" i="31"/>
  <c r="O83" i="31"/>
  <c r="M83" i="31"/>
  <c r="U82" i="31"/>
  <c r="O82" i="31"/>
  <c r="M82" i="31"/>
  <c r="U81" i="31"/>
  <c r="O81" i="31"/>
  <c r="M81" i="31"/>
  <c r="U80" i="31"/>
  <c r="O80" i="31"/>
  <c r="M80" i="31"/>
  <c r="U79" i="31"/>
  <c r="O79" i="31"/>
  <c r="M79" i="31"/>
  <c r="U78" i="31"/>
  <c r="O78" i="31"/>
  <c r="M78" i="31"/>
  <c r="U77" i="31"/>
  <c r="O77" i="31"/>
  <c r="M77" i="31"/>
  <c r="U76" i="31"/>
  <c r="O76" i="31"/>
  <c r="M76" i="31"/>
  <c r="U75" i="31"/>
  <c r="O75" i="31"/>
  <c r="M75" i="31"/>
  <c r="U74" i="31"/>
  <c r="O74" i="31"/>
  <c r="M74" i="31"/>
  <c r="U73" i="31"/>
  <c r="O73" i="31"/>
  <c r="M73" i="31"/>
  <c r="U72" i="31"/>
  <c r="O72" i="31"/>
  <c r="M72" i="31"/>
  <c r="U71" i="31"/>
  <c r="O71" i="31"/>
  <c r="M71" i="31"/>
  <c r="U70" i="31"/>
  <c r="O70" i="31"/>
  <c r="M70" i="31"/>
  <c r="U69" i="31"/>
  <c r="O69" i="31"/>
  <c r="M69" i="31"/>
  <c r="U68" i="31"/>
  <c r="O68" i="31"/>
  <c r="M68" i="31"/>
  <c r="U67" i="31"/>
  <c r="O67" i="31"/>
  <c r="M67" i="31"/>
  <c r="U66" i="31"/>
  <c r="O66" i="31"/>
  <c r="M66" i="31"/>
  <c r="U65" i="31"/>
  <c r="O65" i="31"/>
  <c r="M65" i="31"/>
  <c r="U64" i="31"/>
  <c r="O64" i="31"/>
  <c r="M64" i="31"/>
  <c r="U63" i="31"/>
  <c r="O63" i="31"/>
  <c r="M63" i="31"/>
  <c r="U62" i="31"/>
  <c r="O62" i="31"/>
  <c r="M62" i="31"/>
  <c r="U61" i="31"/>
  <c r="O61" i="31"/>
  <c r="M61" i="31"/>
  <c r="U60" i="31"/>
  <c r="O60" i="31"/>
  <c r="M60" i="31"/>
  <c r="U59" i="31"/>
  <c r="O59" i="31"/>
  <c r="M59" i="31"/>
  <c r="U58" i="31"/>
  <c r="O58" i="31"/>
  <c r="M58" i="31"/>
  <c r="U57" i="31"/>
  <c r="O57" i="31"/>
  <c r="M57" i="31"/>
  <c r="U56" i="31"/>
  <c r="O56" i="31"/>
  <c r="M56" i="31"/>
  <c r="U55" i="31"/>
  <c r="O55" i="31"/>
  <c r="M55" i="31"/>
  <c r="U54" i="31"/>
  <c r="O54" i="31"/>
  <c r="M54" i="31"/>
  <c r="U53" i="31"/>
  <c r="O53" i="31"/>
  <c r="M53" i="31"/>
  <c r="U52" i="31"/>
  <c r="O52" i="31"/>
  <c r="M52" i="31"/>
  <c r="U51" i="31"/>
  <c r="O51" i="31"/>
  <c r="M51" i="31"/>
  <c r="U50" i="31"/>
  <c r="O50" i="31"/>
  <c r="M50" i="31"/>
  <c r="U49" i="31"/>
  <c r="O49" i="31"/>
  <c r="M49" i="31"/>
  <c r="U48" i="31"/>
  <c r="O48" i="31"/>
  <c r="M48" i="31"/>
  <c r="U47" i="31"/>
  <c r="O47" i="31"/>
  <c r="M47" i="31"/>
  <c r="U46" i="31"/>
  <c r="O46" i="31"/>
  <c r="M46" i="31"/>
  <c r="U45" i="31"/>
  <c r="O45" i="31"/>
  <c r="M45" i="31"/>
  <c r="U44" i="31"/>
  <c r="O44" i="31"/>
  <c r="M44" i="31"/>
  <c r="U43" i="31"/>
  <c r="O43" i="31"/>
  <c r="M43" i="31"/>
  <c r="U42" i="31"/>
  <c r="O42" i="31"/>
  <c r="M42" i="31"/>
  <c r="U41" i="31"/>
  <c r="O41" i="31"/>
  <c r="M41" i="31"/>
  <c r="U40" i="31"/>
  <c r="O40" i="31"/>
  <c r="M40" i="31"/>
  <c r="U39" i="31"/>
  <c r="O39" i="31"/>
  <c r="M39" i="31"/>
  <c r="U38" i="31"/>
  <c r="O38" i="31"/>
  <c r="M38" i="31"/>
  <c r="U37" i="31"/>
  <c r="O37" i="31"/>
  <c r="M37" i="31"/>
  <c r="U36" i="31"/>
  <c r="O36" i="31"/>
  <c r="M36" i="31"/>
  <c r="U35" i="31"/>
  <c r="O35" i="31"/>
  <c r="M35" i="31"/>
  <c r="U34" i="31"/>
  <c r="O34" i="31"/>
  <c r="M34" i="31"/>
  <c r="U33" i="31"/>
  <c r="O33" i="31"/>
  <c r="M33" i="31"/>
  <c r="U32" i="31"/>
  <c r="O32" i="31"/>
  <c r="M32" i="31"/>
  <c r="U31" i="31"/>
  <c r="O31" i="31"/>
  <c r="M31" i="31"/>
  <c r="U30" i="31"/>
  <c r="O30" i="31"/>
  <c r="M30" i="31"/>
  <c r="U29" i="31"/>
  <c r="O29" i="31"/>
  <c r="M29" i="31"/>
  <c r="U28" i="31"/>
  <c r="O28" i="31"/>
  <c r="M28" i="31"/>
  <c r="U27" i="31"/>
  <c r="O27" i="31"/>
  <c r="M27" i="31"/>
  <c r="U26" i="31"/>
  <c r="O26" i="31"/>
  <c r="M26" i="31"/>
  <c r="U25" i="31"/>
  <c r="O25" i="31"/>
  <c r="M25" i="31"/>
  <c r="U24" i="31"/>
  <c r="O24" i="31"/>
  <c r="M24" i="31"/>
  <c r="U23" i="31"/>
  <c r="O23" i="31"/>
  <c r="M23" i="31"/>
  <c r="U22" i="31"/>
  <c r="O22" i="31"/>
  <c r="M22" i="31"/>
  <c r="U21" i="31"/>
  <c r="O21" i="31"/>
  <c r="M21" i="31"/>
  <c r="U20" i="31"/>
  <c r="O20" i="31"/>
  <c r="M20" i="31"/>
  <c r="U19" i="31"/>
  <c r="O19" i="31"/>
  <c r="M19" i="31"/>
  <c r="U18" i="31"/>
  <c r="O18" i="31"/>
  <c r="M18" i="31"/>
  <c r="U17" i="31"/>
  <c r="O17" i="31"/>
  <c r="M17" i="31"/>
  <c r="U16" i="31"/>
  <c r="O16" i="31"/>
  <c r="M16" i="31"/>
  <c r="U15" i="31"/>
  <c r="O15" i="31"/>
  <c r="M15" i="31"/>
  <c r="U14" i="31"/>
  <c r="O14" i="31"/>
  <c r="M14" i="31"/>
  <c r="U13" i="31"/>
  <c r="O13" i="31"/>
  <c r="M13" i="31"/>
  <c r="U12" i="31"/>
  <c r="O12" i="31"/>
  <c r="M12" i="31"/>
  <c r="U11" i="31"/>
  <c r="O11" i="31"/>
  <c r="M11" i="31"/>
  <c r="U10" i="31"/>
  <c r="O10" i="31"/>
  <c r="M10" i="31"/>
  <c r="U9" i="31"/>
  <c r="O9" i="31"/>
  <c r="M9" i="31"/>
  <c r="U8" i="31"/>
  <c r="O8" i="31"/>
  <c r="M8" i="31"/>
  <c r="U7" i="31"/>
  <c r="O7" i="31"/>
  <c r="M7" i="31"/>
  <c r="U6" i="31"/>
  <c r="O6" i="31"/>
  <c r="M6" i="31"/>
  <c r="U5" i="31"/>
  <c r="O5" i="31"/>
  <c r="M5" i="31"/>
  <c r="U4" i="31"/>
  <c r="O4" i="31"/>
  <c r="M4" i="31"/>
  <c r="K9" i="31"/>
  <c r="V20" i="31"/>
  <c r="U84" i="30"/>
  <c r="M84" i="30"/>
  <c r="U83" i="30"/>
  <c r="M83" i="30"/>
  <c r="U82" i="30"/>
  <c r="M82" i="30"/>
  <c r="U81" i="30"/>
  <c r="M81" i="30"/>
  <c r="U80" i="30"/>
  <c r="M80" i="30"/>
  <c r="U79" i="30"/>
  <c r="M79" i="30"/>
  <c r="U78" i="30"/>
  <c r="M78" i="30"/>
  <c r="U77" i="30"/>
  <c r="M77" i="30"/>
  <c r="U76" i="30"/>
  <c r="M76" i="30"/>
  <c r="U75" i="30"/>
  <c r="M75" i="30"/>
  <c r="U74" i="30"/>
  <c r="M74" i="30"/>
  <c r="U73" i="30"/>
  <c r="M73" i="30"/>
  <c r="U72" i="30"/>
  <c r="M72" i="30"/>
  <c r="U71" i="30"/>
  <c r="M71" i="30"/>
  <c r="U70" i="30"/>
  <c r="M70" i="30"/>
  <c r="U69" i="30"/>
  <c r="M69" i="30"/>
  <c r="U68" i="30"/>
  <c r="M68" i="30"/>
  <c r="U67" i="30"/>
  <c r="M67" i="30"/>
  <c r="U66" i="30"/>
  <c r="M66" i="30"/>
  <c r="U65" i="30"/>
  <c r="M65" i="30"/>
  <c r="U64" i="30"/>
  <c r="M64" i="30"/>
  <c r="U63" i="30"/>
  <c r="M63" i="30"/>
  <c r="U62" i="30"/>
  <c r="M62" i="30"/>
  <c r="U61" i="30"/>
  <c r="M61" i="30"/>
  <c r="U60" i="30"/>
  <c r="M60" i="30"/>
  <c r="U59" i="30"/>
  <c r="M59" i="30"/>
  <c r="U58" i="30"/>
  <c r="M58" i="30"/>
  <c r="U57" i="30"/>
  <c r="M57" i="30"/>
  <c r="U56" i="30"/>
  <c r="M56" i="30"/>
  <c r="U55" i="30"/>
  <c r="M55" i="30"/>
  <c r="U54" i="30"/>
  <c r="M54" i="30"/>
  <c r="U53" i="30"/>
  <c r="M53" i="30"/>
  <c r="U52" i="30"/>
  <c r="M52" i="30"/>
  <c r="U51" i="30"/>
  <c r="M51" i="30"/>
  <c r="U50" i="30"/>
  <c r="M50" i="30"/>
  <c r="U49" i="30"/>
  <c r="M49" i="30"/>
  <c r="U48" i="30"/>
  <c r="M48" i="30"/>
  <c r="U47" i="30"/>
  <c r="M47" i="30"/>
  <c r="U46" i="30"/>
  <c r="M46" i="30"/>
  <c r="U45" i="30"/>
  <c r="M45" i="30"/>
  <c r="U44" i="30"/>
  <c r="M44" i="30"/>
  <c r="U43" i="30"/>
  <c r="M43" i="30"/>
  <c r="U42" i="30"/>
  <c r="M42" i="30"/>
  <c r="U41" i="30"/>
  <c r="M41" i="30"/>
  <c r="U40" i="30"/>
  <c r="M40" i="30"/>
  <c r="U39" i="30"/>
  <c r="M39" i="30"/>
  <c r="U38" i="30"/>
  <c r="M38" i="30"/>
  <c r="U37" i="30"/>
  <c r="M37" i="30"/>
  <c r="U36" i="30"/>
  <c r="M36" i="30"/>
  <c r="U35" i="30"/>
  <c r="M35" i="30"/>
  <c r="U34" i="30"/>
  <c r="M34" i="30"/>
  <c r="U33" i="30"/>
  <c r="M33" i="30"/>
  <c r="U32" i="30"/>
  <c r="M32" i="30"/>
  <c r="U31" i="30"/>
  <c r="M31" i="30"/>
  <c r="U30" i="30"/>
  <c r="M30" i="30"/>
  <c r="U29" i="30"/>
  <c r="M29" i="30"/>
  <c r="U28" i="30"/>
  <c r="M28" i="30"/>
  <c r="U27" i="30"/>
  <c r="M27" i="30"/>
  <c r="U26" i="30"/>
  <c r="M26" i="30"/>
  <c r="U25" i="30"/>
  <c r="M25" i="30"/>
  <c r="U24" i="30"/>
  <c r="M24" i="30"/>
  <c r="U23" i="30"/>
  <c r="M23" i="30"/>
  <c r="U22" i="30"/>
  <c r="M22" i="30"/>
  <c r="U21" i="30"/>
  <c r="M21" i="30"/>
  <c r="U20" i="30"/>
  <c r="M20" i="30"/>
  <c r="U19" i="30"/>
  <c r="M19" i="30"/>
  <c r="U18" i="30"/>
  <c r="M18" i="30"/>
  <c r="U17" i="30"/>
  <c r="M17" i="30"/>
  <c r="U16" i="30"/>
  <c r="M16" i="30"/>
  <c r="U15" i="30"/>
  <c r="M15" i="30"/>
  <c r="U14" i="30"/>
  <c r="M14" i="30"/>
  <c r="U13" i="30"/>
  <c r="M13" i="30"/>
  <c r="U12" i="30"/>
  <c r="M12" i="30"/>
  <c r="U11" i="30"/>
  <c r="M11" i="30"/>
  <c r="U10" i="30"/>
  <c r="M10" i="30"/>
  <c r="U9" i="30"/>
  <c r="M9" i="30"/>
  <c r="U8" i="30"/>
  <c r="M8" i="30"/>
  <c r="U7" i="30"/>
  <c r="M7" i="30"/>
  <c r="U6" i="30"/>
  <c r="M6" i="30"/>
  <c r="U5" i="30"/>
  <c r="M5" i="30"/>
  <c r="U4" i="30"/>
  <c r="M4" i="30"/>
  <c r="V22" i="30"/>
  <c r="O85" i="36" l="1"/>
  <c r="P4" i="36" s="1"/>
  <c r="C124" i="33"/>
  <c r="V4" i="31"/>
  <c r="V5" i="31"/>
  <c r="V10" i="31"/>
  <c r="V11" i="31"/>
  <c r="V28" i="31"/>
  <c r="V29" i="31"/>
  <c r="V30" i="31"/>
  <c r="V15" i="31"/>
  <c r="V16" i="31"/>
  <c r="V22" i="31"/>
  <c r="V38" i="31"/>
  <c r="V15" i="30"/>
  <c r="V14" i="30"/>
  <c r="V26" i="30"/>
  <c r="V5" i="30"/>
  <c r="V23" i="30"/>
  <c r="F6" i="33"/>
  <c r="V20" i="32"/>
  <c r="V6" i="32"/>
  <c r="V7" i="32"/>
  <c r="V12" i="32"/>
  <c r="V16" i="32"/>
  <c r="F18" i="33"/>
  <c r="E18" i="33" s="1"/>
  <c r="V8" i="36"/>
  <c r="V9" i="36"/>
  <c r="V18" i="36"/>
  <c r="V6" i="36"/>
  <c r="V15" i="36"/>
  <c r="V5" i="36"/>
  <c r="V11" i="36"/>
  <c r="V14" i="36"/>
  <c r="V81" i="36"/>
  <c r="V77" i="36"/>
  <c r="V73" i="36"/>
  <c r="V69" i="36"/>
  <c r="V82" i="36"/>
  <c r="V78" i="36"/>
  <c r="V74" i="36"/>
  <c r="V70" i="36"/>
  <c r="V66" i="36"/>
  <c r="V84" i="36"/>
  <c r="V80" i="36"/>
  <c r="V76" i="36"/>
  <c r="V72" i="36"/>
  <c r="V68" i="36"/>
  <c r="V75" i="36"/>
  <c r="V64" i="36"/>
  <c r="V59" i="36"/>
  <c r="V55" i="36"/>
  <c r="V51" i="36"/>
  <c r="V47" i="36"/>
  <c r="V71" i="36"/>
  <c r="V65" i="36"/>
  <c r="V60" i="36"/>
  <c r="V56" i="36"/>
  <c r="V52" i="36"/>
  <c r="V48" i="36"/>
  <c r="V44" i="36"/>
  <c r="V40" i="36"/>
  <c r="V36" i="36"/>
  <c r="V32" i="36"/>
  <c r="V83" i="36"/>
  <c r="V79" i="36"/>
  <c r="V67" i="36"/>
  <c r="V61" i="36"/>
  <c r="V57" i="36"/>
  <c r="V53" i="36"/>
  <c r="V49" i="36"/>
  <c r="V63" i="36"/>
  <c r="V62" i="36"/>
  <c r="V58" i="36"/>
  <c r="V54" i="36"/>
  <c r="V41" i="36"/>
  <c r="V35" i="36"/>
  <c r="V42" i="36"/>
  <c r="V37" i="36"/>
  <c r="V46" i="36"/>
  <c r="V43" i="36"/>
  <c r="V38" i="36"/>
  <c r="V33" i="36"/>
  <c r="V30" i="36"/>
  <c r="V26" i="36"/>
  <c r="V22" i="36"/>
  <c r="V50" i="36"/>
  <c r="V45" i="36"/>
  <c r="V39" i="36"/>
  <c r="V34" i="36"/>
  <c r="V31" i="36"/>
  <c r="V29" i="36"/>
  <c r="V24" i="36"/>
  <c r="V21" i="36"/>
  <c r="V17" i="36"/>
  <c r="V13" i="36"/>
  <c r="V25" i="36"/>
  <c r="V27" i="36"/>
  <c r="V19" i="36"/>
  <c r="V28" i="36"/>
  <c r="V23" i="36"/>
  <c r="V20" i="36"/>
  <c r="V16" i="36"/>
  <c r="V12" i="36"/>
  <c r="V7" i="36"/>
  <c r="V10" i="36"/>
  <c r="F9" i="33"/>
  <c r="E9" i="33" s="1"/>
  <c r="F7" i="33"/>
  <c r="V24" i="32"/>
  <c r="V36" i="32"/>
  <c r="V40" i="32"/>
  <c r="V4" i="32"/>
  <c r="V5" i="32"/>
  <c r="V11" i="32"/>
  <c r="V15" i="32"/>
  <c r="V19" i="32"/>
  <c r="V23" i="32"/>
  <c r="V25" i="32"/>
  <c r="V81" i="32"/>
  <c r="V77" i="32"/>
  <c r="V73" i="32"/>
  <c r="V69" i="32"/>
  <c r="V65" i="32"/>
  <c r="V82" i="32"/>
  <c r="V78" i="32"/>
  <c r="V74" i="32"/>
  <c r="V70" i="32"/>
  <c r="V66" i="32"/>
  <c r="V83" i="32"/>
  <c r="V79" i="32"/>
  <c r="V75" i="32"/>
  <c r="V71" i="32"/>
  <c r="V67" i="32"/>
  <c r="V63" i="32"/>
  <c r="V84" i="32"/>
  <c r="V80" i="32"/>
  <c r="V76" i="32"/>
  <c r="V72" i="32"/>
  <c r="V62" i="32"/>
  <c r="V58" i="32"/>
  <c r="V54" i="32"/>
  <c r="V50" i="32"/>
  <c r="V46" i="32"/>
  <c r="V59" i="32"/>
  <c r="V55" i="32"/>
  <c r="V51" i="32"/>
  <c r="V47" i="32"/>
  <c r="V64" i="32"/>
  <c r="V60" i="32"/>
  <c r="V56" i="32"/>
  <c r="V52" i="32"/>
  <c r="V48" i="32"/>
  <c r="V68" i="32"/>
  <c r="V61" i="32"/>
  <c r="V45" i="32"/>
  <c r="V41" i="32"/>
  <c r="V37" i="32"/>
  <c r="V33" i="32"/>
  <c r="V29" i="32"/>
  <c r="V42" i="32"/>
  <c r="V38" i="32"/>
  <c r="V34" i="32"/>
  <c r="V30" i="32"/>
  <c r="V26" i="32"/>
  <c r="V43" i="32"/>
  <c r="V39" i="32"/>
  <c r="V35" i="32"/>
  <c r="V31" i="32"/>
  <c r="V27" i="32"/>
  <c r="V57" i="32"/>
  <c r="V53" i="32"/>
  <c r="V49" i="32"/>
  <c r="V44" i="32"/>
  <c r="O85" i="32"/>
  <c r="V10" i="32"/>
  <c r="V14" i="32"/>
  <c r="V18" i="32"/>
  <c r="V22" i="32"/>
  <c r="V8" i="32"/>
  <c r="V9" i="32"/>
  <c r="V13" i="32"/>
  <c r="V17" i="32"/>
  <c r="V21" i="32"/>
  <c r="V32" i="32"/>
  <c r="V26" i="31"/>
  <c r="V81" i="31"/>
  <c r="V77" i="31"/>
  <c r="V73" i="31"/>
  <c r="V69" i="31"/>
  <c r="V65" i="31"/>
  <c r="V84" i="31"/>
  <c r="V79" i="31"/>
  <c r="V74" i="31"/>
  <c r="V80" i="31"/>
  <c r="V75" i="31"/>
  <c r="V70" i="31"/>
  <c r="V64" i="31"/>
  <c r="V59" i="31"/>
  <c r="V83" i="31"/>
  <c r="V62" i="31"/>
  <c r="V57" i="31"/>
  <c r="V54" i="31"/>
  <c r="V50" i="31"/>
  <c r="V46" i="31"/>
  <c r="V42" i="31"/>
  <c r="V82" i="31"/>
  <c r="V78" i="31"/>
  <c r="V76" i="31"/>
  <c r="V68" i="31"/>
  <c r="V67" i="31"/>
  <c r="V66" i="31"/>
  <c r="V58" i="31"/>
  <c r="V55" i="31"/>
  <c r="V51" i="31"/>
  <c r="V47" i="31"/>
  <c r="V43" i="31"/>
  <c r="V39" i="31"/>
  <c r="V35" i="31"/>
  <c r="V31" i="31"/>
  <c r="V27" i="31"/>
  <c r="V71" i="31"/>
  <c r="V49" i="31"/>
  <c r="V37" i="31"/>
  <c r="V32" i="31"/>
  <c r="V25" i="31"/>
  <c r="V21" i="31"/>
  <c r="V17" i="31"/>
  <c r="V13" i="31"/>
  <c r="V9" i="31"/>
  <c r="V8" i="31"/>
  <c r="V61" i="31"/>
  <c r="V52" i="31"/>
  <c r="V44" i="31"/>
  <c r="V6" i="31"/>
  <c r="V14" i="31"/>
  <c r="V19" i="31"/>
  <c r="V24" i="31"/>
  <c r="V34" i="31"/>
  <c r="O85" i="31"/>
  <c r="V33" i="31"/>
  <c r="V40" i="31"/>
  <c r="V41" i="31"/>
  <c r="V48" i="31"/>
  <c r="V56" i="31"/>
  <c r="V72" i="31"/>
  <c r="V7" i="31"/>
  <c r="V12" i="31"/>
  <c r="V18" i="31"/>
  <c r="V23" i="31"/>
  <c r="V36" i="31"/>
  <c r="V45" i="31"/>
  <c r="V53" i="31"/>
  <c r="V60" i="31"/>
  <c r="V63" i="31"/>
  <c r="V11" i="30"/>
  <c r="V19" i="30"/>
  <c r="V30" i="30"/>
  <c r="V81" i="30"/>
  <c r="V77" i="30"/>
  <c r="V73" i="30"/>
  <c r="V69" i="30"/>
  <c r="V82" i="30"/>
  <c r="V78" i="30"/>
  <c r="V74" i="30"/>
  <c r="V70" i="30"/>
  <c r="V66" i="30"/>
  <c r="V83" i="30"/>
  <c r="V79" i="30"/>
  <c r="V75" i="30"/>
  <c r="V71" i="30"/>
  <c r="V67" i="30"/>
  <c r="V63" i="30"/>
  <c r="V84" i="30"/>
  <c r="V80" i="30"/>
  <c r="V62" i="30"/>
  <c r="V64" i="30"/>
  <c r="V59" i="30"/>
  <c r="V55" i="30"/>
  <c r="V51" i="30"/>
  <c r="V76" i="30"/>
  <c r="V72" i="30"/>
  <c r="V68" i="30"/>
  <c r="V61" i="30"/>
  <c r="V57" i="30"/>
  <c r="V53" i="30"/>
  <c r="V49" i="30"/>
  <c r="V54" i="30"/>
  <c r="V45" i="30"/>
  <c r="V41" i="30"/>
  <c r="V37" i="30"/>
  <c r="V56" i="30"/>
  <c r="V48" i="30"/>
  <c r="V46" i="30"/>
  <c r="V42" i="30"/>
  <c r="V38" i="30"/>
  <c r="V65" i="30"/>
  <c r="V50" i="30"/>
  <c r="V40" i="30"/>
  <c r="V32" i="30"/>
  <c r="V28" i="30"/>
  <c r="V24" i="30"/>
  <c r="V20" i="30"/>
  <c r="V16" i="30"/>
  <c r="V12" i="30"/>
  <c r="V7" i="30"/>
  <c r="V6" i="30"/>
  <c r="V35" i="30"/>
  <c r="V58" i="30"/>
  <c r="V43" i="30"/>
  <c r="V34" i="30"/>
  <c r="V33" i="30"/>
  <c r="V29" i="30"/>
  <c r="V25" i="30"/>
  <c r="V21" i="30"/>
  <c r="V17" i="30"/>
  <c r="V13" i="30"/>
  <c r="V9" i="30"/>
  <c r="V8" i="30"/>
  <c r="V60" i="30"/>
  <c r="V44" i="30"/>
  <c r="V52" i="30"/>
  <c r="V47" i="30"/>
  <c r="V39" i="30"/>
  <c r="V36" i="30"/>
  <c r="V31" i="30"/>
  <c r="V27" i="30"/>
  <c r="V4" i="30"/>
  <c r="V10" i="30"/>
  <c r="V18" i="30"/>
  <c r="D116" i="18"/>
  <c r="E116" i="18"/>
  <c r="F116" i="18"/>
  <c r="G116" i="18"/>
  <c r="C116" i="18"/>
  <c r="C177" i="18" s="1"/>
  <c r="K18" i="23" l="1"/>
  <c r="K20" i="23"/>
  <c r="K21" i="23"/>
  <c r="K22" i="23"/>
  <c r="K19" i="23"/>
  <c r="K7" i="36"/>
  <c r="E8" i="42"/>
  <c r="C124" i="42" s="1"/>
  <c r="E6" i="33"/>
  <c r="C122" i="33" s="1"/>
  <c r="E7" i="33"/>
  <c r="C123" i="33" s="1"/>
  <c r="C116" i="41"/>
  <c r="C177" i="41" s="1"/>
  <c r="C116" i="47"/>
  <c r="C177" i="47" s="1"/>
  <c r="F116" i="47"/>
  <c r="F116" i="41"/>
  <c r="G116" i="47"/>
  <c r="G116" i="41"/>
  <c r="E116" i="47"/>
  <c r="E116" i="41"/>
  <c r="D116" i="47"/>
  <c r="D116" i="41"/>
  <c r="C125" i="33"/>
  <c r="F116" i="42"/>
  <c r="F116" i="33"/>
  <c r="G116" i="42"/>
  <c r="G116" i="33"/>
  <c r="E116" i="33"/>
  <c r="E116" i="42"/>
  <c r="C116" i="42"/>
  <c r="C177" i="42" s="1"/>
  <c r="C116" i="33"/>
  <c r="C177" i="33" s="1"/>
  <c r="D116" i="33"/>
  <c r="D116" i="42"/>
  <c r="D27" i="7" l="1"/>
  <c r="E21" i="25"/>
  <c r="F21" i="18"/>
  <c r="E16" i="25" s="1"/>
  <c r="F22" i="18"/>
  <c r="E18" i="25" s="1"/>
  <c r="F12" i="41" l="1"/>
  <c r="E12" i="41" s="1"/>
  <c r="C128" i="41" s="1"/>
  <c r="F12" i="47"/>
  <c r="E12" i="47" s="1"/>
  <c r="C128" i="47" s="1"/>
  <c r="F22" i="41"/>
  <c r="F22" i="47"/>
  <c r="F20" i="47"/>
  <c r="F20" i="41"/>
  <c r="F11" i="41"/>
  <c r="F11" i="47"/>
  <c r="F21" i="47"/>
  <c r="F21" i="41"/>
  <c r="F23" i="41"/>
  <c r="F23" i="47"/>
  <c r="E9" i="18"/>
  <c r="C125" i="18" s="1"/>
  <c r="F22" i="42"/>
  <c r="F23" i="42"/>
  <c r="F20" i="42"/>
  <c r="F12" i="42"/>
  <c r="F11" i="42"/>
  <c r="F21" i="42"/>
  <c r="E23" i="18"/>
  <c r="C142" i="18" s="1"/>
  <c r="F23" i="33"/>
  <c r="E22" i="18"/>
  <c r="C141" i="18" s="1"/>
  <c r="F22" i="33"/>
  <c r="E20" i="18"/>
  <c r="C139" i="18" s="1"/>
  <c r="F20" i="33"/>
  <c r="E12" i="18"/>
  <c r="C128" i="18" s="1"/>
  <c r="F12" i="33"/>
  <c r="E21" i="18"/>
  <c r="C140" i="18" s="1"/>
  <c r="F21" i="33"/>
  <c r="E11" i="18"/>
  <c r="C127" i="18" s="1"/>
  <c r="F11" i="33"/>
  <c r="E7" i="18"/>
  <c r="C123" i="18" s="1"/>
  <c r="E12" i="42" l="1"/>
  <c r="C128" i="42" s="1"/>
  <c r="E12" i="33"/>
  <c r="C128" i="33" s="1"/>
  <c r="E20" i="33"/>
  <c r="C139" i="33" s="1"/>
  <c r="E11" i="41"/>
  <c r="C127" i="41" s="1"/>
  <c r="E22" i="33"/>
  <c r="C141" i="33" s="1"/>
  <c r="E23" i="41"/>
  <c r="C142" i="41" s="1"/>
  <c r="E20" i="41"/>
  <c r="C139" i="41" s="1"/>
  <c r="E20" i="47"/>
  <c r="C139" i="47" s="1"/>
  <c r="E11" i="42"/>
  <c r="C127" i="42" s="1"/>
  <c r="E23" i="47"/>
  <c r="C142" i="47" s="1"/>
  <c r="E20" i="42"/>
  <c r="C139" i="42" s="1"/>
  <c r="E21" i="33"/>
  <c r="C140" i="33" s="1"/>
  <c r="E23" i="42"/>
  <c r="C142" i="42" s="1"/>
  <c r="E21" i="41"/>
  <c r="C140" i="41" s="1"/>
  <c r="E22" i="42"/>
  <c r="C141" i="42" s="1"/>
  <c r="E21" i="47"/>
  <c r="C140" i="47" s="1"/>
  <c r="E22" i="47"/>
  <c r="C141" i="47" s="1"/>
  <c r="E21" i="42"/>
  <c r="C140" i="42" s="1"/>
  <c r="E11" i="33"/>
  <c r="C127" i="33" s="1"/>
  <c r="E22" i="41"/>
  <c r="C141" i="41" s="1"/>
  <c r="E23" i="33"/>
  <c r="C142" i="33" s="1"/>
  <c r="E11" i="47"/>
  <c r="C127" i="47" s="1"/>
  <c r="U84" i="26" l="1"/>
  <c r="O84" i="26"/>
  <c r="M84" i="26"/>
  <c r="U83" i="26"/>
  <c r="O83" i="26"/>
  <c r="M83" i="26"/>
  <c r="U82" i="26"/>
  <c r="O82" i="26"/>
  <c r="M82" i="26"/>
  <c r="U81" i="26"/>
  <c r="O81" i="26"/>
  <c r="M81" i="26"/>
  <c r="U80" i="26"/>
  <c r="O80" i="26"/>
  <c r="M80" i="26"/>
  <c r="U79" i="26"/>
  <c r="O79" i="26"/>
  <c r="M79" i="26"/>
  <c r="U78" i="26"/>
  <c r="O78" i="26"/>
  <c r="M78" i="26"/>
  <c r="U77" i="26"/>
  <c r="O77" i="26"/>
  <c r="M77" i="26"/>
  <c r="U76" i="26"/>
  <c r="O76" i="26"/>
  <c r="M76" i="26"/>
  <c r="U75" i="26"/>
  <c r="O75" i="26"/>
  <c r="M75" i="26"/>
  <c r="U74" i="26"/>
  <c r="O74" i="26"/>
  <c r="M74" i="26"/>
  <c r="U73" i="26"/>
  <c r="O73" i="26"/>
  <c r="M73" i="26"/>
  <c r="U72" i="26"/>
  <c r="O72" i="26"/>
  <c r="M72" i="26"/>
  <c r="U71" i="26"/>
  <c r="O71" i="26"/>
  <c r="M71" i="26"/>
  <c r="U70" i="26"/>
  <c r="O70" i="26"/>
  <c r="M70" i="26"/>
  <c r="U69" i="26"/>
  <c r="O69" i="26"/>
  <c r="M69" i="26"/>
  <c r="U68" i="26"/>
  <c r="O68" i="26"/>
  <c r="M68" i="26"/>
  <c r="U67" i="26"/>
  <c r="O67" i="26"/>
  <c r="M67" i="26"/>
  <c r="U66" i="26"/>
  <c r="O66" i="26"/>
  <c r="M66" i="26"/>
  <c r="U65" i="26"/>
  <c r="O65" i="26"/>
  <c r="M65" i="26"/>
  <c r="U64" i="26"/>
  <c r="O64" i="26"/>
  <c r="M64" i="26"/>
  <c r="U63" i="26"/>
  <c r="O63" i="26"/>
  <c r="M63" i="26"/>
  <c r="U62" i="26"/>
  <c r="O62" i="26"/>
  <c r="M62" i="26"/>
  <c r="U61" i="26"/>
  <c r="O61" i="26"/>
  <c r="M61" i="26"/>
  <c r="U60" i="26"/>
  <c r="O60" i="26"/>
  <c r="M60" i="26"/>
  <c r="U59" i="26"/>
  <c r="O59" i="26"/>
  <c r="M59" i="26"/>
  <c r="U58" i="26"/>
  <c r="O58" i="26"/>
  <c r="M58" i="26"/>
  <c r="U57" i="26"/>
  <c r="O57" i="26"/>
  <c r="M57" i="26"/>
  <c r="U56" i="26"/>
  <c r="O56" i="26"/>
  <c r="M56" i="26"/>
  <c r="U55" i="26"/>
  <c r="O55" i="26"/>
  <c r="M55" i="26"/>
  <c r="U54" i="26"/>
  <c r="O54" i="26"/>
  <c r="M54" i="26"/>
  <c r="U53" i="26"/>
  <c r="O53" i="26"/>
  <c r="M53" i="26"/>
  <c r="U52" i="26"/>
  <c r="O52" i="26"/>
  <c r="M52" i="26"/>
  <c r="U51" i="26"/>
  <c r="O51" i="26"/>
  <c r="M51" i="26"/>
  <c r="U50" i="26"/>
  <c r="O50" i="26"/>
  <c r="M50" i="26"/>
  <c r="U49" i="26"/>
  <c r="O49" i="26"/>
  <c r="M49" i="26"/>
  <c r="U48" i="26"/>
  <c r="O48" i="26"/>
  <c r="M48" i="26"/>
  <c r="U47" i="26"/>
  <c r="O47" i="26"/>
  <c r="M47" i="26"/>
  <c r="U46" i="26"/>
  <c r="O46" i="26"/>
  <c r="M46" i="26"/>
  <c r="U45" i="26"/>
  <c r="O45" i="26"/>
  <c r="M45" i="26"/>
  <c r="U44" i="26"/>
  <c r="O44" i="26"/>
  <c r="M44" i="26"/>
  <c r="U43" i="26"/>
  <c r="O43" i="26"/>
  <c r="M43" i="26"/>
  <c r="U42" i="26"/>
  <c r="O42" i="26"/>
  <c r="M42" i="26"/>
  <c r="U41" i="26"/>
  <c r="O41" i="26"/>
  <c r="M41" i="26"/>
  <c r="U40" i="26"/>
  <c r="O40" i="26"/>
  <c r="M40" i="26"/>
  <c r="U39" i="26"/>
  <c r="O39" i="26"/>
  <c r="M39" i="26"/>
  <c r="U38" i="26"/>
  <c r="O38" i="26"/>
  <c r="M38" i="26"/>
  <c r="U37" i="26"/>
  <c r="O37" i="26"/>
  <c r="M37" i="26"/>
  <c r="U36" i="26"/>
  <c r="O36" i="26"/>
  <c r="M36" i="26"/>
  <c r="U35" i="26"/>
  <c r="O35" i="26"/>
  <c r="M35" i="26"/>
  <c r="U34" i="26"/>
  <c r="O34" i="26"/>
  <c r="M34" i="26"/>
  <c r="U33" i="26"/>
  <c r="O33" i="26"/>
  <c r="M33" i="26"/>
  <c r="U32" i="26"/>
  <c r="O32" i="26"/>
  <c r="M32" i="26"/>
  <c r="U31" i="26"/>
  <c r="O31" i="26"/>
  <c r="M31" i="26"/>
  <c r="U30" i="26"/>
  <c r="O30" i="26"/>
  <c r="M30" i="26"/>
  <c r="U29" i="26"/>
  <c r="O29" i="26"/>
  <c r="M29" i="26"/>
  <c r="U28" i="26"/>
  <c r="O28" i="26"/>
  <c r="M28" i="26"/>
  <c r="U27" i="26"/>
  <c r="O27" i="26"/>
  <c r="M27" i="26"/>
  <c r="U26" i="26"/>
  <c r="O26" i="26"/>
  <c r="M26" i="26"/>
  <c r="U25" i="26"/>
  <c r="O25" i="26"/>
  <c r="M25" i="26"/>
  <c r="U24" i="26"/>
  <c r="O24" i="26"/>
  <c r="M24" i="26"/>
  <c r="U23" i="26"/>
  <c r="O23" i="26"/>
  <c r="M23" i="26"/>
  <c r="U22" i="26"/>
  <c r="O22" i="26"/>
  <c r="M22" i="26"/>
  <c r="U21" i="26"/>
  <c r="O21" i="26"/>
  <c r="M21" i="26"/>
  <c r="U20" i="26"/>
  <c r="O20" i="26"/>
  <c r="M20" i="26"/>
  <c r="U19" i="26"/>
  <c r="O19" i="26"/>
  <c r="M19" i="26"/>
  <c r="U18" i="26"/>
  <c r="O18" i="26"/>
  <c r="M18" i="26"/>
  <c r="U17" i="26"/>
  <c r="O17" i="26"/>
  <c r="M17" i="26"/>
  <c r="U16" i="26"/>
  <c r="O16" i="26"/>
  <c r="M16" i="26"/>
  <c r="U15" i="26"/>
  <c r="O15" i="26"/>
  <c r="M15" i="26"/>
  <c r="U14" i="26"/>
  <c r="O14" i="26"/>
  <c r="M14" i="26"/>
  <c r="U13" i="26"/>
  <c r="O13" i="26"/>
  <c r="M13" i="26"/>
  <c r="U12" i="26"/>
  <c r="O12" i="26"/>
  <c r="M12" i="26"/>
  <c r="U11" i="26"/>
  <c r="O11" i="26"/>
  <c r="M11" i="26"/>
  <c r="U10" i="26"/>
  <c r="O10" i="26"/>
  <c r="M10" i="26"/>
  <c r="U9" i="26"/>
  <c r="O9" i="26"/>
  <c r="M9" i="26"/>
  <c r="U8" i="26"/>
  <c r="O8" i="26"/>
  <c r="M8" i="26"/>
  <c r="U7" i="26"/>
  <c r="O7" i="26"/>
  <c r="M7" i="26"/>
  <c r="U6" i="26"/>
  <c r="O6" i="26"/>
  <c r="M6" i="26"/>
  <c r="U5" i="26"/>
  <c r="O5" i="26"/>
  <c r="M5" i="26"/>
  <c r="U4" i="26"/>
  <c r="O4" i="26"/>
  <c r="M4" i="26"/>
  <c r="N3" i="26"/>
  <c r="V26" i="26" s="1"/>
  <c r="K28" i="22"/>
  <c r="C109" i="18"/>
  <c r="G115" i="18"/>
  <c r="D115" i="18"/>
  <c r="E115" i="18"/>
  <c r="F115" i="18"/>
  <c r="C115" i="18"/>
  <c r="B36" i="34" l="1"/>
  <c r="B36" i="17"/>
  <c r="B36" i="48"/>
  <c r="B36" i="40"/>
  <c r="B36" i="39"/>
  <c r="F16" i="41"/>
  <c r="E16" i="41" s="1"/>
  <c r="C132" i="41" s="1"/>
  <c r="F16" i="47"/>
  <c r="F15" i="47"/>
  <c r="E15" i="47" s="1"/>
  <c r="C131" i="47" s="1"/>
  <c r="F15" i="41"/>
  <c r="F25" i="47"/>
  <c r="E25" i="47" s="1"/>
  <c r="C144" i="47" s="1"/>
  <c r="F25" i="41"/>
  <c r="F115" i="41"/>
  <c r="F115" i="47"/>
  <c r="C115" i="41"/>
  <c r="C115" i="47"/>
  <c r="C176" i="47" s="1"/>
  <c r="J169" i="47" s="1"/>
  <c r="D115" i="47"/>
  <c r="D115" i="41"/>
  <c r="E115" i="41"/>
  <c r="E115" i="47"/>
  <c r="G115" i="41"/>
  <c r="G115" i="47"/>
  <c r="C109" i="47"/>
  <c r="C109" i="41"/>
  <c r="E25" i="18"/>
  <c r="C144" i="18" s="1"/>
  <c r="F25" i="33"/>
  <c r="F25" i="42"/>
  <c r="F16" i="33"/>
  <c r="E16" i="18"/>
  <c r="C132" i="18" s="1"/>
  <c r="F16" i="42"/>
  <c r="F15" i="33"/>
  <c r="F15" i="42"/>
  <c r="E15" i="18"/>
  <c r="C131" i="18" s="1"/>
  <c r="C109" i="42"/>
  <c r="C109" i="33"/>
  <c r="E115" i="33"/>
  <c r="E115" i="42"/>
  <c r="D115" i="33"/>
  <c r="D115" i="42"/>
  <c r="F115" i="33"/>
  <c r="F115" i="42"/>
  <c r="C115" i="42"/>
  <c r="C176" i="42" s="1"/>
  <c r="J169" i="42" s="1"/>
  <c r="C115" i="33"/>
  <c r="C176" i="33" s="1"/>
  <c r="J169" i="33" s="1"/>
  <c r="G115" i="42"/>
  <c r="G115" i="33"/>
  <c r="C175" i="18"/>
  <c r="C176" i="18"/>
  <c r="V7" i="26"/>
  <c r="V4" i="26"/>
  <c r="O85" i="26"/>
  <c r="V22" i="26"/>
  <c r="V11" i="26"/>
  <c r="V5" i="26"/>
  <c r="V10" i="26"/>
  <c r="V12" i="26"/>
  <c r="V17" i="26"/>
  <c r="V21" i="26"/>
  <c r="V33" i="26"/>
  <c r="V37" i="26"/>
  <c r="V38" i="26"/>
  <c r="V50" i="26"/>
  <c r="V55" i="26"/>
  <c r="V81" i="26"/>
  <c r="V77" i="26"/>
  <c r="V73" i="26"/>
  <c r="V84" i="26"/>
  <c r="V80" i="26"/>
  <c r="V76" i="26"/>
  <c r="V72" i="26"/>
  <c r="V68" i="26"/>
  <c r="V64" i="26"/>
  <c r="V82" i="26"/>
  <c r="V74" i="26"/>
  <c r="V66" i="26"/>
  <c r="V61" i="26"/>
  <c r="V57" i="26"/>
  <c r="V83" i="26"/>
  <c r="V75" i="26"/>
  <c r="V67" i="26"/>
  <c r="V62" i="26"/>
  <c r="V58" i="26"/>
  <c r="V54" i="26"/>
  <c r="V79" i="26"/>
  <c r="V71" i="26"/>
  <c r="V65" i="26"/>
  <c r="V60" i="26"/>
  <c r="V56" i="26"/>
  <c r="V52" i="26"/>
  <c r="V69" i="26"/>
  <c r="V51" i="26"/>
  <c r="V47" i="26"/>
  <c r="V43" i="26"/>
  <c r="V39" i="26"/>
  <c r="V35" i="26"/>
  <c r="V70" i="26"/>
  <c r="V53" i="26"/>
  <c r="V48" i="26"/>
  <c r="V44" i="26"/>
  <c r="V40" i="26"/>
  <c r="V36" i="26"/>
  <c r="V32" i="26"/>
  <c r="V28" i="26"/>
  <c r="V24" i="26"/>
  <c r="V20" i="26"/>
  <c r="V16" i="26"/>
  <c r="V63" i="26"/>
  <c r="V59" i="26"/>
  <c r="V49" i="26"/>
  <c r="V46" i="26"/>
  <c r="V30" i="26"/>
  <c r="V14" i="26"/>
  <c r="V78" i="26"/>
  <c r="V45" i="26"/>
  <c r="V42" i="26"/>
  <c r="V34" i="26"/>
  <c r="V29" i="26"/>
  <c r="V23" i="26"/>
  <c r="V18" i="26"/>
  <c r="V13" i="26"/>
  <c r="V9" i="26"/>
  <c r="V8" i="26"/>
  <c r="V25" i="26"/>
  <c r="V19" i="26"/>
  <c r="V6" i="26"/>
  <c r="V15" i="26"/>
  <c r="V27" i="26"/>
  <c r="V31" i="26"/>
  <c r="V41" i="26"/>
  <c r="U4" i="10"/>
  <c r="U5" i="10"/>
  <c r="U6" i="10"/>
  <c r="U7" i="10"/>
  <c r="U8" i="10"/>
  <c r="U9" i="10"/>
  <c r="U10" i="10"/>
  <c r="U11" i="10"/>
  <c r="U12" i="10"/>
  <c r="U13" i="10"/>
  <c r="U14" i="10"/>
  <c r="U15" i="10"/>
  <c r="U16" i="10"/>
  <c r="U17" i="10"/>
  <c r="U18" i="10"/>
  <c r="U19" i="10"/>
  <c r="U20" i="10"/>
  <c r="U21" i="10"/>
  <c r="U22" i="10"/>
  <c r="U23" i="10"/>
  <c r="U24" i="10"/>
  <c r="U25" i="10"/>
  <c r="U26" i="10"/>
  <c r="U27" i="10"/>
  <c r="U28" i="10"/>
  <c r="U29" i="10"/>
  <c r="U30" i="10"/>
  <c r="U31" i="10"/>
  <c r="U32" i="10"/>
  <c r="U33" i="10"/>
  <c r="U34" i="10"/>
  <c r="U35" i="10"/>
  <c r="U36" i="10"/>
  <c r="U37" i="10"/>
  <c r="U38" i="10"/>
  <c r="U39" i="10"/>
  <c r="U40" i="10"/>
  <c r="U41" i="10"/>
  <c r="U42" i="10"/>
  <c r="U43" i="10"/>
  <c r="U44" i="10"/>
  <c r="U45" i="10"/>
  <c r="U46" i="10"/>
  <c r="U47" i="10"/>
  <c r="U48" i="10"/>
  <c r="U49" i="10"/>
  <c r="U50" i="10"/>
  <c r="U51" i="10"/>
  <c r="U52" i="10"/>
  <c r="U53" i="10"/>
  <c r="U54" i="10"/>
  <c r="U55" i="10"/>
  <c r="U56" i="10"/>
  <c r="U57" i="10"/>
  <c r="U58" i="10"/>
  <c r="U59" i="10"/>
  <c r="U60" i="10"/>
  <c r="U61" i="10"/>
  <c r="U62" i="10"/>
  <c r="U63" i="10"/>
  <c r="U64" i="10"/>
  <c r="U65" i="10"/>
  <c r="U66" i="10"/>
  <c r="U67" i="10"/>
  <c r="U68" i="10"/>
  <c r="U69" i="10"/>
  <c r="U70" i="10"/>
  <c r="U71" i="10"/>
  <c r="U72" i="10"/>
  <c r="U73" i="10"/>
  <c r="U74" i="10"/>
  <c r="U75" i="10"/>
  <c r="U76" i="10"/>
  <c r="U77" i="10"/>
  <c r="U78" i="10"/>
  <c r="U79" i="10"/>
  <c r="U80" i="10"/>
  <c r="U81" i="10"/>
  <c r="U82" i="10"/>
  <c r="U83" i="10"/>
  <c r="U84" i="10"/>
  <c r="O5" i="10"/>
  <c r="O6" i="10"/>
  <c r="O7" i="10"/>
  <c r="O8" i="10"/>
  <c r="O9" i="10"/>
  <c r="O10" i="10"/>
  <c r="O11" i="10"/>
  <c r="O12" i="10"/>
  <c r="O13" i="10"/>
  <c r="O14" i="10"/>
  <c r="O15" i="10"/>
  <c r="O16" i="10"/>
  <c r="O17" i="10"/>
  <c r="O18" i="10"/>
  <c r="O19" i="10"/>
  <c r="O20" i="10"/>
  <c r="O21"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4" i="10"/>
  <c r="F6" i="42"/>
  <c r="E6" i="42" s="1"/>
  <c r="F11" i="48" a="1"/>
  <c r="F11" i="48" s="1"/>
  <c r="G11" i="48" a="1"/>
  <c r="G11" i="48" s="1"/>
  <c r="D11" i="40" a="1"/>
  <c r="D11" i="40" s="1"/>
  <c r="E11" i="40" a="1"/>
  <c r="E11" i="40" s="1"/>
  <c r="F11" i="40" a="1"/>
  <c r="F11" i="40" s="1"/>
  <c r="G11" i="40" a="1"/>
  <c r="G11" i="40" s="1"/>
  <c r="C11" i="34" a="1"/>
  <c r="C11" i="34" s="1"/>
  <c r="D111" i="18"/>
  <c r="E111" i="18"/>
  <c r="F111" i="18"/>
  <c r="G111" i="18"/>
  <c r="G118" i="18"/>
  <c r="E118" i="18"/>
  <c r="F118" i="18"/>
  <c r="D110" i="18"/>
  <c r="E110" i="18"/>
  <c r="F110" i="18"/>
  <c r="G110" i="18"/>
  <c r="C110" i="18"/>
  <c r="E18" i="10" s="1"/>
  <c r="D109" i="18"/>
  <c r="E109" i="18"/>
  <c r="F109" i="18"/>
  <c r="G109" i="18"/>
  <c r="M5" i="10"/>
  <c r="M6" i="10"/>
  <c r="M7" i="10"/>
  <c r="M8" i="10"/>
  <c r="M9" i="10"/>
  <c r="M10" i="10"/>
  <c r="M11" i="10"/>
  <c r="M12" i="10"/>
  <c r="M13"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4" i="10"/>
  <c r="F18" i="18" l="1"/>
  <c r="P4" i="26"/>
  <c r="K7" i="26"/>
  <c r="K9" i="10"/>
  <c r="J169" i="18"/>
  <c r="B191" i="18" s="1"/>
  <c r="C176" i="41"/>
  <c r="J169" i="41" s="1"/>
  <c r="B191" i="41" s="1"/>
  <c r="E4" i="10"/>
  <c r="E9" i="10"/>
  <c r="E17" i="10"/>
  <c r="E25" i="10"/>
  <c r="E33" i="10"/>
  <c r="E41" i="10"/>
  <c r="E49" i="10"/>
  <c r="E57" i="10"/>
  <c r="E65" i="10"/>
  <c r="E73" i="10"/>
  <c r="E81" i="10"/>
  <c r="E34" i="10"/>
  <c r="E66" i="10"/>
  <c r="E35" i="10"/>
  <c r="E67" i="10"/>
  <c r="E12" i="10"/>
  <c r="E20" i="10"/>
  <c r="E28" i="10"/>
  <c r="E36" i="10"/>
  <c r="E44" i="10"/>
  <c r="E52" i="10"/>
  <c r="E60" i="10"/>
  <c r="E68" i="10"/>
  <c r="E76" i="10"/>
  <c r="E84" i="10"/>
  <c r="E54" i="10"/>
  <c r="E78" i="10"/>
  <c r="E24" i="10"/>
  <c r="E48" i="10"/>
  <c r="E80" i="10"/>
  <c r="E26" i="10"/>
  <c r="E50" i="10"/>
  <c r="E82" i="10"/>
  <c r="E19" i="10"/>
  <c r="E59" i="10"/>
  <c r="E5" i="10"/>
  <c r="E13" i="10"/>
  <c r="E21" i="10"/>
  <c r="E29" i="10"/>
  <c r="E37" i="10"/>
  <c r="E45" i="10"/>
  <c r="E53" i="10"/>
  <c r="E61" i="10"/>
  <c r="E69" i="10"/>
  <c r="E77" i="10"/>
  <c r="E46" i="10"/>
  <c r="E70" i="10"/>
  <c r="E16" i="10"/>
  <c r="E56" i="10"/>
  <c r="E10" i="10"/>
  <c r="E42" i="10"/>
  <c r="E74" i="10"/>
  <c r="E27" i="10"/>
  <c r="E75" i="10"/>
  <c r="E83" i="10"/>
  <c r="E6" i="10"/>
  <c r="E14" i="10"/>
  <c r="E22" i="10"/>
  <c r="E30" i="10"/>
  <c r="E38" i="10"/>
  <c r="E62" i="10"/>
  <c r="E40" i="10"/>
  <c r="E72" i="10"/>
  <c r="E11" i="10"/>
  <c r="E51" i="10"/>
  <c r="E7" i="10"/>
  <c r="E15" i="10"/>
  <c r="E23" i="10"/>
  <c r="E31" i="10"/>
  <c r="E39" i="10"/>
  <c r="E47" i="10"/>
  <c r="E55" i="10"/>
  <c r="E63" i="10"/>
  <c r="E71" i="10"/>
  <c r="E79" i="10"/>
  <c r="E8" i="10"/>
  <c r="E32" i="10"/>
  <c r="E64" i="10"/>
  <c r="E58" i="10"/>
  <c r="E43" i="10"/>
  <c r="C11" i="40" a="1"/>
  <c r="C11" i="40" s="1"/>
  <c r="E15" i="41"/>
  <c r="C131" i="41" s="1"/>
  <c r="F110" i="47"/>
  <c r="F110" i="41"/>
  <c r="E15" i="33"/>
  <c r="C131" i="33" s="1"/>
  <c r="D110" i="47"/>
  <c r="D110" i="41"/>
  <c r="E16" i="42"/>
  <c r="C132" i="42" s="1"/>
  <c r="E16" i="33"/>
  <c r="C132" i="33" s="1"/>
  <c r="C110" i="41"/>
  <c r="W39" i="31" s="1"/>
  <c r="C110" i="47"/>
  <c r="W82" i="49" s="1"/>
  <c r="G110" i="47"/>
  <c r="G110" i="41"/>
  <c r="E25" i="42"/>
  <c r="C144" i="42" s="1"/>
  <c r="E15" i="42"/>
  <c r="C131" i="42" s="1"/>
  <c r="E25" i="33"/>
  <c r="C144" i="33" s="1"/>
  <c r="E25" i="41"/>
  <c r="C144" i="41" s="1"/>
  <c r="E16" i="47"/>
  <c r="C132" i="47" s="1"/>
  <c r="W28" i="49"/>
  <c r="E110" i="47"/>
  <c r="E110" i="41"/>
  <c r="E17" i="26"/>
  <c r="E33" i="26"/>
  <c r="E49" i="26"/>
  <c r="E65" i="26"/>
  <c r="E81" i="26"/>
  <c r="E7" i="26"/>
  <c r="E23" i="26"/>
  <c r="E39" i="26"/>
  <c r="E55" i="26"/>
  <c r="E71" i="26"/>
  <c r="E47" i="26"/>
  <c r="E8" i="26"/>
  <c r="E24" i="26"/>
  <c r="E40" i="26"/>
  <c r="E56" i="26"/>
  <c r="E72" i="26"/>
  <c r="E74" i="26"/>
  <c r="E15" i="26"/>
  <c r="E9" i="26"/>
  <c r="E25" i="26"/>
  <c r="E41" i="26"/>
  <c r="E57" i="26"/>
  <c r="E73" i="26"/>
  <c r="E31" i="26"/>
  <c r="E79" i="26"/>
  <c r="E10" i="26"/>
  <c r="E26" i="26"/>
  <c r="E42" i="26"/>
  <c r="E58" i="26"/>
  <c r="E63" i="26"/>
  <c r="E16" i="26"/>
  <c r="E80" i="26"/>
  <c r="E18" i="26"/>
  <c r="E82" i="26"/>
  <c r="E32" i="26"/>
  <c r="E66" i="26"/>
  <c r="E34" i="26"/>
  <c r="E50" i="26"/>
  <c r="E48" i="26"/>
  <c r="E64" i="26"/>
  <c r="E77" i="26"/>
  <c r="E22" i="26"/>
  <c r="E5" i="26"/>
  <c r="E60" i="26"/>
  <c r="E45" i="26"/>
  <c r="E67" i="26"/>
  <c r="E78" i="26"/>
  <c r="E14" i="26"/>
  <c r="E52" i="26"/>
  <c r="E70" i="26"/>
  <c r="E6" i="26"/>
  <c r="E27" i="26"/>
  <c r="E53" i="26"/>
  <c r="E44" i="26"/>
  <c r="E43" i="26"/>
  <c r="E54" i="26"/>
  <c r="E28" i="26"/>
  <c r="E4" i="26"/>
  <c r="E75" i="26"/>
  <c r="E62" i="26"/>
  <c r="E36" i="26"/>
  <c r="E35" i="26"/>
  <c r="E37" i="26"/>
  <c r="E83" i="26"/>
  <c r="E61" i="26"/>
  <c r="E59" i="26"/>
  <c r="E46" i="26"/>
  <c r="E29" i="26"/>
  <c r="E84" i="26"/>
  <c r="E20" i="26"/>
  <c r="E19" i="26"/>
  <c r="E38" i="26"/>
  <c r="E21" i="26"/>
  <c r="E76" i="26"/>
  <c r="E12" i="26"/>
  <c r="E51" i="26"/>
  <c r="E68" i="26"/>
  <c r="E69" i="26"/>
  <c r="E30" i="26"/>
  <c r="E13" i="26"/>
  <c r="G118" i="47"/>
  <c r="G118" i="41"/>
  <c r="G111" i="47"/>
  <c r="G111" i="41"/>
  <c r="F111" i="47"/>
  <c r="F111" i="41"/>
  <c r="G109" i="41"/>
  <c r="G109" i="47"/>
  <c r="E111" i="41"/>
  <c r="E111" i="47"/>
  <c r="F109" i="47"/>
  <c r="F109" i="41"/>
  <c r="C118" i="47"/>
  <c r="C118" i="41"/>
  <c r="D111" i="41"/>
  <c r="D111" i="47"/>
  <c r="E109" i="47"/>
  <c r="E109" i="41"/>
  <c r="F118" i="41"/>
  <c r="F118" i="47"/>
  <c r="D109" i="47"/>
  <c r="D109" i="41"/>
  <c r="E118" i="41"/>
  <c r="E118" i="47"/>
  <c r="D118" i="47"/>
  <c r="D118" i="41"/>
  <c r="E11" i="39" a="1"/>
  <c r="E11" i="39" s="1"/>
  <c r="E11" i="48" a="1"/>
  <c r="E11" i="48" s="1"/>
  <c r="D11" i="39" a="1"/>
  <c r="D11" i="39" s="1"/>
  <c r="D11" i="48" a="1"/>
  <c r="D11" i="48" s="1"/>
  <c r="C11" i="39" a="1"/>
  <c r="C11" i="39" s="1"/>
  <c r="C11" i="48" a="1"/>
  <c r="C11" i="48" s="1"/>
  <c r="B191" i="47"/>
  <c r="W4" i="37"/>
  <c r="X4" i="37" s="1"/>
  <c r="W7" i="50"/>
  <c r="X7" i="50" s="1"/>
  <c r="Y7" i="50" s="1"/>
  <c r="Z7" i="50" s="1"/>
  <c r="AA7" i="50" s="1"/>
  <c r="W4" i="50"/>
  <c r="X4" i="50" s="1"/>
  <c r="Y4" i="50" s="1"/>
  <c r="Z4" i="50" s="1"/>
  <c r="AA4" i="50" s="1"/>
  <c r="W49" i="50"/>
  <c r="X49" i="50" s="1"/>
  <c r="Y49" i="50" s="1"/>
  <c r="Z49" i="50" s="1"/>
  <c r="AA49" i="50" s="1"/>
  <c r="W47" i="50"/>
  <c r="X47" i="50" s="1"/>
  <c r="Y47" i="50" s="1"/>
  <c r="Z47" i="50" s="1"/>
  <c r="AA47" i="50" s="1"/>
  <c r="W37" i="50"/>
  <c r="X37" i="50" s="1"/>
  <c r="Y37" i="50" s="1"/>
  <c r="Z37" i="50" s="1"/>
  <c r="AA37" i="50" s="1"/>
  <c r="W15" i="50"/>
  <c r="X15" i="50" s="1"/>
  <c r="Y15" i="50" s="1"/>
  <c r="Z15" i="50" s="1"/>
  <c r="AA15" i="50" s="1"/>
  <c r="W53" i="50"/>
  <c r="X53" i="50" s="1"/>
  <c r="Y53" i="50" s="1"/>
  <c r="Z53" i="50" s="1"/>
  <c r="AA53" i="50" s="1"/>
  <c r="W11" i="50"/>
  <c r="X11" i="50" s="1"/>
  <c r="Y11" i="50" s="1"/>
  <c r="Z11" i="50" s="1"/>
  <c r="AA11" i="50" s="1"/>
  <c r="W75" i="50"/>
  <c r="X75" i="50" s="1"/>
  <c r="Y75" i="50" s="1"/>
  <c r="Z75" i="50" s="1"/>
  <c r="AA75" i="50" s="1"/>
  <c r="W74" i="50"/>
  <c r="X74" i="50" s="1"/>
  <c r="Y74" i="50" s="1"/>
  <c r="Z74" i="50" s="1"/>
  <c r="AA74" i="50" s="1"/>
  <c r="W52" i="50"/>
  <c r="X52" i="50" s="1"/>
  <c r="Y52" i="50" s="1"/>
  <c r="Z52" i="50" s="1"/>
  <c r="AA52" i="50" s="1"/>
  <c r="W69" i="50"/>
  <c r="X69" i="50" s="1"/>
  <c r="Y69" i="50" s="1"/>
  <c r="Z69" i="50" s="1"/>
  <c r="AA69" i="50" s="1"/>
  <c r="W29" i="50"/>
  <c r="X29" i="50" s="1"/>
  <c r="Y29" i="50" s="1"/>
  <c r="Z29" i="50" s="1"/>
  <c r="AA29" i="50" s="1"/>
  <c r="W84" i="50"/>
  <c r="X84" i="50" s="1"/>
  <c r="Y84" i="50" s="1"/>
  <c r="Z84" i="50" s="1"/>
  <c r="AA84" i="50" s="1"/>
  <c r="W21" i="50"/>
  <c r="X21" i="50" s="1"/>
  <c r="Y21" i="50" s="1"/>
  <c r="Z21" i="50" s="1"/>
  <c r="AA21" i="50" s="1"/>
  <c r="W68" i="50"/>
  <c r="X68" i="50" s="1"/>
  <c r="Y68" i="50" s="1"/>
  <c r="Z68" i="50" s="1"/>
  <c r="AA68" i="50" s="1"/>
  <c r="W22" i="50"/>
  <c r="X22" i="50" s="1"/>
  <c r="Y22" i="50" s="1"/>
  <c r="Z22" i="50" s="1"/>
  <c r="AA22" i="50" s="1"/>
  <c r="W14" i="50"/>
  <c r="X14" i="50" s="1"/>
  <c r="Y14" i="50" s="1"/>
  <c r="Z14" i="50" s="1"/>
  <c r="AA14" i="50" s="1"/>
  <c r="W26" i="50"/>
  <c r="X26" i="50" s="1"/>
  <c r="Y26" i="50" s="1"/>
  <c r="Z26" i="50" s="1"/>
  <c r="AA26" i="50" s="1"/>
  <c r="W38" i="50"/>
  <c r="X38" i="50" s="1"/>
  <c r="Y38" i="50" s="1"/>
  <c r="Z38" i="50" s="1"/>
  <c r="AA38" i="50" s="1"/>
  <c r="W59" i="50"/>
  <c r="X59" i="50" s="1"/>
  <c r="Y59" i="50" s="1"/>
  <c r="Z59" i="50" s="1"/>
  <c r="AA59" i="50" s="1"/>
  <c r="W34" i="50"/>
  <c r="X34" i="50" s="1"/>
  <c r="Y34" i="50" s="1"/>
  <c r="Z34" i="50" s="1"/>
  <c r="AA34" i="50" s="1"/>
  <c r="W58" i="50"/>
  <c r="X58" i="50" s="1"/>
  <c r="Y58" i="50" s="1"/>
  <c r="Z58" i="50" s="1"/>
  <c r="AA58" i="50" s="1"/>
  <c r="W36" i="50"/>
  <c r="X36" i="50" s="1"/>
  <c r="Y36" i="50" s="1"/>
  <c r="Z36" i="50" s="1"/>
  <c r="AA36" i="50" s="1"/>
  <c r="W30" i="50"/>
  <c r="X30" i="50" s="1"/>
  <c r="Y30" i="50" s="1"/>
  <c r="Z30" i="50" s="1"/>
  <c r="AA30" i="50" s="1"/>
  <c r="W5" i="50"/>
  <c r="X5" i="50" s="1"/>
  <c r="Y5" i="50" s="1"/>
  <c r="Z5" i="50" s="1"/>
  <c r="AA5" i="50" s="1"/>
  <c r="W19" i="50"/>
  <c r="X19" i="50" s="1"/>
  <c r="Y19" i="50" s="1"/>
  <c r="Z19" i="50" s="1"/>
  <c r="AA19" i="50" s="1"/>
  <c r="W71" i="50"/>
  <c r="X71" i="50" s="1"/>
  <c r="Y71" i="50" s="1"/>
  <c r="Z71" i="50" s="1"/>
  <c r="AA71" i="50" s="1"/>
  <c r="W61" i="50"/>
  <c r="X61" i="50" s="1"/>
  <c r="Y61" i="50" s="1"/>
  <c r="Z61" i="50" s="1"/>
  <c r="AA61" i="50" s="1"/>
  <c r="W64" i="50"/>
  <c r="X64" i="50" s="1"/>
  <c r="Y64" i="50" s="1"/>
  <c r="Z64" i="50" s="1"/>
  <c r="AA64" i="50" s="1"/>
  <c r="W9" i="50"/>
  <c r="X9" i="50" s="1"/>
  <c r="Y9" i="50" s="1"/>
  <c r="Z9" i="50" s="1"/>
  <c r="AA9" i="50" s="1"/>
  <c r="W72" i="50"/>
  <c r="X72" i="50" s="1"/>
  <c r="Y72" i="50" s="1"/>
  <c r="Z72" i="50" s="1"/>
  <c r="AA72" i="50" s="1"/>
  <c r="W56" i="50"/>
  <c r="X56" i="50" s="1"/>
  <c r="Y56" i="50" s="1"/>
  <c r="Z56" i="50" s="1"/>
  <c r="AA56" i="50" s="1"/>
  <c r="W23" i="50"/>
  <c r="X23" i="50" s="1"/>
  <c r="Y23" i="50" s="1"/>
  <c r="Z23" i="50" s="1"/>
  <c r="AA23" i="50" s="1"/>
  <c r="W13" i="50"/>
  <c r="X13" i="50" s="1"/>
  <c r="Y13" i="50" s="1"/>
  <c r="Z13" i="50" s="1"/>
  <c r="AA13" i="50" s="1"/>
  <c r="W81" i="50"/>
  <c r="X81" i="50" s="1"/>
  <c r="Y81" i="50" s="1"/>
  <c r="Z81" i="50" s="1"/>
  <c r="AA81" i="50" s="1"/>
  <c r="W57" i="50"/>
  <c r="X57" i="50" s="1"/>
  <c r="Y57" i="50" s="1"/>
  <c r="Z57" i="50" s="1"/>
  <c r="AA57" i="50" s="1"/>
  <c r="W82" i="50"/>
  <c r="X82" i="50" s="1"/>
  <c r="Y82" i="50" s="1"/>
  <c r="Z82" i="50" s="1"/>
  <c r="AA82" i="50" s="1"/>
  <c r="W24" i="50"/>
  <c r="X24" i="50" s="1"/>
  <c r="Y24" i="50" s="1"/>
  <c r="Z24" i="50" s="1"/>
  <c r="AA24" i="50" s="1"/>
  <c r="W42" i="50"/>
  <c r="X42" i="50" s="1"/>
  <c r="Y42" i="50" s="1"/>
  <c r="Z42" i="50" s="1"/>
  <c r="AA42" i="50" s="1"/>
  <c r="W20" i="50"/>
  <c r="X20" i="50" s="1"/>
  <c r="Y20" i="50" s="1"/>
  <c r="Z20" i="50" s="1"/>
  <c r="AA20" i="50" s="1"/>
  <c r="W10" i="50"/>
  <c r="X10" i="50" s="1"/>
  <c r="Y10" i="50" s="1"/>
  <c r="Z10" i="50" s="1"/>
  <c r="AA10" i="50" s="1"/>
  <c r="W17" i="50"/>
  <c r="X17" i="50" s="1"/>
  <c r="Y17" i="50" s="1"/>
  <c r="Z17" i="50" s="1"/>
  <c r="AA17" i="50" s="1"/>
  <c r="W51" i="50"/>
  <c r="X51" i="50" s="1"/>
  <c r="Y51" i="50" s="1"/>
  <c r="Z51" i="50" s="1"/>
  <c r="AA51" i="50" s="1"/>
  <c r="W40" i="50"/>
  <c r="X40" i="50" s="1"/>
  <c r="Y40" i="50" s="1"/>
  <c r="Z40" i="50" s="1"/>
  <c r="AA40" i="50" s="1"/>
  <c r="W67" i="50"/>
  <c r="X67" i="50" s="1"/>
  <c r="Y67" i="50" s="1"/>
  <c r="Z67" i="50" s="1"/>
  <c r="AA67" i="50" s="1"/>
  <c r="W39" i="50"/>
  <c r="X39" i="50" s="1"/>
  <c r="Y39" i="50" s="1"/>
  <c r="Z39" i="50" s="1"/>
  <c r="AA39" i="50" s="1"/>
  <c r="W76" i="50"/>
  <c r="X76" i="50" s="1"/>
  <c r="Y76" i="50" s="1"/>
  <c r="Z76" i="50" s="1"/>
  <c r="AA76" i="50" s="1"/>
  <c r="W60" i="50"/>
  <c r="X60" i="50" s="1"/>
  <c r="Y60" i="50" s="1"/>
  <c r="Z60" i="50" s="1"/>
  <c r="AA60" i="50" s="1"/>
  <c r="W78" i="50"/>
  <c r="X78" i="50" s="1"/>
  <c r="Y78" i="50" s="1"/>
  <c r="Z78" i="50" s="1"/>
  <c r="AA78" i="50" s="1"/>
  <c r="W43" i="50"/>
  <c r="X43" i="50" s="1"/>
  <c r="Y43" i="50" s="1"/>
  <c r="Z43" i="50" s="1"/>
  <c r="AA43" i="50" s="1"/>
  <c r="W77" i="50"/>
  <c r="X77" i="50" s="1"/>
  <c r="Y77" i="50" s="1"/>
  <c r="Z77" i="50" s="1"/>
  <c r="AA77" i="50" s="1"/>
  <c r="W32" i="50"/>
  <c r="X32" i="50" s="1"/>
  <c r="Y32" i="50" s="1"/>
  <c r="Z32" i="50" s="1"/>
  <c r="AA32" i="50" s="1"/>
  <c r="W48" i="50"/>
  <c r="X48" i="50" s="1"/>
  <c r="Y48" i="50" s="1"/>
  <c r="Z48" i="50" s="1"/>
  <c r="AA48" i="50" s="1"/>
  <c r="W35" i="50"/>
  <c r="X35" i="50" s="1"/>
  <c r="Y35" i="50" s="1"/>
  <c r="Z35" i="50" s="1"/>
  <c r="AA35" i="50" s="1"/>
  <c r="W83" i="50"/>
  <c r="X83" i="50" s="1"/>
  <c r="Y83" i="50" s="1"/>
  <c r="Z83" i="50" s="1"/>
  <c r="AA83" i="50" s="1"/>
  <c r="W62" i="50"/>
  <c r="X62" i="50" s="1"/>
  <c r="Y62" i="50" s="1"/>
  <c r="Z62" i="50" s="1"/>
  <c r="AA62" i="50" s="1"/>
  <c r="W80" i="50"/>
  <c r="X80" i="50" s="1"/>
  <c r="Y80" i="50" s="1"/>
  <c r="Z80" i="50" s="1"/>
  <c r="AA80" i="50" s="1"/>
  <c r="W33" i="50"/>
  <c r="X33" i="50" s="1"/>
  <c r="Y33" i="50" s="1"/>
  <c r="Z33" i="50" s="1"/>
  <c r="AA33" i="50" s="1"/>
  <c r="W28" i="50"/>
  <c r="X28" i="50" s="1"/>
  <c r="Y28" i="50" s="1"/>
  <c r="Z28" i="50" s="1"/>
  <c r="AA28" i="50" s="1"/>
  <c r="W66" i="50"/>
  <c r="X66" i="50" s="1"/>
  <c r="Y66" i="50" s="1"/>
  <c r="Z66" i="50" s="1"/>
  <c r="AA66" i="50" s="1"/>
  <c r="W27" i="50"/>
  <c r="X27" i="50" s="1"/>
  <c r="Y27" i="50" s="1"/>
  <c r="Z27" i="50" s="1"/>
  <c r="AA27" i="50" s="1"/>
  <c r="W54" i="50"/>
  <c r="X54" i="50" s="1"/>
  <c r="Y54" i="50" s="1"/>
  <c r="Z54" i="50" s="1"/>
  <c r="AA54" i="50" s="1"/>
  <c r="W45" i="50"/>
  <c r="X45" i="50" s="1"/>
  <c r="Y45" i="50" s="1"/>
  <c r="Z45" i="50" s="1"/>
  <c r="AA45" i="50" s="1"/>
  <c r="W55" i="50"/>
  <c r="X55" i="50" s="1"/>
  <c r="Y55" i="50" s="1"/>
  <c r="Z55" i="50" s="1"/>
  <c r="AA55" i="50" s="1"/>
  <c r="W31" i="50"/>
  <c r="X31" i="50" s="1"/>
  <c r="Y31" i="50" s="1"/>
  <c r="Z31" i="50" s="1"/>
  <c r="AA31" i="50" s="1"/>
  <c r="W46" i="50"/>
  <c r="X46" i="50" s="1"/>
  <c r="Y46" i="50" s="1"/>
  <c r="Z46" i="50" s="1"/>
  <c r="AA46" i="50" s="1"/>
  <c r="W16" i="50"/>
  <c r="X16" i="50" s="1"/>
  <c r="Y16" i="50" s="1"/>
  <c r="Z16" i="50" s="1"/>
  <c r="AA16" i="50" s="1"/>
  <c r="W25" i="50"/>
  <c r="X25" i="50" s="1"/>
  <c r="Y25" i="50" s="1"/>
  <c r="Z25" i="50" s="1"/>
  <c r="AA25" i="50" s="1"/>
  <c r="W79" i="50"/>
  <c r="X79" i="50" s="1"/>
  <c r="Y79" i="50" s="1"/>
  <c r="Z79" i="50" s="1"/>
  <c r="AA79" i="50" s="1"/>
  <c r="W44" i="50"/>
  <c r="X44" i="50" s="1"/>
  <c r="Y44" i="50" s="1"/>
  <c r="Z44" i="50" s="1"/>
  <c r="AA44" i="50" s="1"/>
  <c r="W70" i="50"/>
  <c r="X70" i="50" s="1"/>
  <c r="Y70" i="50" s="1"/>
  <c r="Z70" i="50" s="1"/>
  <c r="AA70" i="50" s="1"/>
  <c r="W6" i="50"/>
  <c r="X6" i="50" s="1"/>
  <c r="Y6" i="50" s="1"/>
  <c r="Z6" i="50" s="1"/>
  <c r="AA6" i="50" s="1"/>
  <c r="W12" i="50"/>
  <c r="X12" i="50" s="1"/>
  <c r="Y12" i="50" s="1"/>
  <c r="Z12" i="50" s="1"/>
  <c r="AA12" i="50" s="1"/>
  <c r="W63" i="50"/>
  <c r="X63" i="50" s="1"/>
  <c r="Y63" i="50" s="1"/>
  <c r="Z63" i="50" s="1"/>
  <c r="AA63" i="50" s="1"/>
  <c r="W73" i="50"/>
  <c r="X73" i="50" s="1"/>
  <c r="Y73" i="50" s="1"/>
  <c r="Z73" i="50" s="1"/>
  <c r="AA73" i="50" s="1"/>
  <c r="W18" i="50"/>
  <c r="X18" i="50" s="1"/>
  <c r="Y18" i="50" s="1"/>
  <c r="Z18" i="50" s="1"/>
  <c r="AA18" i="50" s="1"/>
  <c r="W8" i="50"/>
  <c r="X8" i="50" s="1"/>
  <c r="Y8" i="50" s="1"/>
  <c r="Z8" i="50" s="1"/>
  <c r="AA8" i="50" s="1"/>
  <c r="W41" i="50"/>
  <c r="X41" i="50" s="1"/>
  <c r="Y41" i="50" s="1"/>
  <c r="Z41" i="50" s="1"/>
  <c r="AA41" i="50" s="1"/>
  <c r="W50" i="50"/>
  <c r="X50" i="50" s="1"/>
  <c r="Y50" i="50" s="1"/>
  <c r="Z50" i="50" s="1"/>
  <c r="AA50" i="50" s="1"/>
  <c r="W65" i="50"/>
  <c r="X65" i="50" s="1"/>
  <c r="Y65" i="50" s="1"/>
  <c r="Z65" i="50" s="1"/>
  <c r="AA65" i="50" s="1"/>
  <c r="V4" i="10"/>
  <c r="F11" i="39" a="1"/>
  <c r="F11" i="39" s="1"/>
  <c r="G11" i="34" a="1"/>
  <c r="G11" i="34" s="1"/>
  <c r="E11" i="34" a="1"/>
  <c r="E11" i="34" s="1"/>
  <c r="D11" i="34" a="1"/>
  <c r="D11" i="34" s="1"/>
  <c r="G11" i="39" a="1"/>
  <c r="G11" i="39" s="1"/>
  <c r="F11" i="34" a="1"/>
  <c r="F11" i="34" s="1"/>
  <c r="C122" i="42"/>
  <c r="E6" i="18"/>
  <c r="C122" i="18" s="1"/>
  <c r="F110" i="42"/>
  <c r="F110" i="33"/>
  <c r="C111" i="42"/>
  <c r="C111" i="33"/>
  <c r="E118" i="42"/>
  <c r="E118" i="33"/>
  <c r="C110" i="42"/>
  <c r="E39" i="32" s="1"/>
  <c r="C110" i="33"/>
  <c r="E27" i="30" s="1"/>
  <c r="D118" i="42"/>
  <c r="D118" i="33"/>
  <c r="F111" i="42"/>
  <c r="F111" i="33"/>
  <c r="E109" i="42"/>
  <c r="E109" i="33"/>
  <c r="F118" i="42"/>
  <c r="F118" i="33"/>
  <c r="D111" i="42"/>
  <c r="D111" i="33"/>
  <c r="D109" i="42"/>
  <c r="D109" i="33"/>
  <c r="E110" i="42"/>
  <c r="E110" i="33"/>
  <c r="G111" i="42"/>
  <c r="G111" i="33"/>
  <c r="G109" i="42"/>
  <c r="G109" i="33"/>
  <c r="D110" i="33"/>
  <c r="D110" i="42"/>
  <c r="F109" i="42"/>
  <c r="F109" i="33"/>
  <c r="G110" i="42"/>
  <c r="G110" i="33"/>
  <c r="C118" i="33"/>
  <c r="C118" i="42"/>
  <c r="W78" i="38"/>
  <c r="X78" i="38" s="1"/>
  <c r="Y78" i="38" s="1"/>
  <c r="Z78" i="38" s="1"/>
  <c r="AA78" i="38" s="1"/>
  <c r="W76" i="38"/>
  <c r="X76" i="38" s="1"/>
  <c r="Y76" i="38" s="1"/>
  <c r="Z76" i="38" s="1"/>
  <c r="AA76" i="38" s="1"/>
  <c r="W81" i="38"/>
  <c r="X81" i="38" s="1"/>
  <c r="Y81" i="38" s="1"/>
  <c r="Z81" i="38" s="1"/>
  <c r="AA81" i="38" s="1"/>
  <c r="W75" i="38"/>
  <c r="X75" i="38" s="1"/>
  <c r="Y75" i="38" s="1"/>
  <c r="Z75" i="38" s="1"/>
  <c r="AA75" i="38" s="1"/>
  <c r="W50" i="38"/>
  <c r="X50" i="38" s="1"/>
  <c r="Y50" i="38" s="1"/>
  <c r="Z50" i="38" s="1"/>
  <c r="AA50" i="38" s="1"/>
  <c r="W38" i="38"/>
  <c r="X38" i="38" s="1"/>
  <c r="Y38" i="38" s="1"/>
  <c r="Z38" i="38" s="1"/>
  <c r="AA38" i="38" s="1"/>
  <c r="W26" i="38"/>
  <c r="X26" i="38" s="1"/>
  <c r="Y26" i="38" s="1"/>
  <c r="Z26" i="38" s="1"/>
  <c r="AA26" i="38" s="1"/>
  <c r="W18" i="38"/>
  <c r="X18" i="38" s="1"/>
  <c r="Y18" i="38" s="1"/>
  <c r="Z18" i="38" s="1"/>
  <c r="AA18" i="38" s="1"/>
  <c r="W59" i="38"/>
  <c r="X59" i="38" s="1"/>
  <c r="Y59" i="38" s="1"/>
  <c r="Z59" i="38" s="1"/>
  <c r="AA59" i="38" s="1"/>
  <c r="W47" i="38"/>
  <c r="X47" i="38" s="1"/>
  <c r="Y47" i="38" s="1"/>
  <c r="Z47" i="38" s="1"/>
  <c r="AA47" i="38" s="1"/>
  <c r="W41" i="38"/>
  <c r="X41" i="38" s="1"/>
  <c r="Y41" i="38" s="1"/>
  <c r="Z41" i="38" s="1"/>
  <c r="AA41" i="38" s="1"/>
  <c r="W7" i="38"/>
  <c r="X7" i="38" s="1"/>
  <c r="Y7" i="38" s="1"/>
  <c r="Z7" i="38" s="1"/>
  <c r="AA7" i="38" s="1"/>
  <c r="W73" i="38"/>
  <c r="X73" i="38" s="1"/>
  <c r="Y73" i="38" s="1"/>
  <c r="Z73" i="38" s="1"/>
  <c r="AA73" i="38" s="1"/>
  <c r="W33" i="38"/>
  <c r="X33" i="38" s="1"/>
  <c r="Y33" i="38" s="1"/>
  <c r="Z33" i="38" s="1"/>
  <c r="AA33" i="38" s="1"/>
  <c r="W49" i="38"/>
  <c r="X49" i="38" s="1"/>
  <c r="Y49" i="38" s="1"/>
  <c r="Z49" i="38" s="1"/>
  <c r="AA49" i="38" s="1"/>
  <c r="W66" i="37"/>
  <c r="X66" i="37" s="1"/>
  <c r="Y66" i="37" s="1"/>
  <c r="Z66" i="37" s="1"/>
  <c r="AA66" i="37" s="1"/>
  <c r="W80" i="37"/>
  <c r="X80" i="37" s="1"/>
  <c r="Y80" i="37" s="1"/>
  <c r="Z80" i="37" s="1"/>
  <c r="AA80" i="37" s="1"/>
  <c r="W61" i="37"/>
  <c r="X61" i="37" s="1"/>
  <c r="Y61" i="37" s="1"/>
  <c r="Z61" i="37" s="1"/>
  <c r="AA61" i="37" s="1"/>
  <c r="W81" i="37"/>
  <c r="X81" i="37" s="1"/>
  <c r="Y81" i="37" s="1"/>
  <c r="Z81" i="37" s="1"/>
  <c r="AA81" i="37" s="1"/>
  <c r="W73" i="37"/>
  <c r="X73" i="37" s="1"/>
  <c r="Y73" i="37" s="1"/>
  <c r="Z73" i="37" s="1"/>
  <c r="AA73" i="37" s="1"/>
  <c r="W65" i="37"/>
  <c r="X65" i="37" s="1"/>
  <c r="Y65" i="37" s="1"/>
  <c r="Z65" i="37" s="1"/>
  <c r="AA65" i="37" s="1"/>
  <c r="W9" i="37"/>
  <c r="X9" i="37" s="1"/>
  <c r="Y9" i="37" s="1"/>
  <c r="Z9" i="37" s="1"/>
  <c r="AA9" i="37" s="1"/>
  <c r="W17" i="37"/>
  <c r="X17" i="37" s="1"/>
  <c r="Y17" i="37" s="1"/>
  <c r="Z17" i="37" s="1"/>
  <c r="AA17" i="37" s="1"/>
  <c r="W12" i="37"/>
  <c r="X12" i="37" s="1"/>
  <c r="Y12" i="37" s="1"/>
  <c r="Z12" i="37" s="1"/>
  <c r="AA12" i="37" s="1"/>
  <c r="W24" i="37"/>
  <c r="X24" i="37" s="1"/>
  <c r="Y24" i="37" s="1"/>
  <c r="Z24" i="37" s="1"/>
  <c r="AA24" i="37" s="1"/>
  <c r="W64" i="38"/>
  <c r="X64" i="38" s="1"/>
  <c r="Y64" i="38" s="1"/>
  <c r="Z64" i="38" s="1"/>
  <c r="AA64" i="38" s="1"/>
  <c r="W58" i="38"/>
  <c r="X58" i="38" s="1"/>
  <c r="Y58" i="38" s="1"/>
  <c r="Z58" i="38" s="1"/>
  <c r="AA58" i="38" s="1"/>
  <c r="W77" i="38"/>
  <c r="X77" i="38" s="1"/>
  <c r="Y77" i="38" s="1"/>
  <c r="Z77" i="38" s="1"/>
  <c r="AA77" i="38" s="1"/>
  <c r="W46" i="38"/>
  <c r="X46" i="38" s="1"/>
  <c r="Y46" i="38" s="1"/>
  <c r="Z46" i="38" s="1"/>
  <c r="AA46" i="38" s="1"/>
  <c r="W79" i="38"/>
  <c r="X79" i="38" s="1"/>
  <c r="Y79" i="38" s="1"/>
  <c r="Z79" i="38" s="1"/>
  <c r="AA79" i="38" s="1"/>
  <c r="W6" i="38"/>
  <c r="X6" i="38" s="1"/>
  <c r="Y6" i="38" s="1"/>
  <c r="Z6" i="38" s="1"/>
  <c r="AA6" i="38" s="1"/>
  <c r="W14" i="38"/>
  <c r="X14" i="38" s="1"/>
  <c r="Y14" i="38" s="1"/>
  <c r="Z14" i="38" s="1"/>
  <c r="AA14" i="38" s="1"/>
  <c r="W37" i="37"/>
  <c r="X37" i="37" s="1"/>
  <c r="Y37" i="37" s="1"/>
  <c r="Z37" i="37" s="1"/>
  <c r="AA37" i="37" s="1"/>
  <c r="W10" i="37"/>
  <c r="X10" i="37" s="1"/>
  <c r="Y10" i="37" s="1"/>
  <c r="Z10" i="37" s="1"/>
  <c r="AA10" i="37" s="1"/>
  <c r="W42" i="37"/>
  <c r="X42" i="37" s="1"/>
  <c r="Y42" i="37" s="1"/>
  <c r="Z42" i="37" s="1"/>
  <c r="AA42" i="37" s="1"/>
  <c r="W83" i="38"/>
  <c r="X83" i="38" s="1"/>
  <c r="Y83" i="38" s="1"/>
  <c r="Z83" i="38" s="1"/>
  <c r="AA83" i="38" s="1"/>
  <c r="W67" i="38"/>
  <c r="X67" i="38" s="1"/>
  <c r="Y67" i="38" s="1"/>
  <c r="Z67" i="38" s="1"/>
  <c r="AA67" i="38" s="1"/>
  <c r="W22" i="38"/>
  <c r="X22" i="38" s="1"/>
  <c r="Y22" i="38" s="1"/>
  <c r="Z22" i="38" s="1"/>
  <c r="AA22" i="38" s="1"/>
  <c r="W53" i="38"/>
  <c r="X53" i="38" s="1"/>
  <c r="Y53" i="38" s="1"/>
  <c r="Z53" i="38" s="1"/>
  <c r="AA53" i="38" s="1"/>
  <c r="W51" i="38"/>
  <c r="X51" i="38" s="1"/>
  <c r="Y51" i="38" s="1"/>
  <c r="Z51" i="38" s="1"/>
  <c r="AA51" i="38" s="1"/>
  <c r="W12" i="38"/>
  <c r="X12" i="38" s="1"/>
  <c r="Y12" i="38" s="1"/>
  <c r="Z12" i="38" s="1"/>
  <c r="AA12" i="38" s="1"/>
  <c r="W24" i="38"/>
  <c r="X24" i="38" s="1"/>
  <c r="Y24" i="38" s="1"/>
  <c r="Z24" i="38" s="1"/>
  <c r="AA24" i="38" s="1"/>
  <c r="W17" i="38"/>
  <c r="X17" i="38" s="1"/>
  <c r="Y17" i="38" s="1"/>
  <c r="Z17" i="38" s="1"/>
  <c r="AA17" i="38" s="1"/>
  <c r="W82" i="37"/>
  <c r="X82" i="37" s="1"/>
  <c r="Y82" i="37" s="1"/>
  <c r="Z82" i="37" s="1"/>
  <c r="AA82" i="37" s="1"/>
  <c r="W64" i="37"/>
  <c r="X64" i="37" s="1"/>
  <c r="Y64" i="37" s="1"/>
  <c r="Z64" i="37" s="1"/>
  <c r="AA64" i="37" s="1"/>
  <c r="W77" i="37"/>
  <c r="X77" i="37" s="1"/>
  <c r="Y77" i="37" s="1"/>
  <c r="Z77" i="37" s="1"/>
  <c r="AA77" i="37" s="1"/>
  <c r="W69" i="37"/>
  <c r="X69" i="37" s="1"/>
  <c r="Y69" i="37" s="1"/>
  <c r="Z69" i="37" s="1"/>
  <c r="AA69" i="37" s="1"/>
  <c r="W39" i="37"/>
  <c r="X39" i="37" s="1"/>
  <c r="Y39" i="37" s="1"/>
  <c r="Z39" i="37" s="1"/>
  <c r="AA39" i="37" s="1"/>
  <c r="W36" i="37"/>
  <c r="X36" i="37" s="1"/>
  <c r="Y36" i="37" s="1"/>
  <c r="Z36" i="37" s="1"/>
  <c r="AA36" i="37" s="1"/>
  <c r="W13" i="37"/>
  <c r="X13" i="37" s="1"/>
  <c r="Y13" i="37" s="1"/>
  <c r="Z13" i="37" s="1"/>
  <c r="AA13" i="37" s="1"/>
  <c r="W34" i="37"/>
  <c r="X34" i="37" s="1"/>
  <c r="Y34" i="37" s="1"/>
  <c r="Z34" i="37" s="1"/>
  <c r="AA34" i="37" s="1"/>
  <c r="W7" i="37"/>
  <c r="X7" i="37" s="1"/>
  <c r="Y7" i="37" s="1"/>
  <c r="Z7" i="37" s="1"/>
  <c r="AA7" i="37" s="1"/>
  <c r="W28" i="37"/>
  <c r="X28" i="37" s="1"/>
  <c r="Y28" i="37" s="1"/>
  <c r="Z28" i="37" s="1"/>
  <c r="AA28" i="37" s="1"/>
  <c r="W53" i="37"/>
  <c r="X53" i="37" s="1"/>
  <c r="Y53" i="37" s="1"/>
  <c r="Z53" i="37" s="1"/>
  <c r="AA53" i="37" s="1"/>
  <c r="W44" i="37"/>
  <c r="X44" i="37" s="1"/>
  <c r="Y44" i="37" s="1"/>
  <c r="Z44" i="37" s="1"/>
  <c r="AA44" i="37" s="1"/>
  <c r="W8" i="37"/>
  <c r="X8" i="37" s="1"/>
  <c r="Y8" i="37" s="1"/>
  <c r="Z8" i="37" s="1"/>
  <c r="AA8" i="37" s="1"/>
  <c r="W31" i="37"/>
  <c r="X31" i="37" s="1"/>
  <c r="Y31" i="37" s="1"/>
  <c r="Z31" i="37" s="1"/>
  <c r="AA31" i="37" s="1"/>
  <c r="W25" i="38"/>
  <c r="X25" i="38" s="1"/>
  <c r="Y25" i="38" s="1"/>
  <c r="Z25" i="38" s="1"/>
  <c r="AA25" i="38" s="1"/>
  <c r="W52" i="37"/>
  <c r="X52" i="37" s="1"/>
  <c r="Y52" i="37" s="1"/>
  <c r="Z52" i="37" s="1"/>
  <c r="AA52" i="37" s="1"/>
  <c r="W51" i="37"/>
  <c r="X51" i="37" s="1"/>
  <c r="Y51" i="37" s="1"/>
  <c r="Z51" i="37" s="1"/>
  <c r="AA51" i="37" s="1"/>
  <c r="W15" i="37"/>
  <c r="X15" i="37" s="1"/>
  <c r="Y15" i="37" s="1"/>
  <c r="Z15" i="37" s="1"/>
  <c r="AA15" i="37" s="1"/>
  <c r="W70" i="38"/>
  <c r="X70" i="38" s="1"/>
  <c r="Y70" i="38" s="1"/>
  <c r="Z70" i="38" s="1"/>
  <c r="AA70" i="38" s="1"/>
  <c r="W68" i="38"/>
  <c r="X68" i="38" s="1"/>
  <c r="Y68" i="38" s="1"/>
  <c r="Z68" i="38" s="1"/>
  <c r="AA68" i="38" s="1"/>
  <c r="W69" i="38"/>
  <c r="X69" i="38" s="1"/>
  <c r="Y69" i="38" s="1"/>
  <c r="Z69" i="38" s="1"/>
  <c r="AA69" i="38" s="1"/>
  <c r="W71" i="38"/>
  <c r="X71" i="38" s="1"/>
  <c r="Y71" i="38" s="1"/>
  <c r="Z71" i="38" s="1"/>
  <c r="AA71" i="38" s="1"/>
  <c r="W65" i="38"/>
  <c r="X65" i="38" s="1"/>
  <c r="Y65" i="38" s="1"/>
  <c r="Z65" i="38" s="1"/>
  <c r="AA65" i="38" s="1"/>
  <c r="W31" i="38"/>
  <c r="X31" i="38" s="1"/>
  <c r="Y31" i="38" s="1"/>
  <c r="Z31" i="38" s="1"/>
  <c r="AA31" i="38" s="1"/>
  <c r="W20" i="38"/>
  <c r="X20" i="38" s="1"/>
  <c r="Y20" i="38" s="1"/>
  <c r="Z20" i="38" s="1"/>
  <c r="AA20" i="38" s="1"/>
  <c r="W10" i="38"/>
  <c r="X10" i="38" s="1"/>
  <c r="Y10" i="38" s="1"/>
  <c r="Z10" i="38" s="1"/>
  <c r="AA10" i="38" s="1"/>
  <c r="W55" i="38"/>
  <c r="X55" i="38" s="1"/>
  <c r="Y55" i="38" s="1"/>
  <c r="Z55" i="38" s="1"/>
  <c r="AA55" i="38" s="1"/>
  <c r="W35" i="38"/>
  <c r="X35" i="38" s="1"/>
  <c r="Y35" i="38" s="1"/>
  <c r="Z35" i="38" s="1"/>
  <c r="AA35" i="38" s="1"/>
  <c r="W4" i="38"/>
  <c r="X4" i="38" s="1"/>
  <c r="Y4" i="38" s="1"/>
  <c r="Z4" i="38" s="1"/>
  <c r="AA4" i="38" s="1"/>
  <c r="W72" i="37"/>
  <c r="X72" i="37" s="1"/>
  <c r="Y72" i="37" s="1"/>
  <c r="Z72" i="37" s="1"/>
  <c r="AA72" i="37" s="1"/>
  <c r="W54" i="37"/>
  <c r="X54" i="37" s="1"/>
  <c r="Y54" i="37" s="1"/>
  <c r="Z54" i="37" s="1"/>
  <c r="AA54" i="37" s="1"/>
  <c r="W47" i="37"/>
  <c r="X47" i="37" s="1"/>
  <c r="Y47" i="37" s="1"/>
  <c r="Z47" i="37" s="1"/>
  <c r="AA47" i="37" s="1"/>
  <c r="W25" i="37"/>
  <c r="X25" i="37" s="1"/>
  <c r="Y25" i="37" s="1"/>
  <c r="Z25" i="37" s="1"/>
  <c r="AA25" i="37" s="1"/>
  <c r="W45" i="38"/>
  <c r="X45" i="38" s="1"/>
  <c r="Y45" i="38" s="1"/>
  <c r="Z45" i="38" s="1"/>
  <c r="AA45" i="38" s="1"/>
  <c r="W74" i="37"/>
  <c r="X74" i="37" s="1"/>
  <c r="Y74" i="37" s="1"/>
  <c r="Z74" i="37" s="1"/>
  <c r="AA74" i="37" s="1"/>
  <c r="W55" i="37"/>
  <c r="X55" i="37" s="1"/>
  <c r="Y55" i="37" s="1"/>
  <c r="Z55" i="37" s="1"/>
  <c r="AA55" i="37" s="1"/>
  <c r="W29" i="37"/>
  <c r="X29" i="37" s="1"/>
  <c r="Y29" i="37" s="1"/>
  <c r="Z29" i="37" s="1"/>
  <c r="AA29" i="37" s="1"/>
  <c r="W67" i="37"/>
  <c r="X67" i="37" s="1"/>
  <c r="Y67" i="37" s="1"/>
  <c r="Z67" i="37" s="1"/>
  <c r="AA67" i="37" s="1"/>
  <c r="W35" i="37"/>
  <c r="X35" i="37" s="1"/>
  <c r="Y35" i="37" s="1"/>
  <c r="Z35" i="37" s="1"/>
  <c r="AA35" i="37" s="1"/>
  <c r="W76" i="37"/>
  <c r="X76" i="37" s="1"/>
  <c r="Y76" i="37" s="1"/>
  <c r="Z76" i="37" s="1"/>
  <c r="AA76" i="37" s="1"/>
  <c r="W78" i="37"/>
  <c r="X78" i="37" s="1"/>
  <c r="Y78" i="37" s="1"/>
  <c r="Z78" i="37" s="1"/>
  <c r="AA78" i="37" s="1"/>
  <c r="W43" i="38"/>
  <c r="X43" i="38" s="1"/>
  <c r="Y43" i="38" s="1"/>
  <c r="Z43" i="38" s="1"/>
  <c r="AA43" i="38" s="1"/>
  <c r="W66" i="38"/>
  <c r="X66" i="38" s="1"/>
  <c r="Y66" i="38" s="1"/>
  <c r="Z66" i="38" s="1"/>
  <c r="AA66" i="38" s="1"/>
  <c r="W20" i="37"/>
  <c r="X20" i="37" s="1"/>
  <c r="Y20" i="37" s="1"/>
  <c r="Z20" i="37" s="1"/>
  <c r="AA20" i="37" s="1"/>
  <c r="W62" i="38"/>
  <c r="X62" i="38" s="1"/>
  <c r="Y62" i="38" s="1"/>
  <c r="Z62" i="38" s="1"/>
  <c r="AA62" i="38" s="1"/>
  <c r="W16" i="37"/>
  <c r="X16" i="37" s="1"/>
  <c r="Y16" i="37" s="1"/>
  <c r="Z16" i="37" s="1"/>
  <c r="AA16" i="37" s="1"/>
  <c r="W30" i="37"/>
  <c r="X30" i="37" s="1"/>
  <c r="Y30" i="37" s="1"/>
  <c r="Z30" i="37" s="1"/>
  <c r="AA30" i="37" s="1"/>
  <c r="W62" i="37"/>
  <c r="X62" i="37" s="1"/>
  <c r="Y62" i="37" s="1"/>
  <c r="Z62" i="37" s="1"/>
  <c r="AA62" i="37" s="1"/>
  <c r="W36" i="38"/>
  <c r="X36" i="38" s="1"/>
  <c r="Y36" i="38" s="1"/>
  <c r="Z36" i="38" s="1"/>
  <c r="AA36" i="38" s="1"/>
  <c r="W13" i="38"/>
  <c r="X13" i="38" s="1"/>
  <c r="Y13" i="38" s="1"/>
  <c r="Z13" i="38" s="1"/>
  <c r="AA13" i="38" s="1"/>
  <c r="W56" i="38"/>
  <c r="X56" i="38" s="1"/>
  <c r="Y56" i="38" s="1"/>
  <c r="Z56" i="38" s="1"/>
  <c r="AA56" i="38" s="1"/>
  <c r="W14" i="37"/>
  <c r="X14" i="37" s="1"/>
  <c r="Y14" i="37" s="1"/>
  <c r="Z14" i="37" s="1"/>
  <c r="AA14" i="37" s="1"/>
  <c r="W42" i="38"/>
  <c r="X42" i="38" s="1"/>
  <c r="Y42" i="38" s="1"/>
  <c r="Z42" i="38" s="1"/>
  <c r="AA42" i="38" s="1"/>
  <c r="W74" i="38"/>
  <c r="X74" i="38" s="1"/>
  <c r="Y74" i="38" s="1"/>
  <c r="Z74" i="38" s="1"/>
  <c r="AA74" i="38" s="1"/>
  <c r="W6" i="37"/>
  <c r="X6" i="37" s="1"/>
  <c r="Y6" i="37" s="1"/>
  <c r="Z6" i="37" s="1"/>
  <c r="AA6" i="37" s="1"/>
  <c r="W43" i="37"/>
  <c r="X43" i="37" s="1"/>
  <c r="Y43" i="37" s="1"/>
  <c r="Z43" i="37" s="1"/>
  <c r="AA43" i="37" s="1"/>
  <c r="W16" i="38"/>
  <c r="X16" i="38" s="1"/>
  <c r="Y16" i="38" s="1"/>
  <c r="Z16" i="38" s="1"/>
  <c r="AA16" i="38" s="1"/>
  <c r="W30" i="38"/>
  <c r="X30" i="38" s="1"/>
  <c r="Y30" i="38" s="1"/>
  <c r="Z30" i="38" s="1"/>
  <c r="AA30" i="38" s="1"/>
  <c r="W48" i="38"/>
  <c r="X48" i="38" s="1"/>
  <c r="Y48" i="38" s="1"/>
  <c r="Z48" i="38" s="1"/>
  <c r="AA48" i="38" s="1"/>
  <c r="W38" i="37"/>
  <c r="X38" i="37" s="1"/>
  <c r="Y38" i="37" s="1"/>
  <c r="Z38" i="37" s="1"/>
  <c r="AA38" i="37" s="1"/>
  <c r="W58" i="37"/>
  <c r="X58" i="37" s="1"/>
  <c r="Y58" i="37" s="1"/>
  <c r="Z58" i="37" s="1"/>
  <c r="AA58" i="37" s="1"/>
  <c r="W44" i="38"/>
  <c r="X44" i="38" s="1"/>
  <c r="Y44" i="38" s="1"/>
  <c r="Z44" i="38" s="1"/>
  <c r="AA44" i="38" s="1"/>
  <c r="W52" i="38"/>
  <c r="X52" i="38" s="1"/>
  <c r="Y52" i="38" s="1"/>
  <c r="Z52" i="38" s="1"/>
  <c r="AA52" i="38" s="1"/>
  <c r="W82" i="38"/>
  <c r="X82" i="38" s="1"/>
  <c r="Y82" i="38" s="1"/>
  <c r="Z82" i="38" s="1"/>
  <c r="AA82" i="38" s="1"/>
  <c r="W79" i="37"/>
  <c r="X79" i="37" s="1"/>
  <c r="Y79" i="37" s="1"/>
  <c r="Z79" i="37" s="1"/>
  <c r="AA79" i="37" s="1"/>
  <c r="W41" i="37"/>
  <c r="X41" i="37" s="1"/>
  <c r="Y41" i="37" s="1"/>
  <c r="Z41" i="37" s="1"/>
  <c r="AA41" i="37" s="1"/>
  <c r="W32" i="37"/>
  <c r="X32" i="37" s="1"/>
  <c r="Y32" i="37" s="1"/>
  <c r="Z32" i="37" s="1"/>
  <c r="AA32" i="37" s="1"/>
  <c r="W22" i="37"/>
  <c r="X22" i="37" s="1"/>
  <c r="Y22" i="37" s="1"/>
  <c r="Z22" i="37" s="1"/>
  <c r="AA22" i="37" s="1"/>
  <c r="W84" i="37"/>
  <c r="X84" i="37" s="1"/>
  <c r="Y84" i="37" s="1"/>
  <c r="Z84" i="37" s="1"/>
  <c r="AA84" i="37" s="1"/>
  <c r="W54" i="38"/>
  <c r="X54" i="38" s="1"/>
  <c r="Y54" i="38" s="1"/>
  <c r="Z54" i="38" s="1"/>
  <c r="AA54" i="38" s="1"/>
  <c r="W27" i="38"/>
  <c r="X27" i="38" s="1"/>
  <c r="Y27" i="38" s="1"/>
  <c r="Z27" i="38" s="1"/>
  <c r="AA27" i="38" s="1"/>
  <c r="W57" i="38"/>
  <c r="X57" i="38" s="1"/>
  <c r="Y57" i="38" s="1"/>
  <c r="Z57" i="38" s="1"/>
  <c r="AA57" i="38" s="1"/>
  <c r="W56" i="37"/>
  <c r="X56" i="37" s="1"/>
  <c r="Y56" i="37" s="1"/>
  <c r="Z56" i="37" s="1"/>
  <c r="AA56" i="37" s="1"/>
  <c r="W28" i="38"/>
  <c r="X28" i="38" s="1"/>
  <c r="Y28" i="38" s="1"/>
  <c r="Z28" i="38" s="1"/>
  <c r="AA28" i="38" s="1"/>
  <c r="W80" i="38"/>
  <c r="X80" i="38" s="1"/>
  <c r="Y80" i="38" s="1"/>
  <c r="Z80" i="38" s="1"/>
  <c r="AA80" i="38" s="1"/>
  <c r="W45" i="37"/>
  <c r="X45" i="37" s="1"/>
  <c r="Y45" i="37" s="1"/>
  <c r="Z45" i="37" s="1"/>
  <c r="AA45" i="37" s="1"/>
  <c r="W46" i="37"/>
  <c r="X46" i="37" s="1"/>
  <c r="Y46" i="37" s="1"/>
  <c r="Z46" i="37" s="1"/>
  <c r="AA46" i="37" s="1"/>
  <c r="W34" i="38"/>
  <c r="X34" i="38" s="1"/>
  <c r="Y34" i="38" s="1"/>
  <c r="Z34" i="38" s="1"/>
  <c r="AA34" i="38" s="1"/>
  <c r="W61" i="38"/>
  <c r="X61" i="38" s="1"/>
  <c r="Y61" i="38" s="1"/>
  <c r="Z61" i="38" s="1"/>
  <c r="AA61" i="38" s="1"/>
  <c r="W37" i="38"/>
  <c r="X37" i="38" s="1"/>
  <c r="Y37" i="38" s="1"/>
  <c r="Z37" i="38" s="1"/>
  <c r="AA37" i="38" s="1"/>
  <c r="W59" i="37"/>
  <c r="X59" i="37" s="1"/>
  <c r="Y59" i="37" s="1"/>
  <c r="Z59" i="37" s="1"/>
  <c r="AA59" i="37" s="1"/>
  <c r="W63" i="37"/>
  <c r="X63" i="37" s="1"/>
  <c r="Y63" i="37" s="1"/>
  <c r="Z63" i="37" s="1"/>
  <c r="AA63" i="37" s="1"/>
  <c r="W23" i="38"/>
  <c r="X23" i="38" s="1"/>
  <c r="Y23" i="38" s="1"/>
  <c r="Z23" i="38" s="1"/>
  <c r="AA23" i="38" s="1"/>
  <c r="W21" i="38"/>
  <c r="X21" i="38" s="1"/>
  <c r="Y21" i="38" s="1"/>
  <c r="Z21" i="38" s="1"/>
  <c r="AA21" i="38" s="1"/>
  <c r="W84" i="38"/>
  <c r="X84" i="38" s="1"/>
  <c r="Y84" i="38" s="1"/>
  <c r="Z84" i="38" s="1"/>
  <c r="AA84" i="38" s="1"/>
  <c r="W8" i="38"/>
  <c r="X8" i="38" s="1"/>
  <c r="Y8" i="38" s="1"/>
  <c r="Z8" i="38" s="1"/>
  <c r="AA8" i="38" s="1"/>
  <c r="W11" i="37"/>
  <c r="X11" i="37" s="1"/>
  <c r="Y11" i="37" s="1"/>
  <c r="Z11" i="37" s="1"/>
  <c r="AA11" i="37" s="1"/>
  <c r="W19" i="37"/>
  <c r="X19" i="37" s="1"/>
  <c r="Y19" i="37" s="1"/>
  <c r="Z19" i="37" s="1"/>
  <c r="AA19" i="37" s="1"/>
  <c r="W50" i="37"/>
  <c r="X50" i="37" s="1"/>
  <c r="Y50" i="37" s="1"/>
  <c r="Z50" i="37" s="1"/>
  <c r="AA50" i="37" s="1"/>
  <c r="W57" i="37"/>
  <c r="X57" i="37" s="1"/>
  <c r="Y57" i="37" s="1"/>
  <c r="Z57" i="37" s="1"/>
  <c r="AA57" i="37" s="1"/>
  <c r="W39" i="38"/>
  <c r="X39" i="38" s="1"/>
  <c r="Y39" i="38" s="1"/>
  <c r="Z39" i="38" s="1"/>
  <c r="AA39" i="38" s="1"/>
  <c r="W5" i="38"/>
  <c r="X5" i="38" s="1"/>
  <c r="Y5" i="38" s="1"/>
  <c r="Z5" i="38" s="1"/>
  <c r="AA5" i="38" s="1"/>
  <c r="W63" i="38"/>
  <c r="X63" i="38" s="1"/>
  <c r="Y63" i="38" s="1"/>
  <c r="Z63" i="38" s="1"/>
  <c r="AA63" i="38" s="1"/>
  <c r="W49" i="37"/>
  <c r="X49" i="37" s="1"/>
  <c r="Y49" i="37" s="1"/>
  <c r="Z49" i="37" s="1"/>
  <c r="AA49" i="37" s="1"/>
  <c r="W15" i="38"/>
  <c r="X15" i="38" s="1"/>
  <c r="Y15" i="38" s="1"/>
  <c r="Z15" i="38" s="1"/>
  <c r="AA15" i="38" s="1"/>
  <c r="W21" i="37"/>
  <c r="X21" i="37" s="1"/>
  <c r="Y21" i="37" s="1"/>
  <c r="Z21" i="37" s="1"/>
  <c r="AA21" i="37" s="1"/>
  <c r="W60" i="37"/>
  <c r="X60" i="37" s="1"/>
  <c r="Y60" i="37" s="1"/>
  <c r="Z60" i="37" s="1"/>
  <c r="AA60" i="37" s="1"/>
  <c r="W9" i="38"/>
  <c r="X9" i="38" s="1"/>
  <c r="Y9" i="38" s="1"/>
  <c r="Z9" i="38" s="1"/>
  <c r="AA9" i="38" s="1"/>
  <c r="W23" i="37"/>
  <c r="X23" i="37" s="1"/>
  <c r="Y23" i="37" s="1"/>
  <c r="Z23" i="37" s="1"/>
  <c r="AA23" i="37" s="1"/>
  <c r="W68" i="37"/>
  <c r="X68" i="37" s="1"/>
  <c r="Y68" i="37" s="1"/>
  <c r="Z68" i="37" s="1"/>
  <c r="AA68" i="37" s="1"/>
  <c r="W83" i="37"/>
  <c r="X83" i="37" s="1"/>
  <c r="Y83" i="37" s="1"/>
  <c r="Z83" i="37" s="1"/>
  <c r="AA83" i="37" s="1"/>
  <c r="W11" i="38"/>
  <c r="X11" i="38" s="1"/>
  <c r="Y11" i="38" s="1"/>
  <c r="Z11" i="38" s="1"/>
  <c r="AA11" i="38" s="1"/>
  <c r="W29" i="38"/>
  <c r="X29" i="38" s="1"/>
  <c r="Y29" i="38" s="1"/>
  <c r="Z29" i="38" s="1"/>
  <c r="AA29" i="38" s="1"/>
  <c r="W5" i="37"/>
  <c r="X5" i="37" s="1"/>
  <c r="Y5" i="37" s="1"/>
  <c r="Z5" i="37" s="1"/>
  <c r="AA5" i="37" s="1"/>
  <c r="W32" i="38"/>
  <c r="X32" i="38" s="1"/>
  <c r="Y32" i="38" s="1"/>
  <c r="Z32" i="38" s="1"/>
  <c r="AA32" i="38" s="1"/>
  <c r="W26" i="37"/>
  <c r="X26" i="37" s="1"/>
  <c r="Y26" i="37" s="1"/>
  <c r="Z26" i="37" s="1"/>
  <c r="AA26" i="37" s="1"/>
  <c r="W18" i="37"/>
  <c r="X18" i="37" s="1"/>
  <c r="Y18" i="37" s="1"/>
  <c r="Z18" i="37" s="1"/>
  <c r="AA18" i="37" s="1"/>
  <c r="W48" i="37"/>
  <c r="X48" i="37" s="1"/>
  <c r="Y48" i="37" s="1"/>
  <c r="Z48" i="37" s="1"/>
  <c r="AA48" i="37" s="1"/>
  <c r="W75" i="37"/>
  <c r="X75" i="37" s="1"/>
  <c r="Y75" i="37" s="1"/>
  <c r="Z75" i="37" s="1"/>
  <c r="AA75" i="37" s="1"/>
  <c r="W60" i="38"/>
  <c r="X60" i="38" s="1"/>
  <c r="Y60" i="38" s="1"/>
  <c r="Z60" i="38" s="1"/>
  <c r="AA60" i="38" s="1"/>
  <c r="W72" i="38"/>
  <c r="X72" i="38" s="1"/>
  <c r="Y72" i="38" s="1"/>
  <c r="Z72" i="38" s="1"/>
  <c r="AA72" i="38" s="1"/>
  <c r="W27" i="37"/>
  <c r="X27" i="37" s="1"/>
  <c r="Y27" i="37" s="1"/>
  <c r="Z27" i="37" s="1"/>
  <c r="AA27" i="37" s="1"/>
  <c r="W70" i="37"/>
  <c r="X70" i="37" s="1"/>
  <c r="Y70" i="37" s="1"/>
  <c r="Z70" i="37" s="1"/>
  <c r="AA70" i="37" s="1"/>
  <c r="W40" i="38"/>
  <c r="X40" i="38" s="1"/>
  <c r="Y40" i="38" s="1"/>
  <c r="Z40" i="38" s="1"/>
  <c r="AA40" i="38" s="1"/>
  <c r="W33" i="37"/>
  <c r="X33" i="37" s="1"/>
  <c r="Y33" i="37" s="1"/>
  <c r="Z33" i="37" s="1"/>
  <c r="AA33" i="37" s="1"/>
  <c r="W40" i="37"/>
  <c r="X40" i="37" s="1"/>
  <c r="Y40" i="37" s="1"/>
  <c r="Z40" i="37" s="1"/>
  <c r="AA40" i="37" s="1"/>
  <c r="W71" i="37"/>
  <c r="X71" i="37" s="1"/>
  <c r="Y71" i="37" s="1"/>
  <c r="Z71" i="37" s="1"/>
  <c r="AA71" i="37" s="1"/>
  <c r="W19" i="38"/>
  <c r="X19" i="38" s="1"/>
  <c r="Y19" i="38" s="1"/>
  <c r="Z19" i="38" s="1"/>
  <c r="AA19" i="38" s="1"/>
  <c r="W71" i="36"/>
  <c r="X71" i="36" s="1"/>
  <c r="Y71" i="36" s="1"/>
  <c r="Z71" i="36" s="1"/>
  <c r="AA71" i="36" s="1"/>
  <c r="W81" i="36"/>
  <c r="X81" i="36" s="1"/>
  <c r="Y81" i="36" s="1"/>
  <c r="Z81" i="36" s="1"/>
  <c r="AA81" i="36" s="1"/>
  <c r="W73" i="36"/>
  <c r="X73" i="36" s="1"/>
  <c r="Y73" i="36" s="1"/>
  <c r="Z73" i="36" s="1"/>
  <c r="AA73" i="36" s="1"/>
  <c r="W72" i="36"/>
  <c r="X72" i="36" s="1"/>
  <c r="Y72" i="36" s="1"/>
  <c r="Z72" i="36" s="1"/>
  <c r="AA72" i="36" s="1"/>
  <c r="W49" i="36"/>
  <c r="X49" i="36" s="1"/>
  <c r="Y49" i="36" s="1"/>
  <c r="Z49" i="36" s="1"/>
  <c r="AA49" i="36" s="1"/>
  <c r="W37" i="36"/>
  <c r="X37" i="36" s="1"/>
  <c r="Y37" i="36" s="1"/>
  <c r="Z37" i="36" s="1"/>
  <c r="AA37" i="36" s="1"/>
  <c r="W84" i="36"/>
  <c r="X84" i="36" s="1"/>
  <c r="Y84" i="36" s="1"/>
  <c r="Z84" i="36" s="1"/>
  <c r="AA84" i="36" s="1"/>
  <c r="W68" i="36"/>
  <c r="X68" i="36" s="1"/>
  <c r="Y68" i="36" s="1"/>
  <c r="Z68" i="36" s="1"/>
  <c r="AA68" i="36" s="1"/>
  <c r="W64" i="36"/>
  <c r="X64" i="36" s="1"/>
  <c r="Y64" i="36" s="1"/>
  <c r="Z64" i="36" s="1"/>
  <c r="AA64" i="36" s="1"/>
  <c r="W36" i="36"/>
  <c r="X36" i="36" s="1"/>
  <c r="Y36" i="36" s="1"/>
  <c r="Z36" i="36" s="1"/>
  <c r="AA36" i="36" s="1"/>
  <c r="W38" i="36"/>
  <c r="X38" i="36" s="1"/>
  <c r="Y38" i="36" s="1"/>
  <c r="Z38" i="36" s="1"/>
  <c r="AA38" i="36" s="1"/>
  <c r="W44" i="36"/>
  <c r="X44" i="36" s="1"/>
  <c r="Y44" i="36" s="1"/>
  <c r="Z44" i="36" s="1"/>
  <c r="AA44" i="36" s="1"/>
  <c r="W40" i="36"/>
  <c r="X40" i="36" s="1"/>
  <c r="Y40" i="36" s="1"/>
  <c r="Z40" i="36" s="1"/>
  <c r="AA40" i="36" s="1"/>
  <c r="W28" i="36"/>
  <c r="X28" i="36" s="1"/>
  <c r="Y28" i="36" s="1"/>
  <c r="Z28" i="36" s="1"/>
  <c r="AA28" i="36" s="1"/>
  <c r="W18" i="36"/>
  <c r="X18" i="36" s="1"/>
  <c r="Y18" i="36" s="1"/>
  <c r="Z18" i="36" s="1"/>
  <c r="AA18" i="36" s="1"/>
  <c r="W26" i="36"/>
  <c r="X26" i="36" s="1"/>
  <c r="Y26" i="36" s="1"/>
  <c r="Z26" i="36" s="1"/>
  <c r="AA26" i="36" s="1"/>
  <c r="W20" i="36"/>
  <c r="X20" i="36" s="1"/>
  <c r="Y20" i="36" s="1"/>
  <c r="Z20" i="36" s="1"/>
  <c r="AA20" i="36" s="1"/>
  <c r="W21" i="36"/>
  <c r="X21" i="36" s="1"/>
  <c r="Y21" i="36" s="1"/>
  <c r="Z21" i="36" s="1"/>
  <c r="AA21" i="36" s="1"/>
  <c r="W13" i="36"/>
  <c r="X13" i="36" s="1"/>
  <c r="Y13" i="36" s="1"/>
  <c r="Z13" i="36" s="1"/>
  <c r="AA13" i="36" s="1"/>
  <c r="W11" i="36"/>
  <c r="X11" i="36" s="1"/>
  <c r="Y11" i="36" s="1"/>
  <c r="Z11" i="36" s="1"/>
  <c r="AA11" i="36" s="1"/>
  <c r="W52" i="36"/>
  <c r="X52" i="36" s="1"/>
  <c r="Y52" i="36" s="1"/>
  <c r="Z52" i="36" s="1"/>
  <c r="AA52" i="36" s="1"/>
  <c r="W57" i="36"/>
  <c r="X57" i="36" s="1"/>
  <c r="Y57" i="36" s="1"/>
  <c r="Z57" i="36" s="1"/>
  <c r="AA57" i="36" s="1"/>
  <c r="W55" i="36"/>
  <c r="X55" i="36" s="1"/>
  <c r="Y55" i="36" s="1"/>
  <c r="Z55" i="36" s="1"/>
  <c r="AA55" i="36" s="1"/>
  <c r="W51" i="36"/>
  <c r="X51" i="36" s="1"/>
  <c r="Y51" i="36" s="1"/>
  <c r="Z51" i="36" s="1"/>
  <c r="AA51" i="36" s="1"/>
  <c r="W4" i="36"/>
  <c r="X4" i="36" s="1"/>
  <c r="Y4" i="36" s="1"/>
  <c r="Z4" i="36" s="1"/>
  <c r="AA4" i="36" s="1"/>
  <c r="W59" i="36"/>
  <c r="X59" i="36" s="1"/>
  <c r="Y59" i="36" s="1"/>
  <c r="Z59" i="36" s="1"/>
  <c r="AA59" i="36" s="1"/>
  <c r="W8" i="36"/>
  <c r="X8" i="36" s="1"/>
  <c r="Y8" i="36" s="1"/>
  <c r="Z8" i="36" s="1"/>
  <c r="AA8" i="36" s="1"/>
  <c r="W6" i="36"/>
  <c r="X6" i="36" s="1"/>
  <c r="Y6" i="36" s="1"/>
  <c r="Z6" i="36" s="1"/>
  <c r="AA6" i="36" s="1"/>
  <c r="W77" i="36"/>
  <c r="X77" i="36" s="1"/>
  <c r="Y77" i="36" s="1"/>
  <c r="Z77" i="36" s="1"/>
  <c r="AA77" i="36" s="1"/>
  <c r="W69" i="36"/>
  <c r="X69" i="36" s="1"/>
  <c r="Y69" i="36" s="1"/>
  <c r="Z69" i="36" s="1"/>
  <c r="AA69" i="36" s="1"/>
  <c r="W60" i="36"/>
  <c r="X60" i="36" s="1"/>
  <c r="Y60" i="36" s="1"/>
  <c r="Z60" i="36" s="1"/>
  <c r="AA60" i="36" s="1"/>
  <c r="W66" i="36"/>
  <c r="X66" i="36" s="1"/>
  <c r="Y66" i="36" s="1"/>
  <c r="Z66" i="36" s="1"/>
  <c r="AA66" i="36" s="1"/>
  <c r="W33" i="36"/>
  <c r="X33" i="36" s="1"/>
  <c r="Y33" i="36" s="1"/>
  <c r="Z33" i="36" s="1"/>
  <c r="AA33" i="36" s="1"/>
  <c r="W80" i="36"/>
  <c r="X80" i="36" s="1"/>
  <c r="Y80" i="36" s="1"/>
  <c r="Z80" i="36" s="1"/>
  <c r="AA80" i="36" s="1"/>
  <c r="W50" i="36"/>
  <c r="X50" i="36" s="1"/>
  <c r="Y50" i="36" s="1"/>
  <c r="Z50" i="36" s="1"/>
  <c r="AA50" i="36" s="1"/>
  <c r="W43" i="36"/>
  <c r="X43" i="36" s="1"/>
  <c r="Y43" i="36" s="1"/>
  <c r="Z43" i="36" s="1"/>
  <c r="AA43" i="36" s="1"/>
  <c r="W47" i="36"/>
  <c r="X47" i="36" s="1"/>
  <c r="Y47" i="36" s="1"/>
  <c r="Z47" i="36" s="1"/>
  <c r="AA47" i="36" s="1"/>
  <c r="W27" i="36"/>
  <c r="X27" i="36" s="1"/>
  <c r="Y27" i="36" s="1"/>
  <c r="Z27" i="36" s="1"/>
  <c r="AA27" i="36" s="1"/>
  <c r="W14" i="36"/>
  <c r="X14" i="36" s="1"/>
  <c r="Y14" i="36" s="1"/>
  <c r="Z14" i="36" s="1"/>
  <c r="AA14" i="36" s="1"/>
  <c r="W32" i="36"/>
  <c r="X32" i="36" s="1"/>
  <c r="Y32" i="36" s="1"/>
  <c r="Z32" i="36" s="1"/>
  <c r="AA32" i="36" s="1"/>
  <c r="W17" i="36"/>
  <c r="X17" i="36" s="1"/>
  <c r="Y17" i="36" s="1"/>
  <c r="Z17" i="36" s="1"/>
  <c r="AA17" i="36" s="1"/>
  <c r="W9" i="36"/>
  <c r="X9" i="36" s="1"/>
  <c r="Y9" i="36" s="1"/>
  <c r="Z9" i="36" s="1"/>
  <c r="AA9" i="36" s="1"/>
  <c r="W5" i="36"/>
  <c r="X5" i="36" s="1"/>
  <c r="Y5" i="36" s="1"/>
  <c r="Z5" i="36" s="1"/>
  <c r="AA5" i="36" s="1"/>
  <c r="W19" i="36"/>
  <c r="X19" i="36" s="1"/>
  <c r="Y19" i="36" s="1"/>
  <c r="Z19" i="36" s="1"/>
  <c r="AA19" i="36" s="1"/>
  <c r="W58" i="36"/>
  <c r="X58" i="36" s="1"/>
  <c r="Y58" i="36" s="1"/>
  <c r="Z58" i="36" s="1"/>
  <c r="AA58" i="36" s="1"/>
  <c r="W34" i="36"/>
  <c r="X34" i="36" s="1"/>
  <c r="Y34" i="36" s="1"/>
  <c r="Z34" i="36" s="1"/>
  <c r="AA34" i="36" s="1"/>
  <c r="W31" i="36"/>
  <c r="X31" i="36" s="1"/>
  <c r="Y31" i="36" s="1"/>
  <c r="Z31" i="36" s="1"/>
  <c r="AA31" i="36" s="1"/>
  <c r="W65" i="36"/>
  <c r="X65" i="36" s="1"/>
  <c r="Y65" i="36" s="1"/>
  <c r="Z65" i="36" s="1"/>
  <c r="AA65" i="36" s="1"/>
  <c r="W54" i="36"/>
  <c r="X54" i="36" s="1"/>
  <c r="Y54" i="36" s="1"/>
  <c r="Z54" i="36" s="1"/>
  <c r="AA54" i="36" s="1"/>
  <c r="W78" i="36"/>
  <c r="X78" i="36" s="1"/>
  <c r="Y78" i="36" s="1"/>
  <c r="Z78" i="36" s="1"/>
  <c r="AA78" i="36" s="1"/>
  <c r="W12" i="36"/>
  <c r="X12" i="36" s="1"/>
  <c r="Y12" i="36" s="1"/>
  <c r="Z12" i="36" s="1"/>
  <c r="AA12" i="36" s="1"/>
  <c r="W30" i="36"/>
  <c r="X30" i="36" s="1"/>
  <c r="Y30" i="36" s="1"/>
  <c r="Z30" i="36" s="1"/>
  <c r="AA30" i="36" s="1"/>
  <c r="W67" i="36"/>
  <c r="X67" i="36" s="1"/>
  <c r="Y67" i="36" s="1"/>
  <c r="Z67" i="36" s="1"/>
  <c r="AA67" i="36" s="1"/>
  <c r="W82" i="36"/>
  <c r="X82" i="36" s="1"/>
  <c r="Y82" i="36" s="1"/>
  <c r="Z82" i="36" s="1"/>
  <c r="AA82" i="36" s="1"/>
  <c r="W22" i="36"/>
  <c r="X22" i="36" s="1"/>
  <c r="Y22" i="36" s="1"/>
  <c r="Z22" i="36" s="1"/>
  <c r="AA22" i="36" s="1"/>
  <c r="W29" i="36"/>
  <c r="X29" i="36" s="1"/>
  <c r="Y29" i="36" s="1"/>
  <c r="Z29" i="36" s="1"/>
  <c r="AA29" i="36" s="1"/>
  <c r="W48" i="36"/>
  <c r="X48" i="36" s="1"/>
  <c r="Y48" i="36" s="1"/>
  <c r="Z48" i="36" s="1"/>
  <c r="AA48" i="36" s="1"/>
  <c r="W42" i="36"/>
  <c r="X42" i="36" s="1"/>
  <c r="Y42" i="36" s="1"/>
  <c r="Z42" i="36" s="1"/>
  <c r="AA42" i="36" s="1"/>
  <c r="W76" i="36"/>
  <c r="X76" i="36" s="1"/>
  <c r="Y76" i="36" s="1"/>
  <c r="Z76" i="36" s="1"/>
  <c r="AA76" i="36" s="1"/>
  <c r="W62" i="36"/>
  <c r="X62" i="36" s="1"/>
  <c r="Y62" i="36" s="1"/>
  <c r="Z62" i="36" s="1"/>
  <c r="AA62" i="36" s="1"/>
  <c r="W23" i="36"/>
  <c r="X23" i="36" s="1"/>
  <c r="Y23" i="36" s="1"/>
  <c r="Z23" i="36" s="1"/>
  <c r="AA23" i="36" s="1"/>
  <c r="W25" i="36"/>
  <c r="X25" i="36" s="1"/>
  <c r="Y25" i="36" s="1"/>
  <c r="Z25" i="36" s="1"/>
  <c r="AA25" i="36" s="1"/>
  <c r="W35" i="36"/>
  <c r="X35" i="36" s="1"/>
  <c r="Y35" i="36" s="1"/>
  <c r="Z35" i="36" s="1"/>
  <c r="AA35" i="36" s="1"/>
  <c r="W83" i="36"/>
  <c r="X83" i="36" s="1"/>
  <c r="Y83" i="36" s="1"/>
  <c r="Z83" i="36" s="1"/>
  <c r="AA83" i="36" s="1"/>
  <c r="W15" i="36"/>
  <c r="X15" i="36" s="1"/>
  <c r="Y15" i="36" s="1"/>
  <c r="Z15" i="36" s="1"/>
  <c r="AA15" i="36" s="1"/>
  <c r="W75" i="36"/>
  <c r="X75" i="36" s="1"/>
  <c r="Y75" i="36" s="1"/>
  <c r="Z75" i="36" s="1"/>
  <c r="AA75" i="36" s="1"/>
  <c r="W10" i="36"/>
  <c r="X10" i="36" s="1"/>
  <c r="Y10" i="36" s="1"/>
  <c r="Z10" i="36" s="1"/>
  <c r="AA10" i="36" s="1"/>
  <c r="W41" i="36"/>
  <c r="X41" i="36" s="1"/>
  <c r="Y41" i="36" s="1"/>
  <c r="Z41" i="36" s="1"/>
  <c r="AA41" i="36" s="1"/>
  <c r="W74" i="36"/>
  <c r="X74" i="36" s="1"/>
  <c r="Y74" i="36" s="1"/>
  <c r="Z74" i="36" s="1"/>
  <c r="AA74" i="36" s="1"/>
  <c r="W61" i="36"/>
  <c r="X61" i="36" s="1"/>
  <c r="Y61" i="36" s="1"/>
  <c r="Z61" i="36" s="1"/>
  <c r="AA61" i="36" s="1"/>
  <c r="W45" i="36"/>
  <c r="X45" i="36" s="1"/>
  <c r="Y45" i="36" s="1"/>
  <c r="Z45" i="36" s="1"/>
  <c r="AA45" i="36" s="1"/>
  <c r="W63" i="36"/>
  <c r="X63" i="36" s="1"/>
  <c r="Y63" i="36" s="1"/>
  <c r="Z63" i="36" s="1"/>
  <c r="AA63" i="36" s="1"/>
  <c r="W16" i="36"/>
  <c r="X16" i="36" s="1"/>
  <c r="Y16" i="36" s="1"/>
  <c r="Z16" i="36" s="1"/>
  <c r="AA16" i="36" s="1"/>
  <c r="W79" i="36"/>
  <c r="X79" i="36" s="1"/>
  <c r="Y79" i="36" s="1"/>
  <c r="Z79" i="36" s="1"/>
  <c r="AA79" i="36" s="1"/>
  <c r="W24" i="36"/>
  <c r="X24" i="36" s="1"/>
  <c r="Y24" i="36" s="1"/>
  <c r="Z24" i="36" s="1"/>
  <c r="AA24" i="36" s="1"/>
  <c r="W56" i="36"/>
  <c r="X56" i="36" s="1"/>
  <c r="Y56" i="36" s="1"/>
  <c r="Z56" i="36" s="1"/>
  <c r="AA56" i="36" s="1"/>
  <c r="W46" i="36"/>
  <c r="X46" i="36" s="1"/>
  <c r="Y46" i="36" s="1"/>
  <c r="Z46" i="36" s="1"/>
  <c r="AA46" i="36" s="1"/>
  <c r="W39" i="36"/>
  <c r="X39" i="36" s="1"/>
  <c r="Y39" i="36" s="1"/>
  <c r="Z39" i="36" s="1"/>
  <c r="AA39" i="36" s="1"/>
  <c r="W53" i="36"/>
  <c r="X53" i="36" s="1"/>
  <c r="Y53" i="36" s="1"/>
  <c r="Z53" i="36" s="1"/>
  <c r="AA53" i="36" s="1"/>
  <c r="W70" i="36"/>
  <c r="X70" i="36" s="1"/>
  <c r="Y70" i="36" s="1"/>
  <c r="Z70" i="36" s="1"/>
  <c r="AA70" i="36" s="1"/>
  <c r="W7" i="36"/>
  <c r="X7" i="36" s="1"/>
  <c r="Y7" i="36" s="1"/>
  <c r="Z7" i="36" s="1"/>
  <c r="AA7" i="36" s="1"/>
  <c r="G118" i="33"/>
  <c r="G118" i="42"/>
  <c r="E111" i="42"/>
  <c r="E111" i="33"/>
  <c r="B191" i="33"/>
  <c r="B191" i="42"/>
  <c r="C112" i="18"/>
  <c r="W9" i="26"/>
  <c r="X9" i="26" s="1"/>
  <c r="Y9" i="26" s="1"/>
  <c r="Z9" i="26" s="1"/>
  <c r="AA9" i="26" s="1"/>
  <c r="W29" i="26"/>
  <c r="X29" i="26" s="1"/>
  <c r="Y29" i="26" s="1"/>
  <c r="Z29" i="26" s="1"/>
  <c r="AA29" i="26" s="1"/>
  <c r="W78" i="26"/>
  <c r="X78" i="26" s="1"/>
  <c r="Y78" i="26" s="1"/>
  <c r="Z78" i="26" s="1"/>
  <c r="AA78" i="26" s="1"/>
  <c r="W36" i="26"/>
  <c r="X36" i="26" s="1"/>
  <c r="Y36" i="26" s="1"/>
  <c r="Z36" i="26" s="1"/>
  <c r="AA36" i="26" s="1"/>
  <c r="W43" i="26"/>
  <c r="X43" i="26" s="1"/>
  <c r="Y43" i="26" s="1"/>
  <c r="Z43" i="26" s="1"/>
  <c r="AA43" i="26" s="1"/>
  <c r="W62" i="26"/>
  <c r="X62" i="26" s="1"/>
  <c r="Y62" i="26" s="1"/>
  <c r="Z62" i="26" s="1"/>
  <c r="AA62" i="26" s="1"/>
  <c r="W82" i="26"/>
  <c r="X82" i="26" s="1"/>
  <c r="Y82" i="26" s="1"/>
  <c r="Z82" i="26" s="1"/>
  <c r="AA82" i="26" s="1"/>
  <c r="W76" i="26"/>
  <c r="X76" i="26" s="1"/>
  <c r="Y76" i="26" s="1"/>
  <c r="Z76" i="26" s="1"/>
  <c r="AA76" i="26" s="1"/>
  <c r="W37" i="26"/>
  <c r="X37" i="26" s="1"/>
  <c r="Y37" i="26" s="1"/>
  <c r="Z37" i="26" s="1"/>
  <c r="AA37" i="26" s="1"/>
  <c r="W21" i="26"/>
  <c r="X21" i="26" s="1"/>
  <c r="Y21" i="26" s="1"/>
  <c r="Z21" i="26" s="1"/>
  <c r="AA21" i="26" s="1"/>
  <c r="W5" i="26"/>
  <c r="X5" i="26" s="1"/>
  <c r="Y5" i="26" s="1"/>
  <c r="Z5" i="26" s="1"/>
  <c r="AA5" i="26" s="1"/>
  <c r="W4" i="26"/>
  <c r="X4" i="26" s="1"/>
  <c r="Y4" i="26" s="1"/>
  <c r="Z4" i="26" s="1"/>
  <c r="AA4" i="26" s="1"/>
  <c r="W27" i="26"/>
  <c r="X27" i="26" s="1"/>
  <c r="Y27" i="26" s="1"/>
  <c r="Z27" i="26" s="1"/>
  <c r="AA27" i="26" s="1"/>
  <c r="W8" i="26"/>
  <c r="X8" i="26" s="1"/>
  <c r="Y8" i="26" s="1"/>
  <c r="Z8" i="26" s="1"/>
  <c r="AA8" i="26" s="1"/>
  <c r="W23" i="26"/>
  <c r="X23" i="26" s="1"/>
  <c r="Y23" i="26" s="1"/>
  <c r="Z23" i="26" s="1"/>
  <c r="AA23" i="26" s="1"/>
  <c r="W45" i="26"/>
  <c r="X45" i="26" s="1"/>
  <c r="Y45" i="26" s="1"/>
  <c r="Z45" i="26" s="1"/>
  <c r="AA45" i="26" s="1"/>
  <c r="W46" i="26"/>
  <c r="X46" i="26" s="1"/>
  <c r="Y46" i="26" s="1"/>
  <c r="Z46" i="26" s="1"/>
  <c r="AA46" i="26" s="1"/>
  <c r="W16" i="26"/>
  <c r="X16" i="26" s="1"/>
  <c r="Y16" i="26" s="1"/>
  <c r="Z16" i="26" s="1"/>
  <c r="AA16" i="26" s="1"/>
  <c r="W32" i="26"/>
  <c r="X32" i="26" s="1"/>
  <c r="Y32" i="26" s="1"/>
  <c r="Z32" i="26" s="1"/>
  <c r="AA32" i="26" s="1"/>
  <c r="W48" i="26"/>
  <c r="X48" i="26" s="1"/>
  <c r="Y48" i="26" s="1"/>
  <c r="Z48" i="26" s="1"/>
  <c r="AA48" i="26" s="1"/>
  <c r="W39" i="26"/>
  <c r="X39" i="26" s="1"/>
  <c r="Y39" i="26" s="1"/>
  <c r="Z39" i="26" s="1"/>
  <c r="AA39" i="26" s="1"/>
  <c r="W69" i="26"/>
  <c r="X69" i="26" s="1"/>
  <c r="Y69" i="26" s="1"/>
  <c r="Z69" i="26" s="1"/>
  <c r="AA69" i="26" s="1"/>
  <c r="W65" i="26"/>
  <c r="X65" i="26" s="1"/>
  <c r="Y65" i="26" s="1"/>
  <c r="Z65" i="26" s="1"/>
  <c r="AA65" i="26" s="1"/>
  <c r="W58" i="26"/>
  <c r="X58" i="26" s="1"/>
  <c r="Y58" i="26" s="1"/>
  <c r="Z58" i="26" s="1"/>
  <c r="AA58" i="26" s="1"/>
  <c r="W83" i="26"/>
  <c r="X83" i="26" s="1"/>
  <c r="Y83" i="26" s="1"/>
  <c r="Z83" i="26" s="1"/>
  <c r="AA83" i="26" s="1"/>
  <c r="W74" i="26"/>
  <c r="X74" i="26" s="1"/>
  <c r="Y74" i="26" s="1"/>
  <c r="Z74" i="26" s="1"/>
  <c r="AA74" i="26" s="1"/>
  <c r="W72" i="26"/>
  <c r="X72" i="26" s="1"/>
  <c r="Y72" i="26" s="1"/>
  <c r="Z72" i="26" s="1"/>
  <c r="AA72" i="26" s="1"/>
  <c r="W73" i="26"/>
  <c r="X73" i="26" s="1"/>
  <c r="Y73" i="26" s="1"/>
  <c r="Z73" i="26" s="1"/>
  <c r="AA73" i="26" s="1"/>
  <c r="W55" i="26"/>
  <c r="X55" i="26" s="1"/>
  <c r="Y55" i="26" s="1"/>
  <c r="Z55" i="26" s="1"/>
  <c r="AA55" i="26" s="1"/>
  <c r="W38" i="26"/>
  <c r="X38" i="26" s="1"/>
  <c r="Y38" i="26" s="1"/>
  <c r="Z38" i="26" s="1"/>
  <c r="AA38" i="26" s="1"/>
  <c r="W10" i="26"/>
  <c r="X10" i="26" s="1"/>
  <c r="Y10" i="26" s="1"/>
  <c r="Z10" i="26" s="1"/>
  <c r="AA10" i="26" s="1"/>
  <c r="W52" i="26"/>
  <c r="X52" i="26" s="1"/>
  <c r="Y52" i="26" s="1"/>
  <c r="Z52" i="26" s="1"/>
  <c r="AA52" i="26" s="1"/>
  <c r="W41" i="26"/>
  <c r="X41" i="26" s="1"/>
  <c r="Y41" i="26" s="1"/>
  <c r="Z41" i="26" s="1"/>
  <c r="AA41" i="26" s="1"/>
  <c r="W19" i="26"/>
  <c r="X19" i="26" s="1"/>
  <c r="Y19" i="26" s="1"/>
  <c r="Z19" i="26" s="1"/>
  <c r="AA19" i="26" s="1"/>
  <c r="W13" i="26"/>
  <c r="X13" i="26" s="1"/>
  <c r="Y13" i="26" s="1"/>
  <c r="Z13" i="26" s="1"/>
  <c r="AA13" i="26" s="1"/>
  <c r="W34" i="26"/>
  <c r="X34" i="26" s="1"/>
  <c r="Y34" i="26" s="1"/>
  <c r="Z34" i="26" s="1"/>
  <c r="AA34" i="26" s="1"/>
  <c r="W14" i="26"/>
  <c r="X14" i="26" s="1"/>
  <c r="Y14" i="26" s="1"/>
  <c r="Z14" i="26" s="1"/>
  <c r="AA14" i="26" s="1"/>
  <c r="W59" i="26"/>
  <c r="X59" i="26" s="1"/>
  <c r="Y59" i="26" s="1"/>
  <c r="Z59" i="26" s="1"/>
  <c r="AA59" i="26" s="1"/>
  <c r="W24" i="26"/>
  <c r="X24" i="26" s="1"/>
  <c r="Y24" i="26" s="1"/>
  <c r="Z24" i="26" s="1"/>
  <c r="AA24" i="26" s="1"/>
  <c r="W40" i="26"/>
  <c r="X40" i="26" s="1"/>
  <c r="Y40" i="26" s="1"/>
  <c r="Z40" i="26" s="1"/>
  <c r="AA40" i="26" s="1"/>
  <c r="W70" i="26"/>
  <c r="X70" i="26" s="1"/>
  <c r="Y70" i="26" s="1"/>
  <c r="Z70" i="26" s="1"/>
  <c r="AA70" i="26" s="1"/>
  <c r="W47" i="26"/>
  <c r="X47" i="26" s="1"/>
  <c r="Y47" i="26" s="1"/>
  <c r="Z47" i="26" s="1"/>
  <c r="AA47" i="26" s="1"/>
  <c r="W56" i="26"/>
  <c r="X56" i="26" s="1"/>
  <c r="Y56" i="26" s="1"/>
  <c r="Z56" i="26" s="1"/>
  <c r="AA56" i="26" s="1"/>
  <c r="W79" i="26"/>
  <c r="X79" i="26" s="1"/>
  <c r="Y79" i="26" s="1"/>
  <c r="Z79" i="26" s="1"/>
  <c r="AA79" i="26" s="1"/>
  <c r="W67" i="26"/>
  <c r="X67" i="26" s="1"/>
  <c r="Y67" i="26" s="1"/>
  <c r="Z67" i="26" s="1"/>
  <c r="AA67" i="26" s="1"/>
  <c r="W61" i="26"/>
  <c r="X61" i="26" s="1"/>
  <c r="Y61" i="26" s="1"/>
  <c r="Z61" i="26" s="1"/>
  <c r="AA61" i="26" s="1"/>
  <c r="W64" i="26"/>
  <c r="X64" i="26" s="1"/>
  <c r="Y64" i="26" s="1"/>
  <c r="Z64" i="26" s="1"/>
  <c r="AA64" i="26" s="1"/>
  <c r="W80" i="26"/>
  <c r="X80" i="26" s="1"/>
  <c r="Y80" i="26" s="1"/>
  <c r="Z80" i="26" s="1"/>
  <c r="AA80" i="26" s="1"/>
  <c r="W81" i="26"/>
  <c r="X81" i="26" s="1"/>
  <c r="Y81" i="26" s="1"/>
  <c r="Z81" i="26" s="1"/>
  <c r="AA81" i="26" s="1"/>
  <c r="W50" i="26"/>
  <c r="X50" i="26" s="1"/>
  <c r="Y50" i="26" s="1"/>
  <c r="Z50" i="26" s="1"/>
  <c r="AA50" i="26" s="1"/>
  <c r="W33" i="26"/>
  <c r="X33" i="26" s="1"/>
  <c r="Y33" i="26" s="1"/>
  <c r="Z33" i="26" s="1"/>
  <c r="AA33" i="26" s="1"/>
  <c r="W17" i="26"/>
  <c r="X17" i="26" s="1"/>
  <c r="Y17" i="26" s="1"/>
  <c r="Z17" i="26" s="1"/>
  <c r="AA17" i="26" s="1"/>
  <c r="W11" i="26"/>
  <c r="W26" i="26"/>
  <c r="X26" i="26" s="1"/>
  <c r="Y26" i="26" s="1"/>
  <c r="Z26" i="26" s="1"/>
  <c r="AA26" i="26" s="1"/>
  <c r="W6" i="26"/>
  <c r="X6" i="26" s="1"/>
  <c r="Y6" i="26" s="1"/>
  <c r="Z6" i="26" s="1"/>
  <c r="AA6" i="26" s="1"/>
  <c r="W49" i="26"/>
  <c r="X49" i="26" s="1"/>
  <c r="Y49" i="26" s="1"/>
  <c r="Z49" i="26" s="1"/>
  <c r="AA49" i="26" s="1"/>
  <c r="W20" i="26"/>
  <c r="X20" i="26" s="1"/>
  <c r="Y20" i="26" s="1"/>
  <c r="Z20" i="26" s="1"/>
  <c r="AA20" i="26" s="1"/>
  <c r="W53" i="26"/>
  <c r="X53" i="26" s="1"/>
  <c r="Y53" i="26" s="1"/>
  <c r="Z53" i="26" s="1"/>
  <c r="AA53" i="26" s="1"/>
  <c r="W71" i="26"/>
  <c r="X71" i="26" s="1"/>
  <c r="Y71" i="26" s="1"/>
  <c r="Z71" i="26" s="1"/>
  <c r="AA71" i="26" s="1"/>
  <c r="W57" i="26"/>
  <c r="X57" i="26" s="1"/>
  <c r="Y57" i="26" s="1"/>
  <c r="Z57" i="26" s="1"/>
  <c r="AA57" i="26" s="1"/>
  <c r="W77" i="26"/>
  <c r="X77" i="26" s="1"/>
  <c r="Y77" i="26" s="1"/>
  <c r="Z77" i="26" s="1"/>
  <c r="AA77" i="26" s="1"/>
  <c r="W31" i="26"/>
  <c r="X31" i="26" s="1"/>
  <c r="Y31" i="26" s="1"/>
  <c r="Z31" i="26" s="1"/>
  <c r="AA31" i="26" s="1"/>
  <c r="W15" i="26"/>
  <c r="X15" i="26" s="1"/>
  <c r="Y15" i="26" s="1"/>
  <c r="Z15" i="26" s="1"/>
  <c r="AA15" i="26" s="1"/>
  <c r="W25" i="26"/>
  <c r="X25" i="26" s="1"/>
  <c r="Y25" i="26" s="1"/>
  <c r="Z25" i="26" s="1"/>
  <c r="AA25" i="26" s="1"/>
  <c r="W18" i="26"/>
  <c r="X18" i="26" s="1"/>
  <c r="Y18" i="26" s="1"/>
  <c r="Z18" i="26" s="1"/>
  <c r="AA18" i="26" s="1"/>
  <c r="W42" i="26"/>
  <c r="X42" i="26" s="1"/>
  <c r="Y42" i="26" s="1"/>
  <c r="Z42" i="26" s="1"/>
  <c r="AA42" i="26" s="1"/>
  <c r="W30" i="26"/>
  <c r="X30" i="26" s="1"/>
  <c r="Y30" i="26" s="1"/>
  <c r="Z30" i="26" s="1"/>
  <c r="AA30" i="26" s="1"/>
  <c r="W63" i="26"/>
  <c r="X63" i="26" s="1"/>
  <c r="Y63" i="26" s="1"/>
  <c r="Z63" i="26" s="1"/>
  <c r="AA63" i="26" s="1"/>
  <c r="W28" i="26"/>
  <c r="X28" i="26" s="1"/>
  <c r="Y28" i="26" s="1"/>
  <c r="Z28" i="26" s="1"/>
  <c r="AA28" i="26" s="1"/>
  <c r="W44" i="26"/>
  <c r="X44" i="26" s="1"/>
  <c r="Y44" i="26" s="1"/>
  <c r="Z44" i="26" s="1"/>
  <c r="AA44" i="26" s="1"/>
  <c r="W35" i="26"/>
  <c r="X35" i="26" s="1"/>
  <c r="Y35" i="26" s="1"/>
  <c r="Z35" i="26" s="1"/>
  <c r="AA35" i="26" s="1"/>
  <c r="W51" i="26"/>
  <c r="X51" i="26" s="1"/>
  <c r="Y51" i="26" s="1"/>
  <c r="Z51" i="26" s="1"/>
  <c r="AA51" i="26" s="1"/>
  <c r="W60" i="26"/>
  <c r="X60" i="26" s="1"/>
  <c r="Y60" i="26" s="1"/>
  <c r="Z60" i="26" s="1"/>
  <c r="AA60" i="26" s="1"/>
  <c r="W54" i="26"/>
  <c r="X54" i="26" s="1"/>
  <c r="Y54" i="26" s="1"/>
  <c r="Z54" i="26" s="1"/>
  <c r="AA54" i="26" s="1"/>
  <c r="W75" i="26"/>
  <c r="X75" i="26" s="1"/>
  <c r="Y75" i="26" s="1"/>
  <c r="Z75" i="26" s="1"/>
  <c r="AA75" i="26" s="1"/>
  <c r="W66" i="26"/>
  <c r="X66" i="26" s="1"/>
  <c r="Y66" i="26" s="1"/>
  <c r="Z66" i="26" s="1"/>
  <c r="AA66" i="26" s="1"/>
  <c r="W68" i="26"/>
  <c r="X68" i="26" s="1"/>
  <c r="Y68" i="26" s="1"/>
  <c r="Z68" i="26" s="1"/>
  <c r="AA68" i="26" s="1"/>
  <c r="W84" i="26"/>
  <c r="X84" i="26" s="1"/>
  <c r="Y84" i="26" s="1"/>
  <c r="Z84" i="26" s="1"/>
  <c r="AA84" i="26" s="1"/>
  <c r="W12" i="26"/>
  <c r="X12" i="26" s="1"/>
  <c r="Y12" i="26" s="1"/>
  <c r="Z12" i="26" s="1"/>
  <c r="AA12" i="26" s="1"/>
  <c r="W22" i="26"/>
  <c r="X22" i="26" s="1"/>
  <c r="Y22" i="26" s="1"/>
  <c r="Z22" i="26" s="1"/>
  <c r="AA22" i="26" s="1"/>
  <c r="W7" i="26"/>
  <c r="X7" i="26" s="1"/>
  <c r="Y7" i="26" s="1"/>
  <c r="Z7" i="26" s="1"/>
  <c r="AA7" i="26" s="1"/>
  <c r="O85" i="10"/>
  <c r="V70" i="10"/>
  <c r="V6" i="10"/>
  <c r="V76" i="10"/>
  <c r="V54" i="10"/>
  <c r="V33" i="10"/>
  <c r="V12" i="10"/>
  <c r="V28" i="10"/>
  <c r="V65" i="10"/>
  <c r="V44" i="10"/>
  <c r="W44" i="10" s="1"/>
  <c r="X44" i="10" s="1"/>
  <c r="Y44" i="10" s="1"/>
  <c r="Z44" i="10" s="1"/>
  <c r="AA44" i="10" s="1"/>
  <c r="V22" i="10"/>
  <c r="V49" i="10"/>
  <c r="V81" i="10"/>
  <c r="V60" i="10"/>
  <c r="V38" i="10"/>
  <c r="V17" i="10"/>
  <c r="V80" i="10"/>
  <c r="V74" i="10"/>
  <c r="W74" i="10" s="1"/>
  <c r="V69" i="10"/>
  <c r="V64" i="10"/>
  <c r="V58" i="10"/>
  <c r="V53" i="10"/>
  <c r="V48" i="10"/>
  <c r="V42" i="10"/>
  <c r="V37" i="10"/>
  <c r="V32" i="10"/>
  <c r="W32" i="10" s="1"/>
  <c r="V26" i="10"/>
  <c r="V21" i="10"/>
  <c r="V16" i="10"/>
  <c r="V10" i="10"/>
  <c r="V5" i="10"/>
  <c r="V84" i="10"/>
  <c r="V78" i="10"/>
  <c r="V73" i="10"/>
  <c r="W73" i="10" s="1"/>
  <c r="V68" i="10"/>
  <c r="V62" i="10"/>
  <c r="V57" i="10"/>
  <c r="V52" i="10"/>
  <c r="V46" i="10"/>
  <c r="V41" i="10"/>
  <c r="V36" i="10"/>
  <c r="V30" i="10"/>
  <c r="W30" i="10" s="1"/>
  <c r="V25" i="10"/>
  <c r="V20" i="10"/>
  <c r="V14" i="10"/>
  <c r="V9" i="10"/>
  <c r="V82" i="10"/>
  <c r="V77" i="10"/>
  <c r="V72" i="10"/>
  <c r="V66" i="10"/>
  <c r="W66" i="10" s="1"/>
  <c r="V61" i="10"/>
  <c r="V56" i="10"/>
  <c r="V50" i="10"/>
  <c r="V45" i="10"/>
  <c r="V40" i="10"/>
  <c r="V34" i="10"/>
  <c r="V29" i="10"/>
  <c r="V24" i="10"/>
  <c r="W24" i="10" s="1"/>
  <c r="V18" i="10"/>
  <c r="V13" i="10"/>
  <c r="V8" i="10"/>
  <c r="V83" i="10"/>
  <c r="V79" i="10"/>
  <c r="V75" i="10"/>
  <c r="V71" i="10"/>
  <c r="V67" i="10"/>
  <c r="W67" i="10" s="1"/>
  <c r="V63" i="10"/>
  <c r="V59" i="10"/>
  <c r="V55" i="10"/>
  <c r="V51" i="10"/>
  <c r="V47" i="10"/>
  <c r="V43" i="10"/>
  <c r="V39" i="10"/>
  <c r="V35" i="10"/>
  <c r="W35" i="10" s="1"/>
  <c r="V31" i="10"/>
  <c r="V27" i="10"/>
  <c r="V23" i="10"/>
  <c r="V19" i="10"/>
  <c r="V15" i="10"/>
  <c r="V11" i="10"/>
  <c r="V7" i="10"/>
  <c r="AD13" i="26" l="1"/>
  <c r="AD38" i="26"/>
  <c r="AD83" i="26"/>
  <c r="AD54" i="26"/>
  <c r="AD14" i="26"/>
  <c r="AD80" i="26"/>
  <c r="AD31" i="26"/>
  <c r="AD72" i="26"/>
  <c r="AD39" i="26"/>
  <c r="AD30" i="26"/>
  <c r="AD19" i="26"/>
  <c r="AD37" i="26"/>
  <c r="AD43" i="26"/>
  <c r="AD78" i="26"/>
  <c r="AD48" i="26"/>
  <c r="AD16" i="26"/>
  <c r="AD73" i="26"/>
  <c r="AD56" i="26"/>
  <c r="AD64" i="26"/>
  <c r="X11" i="26"/>
  <c r="Y11" i="26" s="1"/>
  <c r="Z11" i="26" s="1"/>
  <c r="AA11" i="26" s="1"/>
  <c r="AD11" i="26"/>
  <c r="AD69" i="26"/>
  <c r="AD20" i="26"/>
  <c r="AD35" i="26"/>
  <c r="AD44" i="26"/>
  <c r="AD67" i="26"/>
  <c r="AD50" i="26"/>
  <c r="AD63" i="26"/>
  <c r="AD57" i="26"/>
  <c r="AD40" i="26"/>
  <c r="AD7" i="26"/>
  <c r="AD68" i="26"/>
  <c r="AD84" i="26"/>
  <c r="AD36" i="26"/>
  <c r="AD53" i="26"/>
  <c r="AD45" i="26"/>
  <c r="AD34" i="26"/>
  <c r="AD58" i="26"/>
  <c r="AD41" i="26"/>
  <c r="AD24" i="26"/>
  <c r="AD81" i="26"/>
  <c r="AD51" i="26"/>
  <c r="AD29" i="26"/>
  <c r="AD62" i="26"/>
  <c r="AD27" i="26"/>
  <c r="AD60" i="26"/>
  <c r="AD66" i="26"/>
  <c r="AD42" i="26"/>
  <c r="AD25" i="26"/>
  <c r="AD8" i="26"/>
  <c r="AD65" i="26"/>
  <c r="AD23" i="26"/>
  <c r="AD12" i="26"/>
  <c r="AD46" i="26"/>
  <c r="AD75" i="26"/>
  <c r="AD6" i="26"/>
  <c r="AD5" i="26"/>
  <c r="AD32" i="26"/>
  <c r="AD26" i="26"/>
  <c r="AD9" i="26"/>
  <c r="AD47" i="26"/>
  <c r="AD49" i="26"/>
  <c r="AD76" i="26"/>
  <c r="AD59" i="26"/>
  <c r="AD4" i="26"/>
  <c r="AD70" i="26"/>
  <c r="AD22" i="26"/>
  <c r="AD82" i="26"/>
  <c r="AD10" i="26"/>
  <c r="AD15" i="26"/>
  <c r="AD71" i="26"/>
  <c r="AD33" i="26"/>
  <c r="AD21" i="26"/>
  <c r="AD61" i="26"/>
  <c r="AD28" i="26"/>
  <c r="AD52" i="26"/>
  <c r="AD77" i="26"/>
  <c r="AD18" i="26"/>
  <c r="AD79" i="26"/>
  <c r="AD74" i="26"/>
  <c r="AD55" i="26"/>
  <c r="AD17" i="26"/>
  <c r="AD74" i="10"/>
  <c r="AD24" i="10"/>
  <c r="AD44" i="10"/>
  <c r="AD30" i="10"/>
  <c r="F8" i="18"/>
  <c r="K7" i="10"/>
  <c r="AD73" i="10"/>
  <c r="AD67" i="10"/>
  <c r="AD35" i="10"/>
  <c r="AD32" i="10"/>
  <c r="AD66" i="10"/>
  <c r="F4" i="10"/>
  <c r="E24" i="49"/>
  <c r="E22" i="31"/>
  <c r="W84" i="49"/>
  <c r="W64" i="49"/>
  <c r="W71" i="49"/>
  <c r="W81" i="49"/>
  <c r="W4" i="49"/>
  <c r="W72" i="49"/>
  <c r="W18" i="49"/>
  <c r="W20" i="49"/>
  <c r="C13" i="17"/>
  <c r="E9" i="30"/>
  <c r="E17" i="30"/>
  <c r="E25" i="30"/>
  <c r="E33" i="30"/>
  <c r="E41" i="30"/>
  <c r="E50" i="30"/>
  <c r="E58" i="30"/>
  <c r="E66" i="30"/>
  <c r="E74" i="30"/>
  <c r="E82" i="30"/>
  <c r="E18" i="30"/>
  <c r="E42" i="30"/>
  <c r="E67" i="30"/>
  <c r="E83" i="30"/>
  <c r="E43" i="30"/>
  <c r="E76" i="30"/>
  <c r="E49" i="30"/>
  <c r="E12" i="30"/>
  <c r="E20" i="30"/>
  <c r="E28" i="30"/>
  <c r="E36" i="30"/>
  <c r="E44" i="30"/>
  <c r="E53" i="30"/>
  <c r="E61" i="30"/>
  <c r="E69" i="30"/>
  <c r="E77" i="30"/>
  <c r="E4" i="30"/>
  <c r="E57" i="30"/>
  <c r="E10" i="30"/>
  <c r="E34" i="30"/>
  <c r="E75" i="30"/>
  <c r="E35" i="30"/>
  <c r="E60" i="30"/>
  <c r="E5" i="30"/>
  <c r="E13" i="30"/>
  <c r="E21" i="30"/>
  <c r="E29" i="30"/>
  <c r="E37" i="30"/>
  <c r="E45" i="30"/>
  <c r="E54" i="30"/>
  <c r="E62" i="30"/>
  <c r="E70" i="30"/>
  <c r="E78" i="30"/>
  <c r="E65" i="30"/>
  <c r="E26" i="30"/>
  <c r="E59" i="30"/>
  <c r="E11" i="30"/>
  <c r="E52" i="30"/>
  <c r="E68" i="30"/>
  <c r="E6" i="30"/>
  <c r="E14" i="30"/>
  <c r="E22" i="30"/>
  <c r="E30" i="30"/>
  <c r="E38" i="30"/>
  <c r="E46" i="30"/>
  <c r="E55" i="30"/>
  <c r="E63" i="30"/>
  <c r="E71" i="30"/>
  <c r="E79" i="30"/>
  <c r="E81" i="30"/>
  <c r="E7" i="30"/>
  <c r="E15" i="30"/>
  <c r="E23" i="30"/>
  <c r="E31" i="30"/>
  <c r="E39" i="30"/>
  <c r="E47" i="30"/>
  <c r="E56" i="30"/>
  <c r="E64" i="30"/>
  <c r="E72" i="30"/>
  <c r="E80" i="30"/>
  <c r="E40" i="30"/>
  <c r="E48" i="30"/>
  <c r="E73" i="30"/>
  <c r="E51" i="30"/>
  <c r="E19" i="30"/>
  <c r="E84" i="30"/>
  <c r="E8" i="30"/>
  <c r="E16" i="30"/>
  <c r="E24" i="30"/>
  <c r="E32" i="30"/>
  <c r="E11" i="31"/>
  <c r="E19" i="31"/>
  <c r="E27" i="31"/>
  <c r="E35" i="31"/>
  <c r="E43" i="31"/>
  <c r="E51" i="31"/>
  <c r="E59" i="31"/>
  <c r="E67" i="31"/>
  <c r="E75" i="31"/>
  <c r="E83" i="31"/>
  <c r="E12" i="31"/>
  <c r="E44" i="31"/>
  <c r="E76" i="31"/>
  <c r="E21" i="31"/>
  <c r="E53" i="31"/>
  <c r="E4" i="31"/>
  <c r="E6" i="31"/>
  <c r="E14" i="31"/>
  <c r="E30" i="31"/>
  <c r="E38" i="31"/>
  <c r="E46" i="31"/>
  <c r="E54" i="31"/>
  <c r="E62" i="31"/>
  <c r="E70" i="31"/>
  <c r="E78" i="31"/>
  <c r="E20" i="31"/>
  <c r="E68" i="31"/>
  <c r="E37" i="31"/>
  <c r="E77" i="31"/>
  <c r="E7" i="31"/>
  <c r="E15" i="31"/>
  <c r="E23" i="31"/>
  <c r="E31" i="31"/>
  <c r="E39" i="31"/>
  <c r="AD39" i="31" s="1"/>
  <c r="E47" i="31"/>
  <c r="E55" i="31"/>
  <c r="E63" i="31"/>
  <c r="E71" i="31"/>
  <c r="E79" i="31"/>
  <c r="E28" i="31"/>
  <c r="E60" i="31"/>
  <c r="E84" i="31"/>
  <c r="E29" i="31"/>
  <c r="E69" i="31"/>
  <c r="E8" i="31"/>
  <c r="E16" i="31"/>
  <c r="E24" i="31"/>
  <c r="E32" i="31"/>
  <c r="E40" i="31"/>
  <c r="E48" i="31"/>
  <c r="E56" i="31"/>
  <c r="E64" i="31"/>
  <c r="E72" i="31"/>
  <c r="E80" i="31"/>
  <c r="E36" i="31"/>
  <c r="E5" i="31"/>
  <c r="E45" i="31"/>
  <c r="E9" i="31"/>
  <c r="E17" i="31"/>
  <c r="E25" i="31"/>
  <c r="E33" i="31"/>
  <c r="E41" i="31"/>
  <c r="E49" i="31"/>
  <c r="E57" i="31"/>
  <c r="E65" i="31"/>
  <c r="E73" i="31"/>
  <c r="E81" i="31"/>
  <c r="E52" i="31"/>
  <c r="E13" i="31"/>
  <c r="E61" i="31"/>
  <c r="E10" i="31"/>
  <c r="E18" i="31"/>
  <c r="E26" i="31"/>
  <c r="E34" i="31"/>
  <c r="E42" i="31"/>
  <c r="E50" i="31"/>
  <c r="E58" i="31"/>
  <c r="E66" i="31"/>
  <c r="E74" i="31"/>
  <c r="E82" i="31"/>
  <c r="E5" i="32"/>
  <c r="E13" i="32"/>
  <c r="E21" i="32"/>
  <c r="E29" i="32"/>
  <c r="E37" i="32"/>
  <c r="E45" i="32"/>
  <c r="E53" i="32"/>
  <c r="E61" i="32"/>
  <c r="E69" i="32"/>
  <c r="E77" i="32"/>
  <c r="E4" i="32"/>
  <c r="E6" i="32"/>
  <c r="E14" i="32"/>
  <c r="E22" i="32"/>
  <c r="E30" i="32"/>
  <c r="E46" i="32"/>
  <c r="E78" i="32"/>
  <c r="E7" i="32"/>
  <c r="E55" i="32"/>
  <c r="E71" i="32"/>
  <c r="E8" i="32"/>
  <c r="E16" i="32"/>
  <c r="E24" i="32"/>
  <c r="E32" i="32"/>
  <c r="E40" i="32"/>
  <c r="E48" i="32"/>
  <c r="E56" i="32"/>
  <c r="E64" i="32"/>
  <c r="E72" i="32"/>
  <c r="E80" i="32"/>
  <c r="E62" i="32"/>
  <c r="E31" i="32"/>
  <c r="E63" i="32"/>
  <c r="E9" i="32"/>
  <c r="E17" i="32"/>
  <c r="E25" i="32"/>
  <c r="E33" i="32"/>
  <c r="E41" i="32"/>
  <c r="E49" i="32"/>
  <c r="E57" i="32"/>
  <c r="E65" i="32"/>
  <c r="E73" i="32"/>
  <c r="E81" i="32"/>
  <c r="E54" i="32"/>
  <c r="E15" i="32"/>
  <c r="E47" i="32"/>
  <c r="E79" i="32"/>
  <c r="E10" i="32"/>
  <c r="E18" i="32"/>
  <c r="E26" i="32"/>
  <c r="E34" i="32"/>
  <c r="E42" i="32"/>
  <c r="E50" i="32"/>
  <c r="E58" i="32"/>
  <c r="E66" i="32"/>
  <c r="E74" i="32"/>
  <c r="E82" i="32"/>
  <c r="E70" i="32"/>
  <c r="E11" i="32"/>
  <c r="E19" i="32"/>
  <c r="E27" i="32"/>
  <c r="E35" i="32"/>
  <c r="E43" i="32"/>
  <c r="E51" i="32"/>
  <c r="E59" i="32"/>
  <c r="E67" i="32"/>
  <c r="E75" i="32"/>
  <c r="E83" i="32"/>
  <c r="E38" i="32"/>
  <c r="E23" i="32"/>
  <c r="E12" i="32"/>
  <c r="E20" i="32"/>
  <c r="E28" i="32"/>
  <c r="E36" i="32"/>
  <c r="E44" i="32"/>
  <c r="E52" i="32"/>
  <c r="E60" i="32"/>
  <c r="E68" i="32"/>
  <c r="E76" i="32"/>
  <c r="E84" i="32"/>
  <c r="W83" i="49"/>
  <c r="E12" i="49"/>
  <c r="E20" i="49"/>
  <c r="AD20" i="49" s="1"/>
  <c r="E28" i="49"/>
  <c r="AD28" i="49" s="1"/>
  <c r="E36" i="49"/>
  <c r="E44" i="49"/>
  <c r="E52" i="49"/>
  <c r="E60" i="49"/>
  <c r="E68" i="49"/>
  <c r="E76" i="49"/>
  <c r="E84" i="49"/>
  <c r="AD84" i="49" s="1"/>
  <c r="E5" i="49"/>
  <c r="E13" i="49"/>
  <c r="E29" i="49"/>
  <c r="E45" i="49"/>
  <c r="E69" i="49"/>
  <c r="E22" i="49"/>
  <c r="E70" i="49"/>
  <c r="E7" i="49"/>
  <c r="E15" i="49"/>
  <c r="E23" i="49"/>
  <c r="E31" i="49"/>
  <c r="E39" i="49"/>
  <c r="E47" i="49"/>
  <c r="E55" i="49"/>
  <c r="E63" i="49"/>
  <c r="E71" i="49"/>
  <c r="AD71" i="49" s="1"/>
  <c r="E79" i="49"/>
  <c r="E61" i="49"/>
  <c r="E14" i="49"/>
  <c r="E46" i="49"/>
  <c r="E78" i="49"/>
  <c r="E8" i="49"/>
  <c r="AD8" i="49" s="1"/>
  <c r="E16" i="49"/>
  <c r="E32" i="49"/>
  <c r="E40" i="49"/>
  <c r="E48" i="49"/>
  <c r="E56" i="49"/>
  <c r="E64" i="49"/>
  <c r="AD64" i="49" s="1"/>
  <c r="E72" i="49"/>
  <c r="AD72" i="49" s="1"/>
  <c r="E80" i="49"/>
  <c r="E21" i="49"/>
  <c r="E37" i="49"/>
  <c r="E53" i="49"/>
  <c r="E4" i="49"/>
  <c r="E30" i="49"/>
  <c r="E62" i="49"/>
  <c r="E9" i="49"/>
  <c r="E17" i="49"/>
  <c r="E25" i="49"/>
  <c r="E33" i="49"/>
  <c r="E41" i="49"/>
  <c r="E49" i="49"/>
  <c r="E57" i="49"/>
  <c r="E65" i="49"/>
  <c r="E73" i="49"/>
  <c r="E81" i="49"/>
  <c r="AD81" i="49" s="1"/>
  <c r="E77" i="49"/>
  <c r="E38" i="49"/>
  <c r="E10" i="49"/>
  <c r="E18" i="49"/>
  <c r="AD18" i="49" s="1"/>
  <c r="E26" i="49"/>
  <c r="E34" i="49"/>
  <c r="E42" i="49"/>
  <c r="E50" i="49"/>
  <c r="E58" i="49"/>
  <c r="E66" i="49"/>
  <c r="E74" i="49"/>
  <c r="E82" i="49"/>
  <c r="AD82" i="49" s="1"/>
  <c r="E6" i="49"/>
  <c r="E54" i="49"/>
  <c r="E11" i="49"/>
  <c r="E19" i="49"/>
  <c r="E27" i="49"/>
  <c r="E35" i="49"/>
  <c r="E43" i="49"/>
  <c r="E51" i="49"/>
  <c r="E59" i="49"/>
  <c r="E67" i="49"/>
  <c r="E75" i="49"/>
  <c r="E83" i="49"/>
  <c r="AD83" i="49" s="1"/>
  <c r="F29" i="10"/>
  <c r="W60" i="30"/>
  <c r="W8" i="49"/>
  <c r="W26" i="49"/>
  <c r="W14" i="49"/>
  <c r="W9" i="49"/>
  <c r="W19" i="49"/>
  <c r="W22" i="49"/>
  <c r="W17" i="49"/>
  <c r="W27" i="49"/>
  <c r="W78" i="49"/>
  <c r="W73" i="49"/>
  <c r="W75" i="49"/>
  <c r="W11" i="49"/>
  <c r="W74" i="49"/>
  <c r="W10" i="49"/>
  <c r="W65" i="49"/>
  <c r="W55" i="49"/>
  <c r="W56" i="49"/>
  <c r="W39" i="49"/>
  <c r="W70" i="49"/>
  <c r="W6" i="49"/>
  <c r="W67" i="49"/>
  <c r="W63" i="49"/>
  <c r="W66" i="49"/>
  <c r="W79" i="49"/>
  <c r="W57" i="49"/>
  <c r="W31" i="49"/>
  <c r="W48" i="49"/>
  <c r="W15" i="49"/>
  <c r="W62" i="49"/>
  <c r="W77" i="49"/>
  <c r="W59" i="49"/>
  <c r="W47" i="49"/>
  <c r="W58" i="49"/>
  <c r="W7" i="49"/>
  <c r="W49" i="49"/>
  <c r="W45" i="49"/>
  <c r="W40" i="49"/>
  <c r="W53" i="49"/>
  <c r="W54" i="49"/>
  <c r="W69" i="49"/>
  <c r="W34" i="49"/>
  <c r="W51" i="49"/>
  <c r="W23" i="49"/>
  <c r="W50" i="49"/>
  <c r="W21" i="49"/>
  <c r="W41" i="49"/>
  <c r="W60" i="49"/>
  <c r="W32" i="49"/>
  <c r="W5" i="49"/>
  <c r="W46" i="49"/>
  <c r="W61" i="49"/>
  <c r="W68" i="49"/>
  <c r="W25" i="49"/>
  <c r="W16" i="49"/>
  <c r="W30" i="49"/>
  <c r="W43" i="49"/>
  <c r="W29" i="49"/>
  <c r="W42" i="49"/>
  <c r="W52" i="49"/>
  <c r="W33" i="49"/>
  <c r="W36" i="49"/>
  <c r="W24" i="49"/>
  <c r="W76" i="49"/>
  <c r="W38" i="49"/>
  <c r="W37" i="49"/>
  <c r="W35" i="49"/>
  <c r="W12" i="49"/>
  <c r="W80" i="49"/>
  <c r="W44" i="49"/>
  <c r="X84" i="49" s="1"/>
  <c r="W13" i="49"/>
  <c r="E48" i="37"/>
  <c r="AD48" i="37" s="1"/>
  <c r="E56" i="37"/>
  <c r="AD56" i="37" s="1"/>
  <c r="E64" i="37"/>
  <c r="AD64" i="37" s="1"/>
  <c r="E32" i="37"/>
  <c r="AD32" i="37" s="1"/>
  <c r="E8" i="37"/>
  <c r="AD8" i="37" s="1"/>
  <c r="E72" i="37"/>
  <c r="AD72" i="37" s="1"/>
  <c r="E16" i="37"/>
  <c r="AD16" i="37" s="1"/>
  <c r="E80" i="37"/>
  <c r="AD80" i="37" s="1"/>
  <c r="E24" i="37"/>
  <c r="AD24" i="37" s="1"/>
  <c r="E40" i="37"/>
  <c r="AD40" i="37" s="1"/>
  <c r="E61" i="37"/>
  <c r="AD61" i="37" s="1"/>
  <c r="E53" i="37"/>
  <c r="AD53" i="37" s="1"/>
  <c r="E77" i="37"/>
  <c r="AD77" i="37" s="1"/>
  <c r="E27" i="37"/>
  <c r="AD27" i="37" s="1"/>
  <c r="E50" i="37"/>
  <c r="AD50" i="37" s="1"/>
  <c r="E81" i="37"/>
  <c r="AD81" i="37" s="1"/>
  <c r="E17" i="37"/>
  <c r="AD17" i="37" s="1"/>
  <c r="E84" i="37"/>
  <c r="AD84" i="37" s="1"/>
  <c r="E39" i="37"/>
  <c r="AD39" i="37" s="1"/>
  <c r="E30" i="37"/>
  <c r="AD30" i="37" s="1"/>
  <c r="E49" i="37"/>
  <c r="AD49" i="37" s="1"/>
  <c r="E71" i="37"/>
  <c r="AD71" i="37" s="1"/>
  <c r="E69" i="37"/>
  <c r="AD69" i="37" s="1"/>
  <c r="E45" i="37"/>
  <c r="AD45" i="37" s="1"/>
  <c r="E37" i="37"/>
  <c r="AD37" i="37" s="1"/>
  <c r="E4" i="37"/>
  <c r="AD4" i="37" s="1"/>
  <c r="E83" i="37"/>
  <c r="AD83" i="37" s="1"/>
  <c r="E19" i="37"/>
  <c r="AD19" i="37" s="1"/>
  <c r="E42" i="37"/>
  <c r="AD42" i="37" s="1"/>
  <c r="E73" i="37"/>
  <c r="AD73" i="37" s="1"/>
  <c r="E9" i="37"/>
  <c r="AD9" i="37" s="1"/>
  <c r="E68" i="37"/>
  <c r="AD68" i="37" s="1"/>
  <c r="E31" i="37"/>
  <c r="AD31" i="37" s="1"/>
  <c r="E22" i="37"/>
  <c r="AD22" i="37" s="1"/>
  <c r="E13" i="37"/>
  <c r="AD13" i="37" s="1"/>
  <c r="E11" i="37"/>
  <c r="AD11" i="37" s="1"/>
  <c r="E34" i="37"/>
  <c r="AD34" i="37" s="1"/>
  <c r="E65" i="37"/>
  <c r="AD65" i="37" s="1"/>
  <c r="E44" i="37"/>
  <c r="AD44" i="37" s="1"/>
  <c r="E29" i="37"/>
  <c r="AD29" i="37" s="1"/>
  <c r="E75" i="37"/>
  <c r="AD75" i="37" s="1"/>
  <c r="E60" i="37"/>
  <c r="AD60" i="37" s="1"/>
  <c r="E23" i="37"/>
  <c r="AD23" i="37" s="1"/>
  <c r="E78" i="37"/>
  <c r="AD78" i="37" s="1"/>
  <c r="E18" i="37"/>
  <c r="AD18" i="37" s="1"/>
  <c r="E62" i="37"/>
  <c r="AD62" i="37" s="1"/>
  <c r="E21" i="37"/>
  <c r="AD21" i="37" s="1"/>
  <c r="E76" i="37"/>
  <c r="AD76" i="37" s="1"/>
  <c r="E67" i="37"/>
  <c r="AD67" i="37" s="1"/>
  <c r="E20" i="37"/>
  <c r="AD20" i="37" s="1"/>
  <c r="E26" i="37"/>
  <c r="AD26" i="37" s="1"/>
  <c r="E57" i="37"/>
  <c r="AD57" i="37" s="1"/>
  <c r="E12" i="37"/>
  <c r="AD12" i="37" s="1"/>
  <c r="E79" i="37"/>
  <c r="AD79" i="37" s="1"/>
  <c r="E15" i="37"/>
  <c r="AD15" i="37" s="1"/>
  <c r="E70" i="37"/>
  <c r="AD70" i="37" s="1"/>
  <c r="E6" i="37"/>
  <c r="AD6" i="37" s="1"/>
  <c r="E5" i="37"/>
  <c r="AD5" i="37" s="1"/>
  <c r="E36" i="37"/>
  <c r="AD36" i="37" s="1"/>
  <c r="E59" i="37"/>
  <c r="AD59" i="37" s="1"/>
  <c r="E82" i="37"/>
  <c r="AD82" i="37" s="1"/>
  <c r="E7" i="37"/>
  <c r="AD7" i="37" s="1"/>
  <c r="E51" i="37"/>
  <c r="AD51" i="37" s="1"/>
  <c r="E74" i="37"/>
  <c r="AD74" i="37" s="1"/>
  <c r="E10" i="37"/>
  <c r="AD10" i="37" s="1"/>
  <c r="E52" i="37"/>
  <c r="AD52" i="37" s="1"/>
  <c r="E41" i="37"/>
  <c r="AD41" i="37" s="1"/>
  <c r="E63" i="37"/>
  <c r="AD63" i="37" s="1"/>
  <c r="E54" i="37"/>
  <c r="AD54" i="37" s="1"/>
  <c r="E43" i="37"/>
  <c r="AD43" i="37" s="1"/>
  <c r="E66" i="37"/>
  <c r="AD66" i="37" s="1"/>
  <c r="E28" i="37"/>
  <c r="AD28" i="37" s="1"/>
  <c r="E33" i="37"/>
  <c r="AD33" i="37" s="1"/>
  <c r="E55" i="37"/>
  <c r="AD55" i="37" s="1"/>
  <c r="E46" i="37"/>
  <c r="AD46" i="37" s="1"/>
  <c r="E25" i="37"/>
  <c r="AD25" i="37" s="1"/>
  <c r="E47" i="37"/>
  <c r="AD47" i="37" s="1"/>
  <c r="E58" i="37"/>
  <c r="AD58" i="37" s="1"/>
  <c r="E38" i="37"/>
  <c r="AD38" i="37" s="1"/>
  <c r="E35" i="37"/>
  <c r="AD35" i="37" s="1"/>
  <c r="E14" i="37"/>
  <c r="AD14" i="37" s="1"/>
  <c r="E18" i="50"/>
  <c r="AD18" i="50" s="1"/>
  <c r="E82" i="50"/>
  <c r="AD82" i="50" s="1"/>
  <c r="E40" i="50"/>
  <c r="AD40" i="50" s="1"/>
  <c r="E63" i="50"/>
  <c r="AD63" i="50" s="1"/>
  <c r="E49" i="50"/>
  <c r="AD49" i="50" s="1"/>
  <c r="E30" i="50"/>
  <c r="AD30" i="50" s="1"/>
  <c r="E45" i="50"/>
  <c r="AD45" i="50" s="1"/>
  <c r="E84" i="50"/>
  <c r="AD84" i="50" s="1"/>
  <c r="E20" i="50"/>
  <c r="AD20" i="50" s="1"/>
  <c r="E51" i="50"/>
  <c r="AD51" i="50" s="1"/>
  <c r="E77" i="50"/>
  <c r="AD77" i="50" s="1"/>
  <c r="E19" i="50"/>
  <c r="AD19" i="50" s="1"/>
  <c r="E34" i="50"/>
  <c r="AD34" i="50" s="1"/>
  <c r="E32" i="50"/>
  <c r="AD32" i="50" s="1"/>
  <c r="E55" i="50"/>
  <c r="AD55" i="50" s="1"/>
  <c r="E25" i="50"/>
  <c r="AD25" i="50" s="1"/>
  <c r="E22" i="50"/>
  <c r="AD22" i="50" s="1"/>
  <c r="E37" i="50"/>
  <c r="AD37" i="50" s="1"/>
  <c r="E76" i="50"/>
  <c r="AD76" i="50" s="1"/>
  <c r="E12" i="50"/>
  <c r="AD12" i="50" s="1"/>
  <c r="E43" i="50"/>
  <c r="AD43" i="50" s="1"/>
  <c r="E24" i="50"/>
  <c r="AD24" i="50" s="1"/>
  <c r="E47" i="50"/>
  <c r="AD47" i="50" s="1"/>
  <c r="E78" i="50"/>
  <c r="AD78" i="50" s="1"/>
  <c r="E68" i="50"/>
  <c r="AD68" i="50" s="1"/>
  <c r="E58" i="50"/>
  <c r="AD58" i="50" s="1"/>
  <c r="E14" i="50"/>
  <c r="AD14" i="50" s="1"/>
  <c r="E29" i="50"/>
  <c r="AD29" i="50" s="1"/>
  <c r="E35" i="50"/>
  <c r="AD35" i="50" s="1"/>
  <c r="E81" i="50"/>
  <c r="AD81" i="50" s="1"/>
  <c r="E42" i="50"/>
  <c r="AD42" i="50" s="1"/>
  <c r="E10" i="50"/>
  <c r="AD10" i="50" s="1"/>
  <c r="E50" i="50"/>
  <c r="AD50" i="50" s="1"/>
  <c r="E80" i="50"/>
  <c r="AD80" i="50" s="1"/>
  <c r="E16" i="50"/>
  <c r="AD16" i="50" s="1"/>
  <c r="E39" i="50"/>
  <c r="AD39" i="50" s="1"/>
  <c r="E70" i="50"/>
  <c r="AD70" i="50" s="1"/>
  <c r="E6" i="50"/>
  <c r="AD6" i="50" s="1"/>
  <c r="E4" i="50"/>
  <c r="AD4" i="50" s="1"/>
  <c r="E21" i="50"/>
  <c r="AD21" i="50" s="1"/>
  <c r="E60" i="50"/>
  <c r="AD60" i="50" s="1"/>
  <c r="E27" i="50"/>
  <c r="AD27" i="50" s="1"/>
  <c r="E72" i="50"/>
  <c r="AD72" i="50" s="1"/>
  <c r="E8" i="50"/>
  <c r="AD8" i="50" s="1"/>
  <c r="E31" i="50"/>
  <c r="AD31" i="50" s="1"/>
  <c r="E62" i="50"/>
  <c r="AD62" i="50" s="1"/>
  <c r="E65" i="50"/>
  <c r="AD65" i="50" s="1"/>
  <c r="E13" i="50"/>
  <c r="AD13" i="50" s="1"/>
  <c r="E52" i="50"/>
  <c r="AD52" i="50" s="1"/>
  <c r="E83" i="50"/>
  <c r="AD83" i="50" s="1"/>
  <c r="E66" i="50"/>
  <c r="AD66" i="50" s="1"/>
  <c r="E57" i="50"/>
  <c r="AD57" i="50" s="1"/>
  <c r="E64" i="50"/>
  <c r="AD64" i="50" s="1"/>
  <c r="E41" i="50"/>
  <c r="AD41" i="50" s="1"/>
  <c r="E23" i="50"/>
  <c r="AD23" i="50" s="1"/>
  <c r="E54" i="50"/>
  <c r="AD54" i="50" s="1"/>
  <c r="E33" i="50"/>
  <c r="AD33" i="50" s="1"/>
  <c r="E69" i="50"/>
  <c r="AD69" i="50" s="1"/>
  <c r="E5" i="50"/>
  <c r="AD5" i="50" s="1"/>
  <c r="E44" i="50"/>
  <c r="AD44" i="50" s="1"/>
  <c r="E75" i="50"/>
  <c r="AD75" i="50" s="1"/>
  <c r="E11" i="50"/>
  <c r="AD11" i="50" s="1"/>
  <c r="E74" i="50"/>
  <c r="AD74" i="50" s="1"/>
  <c r="E26" i="50"/>
  <c r="AD26" i="50" s="1"/>
  <c r="E56" i="50"/>
  <c r="AD56" i="50" s="1"/>
  <c r="E9" i="50"/>
  <c r="AD9" i="50" s="1"/>
  <c r="E79" i="50"/>
  <c r="AD79" i="50" s="1"/>
  <c r="E15" i="50"/>
  <c r="AD15" i="50" s="1"/>
  <c r="E46" i="50"/>
  <c r="AD46" i="50" s="1"/>
  <c r="E17" i="50"/>
  <c r="AD17" i="50" s="1"/>
  <c r="E61" i="50"/>
  <c r="AD61" i="50" s="1"/>
  <c r="E36" i="50"/>
  <c r="AD36" i="50" s="1"/>
  <c r="E67" i="50"/>
  <c r="AD67" i="50" s="1"/>
  <c r="E53" i="50"/>
  <c r="AD53" i="50" s="1"/>
  <c r="E73" i="50"/>
  <c r="AD73" i="50" s="1"/>
  <c r="E38" i="50"/>
  <c r="AD38" i="50" s="1"/>
  <c r="E28" i="50"/>
  <c r="AD28" i="50" s="1"/>
  <c r="E71" i="50"/>
  <c r="AD71" i="50" s="1"/>
  <c r="E7" i="50"/>
  <c r="AD7" i="50" s="1"/>
  <c r="E59" i="50"/>
  <c r="AD59" i="50" s="1"/>
  <c r="E48" i="50"/>
  <c r="AD48" i="50" s="1"/>
  <c r="E19" i="38"/>
  <c r="AD19" i="38" s="1"/>
  <c r="E83" i="38"/>
  <c r="AD83" i="38" s="1"/>
  <c r="E27" i="38"/>
  <c r="AD27" i="38" s="1"/>
  <c r="E35" i="38"/>
  <c r="AD35" i="38" s="1"/>
  <c r="E67" i="38"/>
  <c r="AD67" i="38" s="1"/>
  <c r="E43" i="38"/>
  <c r="AD43" i="38" s="1"/>
  <c r="E51" i="38"/>
  <c r="AD51" i="38" s="1"/>
  <c r="E59" i="38"/>
  <c r="AD59" i="38" s="1"/>
  <c r="E75" i="38"/>
  <c r="AD75" i="38" s="1"/>
  <c r="E57" i="38"/>
  <c r="AD57" i="38" s="1"/>
  <c r="E42" i="38"/>
  <c r="AD42" i="38" s="1"/>
  <c r="E80" i="38"/>
  <c r="AD80" i="38" s="1"/>
  <c r="E16" i="38"/>
  <c r="AD16" i="38" s="1"/>
  <c r="E47" i="38"/>
  <c r="AD47" i="38" s="1"/>
  <c r="E50" i="38"/>
  <c r="AD50" i="38" s="1"/>
  <c r="E62" i="38"/>
  <c r="AD62" i="38" s="1"/>
  <c r="E37" i="38"/>
  <c r="AD37" i="38" s="1"/>
  <c r="E68" i="38"/>
  <c r="AD68" i="38" s="1"/>
  <c r="E69" i="38"/>
  <c r="AD69" i="38" s="1"/>
  <c r="E49" i="38"/>
  <c r="AD49" i="38" s="1"/>
  <c r="E10" i="38"/>
  <c r="AD10" i="38" s="1"/>
  <c r="E72" i="38"/>
  <c r="AD72" i="38" s="1"/>
  <c r="E8" i="38"/>
  <c r="AD8" i="38" s="1"/>
  <c r="E39" i="38"/>
  <c r="AD39" i="38" s="1"/>
  <c r="E54" i="38"/>
  <c r="AD54" i="38" s="1"/>
  <c r="E29" i="38"/>
  <c r="AD29" i="38" s="1"/>
  <c r="E60" i="38"/>
  <c r="AD60" i="38" s="1"/>
  <c r="E41" i="38"/>
  <c r="AD41" i="38" s="1"/>
  <c r="E64" i="38"/>
  <c r="AD64" i="38" s="1"/>
  <c r="E82" i="38"/>
  <c r="AD82" i="38" s="1"/>
  <c r="E31" i="38"/>
  <c r="AD31" i="38" s="1"/>
  <c r="E46" i="38"/>
  <c r="AD46" i="38" s="1"/>
  <c r="E4" i="38"/>
  <c r="AD4" i="38" s="1"/>
  <c r="E11" i="38"/>
  <c r="AD11" i="38" s="1"/>
  <c r="E21" i="38"/>
  <c r="AD21" i="38" s="1"/>
  <c r="E52" i="38"/>
  <c r="AD52" i="38" s="1"/>
  <c r="E48" i="38"/>
  <c r="AD48" i="38" s="1"/>
  <c r="E34" i="38"/>
  <c r="AD34" i="38" s="1"/>
  <c r="E79" i="38"/>
  <c r="AD79" i="38" s="1"/>
  <c r="E30" i="38"/>
  <c r="AD30" i="38" s="1"/>
  <c r="E5" i="38"/>
  <c r="AD5" i="38" s="1"/>
  <c r="E36" i="38"/>
  <c r="AD36" i="38" s="1"/>
  <c r="E33" i="38"/>
  <c r="AD33" i="38" s="1"/>
  <c r="E56" i="38"/>
  <c r="AD56" i="38" s="1"/>
  <c r="E58" i="38"/>
  <c r="AD58" i="38" s="1"/>
  <c r="E23" i="38"/>
  <c r="AD23" i="38" s="1"/>
  <c r="E38" i="38"/>
  <c r="AD38" i="38" s="1"/>
  <c r="E77" i="38"/>
  <c r="AD77" i="38" s="1"/>
  <c r="E13" i="38"/>
  <c r="AD13" i="38" s="1"/>
  <c r="E44" i="38"/>
  <c r="AD44" i="38" s="1"/>
  <c r="E25" i="38"/>
  <c r="AD25" i="38" s="1"/>
  <c r="E15" i="38"/>
  <c r="AD15" i="38" s="1"/>
  <c r="E81" i="38"/>
  <c r="AD81" i="38" s="1"/>
  <c r="E17" i="38"/>
  <c r="AD17" i="38" s="1"/>
  <c r="E40" i="38"/>
  <c r="AD40" i="38" s="1"/>
  <c r="E18" i="38"/>
  <c r="AD18" i="38" s="1"/>
  <c r="E71" i="38"/>
  <c r="AD71" i="38" s="1"/>
  <c r="E7" i="38"/>
  <c r="AD7" i="38" s="1"/>
  <c r="E22" i="38"/>
  <c r="AD22" i="38" s="1"/>
  <c r="E61" i="38"/>
  <c r="AD61" i="38" s="1"/>
  <c r="E28" i="38"/>
  <c r="AD28" i="38" s="1"/>
  <c r="E26" i="38"/>
  <c r="AD26" i="38" s="1"/>
  <c r="E73" i="38"/>
  <c r="AD73" i="38" s="1"/>
  <c r="E9" i="38"/>
  <c r="AD9" i="38" s="1"/>
  <c r="E32" i="38"/>
  <c r="AD32" i="38" s="1"/>
  <c r="E63" i="38"/>
  <c r="AD63" i="38" s="1"/>
  <c r="E78" i="38"/>
  <c r="AD78" i="38" s="1"/>
  <c r="E14" i="38"/>
  <c r="AD14" i="38" s="1"/>
  <c r="E53" i="38"/>
  <c r="AD53" i="38" s="1"/>
  <c r="E84" i="38"/>
  <c r="AD84" i="38" s="1"/>
  <c r="E20" i="38"/>
  <c r="AD20" i="38" s="1"/>
  <c r="E66" i="38"/>
  <c r="AD66" i="38" s="1"/>
  <c r="E70" i="38"/>
  <c r="AD70" i="38" s="1"/>
  <c r="E6" i="38"/>
  <c r="AD6" i="38" s="1"/>
  <c r="E74" i="38"/>
  <c r="AD74" i="38" s="1"/>
  <c r="E76" i="38"/>
  <c r="AD76" i="38" s="1"/>
  <c r="E12" i="38"/>
  <c r="AD12" i="38" s="1"/>
  <c r="E55" i="38"/>
  <c r="AD55" i="38" s="1"/>
  <c r="E45" i="38"/>
  <c r="AD45" i="38" s="1"/>
  <c r="E24" i="38"/>
  <c r="AD24" i="38" s="1"/>
  <c r="E65" i="38"/>
  <c r="AD65" i="38" s="1"/>
  <c r="E31" i="36"/>
  <c r="AD31" i="36" s="1"/>
  <c r="E39" i="36"/>
  <c r="AD39" i="36" s="1"/>
  <c r="E47" i="36"/>
  <c r="AD47" i="36" s="1"/>
  <c r="E55" i="36"/>
  <c r="AD55" i="36" s="1"/>
  <c r="E79" i="36"/>
  <c r="AD79" i="36" s="1"/>
  <c r="E63" i="36"/>
  <c r="AD63" i="36" s="1"/>
  <c r="E7" i="36"/>
  <c r="AD7" i="36" s="1"/>
  <c r="E71" i="36"/>
  <c r="AD71" i="36" s="1"/>
  <c r="E15" i="36"/>
  <c r="AD15" i="36" s="1"/>
  <c r="E23" i="36"/>
  <c r="AD23" i="36" s="1"/>
  <c r="E84" i="36"/>
  <c r="AD84" i="36" s="1"/>
  <c r="E74" i="36"/>
  <c r="AD74" i="36" s="1"/>
  <c r="E10" i="36"/>
  <c r="AD10" i="36" s="1"/>
  <c r="E27" i="36"/>
  <c r="AD27" i="36" s="1"/>
  <c r="E33" i="36"/>
  <c r="AD33" i="36" s="1"/>
  <c r="E64" i="36"/>
  <c r="AD64" i="36" s="1"/>
  <c r="E22" i="36"/>
  <c r="AD22" i="36" s="1"/>
  <c r="E77" i="36"/>
  <c r="AD77" i="36" s="1"/>
  <c r="E13" i="36"/>
  <c r="AD13" i="36" s="1"/>
  <c r="E45" i="36"/>
  <c r="AD45" i="36" s="1"/>
  <c r="E83" i="36"/>
  <c r="AD83" i="36" s="1"/>
  <c r="E66" i="36"/>
  <c r="AD66" i="36" s="1"/>
  <c r="E19" i="36"/>
  <c r="AD19" i="36" s="1"/>
  <c r="E25" i="36"/>
  <c r="AD25" i="36" s="1"/>
  <c r="E56" i="36"/>
  <c r="AD56" i="36" s="1"/>
  <c r="E78" i="36"/>
  <c r="AD78" i="36" s="1"/>
  <c r="E14" i="36"/>
  <c r="AD14" i="36" s="1"/>
  <c r="E69" i="36"/>
  <c r="AD69" i="36" s="1"/>
  <c r="E5" i="36"/>
  <c r="AD5" i="36" s="1"/>
  <c r="E58" i="36"/>
  <c r="AD58" i="36" s="1"/>
  <c r="E81" i="36"/>
  <c r="AD81" i="36" s="1"/>
  <c r="E17" i="36"/>
  <c r="AD17" i="36" s="1"/>
  <c r="E48" i="36"/>
  <c r="AD48" i="36" s="1"/>
  <c r="E70" i="36"/>
  <c r="AD70" i="36" s="1"/>
  <c r="E6" i="36"/>
  <c r="AD6" i="36" s="1"/>
  <c r="E61" i="36"/>
  <c r="AD61" i="36" s="1"/>
  <c r="E35" i="36"/>
  <c r="AD35" i="36" s="1"/>
  <c r="E75" i="36"/>
  <c r="AD75" i="36" s="1"/>
  <c r="E32" i="36"/>
  <c r="AD32" i="36" s="1"/>
  <c r="E54" i="36"/>
  <c r="AD54" i="36" s="1"/>
  <c r="E68" i="36"/>
  <c r="AD68" i="36" s="1"/>
  <c r="E50" i="36"/>
  <c r="AD50" i="36" s="1"/>
  <c r="E73" i="36"/>
  <c r="AD73" i="36" s="1"/>
  <c r="E9" i="36"/>
  <c r="AD9" i="36" s="1"/>
  <c r="E51" i="36"/>
  <c r="AD51" i="36" s="1"/>
  <c r="E40" i="36"/>
  <c r="AD40" i="36" s="1"/>
  <c r="E62" i="36"/>
  <c r="AD62" i="36" s="1"/>
  <c r="E53" i="36"/>
  <c r="AD53" i="36" s="1"/>
  <c r="E52" i="36"/>
  <c r="AD52" i="36" s="1"/>
  <c r="E65" i="36"/>
  <c r="AD65" i="36" s="1"/>
  <c r="E11" i="36"/>
  <c r="AD11" i="36" s="1"/>
  <c r="E42" i="36"/>
  <c r="AD42" i="36" s="1"/>
  <c r="E76" i="36"/>
  <c r="AD76" i="36" s="1"/>
  <c r="E28" i="36"/>
  <c r="AD28" i="36" s="1"/>
  <c r="E34" i="36"/>
  <c r="AD34" i="36" s="1"/>
  <c r="E57" i="36"/>
  <c r="AD57" i="36" s="1"/>
  <c r="E24" i="36"/>
  <c r="AD24" i="36" s="1"/>
  <c r="E46" i="36"/>
  <c r="AD46" i="36" s="1"/>
  <c r="E37" i="36"/>
  <c r="AD37" i="36" s="1"/>
  <c r="E44" i="36"/>
  <c r="AD44" i="36" s="1"/>
  <c r="E20" i="36"/>
  <c r="AD20" i="36" s="1"/>
  <c r="E60" i="36"/>
  <c r="AD60" i="36" s="1"/>
  <c r="E26" i="36"/>
  <c r="AD26" i="36" s="1"/>
  <c r="E49" i="36"/>
  <c r="AD49" i="36" s="1"/>
  <c r="E80" i="36"/>
  <c r="AD80" i="36" s="1"/>
  <c r="E16" i="36"/>
  <c r="AD16" i="36" s="1"/>
  <c r="E67" i="36"/>
  <c r="AD67" i="36" s="1"/>
  <c r="E38" i="36"/>
  <c r="AD38" i="36" s="1"/>
  <c r="E29" i="36"/>
  <c r="AD29" i="36" s="1"/>
  <c r="E12" i="36"/>
  <c r="AD12" i="36" s="1"/>
  <c r="E59" i="36"/>
  <c r="AD59" i="36" s="1"/>
  <c r="E72" i="36"/>
  <c r="AD72" i="36" s="1"/>
  <c r="E4" i="36"/>
  <c r="AD4" i="36" s="1"/>
  <c r="E36" i="36"/>
  <c r="AD36" i="36" s="1"/>
  <c r="E21" i="36"/>
  <c r="AD21" i="36" s="1"/>
  <c r="E8" i="36"/>
  <c r="AD8" i="36" s="1"/>
  <c r="E41" i="36"/>
  <c r="AD41" i="36" s="1"/>
  <c r="E82" i="36"/>
  <c r="AD82" i="36" s="1"/>
  <c r="E18" i="36"/>
  <c r="AD18" i="36" s="1"/>
  <c r="E43" i="36"/>
  <c r="AD43" i="36" s="1"/>
  <c r="E30" i="36"/>
  <c r="AD30" i="36" s="1"/>
  <c r="D113" i="47"/>
  <c r="D112" i="47"/>
  <c r="D113" i="41"/>
  <c r="E113" i="41" s="1"/>
  <c r="F113" i="41" s="1"/>
  <c r="G113" i="41" s="1"/>
  <c r="D112" i="41"/>
  <c r="E112" i="41" s="1"/>
  <c r="F112" i="41" s="1"/>
  <c r="G112" i="41" s="1"/>
  <c r="X24" i="10"/>
  <c r="Y24" i="10" s="1"/>
  <c r="Z24" i="10" s="1"/>
  <c r="AA24" i="10" s="1"/>
  <c r="X73" i="10"/>
  <c r="Y73" i="10" s="1"/>
  <c r="Z73" i="10" s="1"/>
  <c r="AA73" i="10" s="1"/>
  <c r="X32" i="10"/>
  <c r="Y32" i="10" s="1"/>
  <c r="Z32" i="10" s="1"/>
  <c r="AA32" i="10" s="1"/>
  <c r="X35" i="10"/>
  <c r="Y35" i="10" s="1"/>
  <c r="Z35" i="10" s="1"/>
  <c r="AA35" i="10" s="1"/>
  <c r="X30" i="10"/>
  <c r="Y30" i="10" s="1"/>
  <c r="Z30" i="10" s="1"/>
  <c r="AA30" i="10" s="1"/>
  <c r="X67" i="10"/>
  <c r="Y67" i="10" s="1"/>
  <c r="Z67" i="10" s="1"/>
  <c r="AA67" i="10" s="1"/>
  <c r="X66" i="10"/>
  <c r="Y66" i="10" s="1"/>
  <c r="Z66" i="10" s="1"/>
  <c r="AA66" i="10" s="1"/>
  <c r="X74" i="10"/>
  <c r="Y74" i="10" s="1"/>
  <c r="Z74" i="10" s="1"/>
  <c r="AA74" i="10" s="1"/>
  <c r="C112" i="42"/>
  <c r="C18" i="40" s="1"/>
  <c r="C19" i="40" s="1"/>
  <c r="C113" i="42"/>
  <c r="C47" i="40" s="1"/>
  <c r="C48" i="40" s="1"/>
  <c r="C18" i="39"/>
  <c r="C19" i="39" s="1"/>
  <c r="C47" i="39"/>
  <c r="C48" i="39" s="1"/>
  <c r="C112" i="33"/>
  <c r="D112" i="33" s="1"/>
  <c r="C113" i="33"/>
  <c r="W4" i="10"/>
  <c r="X4" i="10" s="1"/>
  <c r="Y4" i="10" s="1"/>
  <c r="Z4" i="10" s="1"/>
  <c r="AA4" i="10" s="1"/>
  <c r="Y4" i="37"/>
  <c r="W19" i="10"/>
  <c r="X19" i="10" s="1"/>
  <c r="Y19" i="10" s="1"/>
  <c r="Z19" i="10" s="1"/>
  <c r="AA19" i="10" s="1"/>
  <c r="W51" i="10"/>
  <c r="X51" i="10" s="1"/>
  <c r="Y51" i="10" s="1"/>
  <c r="Z51" i="10" s="1"/>
  <c r="AA51" i="10" s="1"/>
  <c r="W83" i="10"/>
  <c r="X83" i="10" s="1"/>
  <c r="Y83" i="10" s="1"/>
  <c r="Z83" i="10" s="1"/>
  <c r="AA83" i="10" s="1"/>
  <c r="W45" i="10"/>
  <c r="X45" i="10" s="1"/>
  <c r="Y45" i="10" s="1"/>
  <c r="Z45" i="10" s="1"/>
  <c r="AA45" i="10" s="1"/>
  <c r="W9" i="10"/>
  <c r="X9" i="10" s="1"/>
  <c r="Y9" i="10" s="1"/>
  <c r="Z9" i="10" s="1"/>
  <c r="AA9" i="10" s="1"/>
  <c r="W52" i="10"/>
  <c r="X52" i="10" s="1"/>
  <c r="Y52" i="10" s="1"/>
  <c r="Z52" i="10" s="1"/>
  <c r="AA52" i="10" s="1"/>
  <c r="W10" i="10"/>
  <c r="X10" i="10" s="1"/>
  <c r="Y10" i="10" s="1"/>
  <c r="Z10" i="10" s="1"/>
  <c r="AA10" i="10" s="1"/>
  <c r="W53" i="10"/>
  <c r="X53" i="10" s="1"/>
  <c r="Y53" i="10" s="1"/>
  <c r="Z53" i="10" s="1"/>
  <c r="AA53" i="10" s="1"/>
  <c r="W60" i="10"/>
  <c r="X60" i="10" s="1"/>
  <c r="Y60" i="10" s="1"/>
  <c r="Z60" i="10" s="1"/>
  <c r="AA60" i="10" s="1"/>
  <c r="W43" i="10"/>
  <c r="X43" i="10" s="1"/>
  <c r="Y43" i="10" s="1"/>
  <c r="Z43" i="10" s="1"/>
  <c r="AA43" i="10" s="1"/>
  <c r="W75" i="10"/>
  <c r="X75" i="10" s="1"/>
  <c r="Y75" i="10" s="1"/>
  <c r="Z75" i="10" s="1"/>
  <c r="AA75" i="10" s="1"/>
  <c r="W64" i="10"/>
  <c r="X64" i="10" s="1"/>
  <c r="Y64" i="10" s="1"/>
  <c r="Z64" i="10" s="1"/>
  <c r="AA64" i="10" s="1"/>
  <c r="W82" i="10"/>
  <c r="X82" i="10" s="1"/>
  <c r="Y82" i="10" s="1"/>
  <c r="Z82" i="10" s="1"/>
  <c r="AA82" i="10" s="1"/>
  <c r="W5" i="10"/>
  <c r="X5" i="10" s="1"/>
  <c r="Y5" i="10" s="1"/>
  <c r="Z5" i="10" s="1"/>
  <c r="AA5" i="10" s="1"/>
  <c r="W69" i="10"/>
  <c r="X69" i="10" s="1"/>
  <c r="Y69" i="10" s="1"/>
  <c r="Z69" i="10" s="1"/>
  <c r="AA69" i="10" s="1"/>
  <c r="W80" i="31"/>
  <c r="W79" i="31"/>
  <c r="W69" i="32"/>
  <c r="W54" i="32"/>
  <c r="W25" i="32"/>
  <c r="W41" i="32"/>
  <c r="W60" i="32"/>
  <c r="W20" i="32"/>
  <c r="W5" i="32"/>
  <c r="W61" i="32"/>
  <c r="W64" i="32"/>
  <c r="W13" i="32"/>
  <c r="F52" i="10"/>
  <c r="AE52" i="10" s="1"/>
  <c r="F25" i="10"/>
  <c r="W42" i="32"/>
  <c r="W70" i="32"/>
  <c r="W31" i="32"/>
  <c r="W56" i="32"/>
  <c r="W52" i="32"/>
  <c r="W45" i="32"/>
  <c r="W28" i="32"/>
  <c r="W30" i="32"/>
  <c r="W76" i="32"/>
  <c r="W63" i="32"/>
  <c r="F67" i="10"/>
  <c r="AE67" i="10" s="1"/>
  <c r="F27" i="10"/>
  <c r="F6" i="10"/>
  <c r="F71" i="10"/>
  <c r="F73" i="10"/>
  <c r="AE73" i="10" s="1"/>
  <c r="F60" i="10"/>
  <c r="F43" i="10"/>
  <c r="AE43" i="10" s="1"/>
  <c r="F69" i="10"/>
  <c r="AE69" i="10" s="1"/>
  <c r="F8" i="10"/>
  <c r="F36" i="10"/>
  <c r="F9" i="10"/>
  <c r="AE9" i="10" s="1"/>
  <c r="F76" i="10"/>
  <c r="F58" i="10"/>
  <c r="F57" i="10"/>
  <c r="F62" i="10"/>
  <c r="W49" i="10"/>
  <c r="X49" i="10" s="1"/>
  <c r="Y49" i="10" s="1"/>
  <c r="Z49" i="10" s="1"/>
  <c r="AA49" i="10" s="1"/>
  <c r="W6" i="10"/>
  <c r="X6" i="10" s="1"/>
  <c r="Y6" i="10" s="1"/>
  <c r="Z6" i="10" s="1"/>
  <c r="AA6" i="10" s="1"/>
  <c r="W70" i="10"/>
  <c r="X70" i="10" s="1"/>
  <c r="Y70" i="10" s="1"/>
  <c r="Z70" i="10" s="1"/>
  <c r="AA70" i="10" s="1"/>
  <c r="W33" i="10"/>
  <c r="X33" i="10" s="1"/>
  <c r="Y33" i="10" s="1"/>
  <c r="Z33" i="10" s="1"/>
  <c r="AA33" i="10" s="1"/>
  <c r="W26" i="10"/>
  <c r="X26" i="10" s="1"/>
  <c r="Y26" i="10" s="1"/>
  <c r="Z26" i="10" s="1"/>
  <c r="AA26" i="10" s="1"/>
  <c r="W18" i="10"/>
  <c r="W40" i="10"/>
  <c r="X40" i="10" s="1"/>
  <c r="Y40" i="10" s="1"/>
  <c r="Z40" i="10" s="1"/>
  <c r="AA40" i="10" s="1"/>
  <c r="W7" i="10"/>
  <c r="X7" i="10" s="1"/>
  <c r="Y7" i="10" s="1"/>
  <c r="Z7" i="10" s="1"/>
  <c r="AA7" i="10" s="1"/>
  <c r="W23" i="10"/>
  <c r="X23" i="10" s="1"/>
  <c r="Y23" i="10" s="1"/>
  <c r="Z23" i="10" s="1"/>
  <c r="AA23" i="10" s="1"/>
  <c r="W39" i="10"/>
  <c r="X39" i="10" s="1"/>
  <c r="Y39" i="10" s="1"/>
  <c r="Z39" i="10" s="1"/>
  <c r="AA39" i="10" s="1"/>
  <c r="W55" i="10"/>
  <c r="X55" i="10" s="1"/>
  <c r="Y55" i="10" s="1"/>
  <c r="Z55" i="10" s="1"/>
  <c r="AA55" i="10" s="1"/>
  <c r="W71" i="10"/>
  <c r="X71" i="10" s="1"/>
  <c r="Y71" i="10" s="1"/>
  <c r="Z71" i="10" s="1"/>
  <c r="AA71" i="10" s="1"/>
  <c r="W8" i="10"/>
  <c r="X8" i="10" s="1"/>
  <c r="Y8" i="10" s="1"/>
  <c r="Z8" i="10" s="1"/>
  <c r="AA8" i="10" s="1"/>
  <c r="W29" i="10"/>
  <c r="X29" i="10" s="1"/>
  <c r="Y29" i="10" s="1"/>
  <c r="Z29" i="10" s="1"/>
  <c r="AA29" i="10" s="1"/>
  <c r="W50" i="10"/>
  <c r="X50" i="10" s="1"/>
  <c r="Y50" i="10" s="1"/>
  <c r="Z50" i="10" s="1"/>
  <c r="AA50" i="10" s="1"/>
  <c r="W72" i="10"/>
  <c r="X72" i="10" s="1"/>
  <c r="Y72" i="10" s="1"/>
  <c r="Z72" i="10" s="1"/>
  <c r="AA72" i="10" s="1"/>
  <c r="W14" i="10"/>
  <c r="X14" i="10" s="1"/>
  <c r="Y14" i="10" s="1"/>
  <c r="Z14" i="10" s="1"/>
  <c r="AA14" i="10" s="1"/>
  <c r="W36" i="10"/>
  <c r="X36" i="10" s="1"/>
  <c r="Y36" i="10" s="1"/>
  <c r="Z36" i="10" s="1"/>
  <c r="AA36" i="10" s="1"/>
  <c r="W57" i="10"/>
  <c r="X57" i="10" s="1"/>
  <c r="Y57" i="10" s="1"/>
  <c r="Z57" i="10" s="1"/>
  <c r="AA57" i="10" s="1"/>
  <c r="W78" i="10"/>
  <c r="X78" i="10" s="1"/>
  <c r="Y78" i="10" s="1"/>
  <c r="Z78" i="10" s="1"/>
  <c r="AA78" i="10" s="1"/>
  <c r="W16" i="10"/>
  <c r="X16" i="10" s="1"/>
  <c r="Y16" i="10" s="1"/>
  <c r="Z16" i="10" s="1"/>
  <c r="AA16" i="10" s="1"/>
  <c r="W37" i="10"/>
  <c r="X37" i="10" s="1"/>
  <c r="Y37" i="10" s="1"/>
  <c r="Z37" i="10" s="1"/>
  <c r="AA37" i="10" s="1"/>
  <c r="W58" i="10"/>
  <c r="X58" i="10" s="1"/>
  <c r="Y58" i="10" s="1"/>
  <c r="Z58" i="10" s="1"/>
  <c r="AA58" i="10" s="1"/>
  <c r="W80" i="10"/>
  <c r="X80" i="10" s="1"/>
  <c r="Y80" i="10" s="1"/>
  <c r="Z80" i="10" s="1"/>
  <c r="AA80" i="10" s="1"/>
  <c r="W81" i="10"/>
  <c r="X81" i="10" s="1"/>
  <c r="Y81" i="10" s="1"/>
  <c r="Z81" i="10" s="1"/>
  <c r="AA81" i="10" s="1"/>
  <c r="W65" i="10"/>
  <c r="X65" i="10" s="1"/>
  <c r="Y65" i="10" s="1"/>
  <c r="Z65" i="10" s="1"/>
  <c r="AA65" i="10" s="1"/>
  <c r="W54" i="10"/>
  <c r="X54" i="10" s="1"/>
  <c r="Y54" i="10" s="1"/>
  <c r="Z54" i="10" s="1"/>
  <c r="AA54" i="10" s="1"/>
  <c r="W27" i="10"/>
  <c r="X27" i="10" s="1"/>
  <c r="Y27" i="10" s="1"/>
  <c r="Z27" i="10" s="1"/>
  <c r="AA27" i="10" s="1"/>
  <c r="W56" i="10"/>
  <c r="X56" i="10" s="1"/>
  <c r="Y56" i="10" s="1"/>
  <c r="Z56" i="10" s="1"/>
  <c r="AA56" i="10" s="1"/>
  <c r="W77" i="10"/>
  <c r="X77" i="10" s="1"/>
  <c r="Y77" i="10" s="1"/>
  <c r="Z77" i="10" s="1"/>
  <c r="AA77" i="10" s="1"/>
  <c r="W20" i="10"/>
  <c r="X20" i="10" s="1"/>
  <c r="Y20" i="10" s="1"/>
  <c r="Z20" i="10" s="1"/>
  <c r="AA20" i="10" s="1"/>
  <c r="W41" i="10"/>
  <c r="X41" i="10" s="1"/>
  <c r="Y41" i="10" s="1"/>
  <c r="Z41" i="10" s="1"/>
  <c r="AA41" i="10" s="1"/>
  <c r="W62" i="10"/>
  <c r="X62" i="10" s="1"/>
  <c r="Y62" i="10" s="1"/>
  <c r="Z62" i="10" s="1"/>
  <c r="AA62" i="10" s="1"/>
  <c r="W84" i="10"/>
  <c r="X84" i="10" s="1"/>
  <c r="Y84" i="10" s="1"/>
  <c r="Z84" i="10" s="1"/>
  <c r="AA84" i="10" s="1"/>
  <c r="W21" i="10"/>
  <c r="X21" i="10" s="1"/>
  <c r="Y21" i="10" s="1"/>
  <c r="Z21" i="10" s="1"/>
  <c r="AA21" i="10" s="1"/>
  <c r="W42" i="10"/>
  <c r="X42" i="10" s="1"/>
  <c r="Y42" i="10" s="1"/>
  <c r="Z42" i="10" s="1"/>
  <c r="AA42" i="10" s="1"/>
  <c r="W17" i="10"/>
  <c r="X17" i="10" s="1"/>
  <c r="Y17" i="10" s="1"/>
  <c r="Z17" i="10" s="1"/>
  <c r="AA17" i="10" s="1"/>
  <c r="W28" i="10"/>
  <c r="X28" i="10" s="1"/>
  <c r="Y28" i="10" s="1"/>
  <c r="Z28" i="10" s="1"/>
  <c r="AA28" i="10" s="1"/>
  <c r="W76" i="10"/>
  <c r="X76" i="10" s="1"/>
  <c r="Y76" i="10" s="1"/>
  <c r="Z76" i="10" s="1"/>
  <c r="AA76" i="10" s="1"/>
  <c r="W11" i="10"/>
  <c r="X11" i="10" s="1"/>
  <c r="Y11" i="10" s="1"/>
  <c r="Z11" i="10" s="1"/>
  <c r="AA11" i="10" s="1"/>
  <c r="W59" i="10"/>
  <c r="X59" i="10" s="1"/>
  <c r="Y59" i="10" s="1"/>
  <c r="Z59" i="10" s="1"/>
  <c r="AA59" i="10" s="1"/>
  <c r="W13" i="10"/>
  <c r="X13" i="10" s="1"/>
  <c r="Y13" i="10" s="1"/>
  <c r="Z13" i="10" s="1"/>
  <c r="AA13" i="10" s="1"/>
  <c r="W34" i="10"/>
  <c r="X34" i="10" s="1"/>
  <c r="Y34" i="10" s="1"/>
  <c r="Z34" i="10" s="1"/>
  <c r="AA34" i="10" s="1"/>
  <c r="W15" i="10"/>
  <c r="X15" i="10" s="1"/>
  <c r="Y15" i="10" s="1"/>
  <c r="Z15" i="10" s="1"/>
  <c r="AA15" i="10" s="1"/>
  <c r="W31" i="10"/>
  <c r="X31" i="10" s="1"/>
  <c r="Y31" i="10" s="1"/>
  <c r="Z31" i="10" s="1"/>
  <c r="AA31" i="10" s="1"/>
  <c r="W47" i="10"/>
  <c r="X47" i="10" s="1"/>
  <c r="Y47" i="10" s="1"/>
  <c r="Z47" i="10" s="1"/>
  <c r="AA47" i="10" s="1"/>
  <c r="W63" i="10"/>
  <c r="X63" i="10" s="1"/>
  <c r="Y63" i="10" s="1"/>
  <c r="Z63" i="10" s="1"/>
  <c r="AA63" i="10" s="1"/>
  <c r="W79" i="10"/>
  <c r="X79" i="10" s="1"/>
  <c r="Y79" i="10" s="1"/>
  <c r="Z79" i="10" s="1"/>
  <c r="AA79" i="10" s="1"/>
  <c r="W61" i="10"/>
  <c r="X61" i="10" s="1"/>
  <c r="Y61" i="10" s="1"/>
  <c r="Z61" i="10" s="1"/>
  <c r="AA61" i="10" s="1"/>
  <c r="W25" i="10"/>
  <c r="X25" i="10" s="1"/>
  <c r="Y25" i="10" s="1"/>
  <c r="Z25" i="10" s="1"/>
  <c r="AA25" i="10" s="1"/>
  <c r="W46" i="10"/>
  <c r="X46" i="10" s="1"/>
  <c r="Y46" i="10" s="1"/>
  <c r="Z46" i="10" s="1"/>
  <c r="AA46" i="10" s="1"/>
  <c r="W68" i="10"/>
  <c r="X68" i="10" s="1"/>
  <c r="Y68" i="10" s="1"/>
  <c r="Z68" i="10" s="1"/>
  <c r="AA68" i="10" s="1"/>
  <c r="W48" i="10"/>
  <c r="X48" i="10" s="1"/>
  <c r="Y48" i="10" s="1"/>
  <c r="Z48" i="10" s="1"/>
  <c r="AA48" i="10" s="1"/>
  <c r="W38" i="10"/>
  <c r="X38" i="10" s="1"/>
  <c r="Y38" i="10" s="1"/>
  <c r="Z38" i="10" s="1"/>
  <c r="AA38" i="10" s="1"/>
  <c r="W22" i="10"/>
  <c r="X22" i="10" s="1"/>
  <c r="Y22" i="10" s="1"/>
  <c r="Z22" i="10" s="1"/>
  <c r="AA22" i="10" s="1"/>
  <c r="W12" i="10"/>
  <c r="X12" i="10" s="1"/>
  <c r="Y12" i="10" s="1"/>
  <c r="Z12" i="10" s="1"/>
  <c r="AA12" i="10" s="1"/>
  <c r="F56" i="10"/>
  <c r="AE56" i="10" s="1"/>
  <c r="W78" i="32"/>
  <c r="W22" i="32"/>
  <c r="W59" i="32"/>
  <c r="W62" i="32"/>
  <c r="W72" i="32"/>
  <c r="W19" i="32"/>
  <c r="W79" i="32"/>
  <c r="W51" i="32"/>
  <c r="W67" i="32"/>
  <c r="W11" i="32"/>
  <c r="W48" i="32"/>
  <c r="W47" i="32"/>
  <c r="W44" i="32"/>
  <c r="W55" i="32"/>
  <c r="W46" i="32"/>
  <c r="W73" i="32"/>
  <c r="W57" i="32"/>
  <c r="W58" i="32"/>
  <c r="W84" i="32"/>
  <c r="W74" i="32"/>
  <c r="F13" i="10"/>
  <c r="F80" i="10"/>
  <c r="AE80" i="10" s="1"/>
  <c r="F47" i="10"/>
  <c r="F22" i="10"/>
  <c r="AE22" i="10" s="1"/>
  <c r="F10" i="10"/>
  <c r="AE10" i="10" s="1"/>
  <c r="F50" i="10"/>
  <c r="AE50" i="10" s="1"/>
  <c r="F20" i="10"/>
  <c r="AE20" i="10" s="1"/>
  <c r="F83" i="10"/>
  <c r="AE83" i="10" s="1"/>
  <c r="F41" i="10"/>
  <c r="AE41" i="10" s="1"/>
  <c r="F11" i="10"/>
  <c r="AE11" i="10" s="1"/>
  <c r="F74" i="10"/>
  <c r="F14" i="10"/>
  <c r="AE14" i="10" s="1"/>
  <c r="F24" i="10"/>
  <c r="W24" i="32"/>
  <c r="W37" i="32"/>
  <c r="W36" i="32"/>
  <c r="W14" i="32"/>
  <c r="W53" i="32"/>
  <c r="W38" i="32"/>
  <c r="W26" i="32"/>
  <c r="W29" i="32"/>
  <c r="W15" i="32"/>
  <c r="W43" i="32"/>
  <c r="W77" i="32"/>
  <c r="W32" i="32"/>
  <c r="W8" i="32"/>
  <c r="W4" i="32"/>
  <c r="W17" i="32"/>
  <c r="W12" i="32"/>
  <c r="W68" i="32"/>
  <c r="W16" i="32"/>
  <c r="W49" i="32"/>
  <c r="W35" i="32"/>
  <c r="W34" i="32"/>
  <c r="F40" i="10"/>
  <c r="AE40" i="10" s="1"/>
  <c r="W40" i="32"/>
  <c r="W18" i="32"/>
  <c r="W66" i="32"/>
  <c r="W65" i="32"/>
  <c r="W50" i="32"/>
  <c r="W7" i="32"/>
  <c r="W9" i="32"/>
  <c r="W10" i="32"/>
  <c r="W23" i="32"/>
  <c r="W39" i="32"/>
  <c r="AD39" i="32" s="1"/>
  <c r="W80" i="32"/>
  <c r="W75" i="32"/>
  <c r="W33" i="32"/>
  <c r="W83" i="32"/>
  <c r="W71" i="32"/>
  <c r="W6" i="32"/>
  <c r="W27" i="32"/>
  <c r="W82" i="32"/>
  <c r="W81" i="32"/>
  <c r="W21" i="32"/>
  <c r="F64" i="10"/>
  <c r="AE64" i="10" s="1"/>
  <c r="F31" i="10"/>
  <c r="AE31" i="10" s="1"/>
  <c r="W58" i="31"/>
  <c r="W77" i="31"/>
  <c r="W59" i="31"/>
  <c r="W28" i="31"/>
  <c r="W47" i="31"/>
  <c r="W13" i="31"/>
  <c r="W33" i="31"/>
  <c r="W52" i="31"/>
  <c r="W82" i="31"/>
  <c r="W66" i="31"/>
  <c r="W51" i="31"/>
  <c r="W16" i="31"/>
  <c r="W17" i="31"/>
  <c r="W71" i="31"/>
  <c r="W72" i="31"/>
  <c r="W5" i="31"/>
  <c r="W14" i="31"/>
  <c r="F12" i="10"/>
  <c r="AE12" i="10" s="1"/>
  <c r="F75" i="10"/>
  <c r="AE75" i="10" s="1"/>
  <c r="W84" i="31"/>
  <c r="W26" i="31"/>
  <c r="W31" i="31"/>
  <c r="W61" i="31"/>
  <c r="W21" i="31"/>
  <c r="W24" i="31"/>
  <c r="W67" i="31"/>
  <c r="W10" i="31"/>
  <c r="W12" i="31"/>
  <c r="W25" i="31"/>
  <c r="W32" i="31"/>
  <c r="W75" i="31"/>
  <c r="W7" i="31"/>
  <c r="W22" i="31"/>
  <c r="W38" i="31"/>
  <c r="W69" i="31"/>
  <c r="W49" i="31"/>
  <c r="W44" i="31"/>
  <c r="X44" i="31" s="1"/>
  <c r="Y44" i="31" s="1"/>
  <c r="Z44" i="31" s="1"/>
  <c r="AA44" i="31" s="1"/>
  <c r="W23" i="31"/>
  <c r="W15" i="31"/>
  <c r="W20" i="31"/>
  <c r="W68" i="31"/>
  <c r="W29" i="31"/>
  <c r="W6" i="31"/>
  <c r="W30" i="31"/>
  <c r="W73" i="31"/>
  <c r="W34" i="31"/>
  <c r="W56" i="31"/>
  <c r="W35" i="31"/>
  <c r="W62" i="31"/>
  <c r="W50" i="31"/>
  <c r="W64" i="31"/>
  <c r="W43" i="31"/>
  <c r="W45" i="31"/>
  <c r="W74" i="31"/>
  <c r="W76" i="31"/>
  <c r="W8" i="31"/>
  <c r="W55" i="31"/>
  <c r="W9" i="31"/>
  <c r="W75" i="30"/>
  <c r="W37" i="31"/>
  <c r="W36" i="31"/>
  <c r="X36" i="31" s="1"/>
  <c r="Y36" i="31" s="1"/>
  <c r="Z36" i="31" s="1"/>
  <c r="AA36" i="31" s="1"/>
  <c r="W63" i="31"/>
  <c r="W78" i="31"/>
  <c r="W11" i="31"/>
  <c r="W65" i="31"/>
  <c r="W53" i="31"/>
  <c r="W41" i="31"/>
  <c r="W40" i="31"/>
  <c r="W83" i="31"/>
  <c r="W19" i="31"/>
  <c r="W54" i="31"/>
  <c r="W70" i="31"/>
  <c r="W4" i="31"/>
  <c r="W57" i="31"/>
  <c r="W18" i="31"/>
  <c r="W48" i="31"/>
  <c r="W27" i="31"/>
  <c r="W46" i="31"/>
  <c r="W81" i="31"/>
  <c r="W42" i="31"/>
  <c r="W60" i="31"/>
  <c r="W20" i="30"/>
  <c r="W55" i="30"/>
  <c r="W36" i="30"/>
  <c r="W15" i="30"/>
  <c r="D113" i="18"/>
  <c r="C47" i="17"/>
  <c r="C48" i="17" s="1"/>
  <c r="D112" i="18"/>
  <c r="C18" i="17"/>
  <c r="C19" i="17" s="1"/>
  <c r="W83" i="30"/>
  <c r="W58" i="30"/>
  <c r="W69" i="30"/>
  <c r="W5" i="30"/>
  <c r="W24" i="30"/>
  <c r="W63" i="30"/>
  <c r="W79" i="30"/>
  <c r="W39" i="30"/>
  <c r="W74" i="30"/>
  <c r="W77" i="30"/>
  <c r="W13" i="30"/>
  <c r="W32" i="30"/>
  <c r="W26" i="30"/>
  <c r="W7" i="30"/>
  <c r="W25" i="30"/>
  <c r="W44" i="30"/>
  <c r="X44" i="30" s="1"/>
  <c r="F17" i="10"/>
  <c r="AE17" i="10" s="1"/>
  <c r="F84" i="10"/>
  <c r="F51" i="10"/>
  <c r="AE51" i="10" s="1"/>
  <c r="F38" i="10"/>
  <c r="F26" i="10"/>
  <c r="AE26" i="10" s="1"/>
  <c r="F65" i="10"/>
  <c r="F16" i="10"/>
  <c r="AE16" i="10" s="1"/>
  <c r="F79" i="10"/>
  <c r="AE79" i="10" s="1"/>
  <c r="F37" i="10"/>
  <c r="AE37" i="10" s="1"/>
  <c r="F7" i="10"/>
  <c r="AE7" i="10" s="1"/>
  <c r="F70" i="10"/>
  <c r="F28" i="10"/>
  <c r="AE28" i="10" s="1"/>
  <c r="W50" i="30"/>
  <c r="W33" i="30"/>
  <c r="W82" i="30"/>
  <c r="W70" i="30"/>
  <c r="W51" i="30"/>
  <c r="W18" i="30"/>
  <c r="W53" i="30"/>
  <c r="W72" i="30"/>
  <c r="W8" i="30"/>
  <c r="W67" i="30"/>
  <c r="W42" i="30"/>
  <c r="W61" i="30"/>
  <c r="W80" i="30"/>
  <c r="W16" i="30"/>
  <c r="W47" i="30"/>
  <c r="W14" i="30"/>
  <c r="W66" i="30"/>
  <c r="W73" i="30"/>
  <c r="W9" i="30"/>
  <c r="W28" i="30"/>
  <c r="F33" i="10"/>
  <c r="AE33" i="10" s="1"/>
  <c r="F66" i="10"/>
  <c r="AE66" i="10" s="1"/>
  <c r="F32" i="10"/>
  <c r="AE32" i="10" s="1"/>
  <c r="F53" i="10"/>
  <c r="F23" i="10"/>
  <c r="AE23" i="10" s="1"/>
  <c r="F77" i="10"/>
  <c r="AE77" i="10" s="1"/>
  <c r="F34" i="10"/>
  <c r="F44" i="10"/>
  <c r="W54" i="30"/>
  <c r="W31" i="30"/>
  <c r="W49" i="30"/>
  <c r="W65" i="30"/>
  <c r="W62" i="30"/>
  <c r="W52" i="30"/>
  <c r="W81" i="30"/>
  <c r="W78" i="30"/>
  <c r="W6" i="30"/>
  <c r="W19" i="30"/>
  <c r="W37" i="30"/>
  <c r="W56" i="30"/>
  <c r="W38" i="30"/>
  <c r="W35" i="30"/>
  <c r="W27" i="30"/>
  <c r="AD27" i="30" s="1"/>
  <c r="W45" i="30"/>
  <c r="W64" i="30"/>
  <c r="W30" i="30"/>
  <c r="W59" i="30"/>
  <c r="W34" i="30"/>
  <c r="W57" i="30"/>
  <c r="W76" i="30"/>
  <c r="W12" i="30"/>
  <c r="F49" i="10"/>
  <c r="AE49" i="10" s="1"/>
  <c r="F19" i="10"/>
  <c r="F82" i="10"/>
  <c r="AE82" i="10" s="1"/>
  <c r="F61" i="10"/>
  <c r="AE61" i="10" s="1"/>
  <c r="F48" i="10"/>
  <c r="AE48" i="10" s="1"/>
  <c r="F5" i="10"/>
  <c r="AE5" i="10" s="1"/>
  <c r="F72" i="10"/>
  <c r="AE72" i="10" s="1"/>
  <c r="F39" i="10"/>
  <c r="F18" i="10"/>
  <c r="F45" i="10"/>
  <c r="AE45" i="10" s="1"/>
  <c r="F15" i="10"/>
  <c r="AE15" i="10" s="1"/>
  <c r="F78" i="10"/>
  <c r="AE78" i="10" s="1"/>
  <c r="F30" i="10"/>
  <c r="AE30" i="10" s="1"/>
  <c r="F46" i="10"/>
  <c r="F59" i="10"/>
  <c r="AE59" i="10" s="1"/>
  <c r="W68" i="30"/>
  <c r="W43" i="30"/>
  <c r="W84" i="30"/>
  <c r="W17" i="30"/>
  <c r="W71" i="30"/>
  <c r="W4" i="30"/>
  <c r="W21" i="30"/>
  <c r="W40" i="30"/>
  <c r="W46" i="30"/>
  <c r="W11" i="30"/>
  <c r="W29" i="30"/>
  <c r="W48" i="30"/>
  <c r="W10" i="30"/>
  <c r="W22" i="30"/>
  <c r="W23" i="30"/>
  <c r="W41" i="30"/>
  <c r="F68" i="10"/>
  <c r="AE68" i="10" s="1"/>
  <c r="F35" i="10"/>
  <c r="AE35" i="10" s="1"/>
  <c r="F63" i="10"/>
  <c r="AE63" i="10" s="1"/>
  <c r="F21" i="10"/>
  <c r="F55" i="10"/>
  <c r="F54" i="10"/>
  <c r="AE54" i="10" s="1"/>
  <c r="F42" i="10"/>
  <c r="AE42" i="10" s="1"/>
  <c r="F81" i="10"/>
  <c r="AE81" i="10" s="1"/>
  <c r="E18" i="18"/>
  <c r="C137" i="18" s="1"/>
  <c r="C137" i="33"/>
  <c r="E8" i="18"/>
  <c r="C124" i="18" s="1"/>
  <c r="F81" i="26"/>
  <c r="AE81" i="26" s="1"/>
  <c r="F35" i="26"/>
  <c r="AE35" i="26" s="1"/>
  <c r="F8" i="26"/>
  <c r="AE8" i="26" s="1"/>
  <c r="F70" i="26"/>
  <c r="AE70" i="26" s="1"/>
  <c r="F58" i="26"/>
  <c r="AE58" i="26" s="1"/>
  <c r="F43" i="26"/>
  <c r="AE43" i="26" s="1"/>
  <c r="F27" i="26"/>
  <c r="AE27" i="26" s="1"/>
  <c r="F14" i="26"/>
  <c r="AE14" i="26" s="1"/>
  <c r="F76" i="26"/>
  <c r="AE76" i="26" s="1"/>
  <c r="F60" i="26"/>
  <c r="AE60" i="26" s="1"/>
  <c r="F45" i="26"/>
  <c r="AE45" i="26" s="1"/>
  <c r="F30" i="26"/>
  <c r="AE30" i="26" s="1"/>
  <c r="F11" i="26"/>
  <c r="AE11" i="26" s="1"/>
  <c r="F79" i="26"/>
  <c r="AE79" i="26" s="1"/>
  <c r="F62" i="26"/>
  <c r="AE62" i="26" s="1"/>
  <c r="F44" i="26"/>
  <c r="AE44" i="26" s="1"/>
  <c r="F29" i="26"/>
  <c r="AE29" i="26" s="1"/>
  <c r="F13" i="26"/>
  <c r="AE13" i="26" s="1"/>
  <c r="F84" i="26"/>
  <c r="AE84" i="26" s="1"/>
  <c r="F67" i="26"/>
  <c r="AE67" i="26" s="1"/>
  <c r="F51" i="26"/>
  <c r="AE51" i="26" s="1"/>
  <c r="F32" i="26"/>
  <c r="AE32" i="26" s="1"/>
  <c r="F18" i="26"/>
  <c r="AE18" i="26" s="1"/>
  <c r="F63" i="26"/>
  <c r="AE63" i="26" s="1"/>
  <c r="F50" i="26"/>
  <c r="AE50" i="26" s="1"/>
  <c r="F20" i="26"/>
  <c r="AE20" i="26" s="1"/>
  <c r="F4" i="26"/>
  <c r="AE4" i="26" s="1"/>
  <c r="F69" i="26"/>
  <c r="AE69" i="26" s="1"/>
  <c r="F53" i="26"/>
  <c r="AE53" i="26" s="1"/>
  <c r="F38" i="26"/>
  <c r="AE38" i="26" s="1"/>
  <c r="F19" i="26"/>
  <c r="AE19" i="26" s="1"/>
  <c r="F6" i="26"/>
  <c r="AE6" i="26" s="1"/>
  <c r="F72" i="26"/>
  <c r="AE72" i="26" s="1"/>
  <c r="F52" i="26"/>
  <c r="AE52" i="26" s="1"/>
  <c r="F37" i="26"/>
  <c r="AE37" i="26" s="1"/>
  <c r="F22" i="26"/>
  <c r="AE22" i="26" s="1"/>
  <c r="F74" i="26"/>
  <c r="AE74" i="26" s="1"/>
  <c r="F59" i="26"/>
  <c r="AE59" i="26" s="1"/>
  <c r="F40" i="26"/>
  <c r="AE40" i="26" s="1"/>
  <c r="F24" i="26"/>
  <c r="AE24" i="26" s="1"/>
  <c r="F77" i="26"/>
  <c r="AE77" i="26" s="1"/>
  <c r="F61" i="26"/>
  <c r="AE61" i="26" s="1"/>
  <c r="F46" i="26"/>
  <c r="AE46" i="26" s="1"/>
  <c r="F31" i="26"/>
  <c r="AE31" i="26" s="1"/>
  <c r="F17" i="26"/>
  <c r="AE17" i="26" s="1"/>
  <c r="F80" i="26"/>
  <c r="AE80" i="26" s="1"/>
  <c r="F65" i="26"/>
  <c r="AE65" i="26" s="1"/>
  <c r="F49" i="26"/>
  <c r="AE49" i="26" s="1"/>
  <c r="F34" i="26"/>
  <c r="AE34" i="26" s="1"/>
  <c r="F16" i="26"/>
  <c r="AE16" i="26" s="1"/>
  <c r="F82" i="26"/>
  <c r="AE82" i="26" s="1"/>
  <c r="F68" i="26"/>
  <c r="AE68" i="26" s="1"/>
  <c r="F48" i="26"/>
  <c r="AE48" i="26" s="1"/>
  <c r="F33" i="26"/>
  <c r="AE33" i="26" s="1"/>
  <c r="F15" i="26"/>
  <c r="AE15" i="26" s="1"/>
  <c r="F5" i="26"/>
  <c r="AE5" i="26" s="1"/>
  <c r="F71" i="26"/>
  <c r="AE71" i="26" s="1"/>
  <c r="F55" i="26"/>
  <c r="AE55" i="26" s="1"/>
  <c r="F36" i="26"/>
  <c r="AE36" i="26" s="1"/>
  <c r="F21" i="26"/>
  <c r="AE21" i="26" s="1"/>
  <c r="F83" i="26"/>
  <c r="AE83" i="26" s="1"/>
  <c r="F66" i="26"/>
  <c r="AE66" i="26" s="1"/>
  <c r="F54" i="26"/>
  <c r="AE54" i="26" s="1"/>
  <c r="F39" i="26"/>
  <c r="AE39" i="26" s="1"/>
  <c r="F23" i="26"/>
  <c r="AE23" i="26" s="1"/>
  <c r="F7" i="26"/>
  <c r="AE7" i="26" s="1"/>
  <c r="F73" i="26"/>
  <c r="AE73" i="26" s="1"/>
  <c r="F57" i="26"/>
  <c r="AE57" i="26" s="1"/>
  <c r="F42" i="26"/>
  <c r="AE42" i="26" s="1"/>
  <c r="F26" i="26"/>
  <c r="AE26" i="26" s="1"/>
  <c r="F9" i="26"/>
  <c r="AE9" i="26" s="1"/>
  <c r="F75" i="26"/>
  <c r="AE75" i="26" s="1"/>
  <c r="F56" i="26"/>
  <c r="AE56" i="26" s="1"/>
  <c r="F41" i="26"/>
  <c r="AE41" i="26" s="1"/>
  <c r="F25" i="26"/>
  <c r="AE25" i="26" s="1"/>
  <c r="F10" i="26"/>
  <c r="AE10" i="26" s="1"/>
  <c r="F78" i="26"/>
  <c r="AE78" i="26" s="1"/>
  <c r="F64" i="26"/>
  <c r="AE64" i="26" s="1"/>
  <c r="F47" i="26"/>
  <c r="AE47" i="26" s="1"/>
  <c r="F28" i="26"/>
  <c r="AE28" i="26" s="1"/>
  <c r="F12" i="26"/>
  <c r="AE12" i="26" s="1"/>
  <c r="AD67" i="32" l="1"/>
  <c r="AD70" i="32"/>
  <c r="AD26" i="32"/>
  <c r="AD73" i="32"/>
  <c r="AD9" i="32"/>
  <c r="AD48" i="32"/>
  <c r="AD7" i="32"/>
  <c r="AD27" i="49"/>
  <c r="AD12" i="10"/>
  <c r="AE8" i="10"/>
  <c r="AD28" i="32"/>
  <c r="AD59" i="32"/>
  <c r="AD82" i="32"/>
  <c r="AD18" i="32"/>
  <c r="AD65" i="32"/>
  <c r="AD63" i="32"/>
  <c r="AD40" i="32"/>
  <c r="AD78" i="32"/>
  <c r="AD69" i="32"/>
  <c r="AD5" i="32"/>
  <c r="AD84" i="32"/>
  <c r="AD20" i="32"/>
  <c r="AD51" i="32"/>
  <c r="AD74" i="32"/>
  <c r="AD10" i="32"/>
  <c r="AD57" i="32"/>
  <c r="AD31" i="32"/>
  <c r="AD32" i="32"/>
  <c r="AD46" i="32"/>
  <c r="AD61" i="32"/>
  <c r="AD36" i="32"/>
  <c r="AD77" i="32"/>
  <c r="AD76" i="32"/>
  <c r="AD12" i="32"/>
  <c r="AD43" i="32"/>
  <c r="AD66" i="32"/>
  <c r="AD79" i="32"/>
  <c r="AD49" i="32"/>
  <c r="AD62" i="32"/>
  <c r="AD24" i="32"/>
  <c r="AD30" i="32"/>
  <c r="AD53" i="32"/>
  <c r="AD68" i="32"/>
  <c r="AD23" i="32"/>
  <c r="AD35" i="32"/>
  <c r="AD58" i="32"/>
  <c r="AD47" i="32"/>
  <c r="AD41" i="32"/>
  <c r="AD80" i="32"/>
  <c r="AD16" i="32"/>
  <c r="AD22" i="32"/>
  <c r="AD45" i="32"/>
  <c r="AD60" i="32"/>
  <c r="AD38" i="32"/>
  <c r="AD27" i="32"/>
  <c r="AD50" i="32"/>
  <c r="AD15" i="32"/>
  <c r="AD33" i="32"/>
  <c r="AD72" i="32"/>
  <c r="AD8" i="32"/>
  <c r="AD14" i="32"/>
  <c r="AD37" i="32"/>
  <c r="AD52" i="32"/>
  <c r="AD83" i="32"/>
  <c r="AD19" i="32"/>
  <c r="AD42" i="32"/>
  <c r="AD54" i="32"/>
  <c r="AD25" i="32"/>
  <c r="AD64" i="32"/>
  <c r="AD71" i="32"/>
  <c r="AD6" i="32"/>
  <c r="AD29" i="32"/>
  <c r="AD13" i="32"/>
  <c r="AD44" i="32"/>
  <c r="AD75" i="32"/>
  <c r="AD11" i="32"/>
  <c r="AD34" i="32"/>
  <c r="AD81" i="32"/>
  <c r="AD17" i="32"/>
  <c r="AD56" i="32"/>
  <c r="AD55" i="32"/>
  <c r="AD4" i="32"/>
  <c r="AD21" i="32"/>
  <c r="AD4" i="49"/>
  <c r="AD35" i="49"/>
  <c r="AD66" i="49"/>
  <c r="AD38" i="49"/>
  <c r="AD33" i="49"/>
  <c r="AD37" i="49"/>
  <c r="AD32" i="49"/>
  <c r="AD7" i="49"/>
  <c r="AD58" i="49"/>
  <c r="AD77" i="49"/>
  <c r="AD25" i="49"/>
  <c r="AD21" i="49"/>
  <c r="AD16" i="49"/>
  <c r="AD63" i="49"/>
  <c r="AD70" i="49"/>
  <c r="AD76" i="49"/>
  <c r="AD12" i="49"/>
  <c r="AD19" i="49"/>
  <c r="AD50" i="49"/>
  <c r="AD17" i="49"/>
  <c r="AD80" i="49"/>
  <c r="AD55" i="49"/>
  <c r="AD22" i="49"/>
  <c r="AD68" i="49"/>
  <c r="AD9" i="49"/>
  <c r="AD78" i="49"/>
  <c r="AD47" i="49"/>
  <c r="AD69" i="49"/>
  <c r="AD60" i="49"/>
  <c r="AD67" i="49"/>
  <c r="AD54" i="49"/>
  <c r="AD34" i="49"/>
  <c r="AD65" i="49"/>
  <c r="AD62" i="49"/>
  <c r="AD46" i="49"/>
  <c r="AD39" i="49"/>
  <c r="AD45" i="49"/>
  <c r="AD52" i="49"/>
  <c r="AD59" i="49"/>
  <c r="AD6" i="49"/>
  <c r="AD26" i="49"/>
  <c r="AD57" i="49"/>
  <c r="AD30" i="49"/>
  <c r="AD56" i="49"/>
  <c r="AD29" i="49"/>
  <c r="AD51" i="49"/>
  <c r="AD49" i="49"/>
  <c r="AD48" i="49"/>
  <c r="AD61" i="49"/>
  <c r="AD23" i="49"/>
  <c r="AD13" i="49"/>
  <c r="AD36" i="49"/>
  <c r="AD24" i="49"/>
  <c r="AD43" i="49"/>
  <c r="AD74" i="49"/>
  <c r="AD10" i="49"/>
  <c r="AD41" i="49"/>
  <c r="AD53" i="49"/>
  <c r="AD40" i="49"/>
  <c r="AD79" i="49"/>
  <c r="AD15" i="49"/>
  <c r="AD5" i="49"/>
  <c r="AD42" i="31"/>
  <c r="AD81" i="31"/>
  <c r="AD17" i="31"/>
  <c r="AD56" i="31"/>
  <c r="AD29" i="31"/>
  <c r="AD47" i="31"/>
  <c r="AD68" i="31"/>
  <c r="AD30" i="31"/>
  <c r="AD12" i="31"/>
  <c r="AD27" i="31"/>
  <c r="AD34" i="31"/>
  <c r="AD73" i="31"/>
  <c r="AD9" i="31"/>
  <c r="AD48" i="31"/>
  <c r="AD84" i="31"/>
  <c r="AD20" i="31"/>
  <c r="AD14" i="31"/>
  <c r="AD83" i="31"/>
  <c r="AD19" i="31"/>
  <c r="AD26" i="31"/>
  <c r="AD65" i="31"/>
  <c r="AD45" i="31"/>
  <c r="AD40" i="31"/>
  <c r="AD60" i="31"/>
  <c r="AD31" i="31"/>
  <c r="AD78" i="31"/>
  <c r="AD6" i="31"/>
  <c r="AD75" i="31"/>
  <c r="AD11" i="31"/>
  <c r="AD82" i="31"/>
  <c r="AD18" i="31"/>
  <c r="AD57" i="31"/>
  <c r="AD5" i="31"/>
  <c r="AD32" i="31"/>
  <c r="AD28" i="31"/>
  <c r="AD23" i="31"/>
  <c r="AD70" i="31"/>
  <c r="AD4" i="31"/>
  <c r="AD67" i="31"/>
  <c r="AD74" i="31"/>
  <c r="AD10" i="31"/>
  <c r="AD49" i="31"/>
  <c r="AD36" i="31"/>
  <c r="AD24" i="31"/>
  <c r="AD79" i="31"/>
  <c r="AD15" i="31"/>
  <c r="AD62" i="31"/>
  <c r="AD53" i="31"/>
  <c r="AD59" i="31"/>
  <c r="AD66" i="31"/>
  <c r="AD61" i="31"/>
  <c r="AD41" i="31"/>
  <c r="AD80" i="31"/>
  <c r="AD16" i="31"/>
  <c r="AD71" i="31"/>
  <c r="AD7" i="31"/>
  <c r="AD54" i="31"/>
  <c r="AD21" i="31"/>
  <c r="AD51" i="31"/>
  <c r="AD22" i="31"/>
  <c r="AD58" i="31"/>
  <c r="AD13" i="31"/>
  <c r="AD33" i="31"/>
  <c r="AD72" i="31"/>
  <c r="AD8" i="31"/>
  <c r="AD63" i="31"/>
  <c r="AD77" i="31"/>
  <c r="AD46" i="31"/>
  <c r="AD76" i="31"/>
  <c r="AD43" i="31"/>
  <c r="AD50" i="31"/>
  <c r="AD52" i="31"/>
  <c r="AD25" i="31"/>
  <c r="AD64" i="31"/>
  <c r="AD69" i="31"/>
  <c r="AD55" i="31"/>
  <c r="AD37" i="31"/>
  <c r="AD38" i="31"/>
  <c r="AD44" i="31"/>
  <c r="AD35" i="31"/>
  <c r="AD51" i="30"/>
  <c r="AD47" i="30"/>
  <c r="AD71" i="30"/>
  <c r="AD6" i="30"/>
  <c r="AD70" i="30"/>
  <c r="AD5" i="30"/>
  <c r="AD77" i="30"/>
  <c r="AD12" i="30"/>
  <c r="AD82" i="30"/>
  <c r="AD17" i="30"/>
  <c r="AD73" i="30"/>
  <c r="AD39" i="30"/>
  <c r="AD63" i="30"/>
  <c r="AD68" i="30"/>
  <c r="AD62" i="30"/>
  <c r="AD60" i="30"/>
  <c r="AD69" i="30"/>
  <c r="AD49" i="30"/>
  <c r="AD74" i="30"/>
  <c r="AD9" i="30"/>
  <c r="AD32" i="30"/>
  <c r="AD48" i="30"/>
  <c r="AD31" i="30"/>
  <c r="AD55" i="30"/>
  <c r="AD52" i="30"/>
  <c r="AD54" i="30"/>
  <c r="AD35" i="30"/>
  <c r="AD61" i="30"/>
  <c r="AD76" i="30"/>
  <c r="AD66" i="30"/>
  <c r="AD24" i="30"/>
  <c r="AD40" i="30"/>
  <c r="AD23" i="30"/>
  <c r="AD46" i="30"/>
  <c r="AD11" i="30"/>
  <c r="AD45" i="30"/>
  <c r="AD75" i="30"/>
  <c r="AD53" i="30"/>
  <c r="AD43" i="30"/>
  <c r="AD58" i="30"/>
  <c r="AD16" i="30"/>
  <c r="AD80" i="30"/>
  <c r="AD15" i="30"/>
  <c r="AD38" i="30"/>
  <c r="AD59" i="30"/>
  <c r="AD37" i="30"/>
  <c r="AD34" i="30"/>
  <c r="AD44" i="30"/>
  <c r="AD83" i="30"/>
  <c r="AD50" i="30"/>
  <c r="AD8" i="30"/>
  <c r="AD72" i="30"/>
  <c r="AD7" i="30"/>
  <c r="AD30" i="30"/>
  <c r="AD26" i="30"/>
  <c r="AD29" i="30"/>
  <c r="AD10" i="30"/>
  <c r="AD36" i="30"/>
  <c r="AD67" i="30"/>
  <c r="AD41" i="30"/>
  <c r="AD84" i="30"/>
  <c r="AD64" i="30"/>
  <c r="AD81" i="30"/>
  <c r="AD22" i="30"/>
  <c r="AD65" i="30"/>
  <c r="AD21" i="30"/>
  <c r="AD57" i="30"/>
  <c r="AD28" i="30"/>
  <c r="AD42" i="30"/>
  <c r="AD33" i="30"/>
  <c r="AD19" i="30"/>
  <c r="AD56" i="30"/>
  <c r="AD79" i="30"/>
  <c r="AD14" i="30"/>
  <c r="AD78" i="30"/>
  <c r="AD13" i="30"/>
  <c r="AD4" i="30"/>
  <c r="AD20" i="30"/>
  <c r="AD18" i="30"/>
  <c r="AD25" i="30"/>
  <c r="AD39" i="10"/>
  <c r="AD43" i="10"/>
  <c r="AE47" i="10"/>
  <c r="AD64" i="10"/>
  <c r="AD36" i="10"/>
  <c r="AD13" i="10"/>
  <c r="AD26" i="10"/>
  <c r="AD78" i="10"/>
  <c r="AD77" i="10"/>
  <c r="AD29" i="10"/>
  <c r="AD82" i="10"/>
  <c r="AE53" i="10"/>
  <c r="AE38" i="10"/>
  <c r="AE36" i="10"/>
  <c r="AE27" i="10"/>
  <c r="AD41" i="10"/>
  <c r="AD45" i="10"/>
  <c r="AD57" i="10"/>
  <c r="AE55" i="10"/>
  <c r="AE24" i="10"/>
  <c r="AE21" i="10"/>
  <c r="AE84" i="10"/>
  <c r="AD27" i="10"/>
  <c r="AD60" i="10"/>
  <c r="AD20" i="10"/>
  <c r="AD70" i="10"/>
  <c r="AD56" i="10"/>
  <c r="AD76" i="10"/>
  <c r="AD65" i="10"/>
  <c r="AD10" i="10"/>
  <c r="AD59" i="10"/>
  <c r="AE19" i="10"/>
  <c r="AE74" i="10"/>
  <c r="AE62" i="10"/>
  <c r="AD62" i="10"/>
  <c r="AD80" i="10"/>
  <c r="AD34" i="10"/>
  <c r="AD83" i="10"/>
  <c r="AD14" i="10"/>
  <c r="AD50" i="10"/>
  <c r="AD5" i="10"/>
  <c r="AD22" i="10"/>
  <c r="AD61" i="10"/>
  <c r="AD53" i="10"/>
  <c r="AE57" i="10"/>
  <c r="AE60" i="10"/>
  <c r="AE25" i="10"/>
  <c r="AE4" i="10"/>
  <c r="AD33" i="10"/>
  <c r="AD31" i="10"/>
  <c r="AD21" i="10"/>
  <c r="AD23" i="10"/>
  <c r="AD72" i="10"/>
  <c r="AD51" i="10"/>
  <c r="AD37" i="10"/>
  <c r="AD9" i="10"/>
  <c r="AD7" i="10"/>
  <c r="AD42" i="10"/>
  <c r="AD55" i="10"/>
  <c r="AE70" i="10"/>
  <c r="AE39" i="10"/>
  <c r="AE34" i="10"/>
  <c r="AE13" i="10"/>
  <c r="X18" i="10"/>
  <c r="Y18" i="10" s="1"/>
  <c r="Z18" i="10" s="1"/>
  <c r="AA18" i="10" s="1"/>
  <c r="AD18" i="10"/>
  <c r="AE58" i="10"/>
  <c r="AD46" i="10"/>
  <c r="AD49" i="10"/>
  <c r="AD47" i="10"/>
  <c r="AD63" i="10"/>
  <c r="AD16" i="10"/>
  <c r="AD71" i="10"/>
  <c r="AD15" i="10"/>
  <c r="AD19" i="10"/>
  <c r="AE65" i="10"/>
  <c r="AE76" i="10"/>
  <c r="AE71" i="10"/>
  <c r="AE29" i="10"/>
  <c r="AD52" i="10"/>
  <c r="AD84" i="10"/>
  <c r="AD75" i="10"/>
  <c r="AD58" i="10"/>
  <c r="AD69" i="10"/>
  <c r="AD6" i="10"/>
  <c r="AD28" i="10"/>
  <c r="AD17" i="10"/>
  <c r="AD79" i="10"/>
  <c r="AE46" i="10"/>
  <c r="AE6" i="10"/>
  <c r="AD48" i="10"/>
  <c r="AD25" i="10"/>
  <c r="AD40" i="10"/>
  <c r="AD68" i="10"/>
  <c r="AD4" i="10"/>
  <c r="AD8" i="10"/>
  <c r="AD11" i="10"/>
  <c r="AD54" i="10"/>
  <c r="AD81" i="10"/>
  <c r="AD38" i="10"/>
  <c r="F75" i="49"/>
  <c r="AD75" i="49"/>
  <c r="F11" i="49"/>
  <c r="AD11" i="49"/>
  <c r="F42" i="49"/>
  <c r="AD42" i="49"/>
  <c r="F73" i="49"/>
  <c r="AD73" i="49"/>
  <c r="G44" i="10"/>
  <c r="AE44" i="10"/>
  <c r="F14" i="49"/>
  <c r="AD14" i="49"/>
  <c r="F31" i="49"/>
  <c r="AD31" i="49"/>
  <c r="F44" i="49"/>
  <c r="G77" i="49" s="1"/>
  <c r="AD44" i="49"/>
  <c r="F51" i="49"/>
  <c r="F82" i="49"/>
  <c r="F18" i="49"/>
  <c r="G18" i="49" s="1"/>
  <c r="F49" i="49"/>
  <c r="F4" i="49"/>
  <c r="F48" i="49"/>
  <c r="G48" i="49" s="1"/>
  <c r="F27" i="49"/>
  <c r="F58" i="49"/>
  <c r="F77" i="49"/>
  <c r="F25" i="49"/>
  <c r="G25" i="49" s="1"/>
  <c r="G8" i="10"/>
  <c r="AF8" i="10" s="1"/>
  <c r="F83" i="49"/>
  <c r="F19" i="49"/>
  <c r="F50" i="49"/>
  <c r="F17" i="49"/>
  <c r="F59" i="49"/>
  <c r="F29" i="49"/>
  <c r="F61" i="49"/>
  <c r="F80" i="49"/>
  <c r="F16" i="49"/>
  <c r="F70" i="49"/>
  <c r="F72" i="49"/>
  <c r="F6" i="49"/>
  <c r="F26" i="49"/>
  <c r="F57" i="49"/>
  <c r="F21" i="49"/>
  <c r="F24" i="49"/>
  <c r="F23" i="49"/>
  <c r="F36" i="49"/>
  <c r="F71" i="49"/>
  <c r="F84" i="49"/>
  <c r="F20" i="49"/>
  <c r="F60" i="49"/>
  <c r="F56" i="49"/>
  <c r="F34" i="30"/>
  <c r="F46" i="49"/>
  <c r="F45" i="49"/>
  <c r="F13" i="49"/>
  <c r="F38" i="30"/>
  <c r="F67" i="49"/>
  <c r="F54" i="49"/>
  <c r="F34" i="49"/>
  <c r="F65" i="49"/>
  <c r="F62" i="49"/>
  <c r="F35" i="49"/>
  <c r="F76" i="49"/>
  <c r="F39" i="49"/>
  <c r="F52" i="49"/>
  <c r="F8" i="49"/>
  <c r="F55" i="49"/>
  <c r="F22" i="49"/>
  <c r="F78" i="49"/>
  <c r="F47" i="49"/>
  <c r="F69" i="49"/>
  <c r="F74" i="49"/>
  <c r="F41" i="49"/>
  <c r="F53" i="49"/>
  <c r="F40" i="49"/>
  <c r="F66" i="49"/>
  <c r="F33" i="49"/>
  <c r="F37" i="49"/>
  <c r="F32" i="49"/>
  <c r="F79" i="49"/>
  <c r="F15" i="49"/>
  <c r="X46" i="31"/>
  <c r="Y46" i="31" s="1"/>
  <c r="Z46" i="31" s="1"/>
  <c r="AA46" i="31" s="1"/>
  <c r="X74" i="31"/>
  <c r="Y74" i="31" s="1"/>
  <c r="Z74" i="31" s="1"/>
  <c r="AA74" i="31" s="1"/>
  <c r="F39" i="32"/>
  <c r="F37" i="30"/>
  <c r="F59" i="30"/>
  <c r="X23" i="49"/>
  <c r="X27" i="49"/>
  <c r="X13" i="49"/>
  <c r="X83" i="49"/>
  <c r="F19" i="30"/>
  <c r="G17" i="49"/>
  <c r="X60" i="49"/>
  <c r="X77" i="49"/>
  <c r="X78" i="49"/>
  <c r="F64" i="30"/>
  <c r="X35" i="49"/>
  <c r="X69" i="49"/>
  <c r="X47" i="49"/>
  <c r="X37" i="49"/>
  <c r="X68" i="49"/>
  <c r="X25" i="49"/>
  <c r="X70" i="49"/>
  <c r="X75" i="49"/>
  <c r="X62" i="49"/>
  <c r="X76" i="49"/>
  <c r="X61" i="49"/>
  <c r="F83" i="30"/>
  <c r="F67" i="30"/>
  <c r="F10" i="30"/>
  <c r="F4" i="30"/>
  <c r="X6" i="49"/>
  <c r="F25" i="30"/>
  <c r="F81" i="30"/>
  <c r="F55" i="30"/>
  <c r="F56" i="30"/>
  <c r="F22" i="30"/>
  <c r="F65" i="30"/>
  <c r="F21" i="30"/>
  <c r="F28" i="30"/>
  <c r="F33" i="30"/>
  <c r="F39" i="30"/>
  <c r="F68" i="30"/>
  <c r="F29" i="30"/>
  <c r="F75" i="30"/>
  <c r="F12" i="30"/>
  <c r="X67" i="49"/>
  <c r="X45" i="49"/>
  <c r="X56" i="49"/>
  <c r="F31" i="30"/>
  <c r="F72" i="30"/>
  <c r="X18" i="31"/>
  <c r="Y18" i="31" s="1"/>
  <c r="Z18" i="31" s="1"/>
  <c r="AA18" i="31" s="1"/>
  <c r="X5" i="49"/>
  <c r="F27" i="30"/>
  <c r="F79" i="30"/>
  <c r="X30" i="49"/>
  <c r="X7" i="49"/>
  <c r="F78" i="30"/>
  <c r="F20" i="30"/>
  <c r="F30" i="49"/>
  <c r="F7" i="30"/>
  <c r="F14" i="30"/>
  <c r="F51" i="30"/>
  <c r="F50" i="30"/>
  <c r="F54" i="30"/>
  <c r="F76" i="30"/>
  <c r="F36" i="30"/>
  <c r="F13" i="30"/>
  <c r="F40" i="30"/>
  <c r="F12" i="49"/>
  <c r="F57" i="30"/>
  <c r="F35" i="30"/>
  <c r="F66" i="30"/>
  <c r="F30" i="30"/>
  <c r="F63" i="30"/>
  <c r="F77" i="30"/>
  <c r="F8" i="30"/>
  <c r="F84" i="30"/>
  <c r="F24" i="30"/>
  <c r="F68" i="49"/>
  <c r="X64" i="49"/>
  <c r="X36" i="49"/>
  <c r="X53" i="49"/>
  <c r="X66" i="49"/>
  <c r="X55" i="49"/>
  <c r="F23" i="30"/>
  <c r="F62" i="30"/>
  <c r="F74" i="30"/>
  <c r="F48" i="30"/>
  <c r="F71" i="30"/>
  <c r="F16" i="30"/>
  <c r="F52" i="30"/>
  <c r="F9" i="49"/>
  <c r="X9" i="49"/>
  <c r="X12" i="49"/>
  <c r="X33" i="49"/>
  <c r="X46" i="49"/>
  <c r="X51" i="49"/>
  <c r="X63" i="49"/>
  <c r="F42" i="30"/>
  <c r="F70" i="30"/>
  <c r="F82" i="30"/>
  <c r="F44" i="30"/>
  <c r="AE44" i="30" s="1"/>
  <c r="F32" i="30"/>
  <c r="F49" i="30"/>
  <c r="F26" i="30"/>
  <c r="F41" i="30"/>
  <c r="F73" i="30"/>
  <c r="F61" i="30"/>
  <c r="F69" i="30"/>
  <c r="X15" i="49"/>
  <c r="X18" i="49"/>
  <c r="F9" i="30"/>
  <c r="F18" i="30"/>
  <c r="F17" i="30"/>
  <c r="F15" i="30"/>
  <c r="F6" i="30"/>
  <c r="F5" i="30"/>
  <c r="F47" i="30"/>
  <c r="F60" i="30"/>
  <c r="F43" i="49"/>
  <c r="F46" i="30"/>
  <c r="F45" i="30"/>
  <c r="X40" i="49"/>
  <c r="X49" i="49"/>
  <c r="X71" i="49"/>
  <c r="X31" i="49"/>
  <c r="X42" i="49"/>
  <c r="X16" i="49"/>
  <c r="X32" i="49"/>
  <c r="F64" i="49"/>
  <c r="G73" i="49"/>
  <c r="X11" i="49"/>
  <c r="X14" i="49"/>
  <c r="F7" i="49"/>
  <c r="X8" i="49"/>
  <c r="X74" i="49"/>
  <c r="X20" i="49"/>
  <c r="F10" i="49"/>
  <c r="X41" i="49"/>
  <c r="X81" i="49"/>
  <c r="X79" i="49"/>
  <c r="X44" i="49"/>
  <c r="Y44" i="49" s="1"/>
  <c r="Z44" i="49" s="1"/>
  <c r="AA44" i="49" s="1"/>
  <c r="X57" i="49"/>
  <c r="X39" i="49"/>
  <c r="X54" i="49"/>
  <c r="X59" i="49"/>
  <c r="F58" i="30"/>
  <c r="F11" i="30"/>
  <c r="F81" i="49"/>
  <c r="F43" i="30"/>
  <c r="F38" i="49"/>
  <c r="F28" i="49"/>
  <c r="X21" i="32"/>
  <c r="X75" i="32"/>
  <c r="X65" i="32"/>
  <c r="F5" i="49"/>
  <c r="F80" i="30"/>
  <c r="F53" i="30"/>
  <c r="F63" i="49"/>
  <c r="X73" i="49"/>
  <c r="G75" i="49"/>
  <c r="X35" i="31"/>
  <c r="Y35" i="31" s="1"/>
  <c r="Z35" i="31" s="1"/>
  <c r="AA35" i="31" s="1"/>
  <c r="X29" i="49"/>
  <c r="X38" i="49"/>
  <c r="X26" i="49"/>
  <c r="X21" i="49"/>
  <c r="X4" i="49"/>
  <c r="X80" i="49"/>
  <c r="X72" i="49"/>
  <c r="X34" i="49"/>
  <c r="X17" i="49"/>
  <c r="X65" i="49"/>
  <c r="X82" i="49"/>
  <c r="X52" i="49"/>
  <c r="X24" i="49"/>
  <c r="X50" i="49"/>
  <c r="X58" i="49"/>
  <c r="X48" i="49"/>
  <c r="X10" i="49"/>
  <c r="X22" i="49"/>
  <c r="X43" i="49"/>
  <c r="X28" i="49"/>
  <c r="X20" i="31"/>
  <c r="Y20" i="31" s="1"/>
  <c r="Z20" i="31" s="1"/>
  <c r="AA20" i="31" s="1"/>
  <c r="F60" i="32"/>
  <c r="F15" i="32"/>
  <c r="X19" i="49"/>
  <c r="F49" i="32"/>
  <c r="F83" i="32"/>
  <c r="F47" i="32"/>
  <c r="F38" i="50"/>
  <c r="AE38" i="50" s="1"/>
  <c r="F15" i="50"/>
  <c r="AE15" i="50" s="1"/>
  <c r="F44" i="50"/>
  <c r="AE44" i="50" s="1"/>
  <c r="F57" i="50"/>
  <c r="AE57" i="50" s="1"/>
  <c r="F8" i="50"/>
  <c r="AE8" i="50" s="1"/>
  <c r="F39" i="50"/>
  <c r="AE39" i="50" s="1"/>
  <c r="F29" i="50"/>
  <c r="AE29" i="50" s="1"/>
  <c r="F12" i="50"/>
  <c r="AE12" i="50" s="1"/>
  <c r="F19" i="50"/>
  <c r="AE19" i="50" s="1"/>
  <c r="F63" i="50"/>
  <c r="AE63" i="50" s="1"/>
  <c r="F73" i="50"/>
  <c r="AE73" i="50" s="1"/>
  <c r="F79" i="50"/>
  <c r="AE79" i="50" s="1"/>
  <c r="F5" i="50"/>
  <c r="AE5" i="50" s="1"/>
  <c r="F66" i="50"/>
  <c r="AE66" i="50" s="1"/>
  <c r="F72" i="50"/>
  <c r="AE72" i="50" s="1"/>
  <c r="F16" i="50"/>
  <c r="AE16" i="50" s="1"/>
  <c r="F14" i="50"/>
  <c r="AE14" i="50" s="1"/>
  <c r="F76" i="50"/>
  <c r="AE76" i="50" s="1"/>
  <c r="F77" i="50"/>
  <c r="AE77" i="50" s="1"/>
  <c r="F40" i="50"/>
  <c r="AE40" i="50" s="1"/>
  <c r="F53" i="50"/>
  <c r="AE53" i="50" s="1"/>
  <c r="F9" i="50"/>
  <c r="AE9" i="50" s="1"/>
  <c r="F69" i="50"/>
  <c r="AE69" i="50" s="1"/>
  <c r="F83" i="50"/>
  <c r="AE83" i="50" s="1"/>
  <c r="F27" i="50"/>
  <c r="AE27" i="50" s="1"/>
  <c r="F80" i="50"/>
  <c r="AE80" i="50" s="1"/>
  <c r="F58" i="50"/>
  <c r="AE58" i="50" s="1"/>
  <c r="F37" i="50"/>
  <c r="AE37" i="50" s="1"/>
  <c r="F51" i="50"/>
  <c r="AE51" i="50" s="1"/>
  <c r="F82" i="50"/>
  <c r="AE82" i="50" s="1"/>
  <c r="F48" i="50"/>
  <c r="AE48" i="50" s="1"/>
  <c r="F67" i="50"/>
  <c r="AE67" i="50" s="1"/>
  <c r="F56" i="50"/>
  <c r="AE56" i="50" s="1"/>
  <c r="F33" i="50"/>
  <c r="AE33" i="50" s="1"/>
  <c r="F52" i="50"/>
  <c r="AE52" i="50" s="1"/>
  <c r="F60" i="50"/>
  <c r="AE60" i="50" s="1"/>
  <c r="F50" i="50"/>
  <c r="AE50" i="50" s="1"/>
  <c r="F68" i="50"/>
  <c r="AE68" i="50" s="1"/>
  <c r="F22" i="50"/>
  <c r="AE22" i="50" s="1"/>
  <c r="F20" i="50"/>
  <c r="AE20" i="50" s="1"/>
  <c r="F18" i="50"/>
  <c r="AE18" i="50" s="1"/>
  <c r="F59" i="50"/>
  <c r="AE59" i="50" s="1"/>
  <c r="F36" i="50"/>
  <c r="AE36" i="50" s="1"/>
  <c r="F26" i="50"/>
  <c r="AE26" i="50" s="1"/>
  <c r="F54" i="50"/>
  <c r="AE54" i="50" s="1"/>
  <c r="F13" i="50"/>
  <c r="AE13" i="50" s="1"/>
  <c r="F21" i="50"/>
  <c r="AE21" i="50" s="1"/>
  <c r="F10" i="50"/>
  <c r="AE10" i="50" s="1"/>
  <c r="F78" i="50"/>
  <c r="AE78" i="50" s="1"/>
  <c r="F25" i="50"/>
  <c r="AE25" i="50" s="1"/>
  <c r="F84" i="50"/>
  <c r="AE84" i="50" s="1"/>
  <c r="F7" i="50"/>
  <c r="AE7" i="50" s="1"/>
  <c r="F61" i="50"/>
  <c r="AE61" i="50" s="1"/>
  <c r="F74" i="50"/>
  <c r="AE74" i="50" s="1"/>
  <c r="F23" i="50"/>
  <c r="AE23" i="50" s="1"/>
  <c r="F65" i="50"/>
  <c r="AE65" i="50" s="1"/>
  <c r="F4" i="50"/>
  <c r="AE4" i="50" s="1"/>
  <c r="F42" i="50"/>
  <c r="AE42" i="50" s="1"/>
  <c r="F47" i="50"/>
  <c r="AE47" i="50" s="1"/>
  <c r="F55" i="50"/>
  <c r="AE55" i="50" s="1"/>
  <c r="F45" i="50"/>
  <c r="AE45" i="50" s="1"/>
  <c r="F71" i="50"/>
  <c r="AE71" i="50" s="1"/>
  <c r="F17" i="50"/>
  <c r="AE17" i="50" s="1"/>
  <c r="F11" i="50"/>
  <c r="AE11" i="50" s="1"/>
  <c r="F41" i="50"/>
  <c r="AE41" i="50" s="1"/>
  <c r="F62" i="50"/>
  <c r="AE62" i="50" s="1"/>
  <c r="F6" i="50"/>
  <c r="AE6" i="50" s="1"/>
  <c r="F81" i="50"/>
  <c r="AE81" i="50" s="1"/>
  <c r="F24" i="50"/>
  <c r="AE24" i="50" s="1"/>
  <c r="F32" i="50"/>
  <c r="AE32" i="50" s="1"/>
  <c r="F30" i="50"/>
  <c r="AE30" i="50" s="1"/>
  <c r="F28" i="50"/>
  <c r="AE28" i="50" s="1"/>
  <c r="F46" i="50"/>
  <c r="AE46" i="50" s="1"/>
  <c r="F75" i="50"/>
  <c r="AE75" i="50" s="1"/>
  <c r="F64" i="50"/>
  <c r="AE64" i="50" s="1"/>
  <c r="F31" i="50"/>
  <c r="AE31" i="50" s="1"/>
  <c r="F70" i="50"/>
  <c r="AE70" i="50" s="1"/>
  <c r="F35" i="50"/>
  <c r="AE35" i="50" s="1"/>
  <c r="F43" i="50"/>
  <c r="AE43" i="50" s="1"/>
  <c r="F34" i="50"/>
  <c r="AE34" i="50" s="1"/>
  <c r="F49" i="50"/>
  <c r="AE49" i="50" s="1"/>
  <c r="D112" i="42"/>
  <c r="D18" i="40" s="1"/>
  <c r="D19" i="40" s="1"/>
  <c r="E112" i="47"/>
  <c r="D18" i="48"/>
  <c r="D19" i="48" s="1"/>
  <c r="E113" i="47"/>
  <c r="D47" i="48"/>
  <c r="D48" i="48" s="1"/>
  <c r="F14" i="32"/>
  <c r="F7" i="32"/>
  <c r="X27" i="31"/>
  <c r="Y27" i="31" s="1"/>
  <c r="Z27" i="31" s="1"/>
  <c r="AA27" i="31" s="1"/>
  <c r="X70" i="31"/>
  <c r="Y70" i="31" s="1"/>
  <c r="Z70" i="31" s="1"/>
  <c r="AA70" i="31" s="1"/>
  <c r="X55" i="31"/>
  <c r="Y55" i="31" s="1"/>
  <c r="Z55" i="31" s="1"/>
  <c r="AA55" i="31" s="1"/>
  <c r="X45" i="31"/>
  <c r="Y45" i="31" s="1"/>
  <c r="Z45" i="31" s="1"/>
  <c r="AA45" i="31" s="1"/>
  <c r="X62" i="31"/>
  <c r="Y62" i="31" s="1"/>
  <c r="Z62" i="31" s="1"/>
  <c r="AA62" i="31" s="1"/>
  <c r="X34" i="31"/>
  <c r="Y34" i="31" s="1"/>
  <c r="Z34" i="31" s="1"/>
  <c r="AA34" i="31" s="1"/>
  <c r="X6" i="31"/>
  <c r="Y6" i="31" s="1"/>
  <c r="Z6" i="31" s="1"/>
  <c r="AA6" i="31" s="1"/>
  <c r="X60" i="31"/>
  <c r="Y60" i="31" s="1"/>
  <c r="Z60" i="31" s="1"/>
  <c r="AA60" i="31" s="1"/>
  <c r="X54" i="31"/>
  <c r="Y54" i="31" s="1"/>
  <c r="Z54" i="31" s="1"/>
  <c r="AA54" i="31" s="1"/>
  <c r="X53" i="31"/>
  <c r="Y53" i="31" s="1"/>
  <c r="Z53" i="31" s="1"/>
  <c r="AA53" i="31" s="1"/>
  <c r="X78" i="31"/>
  <c r="Y78" i="31" s="1"/>
  <c r="Z78" i="31" s="1"/>
  <c r="AA78" i="31" s="1"/>
  <c r="X42" i="31"/>
  <c r="Y42" i="31" s="1"/>
  <c r="Z42" i="31" s="1"/>
  <c r="AA42" i="31" s="1"/>
  <c r="X19" i="31"/>
  <c r="Y19" i="31" s="1"/>
  <c r="Z19" i="31" s="1"/>
  <c r="AA19" i="31" s="1"/>
  <c r="X63" i="31"/>
  <c r="Y63" i="31" s="1"/>
  <c r="Z63" i="31" s="1"/>
  <c r="AA63" i="31" s="1"/>
  <c r="X8" i="31"/>
  <c r="Y8" i="31" s="1"/>
  <c r="Z8" i="31" s="1"/>
  <c r="AA8" i="31" s="1"/>
  <c r="X43" i="31"/>
  <c r="Y43" i="31" s="1"/>
  <c r="Z43" i="31" s="1"/>
  <c r="AA43" i="31" s="1"/>
  <c r="X46" i="30"/>
  <c r="Y46" i="30" s="1"/>
  <c r="X43" i="30"/>
  <c r="Y43" i="30" s="1"/>
  <c r="X76" i="30"/>
  <c r="Y76" i="30" s="1"/>
  <c r="X78" i="30"/>
  <c r="Y78" i="30" s="1"/>
  <c r="X52" i="30"/>
  <c r="Y52" i="30" s="1"/>
  <c r="X28" i="30"/>
  <c r="Y28" i="30" s="1"/>
  <c r="X51" i="30"/>
  <c r="Y51" i="30" s="1"/>
  <c r="X4" i="30"/>
  <c r="Y4" i="30" s="1"/>
  <c r="X17" i="30"/>
  <c r="Y17" i="30" s="1"/>
  <c r="X71" i="30"/>
  <c r="Y71" i="30" s="1"/>
  <c r="X34" i="30"/>
  <c r="Y34" i="30" s="1"/>
  <c r="X30" i="31"/>
  <c r="Y30" i="31" s="1"/>
  <c r="Z30" i="31" s="1"/>
  <c r="AA30" i="31" s="1"/>
  <c r="X64" i="30"/>
  <c r="Y64" i="30" s="1"/>
  <c r="D113" i="42"/>
  <c r="C18" i="34"/>
  <c r="C19" i="34" s="1"/>
  <c r="X68" i="31"/>
  <c r="Y68" i="31" s="1"/>
  <c r="Z68" i="31" s="1"/>
  <c r="AA68" i="31" s="1"/>
  <c r="X81" i="31"/>
  <c r="Y81" i="31" s="1"/>
  <c r="Z81" i="31" s="1"/>
  <c r="AA81" i="31" s="1"/>
  <c r="X48" i="31"/>
  <c r="Y48" i="31" s="1"/>
  <c r="Z48" i="31" s="1"/>
  <c r="AA48" i="31" s="1"/>
  <c r="X83" i="31"/>
  <c r="Y83" i="31" s="1"/>
  <c r="Z83" i="31" s="1"/>
  <c r="AA83" i="31" s="1"/>
  <c r="X76" i="31"/>
  <c r="Y76" i="31" s="1"/>
  <c r="Z76" i="31" s="1"/>
  <c r="AA76" i="31" s="1"/>
  <c r="X57" i="31"/>
  <c r="Y57" i="31" s="1"/>
  <c r="Z57" i="31" s="1"/>
  <c r="AA57" i="31" s="1"/>
  <c r="X22" i="31"/>
  <c r="Y22" i="31" s="1"/>
  <c r="Z22" i="31" s="1"/>
  <c r="AA22" i="31" s="1"/>
  <c r="X12" i="31"/>
  <c r="Y12" i="31" s="1"/>
  <c r="Z12" i="31" s="1"/>
  <c r="AA12" i="31" s="1"/>
  <c r="X40" i="31"/>
  <c r="Y40" i="31" s="1"/>
  <c r="Z40" i="31" s="1"/>
  <c r="AA40" i="31" s="1"/>
  <c r="X65" i="31"/>
  <c r="Y65" i="31" s="1"/>
  <c r="Z65" i="31" s="1"/>
  <c r="AA65" i="31" s="1"/>
  <c r="X37" i="31"/>
  <c r="Y37" i="31" s="1"/>
  <c r="Z37" i="31" s="1"/>
  <c r="AA37" i="31" s="1"/>
  <c r="X64" i="31"/>
  <c r="Y64" i="31" s="1"/>
  <c r="Z64" i="31" s="1"/>
  <c r="AA64" i="31" s="1"/>
  <c r="X4" i="31"/>
  <c r="Y4" i="31" s="1"/>
  <c r="Z4" i="31" s="1"/>
  <c r="AA4" i="31" s="1"/>
  <c r="X41" i="31"/>
  <c r="Y41" i="31" s="1"/>
  <c r="Z41" i="31" s="1"/>
  <c r="AA41" i="31" s="1"/>
  <c r="X11" i="31"/>
  <c r="Y11" i="31" s="1"/>
  <c r="Z11" i="31" s="1"/>
  <c r="AA11" i="31" s="1"/>
  <c r="X9" i="31"/>
  <c r="Y9" i="31" s="1"/>
  <c r="Z9" i="31" s="1"/>
  <c r="AA9" i="31" s="1"/>
  <c r="X68" i="30"/>
  <c r="Y68" i="30" s="1"/>
  <c r="X41" i="30"/>
  <c r="Y41" i="30" s="1"/>
  <c r="X59" i="30"/>
  <c r="Y59" i="30" s="1"/>
  <c r="X45" i="30"/>
  <c r="Y45" i="30" s="1"/>
  <c r="X7" i="31"/>
  <c r="Y7" i="31" s="1"/>
  <c r="Z7" i="31" s="1"/>
  <c r="AA7" i="31" s="1"/>
  <c r="X48" i="30"/>
  <c r="Y48" i="30" s="1"/>
  <c r="X27" i="30"/>
  <c r="Y27" i="30" s="1"/>
  <c r="X29" i="30"/>
  <c r="Y29" i="30" s="1"/>
  <c r="X84" i="30"/>
  <c r="Y84" i="30" s="1"/>
  <c r="X23" i="30"/>
  <c r="Y23" i="30" s="1"/>
  <c r="X22" i="30"/>
  <c r="Y22" i="30" s="1"/>
  <c r="X21" i="31"/>
  <c r="Y21" i="31" s="1"/>
  <c r="Z21" i="31" s="1"/>
  <c r="AA21" i="31" s="1"/>
  <c r="X56" i="30"/>
  <c r="Y56" i="30" s="1"/>
  <c r="Y44" i="30"/>
  <c r="Z44" i="30" s="1"/>
  <c r="AA44" i="30" s="1"/>
  <c r="X83" i="30"/>
  <c r="Y83" i="30" s="1"/>
  <c r="X84" i="31"/>
  <c r="Y84" i="31" s="1"/>
  <c r="Z84" i="31" s="1"/>
  <c r="AA84" i="31" s="1"/>
  <c r="X72" i="31"/>
  <c r="Y72" i="31" s="1"/>
  <c r="Z72" i="31" s="1"/>
  <c r="AA72" i="31" s="1"/>
  <c r="X16" i="31"/>
  <c r="Y16" i="31" s="1"/>
  <c r="Z16" i="31" s="1"/>
  <c r="AA16" i="31" s="1"/>
  <c r="X82" i="31"/>
  <c r="Y82" i="31" s="1"/>
  <c r="Z82" i="31" s="1"/>
  <c r="AA82" i="31" s="1"/>
  <c r="X47" i="31"/>
  <c r="Y47" i="31" s="1"/>
  <c r="Z47" i="31" s="1"/>
  <c r="AA47" i="31" s="1"/>
  <c r="X79" i="31"/>
  <c r="Y79" i="31" s="1"/>
  <c r="Z79" i="31" s="1"/>
  <c r="AA79" i="31" s="1"/>
  <c r="X65" i="30"/>
  <c r="Y65" i="30" s="1"/>
  <c r="X9" i="30"/>
  <c r="Y9" i="30" s="1"/>
  <c r="X70" i="30"/>
  <c r="Y70" i="30" s="1"/>
  <c r="X33" i="30"/>
  <c r="Y33" i="30" s="1"/>
  <c r="X25" i="30"/>
  <c r="Y25" i="30" s="1"/>
  <c r="X79" i="30"/>
  <c r="Y79" i="30" s="1"/>
  <c r="X55" i="30"/>
  <c r="Y55" i="30" s="1"/>
  <c r="X28" i="31"/>
  <c r="Y28" i="31" s="1"/>
  <c r="Z28" i="31" s="1"/>
  <c r="AA28" i="31" s="1"/>
  <c r="X80" i="31"/>
  <c r="Y80" i="31" s="1"/>
  <c r="Z80" i="31" s="1"/>
  <c r="AA80" i="31" s="1"/>
  <c r="X73" i="30"/>
  <c r="Y73" i="30" s="1"/>
  <c r="X16" i="30"/>
  <c r="Y16" i="30" s="1"/>
  <c r="X7" i="30"/>
  <c r="Y7" i="30" s="1"/>
  <c r="X32" i="30"/>
  <c r="Y32" i="30" s="1"/>
  <c r="X20" i="30"/>
  <c r="Y20" i="30" s="1"/>
  <c r="X75" i="31"/>
  <c r="Y75" i="31" s="1"/>
  <c r="Z75" i="31" s="1"/>
  <c r="AA75" i="31" s="1"/>
  <c r="X14" i="31"/>
  <c r="Y14" i="31" s="1"/>
  <c r="Z14" i="31" s="1"/>
  <c r="AA14" i="31" s="1"/>
  <c r="X51" i="31"/>
  <c r="Y51" i="31" s="1"/>
  <c r="Z51" i="31" s="1"/>
  <c r="AA51" i="31" s="1"/>
  <c r="X52" i="31"/>
  <c r="Y52" i="31" s="1"/>
  <c r="Z52" i="31" s="1"/>
  <c r="AA52" i="31" s="1"/>
  <c r="X59" i="31"/>
  <c r="Y59" i="31" s="1"/>
  <c r="Z59" i="31" s="1"/>
  <c r="AA59" i="31" s="1"/>
  <c r="X30" i="30"/>
  <c r="Y30" i="30" s="1"/>
  <c r="X35" i="30"/>
  <c r="Y35" i="30" s="1"/>
  <c r="X37" i="30"/>
  <c r="Y37" i="30" s="1"/>
  <c r="X49" i="30"/>
  <c r="Y49" i="30" s="1"/>
  <c r="X66" i="30"/>
  <c r="Y66" i="30" s="1"/>
  <c r="X80" i="30"/>
  <c r="Y80" i="30" s="1"/>
  <c r="X13" i="30"/>
  <c r="Y13" i="30" s="1"/>
  <c r="X63" i="30"/>
  <c r="Y63" i="30" s="1"/>
  <c r="X15" i="31"/>
  <c r="Y15" i="31" s="1"/>
  <c r="Z15" i="31" s="1"/>
  <c r="AA15" i="31" s="1"/>
  <c r="X10" i="31"/>
  <c r="Y10" i="31" s="1"/>
  <c r="Z10" i="31" s="1"/>
  <c r="AA10" i="31" s="1"/>
  <c r="X61" i="31"/>
  <c r="Y61" i="31" s="1"/>
  <c r="Z61" i="31" s="1"/>
  <c r="AA61" i="31" s="1"/>
  <c r="X66" i="31"/>
  <c r="Y66" i="31" s="1"/>
  <c r="Z66" i="31" s="1"/>
  <c r="AA66" i="31" s="1"/>
  <c r="X33" i="31"/>
  <c r="Y33" i="31" s="1"/>
  <c r="Z33" i="31" s="1"/>
  <c r="AA33" i="31" s="1"/>
  <c r="X77" i="31"/>
  <c r="Y77" i="31" s="1"/>
  <c r="Z77" i="31" s="1"/>
  <c r="AA77" i="31" s="1"/>
  <c r="X10" i="30"/>
  <c r="Y10" i="30" s="1"/>
  <c r="X11" i="30"/>
  <c r="Y11" i="30" s="1"/>
  <c r="X40" i="30"/>
  <c r="Y40" i="30" s="1"/>
  <c r="X38" i="30"/>
  <c r="Y38" i="30" s="1"/>
  <c r="X19" i="30"/>
  <c r="Y19" i="30" s="1"/>
  <c r="X81" i="30"/>
  <c r="Y81" i="30" s="1"/>
  <c r="X31" i="30"/>
  <c r="Y31" i="30" s="1"/>
  <c r="X14" i="30"/>
  <c r="Y14" i="30" s="1"/>
  <c r="X61" i="30"/>
  <c r="Y61" i="30" s="1"/>
  <c r="X8" i="30"/>
  <c r="Y8" i="30" s="1"/>
  <c r="X50" i="30"/>
  <c r="Y50" i="30" s="1"/>
  <c r="X26" i="30"/>
  <c r="Y26" i="30" s="1"/>
  <c r="X77" i="30"/>
  <c r="Y77" i="30" s="1"/>
  <c r="X24" i="30"/>
  <c r="Y24" i="30" s="1"/>
  <c r="X15" i="30"/>
  <c r="Y15" i="30" s="1"/>
  <c r="X75" i="30"/>
  <c r="Y75" i="30" s="1"/>
  <c r="X50" i="31"/>
  <c r="Y50" i="31" s="1"/>
  <c r="Z50" i="31" s="1"/>
  <c r="AA50" i="31" s="1"/>
  <c r="X49" i="31"/>
  <c r="Y49" i="31" s="1"/>
  <c r="Z49" i="31" s="1"/>
  <c r="AA49" i="31" s="1"/>
  <c r="X32" i="31"/>
  <c r="Y32" i="31" s="1"/>
  <c r="Z32" i="31" s="1"/>
  <c r="AA32" i="31" s="1"/>
  <c r="X67" i="31"/>
  <c r="Y67" i="31" s="1"/>
  <c r="Z67" i="31" s="1"/>
  <c r="AA67" i="31" s="1"/>
  <c r="X60" i="30"/>
  <c r="Y60" i="30" s="1"/>
  <c r="X21" i="30"/>
  <c r="Y21" i="30" s="1"/>
  <c r="X12" i="30"/>
  <c r="Y12" i="30" s="1"/>
  <c r="X6" i="30"/>
  <c r="Y6" i="30" s="1"/>
  <c r="X54" i="30"/>
  <c r="Y54" i="30" s="1"/>
  <c r="X42" i="30"/>
  <c r="Y42" i="30" s="1"/>
  <c r="X72" i="30"/>
  <c r="Y72" i="30" s="1"/>
  <c r="X74" i="30"/>
  <c r="Y74" i="30" s="1"/>
  <c r="X5" i="30"/>
  <c r="Y5" i="30" s="1"/>
  <c r="X56" i="31"/>
  <c r="Y56" i="31" s="1"/>
  <c r="Z56" i="31" s="1"/>
  <c r="AA56" i="31" s="1"/>
  <c r="X31" i="31"/>
  <c r="Y31" i="31" s="1"/>
  <c r="Z31" i="31" s="1"/>
  <c r="AA31" i="31" s="1"/>
  <c r="X71" i="31"/>
  <c r="Y71" i="31" s="1"/>
  <c r="Z71" i="31" s="1"/>
  <c r="AA71" i="31" s="1"/>
  <c r="X13" i="31"/>
  <c r="Y13" i="31" s="1"/>
  <c r="Z13" i="31" s="1"/>
  <c r="AA13" i="31" s="1"/>
  <c r="X58" i="31"/>
  <c r="Y58" i="31" s="1"/>
  <c r="Z58" i="31" s="1"/>
  <c r="AA58" i="31" s="1"/>
  <c r="X67" i="30"/>
  <c r="Y67" i="30" s="1"/>
  <c r="X53" i="30"/>
  <c r="Y53" i="30" s="1"/>
  <c r="X39" i="30"/>
  <c r="Y39" i="30" s="1"/>
  <c r="X69" i="30"/>
  <c r="Y69" i="30" s="1"/>
  <c r="X36" i="30"/>
  <c r="Y36" i="30" s="1"/>
  <c r="X69" i="31"/>
  <c r="Y69" i="31" s="1"/>
  <c r="Z69" i="31" s="1"/>
  <c r="AA69" i="31" s="1"/>
  <c r="X25" i="31"/>
  <c r="Y25" i="31" s="1"/>
  <c r="Z25" i="31" s="1"/>
  <c r="AA25" i="31" s="1"/>
  <c r="X24" i="31"/>
  <c r="Y24" i="31" s="1"/>
  <c r="Z24" i="31" s="1"/>
  <c r="AA24" i="31" s="1"/>
  <c r="X26" i="31"/>
  <c r="Y26" i="31" s="1"/>
  <c r="Z26" i="31" s="1"/>
  <c r="AA26" i="31" s="1"/>
  <c r="X17" i="31"/>
  <c r="Y17" i="31" s="1"/>
  <c r="Z17" i="31" s="1"/>
  <c r="AA17" i="31" s="1"/>
  <c r="X57" i="30"/>
  <c r="Y57" i="30" s="1"/>
  <c r="X62" i="30"/>
  <c r="Y62" i="30" s="1"/>
  <c r="X47" i="30"/>
  <c r="Y47" i="30" s="1"/>
  <c r="X18" i="30"/>
  <c r="Y18" i="30" s="1"/>
  <c r="X82" i="30"/>
  <c r="Y82" i="30" s="1"/>
  <c r="X58" i="30"/>
  <c r="Y58" i="30" s="1"/>
  <c r="X73" i="31"/>
  <c r="Y73" i="31" s="1"/>
  <c r="Z73" i="31" s="1"/>
  <c r="AA73" i="31" s="1"/>
  <c r="X29" i="31"/>
  <c r="Y29" i="31" s="1"/>
  <c r="Z29" i="31" s="1"/>
  <c r="AA29" i="31" s="1"/>
  <c r="X23" i="31"/>
  <c r="Y23" i="31" s="1"/>
  <c r="Z23" i="31" s="1"/>
  <c r="AA23" i="31" s="1"/>
  <c r="X38" i="31"/>
  <c r="Y38" i="31" s="1"/>
  <c r="Z38" i="31" s="1"/>
  <c r="AA38" i="31" s="1"/>
  <c r="X5" i="31"/>
  <c r="Y5" i="31" s="1"/>
  <c r="Z5" i="31" s="1"/>
  <c r="AA5" i="31" s="1"/>
  <c r="X39" i="31"/>
  <c r="Y39" i="31" s="1"/>
  <c r="Z39" i="31" s="1"/>
  <c r="AA39" i="31" s="1"/>
  <c r="D113" i="33"/>
  <c r="C47" i="34"/>
  <c r="C48" i="34" s="1"/>
  <c r="X36" i="32"/>
  <c r="X49" i="32"/>
  <c r="X77" i="32"/>
  <c r="F55" i="32"/>
  <c r="F64" i="32"/>
  <c r="F30" i="32"/>
  <c r="F75" i="32"/>
  <c r="F25" i="32"/>
  <c r="F20" i="32"/>
  <c r="F76" i="32"/>
  <c r="Z4" i="37"/>
  <c r="F32" i="32"/>
  <c r="F17" i="32"/>
  <c r="X6" i="32"/>
  <c r="X10" i="32"/>
  <c r="X17" i="32"/>
  <c r="X26" i="32"/>
  <c r="F13" i="32"/>
  <c r="F11" i="32"/>
  <c r="F59" i="32"/>
  <c r="F57" i="32"/>
  <c r="F5" i="32"/>
  <c r="F62" i="32"/>
  <c r="F66" i="32"/>
  <c r="F12" i="32"/>
  <c r="F79" i="32"/>
  <c r="F67" i="32"/>
  <c r="F72" i="32"/>
  <c r="F84" i="32"/>
  <c r="F33" i="32"/>
  <c r="F80" i="32"/>
  <c r="F38" i="32"/>
  <c r="F41" i="32"/>
  <c r="F51" i="32"/>
  <c r="F69" i="32"/>
  <c r="F8" i="32"/>
  <c r="F52" i="32"/>
  <c r="F58" i="32"/>
  <c r="F82" i="32"/>
  <c r="F40" i="32"/>
  <c r="AE40" i="32" s="1"/>
  <c r="F22" i="32"/>
  <c r="F27" i="32"/>
  <c r="F45" i="32"/>
  <c r="F34" i="32"/>
  <c r="F23" i="32"/>
  <c r="F54" i="32"/>
  <c r="F36" i="32"/>
  <c r="AE36" i="32" s="1"/>
  <c r="F24" i="32"/>
  <c r="F31" i="32"/>
  <c r="F43" i="32"/>
  <c r="F56" i="32"/>
  <c r="F68" i="32"/>
  <c r="F81" i="32"/>
  <c r="F18" i="32"/>
  <c r="F16" i="32"/>
  <c r="F19" i="32"/>
  <c r="F35" i="32"/>
  <c r="F9" i="32"/>
  <c r="F78" i="32"/>
  <c r="X61" i="32"/>
  <c r="F46" i="32"/>
  <c r="F28" i="32"/>
  <c r="F29" i="32"/>
  <c r="F74" i="32"/>
  <c r="F48" i="32"/>
  <c r="F37" i="32"/>
  <c r="F21" i="32"/>
  <c r="F77" i="32"/>
  <c r="AE77" i="32" s="1"/>
  <c r="F6" i="32"/>
  <c r="F70" i="32"/>
  <c r="F44" i="32"/>
  <c r="F61" i="32"/>
  <c r="AE61" i="32" s="1"/>
  <c r="F42" i="32"/>
  <c r="F26" i="32"/>
  <c r="F10" i="32"/>
  <c r="F53" i="32"/>
  <c r="F4" i="32"/>
  <c r="F71" i="32"/>
  <c r="F63" i="32"/>
  <c r="F65" i="32"/>
  <c r="AE65" i="32" s="1"/>
  <c r="F73" i="32"/>
  <c r="F50" i="32"/>
  <c r="X27" i="32"/>
  <c r="X57" i="32"/>
  <c r="X11" i="32"/>
  <c r="G5" i="10"/>
  <c r="X19" i="32"/>
  <c r="X67" i="32"/>
  <c r="X72" i="32"/>
  <c r="X78" i="32"/>
  <c r="X53" i="32"/>
  <c r="X60" i="32"/>
  <c r="X22" i="32"/>
  <c r="X40" i="32"/>
  <c r="X12" i="32"/>
  <c r="X25" i="32"/>
  <c r="X54" i="32"/>
  <c r="X58" i="32"/>
  <c r="X23" i="32"/>
  <c r="X34" i="32"/>
  <c r="X5" i="32"/>
  <c r="X68" i="32"/>
  <c r="X32" i="32"/>
  <c r="X24" i="32"/>
  <c r="X41" i="32"/>
  <c r="X13" i="32"/>
  <c r="X20" i="32"/>
  <c r="X64" i="32"/>
  <c r="X69" i="32"/>
  <c r="X44" i="32"/>
  <c r="Y44" i="32" s="1"/>
  <c r="Z44" i="32" s="1"/>
  <c r="AA44" i="32" s="1"/>
  <c r="X35" i="32"/>
  <c r="X15" i="32"/>
  <c r="X14" i="32"/>
  <c r="X63" i="32"/>
  <c r="X76" i="32"/>
  <c r="X30" i="32"/>
  <c r="X28" i="32"/>
  <c r="X45" i="32"/>
  <c r="X81" i="32"/>
  <c r="X71" i="32"/>
  <c r="X80" i="32"/>
  <c r="X33" i="32"/>
  <c r="X50" i="32"/>
  <c r="X8" i="32"/>
  <c r="X29" i="32"/>
  <c r="X52" i="32"/>
  <c r="X56" i="32"/>
  <c r="X31" i="32"/>
  <c r="X70" i="32"/>
  <c r="X42" i="32"/>
  <c r="X55" i="32"/>
  <c r="X82" i="32"/>
  <c r="X83" i="32"/>
  <c r="X39" i="32"/>
  <c r="X7" i="32"/>
  <c r="X18" i="32"/>
  <c r="X9" i="32"/>
  <c r="X66" i="32"/>
  <c r="X16" i="32"/>
  <c r="X4" i="32"/>
  <c r="X43" i="32"/>
  <c r="X38" i="32"/>
  <c r="X37" i="32"/>
  <c r="X74" i="32"/>
  <c r="X73" i="32"/>
  <c r="X47" i="32"/>
  <c r="X51" i="32"/>
  <c r="X62" i="32"/>
  <c r="X84" i="32"/>
  <c r="X46" i="32"/>
  <c r="X48" i="32"/>
  <c r="X79" i="32"/>
  <c r="X59" i="32"/>
  <c r="G81" i="10"/>
  <c r="G63" i="10"/>
  <c r="G68" i="10"/>
  <c r="G54" i="10"/>
  <c r="G21" i="10"/>
  <c r="G35" i="10"/>
  <c r="G59" i="10"/>
  <c r="G46" i="10"/>
  <c r="G55" i="10"/>
  <c r="G78" i="10"/>
  <c r="G30" i="10"/>
  <c r="G45" i="10"/>
  <c r="G60" i="10"/>
  <c r="F68" i="38"/>
  <c r="AE68" i="38" s="1"/>
  <c r="E112" i="33"/>
  <c r="D18" i="34"/>
  <c r="D19" i="34" s="1"/>
  <c r="G28" i="10"/>
  <c r="G22" i="10"/>
  <c r="G13" i="10"/>
  <c r="F81" i="37"/>
  <c r="AE81" i="37" s="1"/>
  <c r="F63" i="37"/>
  <c r="AE63" i="37" s="1"/>
  <c r="F67" i="37"/>
  <c r="AE67" i="37" s="1"/>
  <c r="F16" i="37"/>
  <c r="AE16" i="37" s="1"/>
  <c r="F22" i="37"/>
  <c r="AE22" i="37" s="1"/>
  <c r="F84" i="37"/>
  <c r="AE84" i="37" s="1"/>
  <c r="F28" i="37"/>
  <c r="AE28" i="37" s="1"/>
  <c r="F79" i="37"/>
  <c r="AE79" i="37" s="1"/>
  <c r="F47" i="37"/>
  <c r="AE47" i="37" s="1"/>
  <c r="F41" i="37"/>
  <c r="AE41" i="37" s="1"/>
  <c r="F52" i="37"/>
  <c r="AE52" i="37" s="1"/>
  <c r="F54" i="37"/>
  <c r="AE54" i="37" s="1"/>
  <c r="F56" i="37"/>
  <c r="AE56" i="37" s="1"/>
  <c r="F49" i="37"/>
  <c r="AE49" i="37" s="1"/>
  <c r="F58" i="37"/>
  <c r="AE58" i="37" s="1"/>
  <c r="F13" i="37"/>
  <c r="AE13" i="37" s="1"/>
  <c r="F4" i="37"/>
  <c r="AE4" i="37" s="1"/>
  <c r="F10" i="37"/>
  <c r="AE10" i="37" s="1"/>
  <c r="F5" i="37"/>
  <c r="AE5" i="37" s="1"/>
  <c r="F32" i="37"/>
  <c r="AE32" i="37" s="1"/>
  <c r="G7" i="10"/>
  <c r="G79" i="10"/>
  <c r="G26" i="10"/>
  <c r="G84" i="10"/>
  <c r="G12" i="10"/>
  <c r="G56" i="10"/>
  <c r="F80" i="36"/>
  <c r="AE80" i="36" s="1"/>
  <c r="F45" i="36"/>
  <c r="AE45" i="36" s="1"/>
  <c r="F28" i="36"/>
  <c r="AE28" i="36" s="1"/>
  <c r="F6" i="36"/>
  <c r="AE6" i="36" s="1"/>
  <c r="F26" i="36"/>
  <c r="AE26" i="36" s="1"/>
  <c r="F49" i="36"/>
  <c r="AE49" i="36" s="1"/>
  <c r="F50" i="36"/>
  <c r="AE50" i="36" s="1"/>
  <c r="F79" i="36"/>
  <c r="AE79" i="36" s="1"/>
  <c r="F43" i="36"/>
  <c r="AE43" i="36" s="1"/>
  <c r="F23" i="36"/>
  <c r="AE23" i="36" s="1"/>
  <c r="F39" i="36"/>
  <c r="AE39" i="36" s="1"/>
  <c r="F71" i="36"/>
  <c r="AE71" i="36" s="1"/>
  <c r="F36" i="36"/>
  <c r="AE36" i="36" s="1"/>
  <c r="F34" i="36"/>
  <c r="AE34" i="36" s="1"/>
  <c r="F4" i="36"/>
  <c r="AE4" i="36" s="1"/>
  <c r="F76" i="36"/>
  <c r="AE76" i="36" s="1"/>
  <c r="F55" i="36"/>
  <c r="AE55" i="36" s="1"/>
  <c r="F73" i="36"/>
  <c r="AE73" i="36" s="1"/>
  <c r="F10" i="36"/>
  <c r="AE10" i="36" s="1"/>
  <c r="F44" i="36"/>
  <c r="AE44" i="36" s="1"/>
  <c r="G58" i="10"/>
  <c r="E112" i="18"/>
  <c r="D18" i="17"/>
  <c r="D19" i="17" s="1"/>
  <c r="G9" i="10"/>
  <c r="G83" i="10"/>
  <c r="F29" i="38"/>
  <c r="AE29" i="38" s="1"/>
  <c r="F11" i="38"/>
  <c r="AE11" i="38" s="1"/>
  <c r="F76" i="38"/>
  <c r="AE76" i="38" s="1"/>
  <c r="F39" i="38"/>
  <c r="AE39" i="38" s="1"/>
  <c r="F5" i="38"/>
  <c r="AE5" i="38" s="1"/>
  <c r="F70" i="38"/>
  <c r="AE70" i="38" s="1"/>
  <c r="F65" i="38"/>
  <c r="AE65" i="38" s="1"/>
  <c r="F63" i="38"/>
  <c r="AE63" i="38" s="1"/>
  <c r="F84" i="38"/>
  <c r="AE84" i="38" s="1"/>
  <c r="F23" i="38"/>
  <c r="AE23" i="38" s="1"/>
  <c r="F53" i="38"/>
  <c r="AE53" i="38" s="1"/>
  <c r="F56" i="38"/>
  <c r="AE56" i="38" s="1"/>
  <c r="F67" i="38"/>
  <c r="AE67" i="38" s="1"/>
  <c r="F48" i="38"/>
  <c r="AE48" i="38" s="1"/>
  <c r="F20" i="38"/>
  <c r="AE20" i="38" s="1"/>
  <c r="F19" i="38"/>
  <c r="AE19" i="38" s="1"/>
  <c r="F26" i="38"/>
  <c r="AE26" i="38" s="1"/>
  <c r="F41" i="38"/>
  <c r="AE41" i="38" s="1"/>
  <c r="F80" i="38"/>
  <c r="AE80" i="38" s="1"/>
  <c r="F79" i="38"/>
  <c r="AE79" i="38" s="1"/>
  <c r="F81" i="38"/>
  <c r="AE81" i="38" s="1"/>
  <c r="F4" i="38"/>
  <c r="AE4" i="38" s="1"/>
  <c r="F18" i="38"/>
  <c r="AE18" i="38" s="1"/>
  <c r="F43" i="38"/>
  <c r="AE43" i="38" s="1"/>
  <c r="G36" i="10"/>
  <c r="G14" i="10"/>
  <c r="G39" i="10"/>
  <c r="G61" i="10"/>
  <c r="G49" i="10"/>
  <c r="G34" i="10"/>
  <c r="G73" i="10"/>
  <c r="G24" i="10"/>
  <c r="G23" i="10"/>
  <c r="G33" i="10"/>
  <c r="G47" i="10"/>
  <c r="F31" i="37"/>
  <c r="AE31" i="37" s="1"/>
  <c r="F50" i="37"/>
  <c r="AE50" i="37" s="1"/>
  <c r="F59" i="37"/>
  <c r="AE59" i="37" s="1"/>
  <c r="F19" i="37"/>
  <c r="AE19" i="37" s="1"/>
  <c r="F25" i="37"/>
  <c r="AE25" i="37" s="1"/>
  <c r="F33" i="37"/>
  <c r="AE33" i="37" s="1"/>
  <c r="F44" i="37"/>
  <c r="AE44" i="37" s="1"/>
  <c r="F26" i="37"/>
  <c r="AE26" i="37" s="1"/>
  <c r="F29" i="37"/>
  <c r="AE29" i="37" s="1"/>
  <c r="F20" i="37"/>
  <c r="AE20" i="37" s="1"/>
  <c r="F40" i="37"/>
  <c r="AE40" i="37" s="1"/>
  <c r="F7" i="37"/>
  <c r="AE7" i="37" s="1"/>
  <c r="F39" i="37"/>
  <c r="AE39" i="37" s="1"/>
  <c r="F27" i="37"/>
  <c r="AE27" i="37" s="1"/>
  <c r="F46" i="37"/>
  <c r="AE46" i="37" s="1"/>
  <c r="F17" i="37"/>
  <c r="AE17" i="37" s="1"/>
  <c r="F66" i="37"/>
  <c r="AE66" i="37" s="1"/>
  <c r="F73" i="37"/>
  <c r="AE73" i="37" s="1"/>
  <c r="F72" i="37"/>
  <c r="AE72" i="37" s="1"/>
  <c r="F21" i="37"/>
  <c r="AE21" i="37" s="1"/>
  <c r="G16" i="10"/>
  <c r="G38" i="10"/>
  <c r="G17" i="10"/>
  <c r="G64" i="10"/>
  <c r="F14" i="36"/>
  <c r="AE14" i="36" s="1"/>
  <c r="F9" i="36"/>
  <c r="AE9" i="36" s="1"/>
  <c r="F57" i="36"/>
  <c r="AE57" i="36" s="1"/>
  <c r="F8" i="36"/>
  <c r="AE8" i="36" s="1"/>
  <c r="F70" i="36"/>
  <c r="AE70" i="36" s="1"/>
  <c r="F84" i="36"/>
  <c r="AE84" i="36" s="1"/>
  <c r="F32" i="36"/>
  <c r="AE32" i="36" s="1"/>
  <c r="F18" i="36"/>
  <c r="AE18" i="36" s="1"/>
  <c r="F33" i="36"/>
  <c r="AE33" i="36" s="1"/>
  <c r="F22" i="36"/>
  <c r="AE22" i="36" s="1"/>
  <c r="F78" i="36"/>
  <c r="AE78" i="36" s="1"/>
  <c r="F66" i="36"/>
  <c r="AE66" i="36" s="1"/>
  <c r="F35" i="36"/>
  <c r="AE35" i="36" s="1"/>
  <c r="F15" i="36"/>
  <c r="AE15" i="36" s="1"/>
  <c r="F24" i="36"/>
  <c r="AE24" i="36" s="1"/>
  <c r="F29" i="36"/>
  <c r="AE29" i="36" s="1"/>
  <c r="F52" i="36"/>
  <c r="AE52" i="36" s="1"/>
  <c r="F38" i="36"/>
  <c r="AE38" i="36" s="1"/>
  <c r="F64" i="36"/>
  <c r="AE64" i="36" s="1"/>
  <c r="F81" i="36"/>
  <c r="AE81" i="36" s="1"/>
  <c r="F20" i="36"/>
  <c r="AE20" i="36" s="1"/>
  <c r="G25" i="10"/>
  <c r="G52" i="10"/>
  <c r="G74" i="10"/>
  <c r="G20" i="10"/>
  <c r="F51" i="38"/>
  <c r="AE51" i="38" s="1"/>
  <c r="F74" i="38"/>
  <c r="AE74" i="38" s="1"/>
  <c r="F14" i="38"/>
  <c r="AE14" i="38" s="1"/>
  <c r="F47" i="38"/>
  <c r="AE47" i="38" s="1"/>
  <c r="F15" i="38"/>
  <c r="AE15" i="38" s="1"/>
  <c r="F21" i="38"/>
  <c r="AE21" i="38" s="1"/>
  <c r="F22" i="38"/>
  <c r="AE22" i="38" s="1"/>
  <c r="F13" i="38"/>
  <c r="AE13" i="38" s="1"/>
  <c r="F69" i="38"/>
  <c r="AE69" i="38" s="1"/>
  <c r="F24" i="38"/>
  <c r="AE24" i="38" s="1"/>
  <c r="F30" i="38"/>
  <c r="AE30" i="38" s="1"/>
  <c r="F32" i="38"/>
  <c r="AE32" i="38" s="1"/>
  <c r="F31" i="38"/>
  <c r="AE31" i="38" s="1"/>
  <c r="F28" i="38"/>
  <c r="AE28" i="38" s="1"/>
  <c r="F36" i="38"/>
  <c r="AE36" i="38" s="1"/>
  <c r="F49" i="38"/>
  <c r="AE49" i="38" s="1"/>
  <c r="F73" i="38"/>
  <c r="AE73" i="38" s="1"/>
  <c r="F83" i="38"/>
  <c r="AE83" i="38" s="1"/>
  <c r="F8" i="38"/>
  <c r="AE8" i="38" s="1"/>
  <c r="F6" i="38"/>
  <c r="AE6" i="38" s="1"/>
  <c r="F25" i="38"/>
  <c r="AE25" i="38" s="1"/>
  <c r="F54" i="38"/>
  <c r="AE54" i="38" s="1"/>
  <c r="F58" i="38"/>
  <c r="AE58" i="38" s="1"/>
  <c r="F61" i="38"/>
  <c r="AE61" i="38" s="1"/>
  <c r="F71" i="38"/>
  <c r="AE71" i="38" s="1"/>
  <c r="F57" i="38"/>
  <c r="AE57" i="38" s="1"/>
  <c r="F77" i="38"/>
  <c r="AE77" i="38" s="1"/>
  <c r="G18" i="10"/>
  <c r="G48" i="10"/>
  <c r="G82" i="10"/>
  <c r="G4" i="10"/>
  <c r="G29" i="10"/>
  <c r="G32" i="10"/>
  <c r="G66" i="10"/>
  <c r="G50" i="10"/>
  <c r="G71" i="10"/>
  <c r="F57" i="37"/>
  <c r="AE57" i="37" s="1"/>
  <c r="F35" i="37"/>
  <c r="AE35" i="37" s="1"/>
  <c r="F61" i="37"/>
  <c r="AE61" i="37" s="1"/>
  <c r="F71" i="37"/>
  <c r="AE71" i="37" s="1"/>
  <c r="F12" i="37"/>
  <c r="AE12" i="37" s="1"/>
  <c r="F78" i="37"/>
  <c r="AE78" i="37" s="1"/>
  <c r="F74" i="37"/>
  <c r="AE74" i="37" s="1"/>
  <c r="F80" i="37"/>
  <c r="AE80" i="37" s="1"/>
  <c r="F6" i="37"/>
  <c r="AE6" i="37" s="1"/>
  <c r="F82" i="37"/>
  <c r="AE82" i="37" s="1"/>
  <c r="F30" i="37"/>
  <c r="AE30" i="37" s="1"/>
  <c r="F53" i="37"/>
  <c r="AE53" i="37" s="1"/>
  <c r="F14" i="37"/>
  <c r="AE14" i="37" s="1"/>
  <c r="F8" i="37"/>
  <c r="AE8" i="37" s="1"/>
  <c r="F34" i="37"/>
  <c r="AE34" i="37" s="1"/>
  <c r="F15" i="37"/>
  <c r="AE15" i="37" s="1"/>
  <c r="F51" i="37"/>
  <c r="AE51" i="37" s="1"/>
  <c r="F45" i="37"/>
  <c r="AE45" i="37" s="1"/>
  <c r="F55" i="37"/>
  <c r="AE55" i="37" s="1"/>
  <c r="F38" i="37"/>
  <c r="AE38" i="37" s="1"/>
  <c r="G37" i="10"/>
  <c r="G51" i="10"/>
  <c r="D18" i="39"/>
  <c r="D19" i="39" s="1"/>
  <c r="F74" i="36"/>
  <c r="AE74" i="36" s="1"/>
  <c r="F62" i="36"/>
  <c r="AE62" i="36" s="1"/>
  <c r="F59" i="36"/>
  <c r="AE59" i="36" s="1"/>
  <c r="F48" i="36"/>
  <c r="AE48" i="36" s="1"/>
  <c r="F16" i="36"/>
  <c r="AE16" i="36" s="1"/>
  <c r="F30" i="36"/>
  <c r="AE30" i="36" s="1"/>
  <c r="F11" i="36"/>
  <c r="AE11" i="36" s="1"/>
  <c r="F31" i="36"/>
  <c r="AE31" i="36" s="1"/>
  <c r="F63" i="36"/>
  <c r="AE63" i="36" s="1"/>
  <c r="F58" i="36"/>
  <c r="AE58" i="36" s="1"/>
  <c r="F56" i="36"/>
  <c r="AE56" i="36" s="1"/>
  <c r="F7" i="36"/>
  <c r="AE7" i="36" s="1"/>
  <c r="F17" i="36"/>
  <c r="AE17" i="36" s="1"/>
  <c r="F72" i="36"/>
  <c r="AE72" i="36" s="1"/>
  <c r="F5" i="36"/>
  <c r="AE5" i="36" s="1"/>
  <c r="F12" i="36"/>
  <c r="AE12" i="36" s="1"/>
  <c r="F77" i="36"/>
  <c r="AE77" i="36" s="1"/>
  <c r="F19" i="36"/>
  <c r="AE19" i="36" s="1"/>
  <c r="F46" i="36"/>
  <c r="AE46" i="36" s="1"/>
  <c r="F69" i="36"/>
  <c r="AE69" i="36" s="1"/>
  <c r="G57" i="10"/>
  <c r="G67" i="10"/>
  <c r="G6" i="10"/>
  <c r="G11" i="10"/>
  <c r="F46" i="38"/>
  <c r="AE46" i="38" s="1"/>
  <c r="F27" i="38"/>
  <c r="AE27" i="38" s="1"/>
  <c r="F10" i="38"/>
  <c r="AE10" i="38" s="1"/>
  <c r="F82" i="38"/>
  <c r="AE82" i="38" s="1"/>
  <c r="F40" i="38"/>
  <c r="AE40" i="38" s="1"/>
  <c r="F59" i="38"/>
  <c r="AE59" i="38" s="1"/>
  <c r="F9" i="38"/>
  <c r="AE9" i="38" s="1"/>
  <c r="F37" i="38"/>
  <c r="AE37" i="38" s="1"/>
  <c r="G42" i="10"/>
  <c r="G15" i="10"/>
  <c r="G40" i="10"/>
  <c r="F52" i="38"/>
  <c r="AE52" i="38" s="1"/>
  <c r="F12" i="38"/>
  <c r="AE12" i="38" s="1"/>
  <c r="F78" i="38"/>
  <c r="AE78" i="38" s="1"/>
  <c r="F44" i="38"/>
  <c r="AE44" i="38" s="1"/>
  <c r="F72" i="38"/>
  <c r="AE72" i="38" s="1"/>
  <c r="F50" i="38"/>
  <c r="AE50" i="38" s="1"/>
  <c r="F45" i="38"/>
  <c r="AE45" i="38" s="1"/>
  <c r="F17" i="38"/>
  <c r="AE17" i="38" s="1"/>
  <c r="F16" i="38"/>
  <c r="AE16" i="38" s="1"/>
  <c r="F33" i="38"/>
  <c r="AE33" i="38" s="1"/>
  <c r="F60" i="38"/>
  <c r="AE60" i="38" s="1"/>
  <c r="F64" i="38"/>
  <c r="AE64" i="38" s="1"/>
  <c r="F66" i="38"/>
  <c r="AE66" i="38" s="1"/>
  <c r="F75" i="38"/>
  <c r="AE75" i="38" s="1"/>
  <c r="F7" i="38"/>
  <c r="AE7" i="38" s="1"/>
  <c r="F35" i="38"/>
  <c r="AE35" i="38" s="1"/>
  <c r="F34" i="38"/>
  <c r="AE34" i="38" s="1"/>
  <c r="F42" i="38"/>
  <c r="AE42" i="38" s="1"/>
  <c r="F55" i="38"/>
  <c r="AE55" i="38" s="1"/>
  <c r="F62" i="38"/>
  <c r="AE62" i="38" s="1"/>
  <c r="F38" i="38"/>
  <c r="AE38" i="38" s="1"/>
  <c r="G27" i="10"/>
  <c r="G72" i="10"/>
  <c r="G19" i="10"/>
  <c r="G62" i="10"/>
  <c r="G77" i="10"/>
  <c r="G53" i="10"/>
  <c r="G10" i="10"/>
  <c r="G80" i="10"/>
  <c r="F11" i="37"/>
  <c r="AE11" i="37" s="1"/>
  <c r="F48" i="37"/>
  <c r="AE48" i="37" s="1"/>
  <c r="F43" i="37"/>
  <c r="AE43" i="37" s="1"/>
  <c r="F65" i="37"/>
  <c r="AE65" i="37" s="1"/>
  <c r="F64" i="37"/>
  <c r="AE64" i="37" s="1"/>
  <c r="F37" i="37"/>
  <c r="AE37" i="37" s="1"/>
  <c r="F75" i="37"/>
  <c r="AE75" i="37" s="1"/>
  <c r="F83" i="37"/>
  <c r="AE83" i="37" s="1"/>
  <c r="F62" i="37"/>
  <c r="AE62" i="37" s="1"/>
  <c r="F68" i="37"/>
  <c r="AE68" i="37" s="1"/>
  <c r="F69" i="37"/>
  <c r="AE69" i="37" s="1"/>
  <c r="F18" i="37"/>
  <c r="AE18" i="37" s="1"/>
  <c r="F70" i="37"/>
  <c r="AE70" i="37" s="1"/>
  <c r="F76" i="37"/>
  <c r="AE76" i="37" s="1"/>
  <c r="F77" i="37"/>
  <c r="AE77" i="37" s="1"/>
  <c r="F24" i="37"/>
  <c r="AE24" i="37" s="1"/>
  <c r="F60" i="37"/>
  <c r="AE60" i="37" s="1"/>
  <c r="F36" i="37"/>
  <c r="AE36" i="37" s="1"/>
  <c r="F23" i="37"/>
  <c r="AE23" i="37" s="1"/>
  <c r="F42" i="37"/>
  <c r="AE42" i="37" s="1"/>
  <c r="F9" i="37"/>
  <c r="AE9" i="37" s="1"/>
  <c r="G70" i="10"/>
  <c r="G65" i="10"/>
  <c r="G75" i="10"/>
  <c r="G31" i="10"/>
  <c r="F25" i="36"/>
  <c r="AE25" i="36" s="1"/>
  <c r="F51" i="36"/>
  <c r="AE51" i="36" s="1"/>
  <c r="F47" i="36"/>
  <c r="AE47" i="36" s="1"/>
  <c r="F40" i="36"/>
  <c r="AE40" i="36" s="1"/>
  <c r="F75" i="36"/>
  <c r="AE75" i="36" s="1"/>
  <c r="F13" i="36"/>
  <c r="AE13" i="36" s="1"/>
  <c r="F68" i="36"/>
  <c r="AE68" i="36" s="1"/>
  <c r="F61" i="36"/>
  <c r="AE61" i="36" s="1"/>
  <c r="F83" i="36"/>
  <c r="AE83" i="36" s="1"/>
  <c r="F41" i="36"/>
  <c r="AE41" i="36" s="1"/>
  <c r="F37" i="36"/>
  <c r="AE37" i="36" s="1"/>
  <c r="F42" i="36"/>
  <c r="AE42" i="36" s="1"/>
  <c r="F54" i="36"/>
  <c r="AE54" i="36" s="1"/>
  <c r="F53" i="36"/>
  <c r="AE53" i="36" s="1"/>
  <c r="F21" i="36"/>
  <c r="AE21" i="36" s="1"/>
  <c r="F65" i="36"/>
  <c r="AE65" i="36" s="1"/>
  <c r="F67" i="36"/>
  <c r="AE67" i="36" s="1"/>
  <c r="F82" i="36"/>
  <c r="AE82" i="36" s="1"/>
  <c r="F27" i="36"/>
  <c r="AE27" i="36" s="1"/>
  <c r="F60" i="36"/>
  <c r="AE60" i="36" s="1"/>
  <c r="G69" i="10"/>
  <c r="G43" i="10"/>
  <c r="G76" i="10"/>
  <c r="G41" i="10"/>
  <c r="E113" i="18"/>
  <c r="D47" i="17"/>
  <c r="D48" i="17" s="1"/>
  <c r="C36" i="17"/>
  <c r="C37" i="17" s="1"/>
  <c r="G64" i="26"/>
  <c r="AF64" i="26" s="1"/>
  <c r="G41" i="26"/>
  <c r="AF41" i="26" s="1"/>
  <c r="G57" i="26"/>
  <c r="AF57" i="26" s="1"/>
  <c r="G21" i="26"/>
  <c r="AF21" i="26" s="1"/>
  <c r="G24" i="26"/>
  <c r="AF24" i="26" s="1"/>
  <c r="G28" i="26"/>
  <c r="AF28" i="26" s="1"/>
  <c r="G10" i="26"/>
  <c r="AF10" i="26" s="1"/>
  <c r="G75" i="26"/>
  <c r="AF75" i="26" s="1"/>
  <c r="G26" i="26"/>
  <c r="AF26" i="26" s="1"/>
  <c r="G7" i="26"/>
  <c r="AF7" i="26" s="1"/>
  <c r="G39" i="26"/>
  <c r="AF39" i="26" s="1"/>
  <c r="G66" i="26"/>
  <c r="AF66" i="26" s="1"/>
  <c r="G55" i="26"/>
  <c r="AF55" i="26" s="1"/>
  <c r="G5" i="26"/>
  <c r="AF5" i="26" s="1"/>
  <c r="G33" i="26"/>
  <c r="AF33" i="26" s="1"/>
  <c r="G68" i="26"/>
  <c r="AF68" i="26" s="1"/>
  <c r="G16" i="26"/>
  <c r="AF16" i="26" s="1"/>
  <c r="G49" i="26"/>
  <c r="AF49" i="26" s="1"/>
  <c r="G80" i="26"/>
  <c r="AF80" i="26" s="1"/>
  <c r="G31" i="26"/>
  <c r="AF31" i="26" s="1"/>
  <c r="G61" i="26"/>
  <c r="AF61" i="26" s="1"/>
  <c r="G59" i="26"/>
  <c r="AF59" i="26" s="1"/>
  <c r="G22" i="26"/>
  <c r="AF22" i="26" s="1"/>
  <c r="G52" i="26"/>
  <c r="AF52" i="26" s="1"/>
  <c r="G6" i="26"/>
  <c r="AF6" i="26" s="1"/>
  <c r="G38" i="26"/>
  <c r="AF38" i="26" s="1"/>
  <c r="G69" i="26"/>
  <c r="AF69" i="26" s="1"/>
  <c r="G20" i="26"/>
  <c r="AF20" i="26" s="1"/>
  <c r="G63" i="26"/>
  <c r="AF63" i="26" s="1"/>
  <c r="G32" i="26"/>
  <c r="AF32" i="26" s="1"/>
  <c r="G67" i="26"/>
  <c r="AF67" i="26" s="1"/>
  <c r="G13" i="26"/>
  <c r="AF13" i="26" s="1"/>
  <c r="G44" i="26"/>
  <c r="AF44" i="26" s="1"/>
  <c r="G79" i="26"/>
  <c r="AF79" i="26" s="1"/>
  <c r="G30" i="26"/>
  <c r="AF30" i="26" s="1"/>
  <c r="G60" i="26"/>
  <c r="AF60" i="26" s="1"/>
  <c r="G14" i="26"/>
  <c r="AF14" i="26" s="1"/>
  <c r="G43" i="26"/>
  <c r="AF43" i="26" s="1"/>
  <c r="G70" i="26"/>
  <c r="AF70" i="26" s="1"/>
  <c r="G35" i="26"/>
  <c r="AF35" i="26" s="1"/>
  <c r="G12" i="26"/>
  <c r="AF12" i="26" s="1"/>
  <c r="G47" i="26"/>
  <c r="AF47" i="26" s="1"/>
  <c r="G78" i="26"/>
  <c r="AF78" i="26" s="1"/>
  <c r="G25" i="26"/>
  <c r="AF25" i="26" s="1"/>
  <c r="G56" i="26"/>
  <c r="AF56" i="26" s="1"/>
  <c r="G9" i="26"/>
  <c r="AF9" i="26" s="1"/>
  <c r="G42" i="26"/>
  <c r="AF42" i="26" s="1"/>
  <c r="G73" i="26"/>
  <c r="AF73" i="26" s="1"/>
  <c r="G23" i="26"/>
  <c r="AF23" i="26" s="1"/>
  <c r="G54" i="26"/>
  <c r="AF54" i="26" s="1"/>
  <c r="G83" i="26"/>
  <c r="AF83" i="26" s="1"/>
  <c r="G36" i="26"/>
  <c r="AF36" i="26" s="1"/>
  <c r="G71" i="26"/>
  <c r="AF71" i="26" s="1"/>
  <c r="G15" i="26"/>
  <c r="AF15" i="26" s="1"/>
  <c r="G48" i="26"/>
  <c r="AF48" i="26" s="1"/>
  <c r="G82" i="26"/>
  <c r="AF82" i="26" s="1"/>
  <c r="G34" i="26"/>
  <c r="AF34" i="26" s="1"/>
  <c r="G65" i="26"/>
  <c r="AF65" i="26" s="1"/>
  <c r="G17" i="26"/>
  <c r="AF17" i="26" s="1"/>
  <c r="G46" i="26"/>
  <c r="AF46" i="26" s="1"/>
  <c r="G77" i="26"/>
  <c r="AF77" i="26" s="1"/>
  <c r="G40" i="26"/>
  <c r="AF40" i="26" s="1"/>
  <c r="G74" i="26"/>
  <c r="AF74" i="26" s="1"/>
  <c r="G37" i="26"/>
  <c r="AF37" i="26" s="1"/>
  <c r="G72" i="26"/>
  <c r="AF72" i="26" s="1"/>
  <c r="G19" i="26"/>
  <c r="AF19" i="26" s="1"/>
  <c r="G53" i="26"/>
  <c r="AF53" i="26" s="1"/>
  <c r="G4" i="26"/>
  <c r="AF4" i="26" s="1"/>
  <c r="G50" i="26"/>
  <c r="AF50" i="26" s="1"/>
  <c r="G18" i="26"/>
  <c r="AF18" i="26" s="1"/>
  <c r="G51" i="26"/>
  <c r="AF51" i="26" s="1"/>
  <c r="G84" i="26"/>
  <c r="AF84" i="26" s="1"/>
  <c r="G29" i="26"/>
  <c r="AF29" i="26" s="1"/>
  <c r="G62" i="26"/>
  <c r="AF62" i="26" s="1"/>
  <c r="G11" i="26"/>
  <c r="AF11" i="26" s="1"/>
  <c r="G45" i="26"/>
  <c r="AF45" i="26" s="1"/>
  <c r="G76" i="26"/>
  <c r="AF76" i="26" s="1"/>
  <c r="G27" i="26"/>
  <c r="AF27" i="26" s="1"/>
  <c r="G58" i="26"/>
  <c r="AF58" i="26" s="1"/>
  <c r="G8" i="26"/>
  <c r="AF8" i="26" s="1"/>
  <c r="G81" i="26"/>
  <c r="AF81" i="26" s="1"/>
  <c r="G49" i="49" l="1"/>
  <c r="G4" i="49"/>
  <c r="G31" i="49"/>
  <c r="G82" i="49"/>
  <c r="G14" i="49"/>
  <c r="G42" i="49"/>
  <c r="H8" i="10"/>
  <c r="AG8" i="10" s="1"/>
  <c r="AE10" i="32"/>
  <c r="AE21" i="32"/>
  <c r="AE19" i="32"/>
  <c r="AE38" i="32"/>
  <c r="AE66" i="32"/>
  <c r="AE76" i="32"/>
  <c r="AE69" i="49"/>
  <c r="AE47" i="49"/>
  <c r="AE35" i="49"/>
  <c r="AE58" i="30"/>
  <c r="AE73" i="30"/>
  <c r="AE42" i="30"/>
  <c r="AE52" i="30"/>
  <c r="AE77" i="30"/>
  <c r="AE13" i="30"/>
  <c r="AE29" i="30"/>
  <c r="AE83" i="30"/>
  <c r="AE4" i="32"/>
  <c r="AE6" i="32"/>
  <c r="AE57" i="32"/>
  <c r="AE73" i="32"/>
  <c r="AE42" i="32"/>
  <c r="AE48" i="32"/>
  <c r="AE35" i="32"/>
  <c r="AE31" i="32"/>
  <c r="AE22" i="32"/>
  <c r="AE41" i="32"/>
  <c r="AE12" i="32"/>
  <c r="AE63" i="32"/>
  <c r="AE29" i="32"/>
  <c r="AE16" i="32"/>
  <c r="AE82" i="32"/>
  <c r="AE80" i="32"/>
  <c r="AE62" i="32"/>
  <c r="AE20" i="32"/>
  <c r="AE15" i="32"/>
  <c r="AE39" i="32"/>
  <c r="AE74" i="32"/>
  <c r="AE71" i="32"/>
  <c r="AE70" i="32"/>
  <c r="AE28" i="32"/>
  <c r="AE18" i="32"/>
  <c r="AE54" i="32"/>
  <c r="AE58" i="32"/>
  <c r="AE33" i="32"/>
  <c r="AE5" i="32"/>
  <c r="AE25" i="32"/>
  <c r="AE60" i="32"/>
  <c r="AE46" i="32"/>
  <c r="AE81" i="32"/>
  <c r="AE23" i="32"/>
  <c r="AE52" i="32"/>
  <c r="AE84" i="32"/>
  <c r="AE75" i="32"/>
  <c r="AE24" i="32"/>
  <c r="AE53" i="32"/>
  <c r="AE68" i="32"/>
  <c r="AE34" i="32"/>
  <c r="AE8" i="32"/>
  <c r="AE72" i="32"/>
  <c r="AE59" i="32"/>
  <c r="AE30" i="32"/>
  <c r="AE7" i="32"/>
  <c r="AE47" i="32"/>
  <c r="AE78" i="32"/>
  <c r="AE56" i="32"/>
  <c r="AE45" i="32"/>
  <c r="AE69" i="32"/>
  <c r="AE67" i="32"/>
  <c r="AE11" i="32"/>
  <c r="AE17" i="32"/>
  <c r="AE64" i="32"/>
  <c r="AE14" i="32"/>
  <c r="AE83" i="32"/>
  <c r="AE50" i="32"/>
  <c r="AE26" i="32"/>
  <c r="AE37" i="32"/>
  <c r="AE9" i="32"/>
  <c r="AE43" i="32"/>
  <c r="AE27" i="32"/>
  <c r="AE51" i="32"/>
  <c r="AE79" i="32"/>
  <c r="AE13" i="32"/>
  <c r="AE32" i="32"/>
  <c r="AE55" i="32"/>
  <c r="AE49" i="32"/>
  <c r="AE79" i="49"/>
  <c r="AE74" i="49"/>
  <c r="AE39" i="49"/>
  <c r="AE6" i="49"/>
  <c r="AE77" i="49"/>
  <c r="AE76" i="49"/>
  <c r="AE71" i="49"/>
  <c r="AE72" i="49"/>
  <c r="AE58" i="49"/>
  <c r="AE11" i="49"/>
  <c r="AE17" i="49"/>
  <c r="AE46" i="49"/>
  <c r="AE48" i="49"/>
  <c r="AE75" i="49"/>
  <c r="AE30" i="49"/>
  <c r="AE65" i="49"/>
  <c r="AE4" i="49"/>
  <c r="AE49" i="49"/>
  <c r="AE31" i="49"/>
  <c r="AE73" i="49"/>
  <c r="AE57" i="49"/>
  <c r="AE18" i="49"/>
  <c r="AE15" i="49"/>
  <c r="AE25" i="49"/>
  <c r="AE82" i="49"/>
  <c r="AE14" i="49"/>
  <c r="AE42" i="49"/>
  <c r="AE53" i="30"/>
  <c r="AE15" i="30"/>
  <c r="AE56" i="30"/>
  <c r="AE11" i="30"/>
  <c r="AE6" i="30"/>
  <c r="AE61" i="30"/>
  <c r="AE70" i="30"/>
  <c r="AE8" i="30"/>
  <c r="AE40" i="30"/>
  <c r="AE7" i="30"/>
  <c r="AE75" i="30"/>
  <c r="AE22" i="30"/>
  <c r="AE67" i="30"/>
  <c r="AE37" i="30"/>
  <c r="AE45" i="30"/>
  <c r="AE17" i="30"/>
  <c r="AE41" i="30"/>
  <c r="AE16" i="30"/>
  <c r="AE63" i="30"/>
  <c r="AE36" i="30"/>
  <c r="AE20" i="30"/>
  <c r="AE72" i="30"/>
  <c r="AE68" i="30"/>
  <c r="AE55" i="30"/>
  <c r="AE19" i="30"/>
  <c r="AE80" i="30"/>
  <c r="AE46" i="30"/>
  <c r="AE18" i="30"/>
  <c r="AE26" i="30"/>
  <c r="AE71" i="30"/>
  <c r="AE30" i="30"/>
  <c r="AE76" i="30"/>
  <c r="AE78" i="30"/>
  <c r="AE31" i="30"/>
  <c r="AE39" i="30"/>
  <c r="AE81" i="30"/>
  <c r="AE9" i="30"/>
  <c r="AE49" i="30"/>
  <c r="AE48" i="30"/>
  <c r="AE66" i="30"/>
  <c r="AE54" i="30"/>
  <c r="AE33" i="30"/>
  <c r="AE25" i="30"/>
  <c r="AE60" i="30"/>
  <c r="AE32" i="30"/>
  <c r="AE74" i="30"/>
  <c r="AE35" i="30"/>
  <c r="AE50" i="30"/>
  <c r="AE28" i="30"/>
  <c r="AE64" i="30"/>
  <c r="AE38" i="30"/>
  <c r="AE34" i="30"/>
  <c r="AE43" i="30"/>
  <c r="AE47" i="30"/>
  <c r="AE62" i="30"/>
  <c r="AE24" i="30"/>
  <c r="AE57" i="30"/>
  <c r="AE51" i="30"/>
  <c r="AE79" i="30"/>
  <c r="AE21" i="30"/>
  <c r="AE4" i="30"/>
  <c r="AE5" i="30"/>
  <c r="AE69" i="30"/>
  <c r="AE82" i="30"/>
  <c r="AE23" i="30"/>
  <c r="AE84" i="30"/>
  <c r="AE14" i="30"/>
  <c r="AE27" i="30"/>
  <c r="AE12" i="30"/>
  <c r="AE65" i="30"/>
  <c r="AE10" i="30"/>
  <c r="AE59" i="30"/>
  <c r="AE18" i="10"/>
  <c r="H4" i="10"/>
  <c r="AF4" i="10"/>
  <c r="H64" i="10"/>
  <c r="AF64" i="10"/>
  <c r="H55" i="10"/>
  <c r="AF55" i="10"/>
  <c r="H46" i="10"/>
  <c r="AF46" i="10"/>
  <c r="H25" i="10"/>
  <c r="AF25" i="10"/>
  <c r="H36" i="10"/>
  <c r="AF36" i="10"/>
  <c r="G63" i="49"/>
  <c r="AE63" i="49"/>
  <c r="G12" i="49"/>
  <c r="AE12" i="49"/>
  <c r="G37" i="49"/>
  <c r="AE37" i="49"/>
  <c r="G45" i="49"/>
  <c r="AE45" i="49"/>
  <c r="G36" i="49"/>
  <c r="AE36" i="49"/>
  <c r="G70" i="49"/>
  <c r="AE70" i="49"/>
  <c r="G27" i="49"/>
  <c r="AE27" i="49"/>
  <c r="H74" i="10"/>
  <c r="AF74" i="10"/>
  <c r="H47" i="10"/>
  <c r="AF47" i="10"/>
  <c r="G84" i="49"/>
  <c r="AE84" i="49"/>
  <c r="G51" i="49"/>
  <c r="AE51" i="49"/>
  <c r="H52" i="10"/>
  <c r="AF52" i="10"/>
  <c r="H14" i="10"/>
  <c r="AF14" i="10"/>
  <c r="G13" i="49"/>
  <c r="AE13" i="49"/>
  <c r="H38" i="10"/>
  <c r="AF38" i="10"/>
  <c r="H23" i="10"/>
  <c r="AF23" i="10"/>
  <c r="H59" i="10"/>
  <c r="AF59" i="10"/>
  <c r="H76" i="10"/>
  <c r="AF76" i="10"/>
  <c r="H75" i="10"/>
  <c r="AF75" i="10"/>
  <c r="H27" i="10"/>
  <c r="AF27" i="10"/>
  <c r="H42" i="10"/>
  <c r="AF42" i="10"/>
  <c r="H71" i="10"/>
  <c r="AF71" i="10"/>
  <c r="H18" i="10"/>
  <c r="AF18" i="10"/>
  <c r="H16" i="10"/>
  <c r="AF16" i="10"/>
  <c r="H24" i="10"/>
  <c r="AF24" i="10"/>
  <c r="H83" i="10"/>
  <c r="AF83" i="10"/>
  <c r="H35" i="10"/>
  <c r="AF35" i="10"/>
  <c r="G44" i="32"/>
  <c r="AE44" i="32"/>
  <c r="G9" i="49"/>
  <c r="AE9" i="49"/>
  <c r="G33" i="49"/>
  <c r="AE33" i="49"/>
  <c r="G78" i="49"/>
  <c r="AE78" i="49"/>
  <c r="G62" i="49"/>
  <c r="AE62" i="49"/>
  <c r="G23" i="49"/>
  <c r="AE23" i="49"/>
  <c r="G16" i="49"/>
  <c r="AE16" i="49"/>
  <c r="G50" i="49"/>
  <c r="AE50" i="49"/>
  <c r="G44" i="49"/>
  <c r="AE44" i="49"/>
  <c r="H79" i="10"/>
  <c r="AF79" i="10"/>
  <c r="H28" i="10"/>
  <c r="AF28" i="10"/>
  <c r="G68" i="49"/>
  <c r="AE68" i="49"/>
  <c r="H40" i="10"/>
  <c r="AF40" i="10"/>
  <c r="H82" i="10"/>
  <c r="AF82" i="10"/>
  <c r="H17" i="10"/>
  <c r="AF17" i="10"/>
  <c r="H33" i="10"/>
  <c r="AF33" i="10"/>
  <c r="H7" i="10"/>
  <c r="AF7" i="10"/>
  <c r="G81" i="49"/>
  <c r="AE81" i="49"/>
  <c r="G59" i="49"/>
  <c r="AE59" i="49"/>
  <c r="H41" i="10"/>
  <c r="AF41" i="10"/>
  <c r="H11" i="10"/>
  <c r="AF11" i="10"/>
  <c r="H50" i="10"/>
  <c r="AF50" i="10"/>
  <c r="H73" i="10"/>
  <c r="AF73" i="10"/>
  <c r="H21" i="10"/>
  <c r="AF21" i="10"/>
  <c r="G58" i="49"/>
  <c r="G64" i="49"/>
  <c r="AE64" i="49"/>
  <c r="G22" i="49"/>
  <c r="AE22" i="49"/>
  <c r="G19" i="49"/>
  <c r="AE19" i="49"/>
  <c r="H69" i="10"/>
  <c r="AF69" i="10"/>
  <c r="H70" i="10"/>
  <c r="AF70" i="10"/>
  <c r="H10" i="10"/>
  <c r="AF10" i="10"/>
  <c r="H6" i="10"/>
  <c r="AF6" i="10"/>
  <c r="H51" i="10"/>
  <c r="AF51" i="10"/>
  <c r="H66" i="10"/>
  <c r="AF66" i="10"/>
  <c r="H34" i="10"/>
  <c r="AF34" i="10"/>
  <c r="H12" i="10"/>
  <c r="AF12" i="10"/>
  <c r="H45" i="10"/>
  <c r="AF45" i="10"/>
  <c r="H54" i="10"/>
  <c r="AF54" i="10"/>
  <c r="G11" i="49"/>
  <c r="G40" i="49"/>
  <c r="AE40" i="49"/>
  <c r="G55" i="49"/>
  <c r="AE55" i="49"/>
  <c r="G34" i="49"/>
  <c r="AE34" i="49"/>
  <c r="G56" i="49"/>
  <c r="AE56" i="49"/>
  <c r="G21" i="49"/>
  <c r="AE21" i="49"/>
  <c r="G61" i="49"/>
  <c r="AE61" i="49"/>
  <c r="G83" i="49"/>
  <c r="AE83" i="49"/>
  <c r="H62" i="10"/>
  <c r="AF62" i="10"/>
  <c r="H81" i="10"/>
  <c r="AF81" i="10"/>
  <c r="G7" i="49"/>
  <c r="AE7" i="49"/>
  <c r="G29" i="49"/>
  <c r="AE29" i="49"/>
  <c r="H44" i="10"/>
  <c r="AF44" i="10"/>
  <c r="H31" i="10"/>
  <c r="AF31" i="10"/>
  <c r="H72" i="10"/>
  <c r="AF72" i="10"/>
  <c r="H15" i="10"/>
  <c r="AF15" i="10"/>
  <c r="H48" i="10"/>
  <c r="AF48" i="10"/>
  <c r="H65" i="10"/>
  <c r="AF65" i="10"/>
  <c r="H80" i="10"/>
  <c r="AF80" i="10"/>
  <c r="H9" i="10"/>
  <c r="AF9" i="10"/>
  <c r="H56" i="10"/>
  <c r="AF56" i="10"/>
  <c r="H5" i="10"/>
  <c r="AF5" i="10"/>
  <c r="G10" i="49"/>
  <c r="AE10" i="49"/>
  <c r="G66" i="49"/>
  <c r="AE66" i="49"/>
  <c r="G24" i="49"/>
  <c r="AE24" i="49"/>
  <c r="G80" i="49"/>
  <c r="AE80" i="49"/>
  <c r="H53" i="10"/>
  <c r="AF53" i="10"/>
  <c r="H67" i="10"/>
  <c r="AF67" i="10"/>
  <c r="H37" i="10"/>
  <c r="AF37" i="10"/>
  <c r="H32" i="10"/>
  <c r="AF32" i="10"/>
  <c r="H49" i="10"/>
  <c r="AF49" i="10"/>
  <c r="H84" i="10"/>
  <c r="AF84" i="10"/>
  <c r="H13" i="10"/>
  <c r="AF13" i="10"/>
  <c r="H30" i="10"/>
  <c r="AF30" i="10"/>
  <c r="H68" i="10"/>
  <c r="AF68" i="10"/>
  <c r="G72" i="49"/>
  <c r="G5" i="49"/>
  <c r="AE5" i="49"/>
  <c r="G28" i="49"/>
  <c r="AE28" i="49"/>
  <c r="G53" i="49"/>
  <c r="AE53" i="49"/>
  <c r="G8" i="49"/>
  <c r="AE8" i="49"/>
  <c r="G54" i="49"/>
  <c r="AE54" i="49"/>
  <c r="G60" i="49"/>
  <c r="AE60" i="49"/>
  <c r="H39" i="10"/>
  <c r="AF39" i="10"/>
  <c r="H19" i="10"/>
  <c r="AF19" i="10"/>
  <c r="G32" i="49"/>
  <c r="AE32" i="49"/>
  <c r="H43" i="10"/>
  <c r="AF43" i="10"/>
  <c r="H60" i="10"/>
  <c r="AF60" i="10"/>
  <c r="H77" i="10"/>
  <c r="AF77" i="10"/>
  <c r="H57" i="10"/>
  <c r="AF57" i="10"/>
  <c r="H29" i="10"/>
  <c r="AF29" i="10"/>
  <c r="H20" i="10"/>
  <c r="AF20" i="10"/>
  <c r="H61" i="10"/>
  <c r="AF61" i="10"/>
  <c r="H58" i="10"/>
  <c r="AF58" i="10"/>
  <c r="H26" i="10"/>
  <c r="AF26" i="10"/>
  <c r="H22" i="10"/>
  <c r="AF22" i="10"/>
  <c r="H78" i="10"/>
  <c r="AF78" i="10"/>
  <c r="H63" i="10"/>
  <c r="AF63" i="10"/>
  <c r="G38" i="49"/>
  <c r="AE38" i="49"/>
  <c r="G43" i="49"/>
  <c r="AE43" i="49"/>
  <c r="G41" i="49"/>
  <c r="AE41" i="49"/>
  <c r="G52" i="49"/>
  <c r="AE52" i="49"/>
  <c r="G67" i="49"/>
  <c r="AE67" i="49"/>
  <c r="G20" i="49"/>
  <c r="AE20" i="49"/>
  <c r="G26" i="49"/>
  <c r="AE26" i="49"/>
  <c r="Y46" i="32"/>
  <c r="Z46" i="32" s="1"/>
  <c r="AA46" i="32" s="1"/>
  <c r="H15" i="26"/>
  <c r="AG15" i="26" s="1"/>
  <c r="G40" i="32"/>
  <c r="G57" i="49"/>
  <c r="G6" i="49"/>
  <c r="G34" i="30"/>
  <c r="AF34" i="30" s="1"/>
  <c r="G17" i="30"/>
  <c r="AF17" i="30" s="1"/>
  <c r="G69" i="30"/>
  <c r="AF69" i="30" s="1"/>
  <c r="G71" i="49"/>
  <c r="G65" i="49"/>
  <c r="G46" i="49"/>
  <c r="G35" i="49"/>
  <c r="G76" i="49"/>
  <c r="G69" i="49"/>
  <c r="G39" i="49"/>
  <c r="G15" i="49"/>
  <c r="G44" i="30"/>
  <c r="C49" i="48"/>
  <c r="C50" i="48" s="1"/>
  <c r="C51" i="48" s="1"/>
  <c r="C20" i="48"/>
  <c r="C21" i="48" s="1"/>
  <c r="C22" i="48" s="1"/>
  <c r="C29" i="48" s="1"/>
  <c r="G38" i="30"/>
  <c r="AF38" i="30" s="1"/>
  <c r="G80" i="30"/>
  <c r="AF80" i="30" s="1"/>
  <c r="G28" i="30"/>
  <c r="AF28" i="30" s="1"/>
  <c r="G59" i="30"/>
  <c r="G74" i="49"/>
  <c r="G79" i="49"/>
  <c r="G47" i="49"/>
  <c r="Y24" i="49"/>
  <c r="Z24" i="49" s="1"/>
  <c r="AA24" i="49" s="1"/>
  <c r="G55" i="30"/>
  <c r="AF55" i="30" s="1"/>
  <c r="G5" i="30"/>
  <c r="AF5" i="30" s="1"/>
  <c r="Y4" i="49"/>
  <c r="Z4" i="49" s="1"/>
  <c r="AA4" i="49" s="1"/>
  <c r="G19" i="30"/>
  <c r="AF19" i="30" s="1"/>
  <c r="G9" i="30"/>
  <c r="AF9" i="30" s="1"/>
  <c r="G79" i="30"/>
  <c r="AF79" i="30" s="1"/>
  <c r="Y25" i="49"/>
  <c r="Z25" i="49" s="1"/>
  <c r="AA25" i="49" s="1"/>
  <c r="Y77" i="49"/>
  <c r="Z77" i="49" s="1"/>
  <c r="AA77" i="49" s="1"/>
  <c r="Y51" i="49"/>
  <c r="Z51" i="49" s="1"/>
  <c r="AA51" i="49" s="1"/>
  <c r="Y54" i="49"/>
  <c r="Z54" i="49" s="1"/>
  <c r="AA54" i="49" s="1"/>
  <c r="Y47" i="49"/>
  <c r="Z47" i="49" s="1"/>
  <c r="AA47" i="49" s="1"/>
  <c r="Y39" i="49"/>
  <c r="Z39" i="49" s="1"/>
  <c r="AA39" i="49" s="1"/>
  <c r="Y32" i="49"/>
  <c r="Z32" i="49" s="1"/>
  <c r="AA32" i="49" s="1"/>
  <c r="Y37" i="49"/>
  <c r="Z37" i="49" s="1"/>
  <c r="AA37" i="49" s="1"/>
  <c r="Y69" i="49"/>
  <c r="Z69" i="49" s="1"/>
  <c r="AA69" i="49" s="1"/>
  <c r="Y19" i="49"/>
  <c r="Z19" i="49" s="1"/>
  <c r="AA19" i="49" s="1"/>
  <c r="G58" i="30"/>
  <c r="AF58" i="30" s="1"/>
  <c r="Y84" i="49"/>
  <c r="Z84" i="49" s="1"/>
  <c r="AA84" i="49" s="1"/>
  <c r="Y6" i="49"/>
  <c r="Z6" i="49" s="1"/>
  <c r="AA6" i="49" s="1"/>
  <c r="Y14" i="49"/>
  <c r="Z14" i="49" s="1"/>
  <c r="AA14" i="49" s="1"/>
  <c r="Y43" i="49"/>
  <c r="Z43" i="49" s="1"/>
  <c r="AA43" i="49" s="1"/>
  <c r="Y82" i="49"/>
  <c r="Z82" i="49" s="1"/>
  <c r="AA82" i="49" s="1"/>
  <c r="Y26" i="49"/>
  <c r="Z26" i="49" s="1"/>
  <c r="AA26" i="49" s="1"/>
  <c r="G47" i="30"/>
  <c r="AF47" i="30" s="1"/>
  <c r="G26" i="30"/>
  <c r="AF26" i="30" s="1"/>
  <c r="Y45" i="49"/>
  <c r="Z45" i="49" s="1"/>
  <c r="AA45" i="49" s="1"/>
  <c r="Y30" i="49"/>
  <c r="Z30" i="49" s="1"/>
  <c r="AA30" i="49" s="1"/>
  <c r="Y22" i="49"/>
  <c r="Z22" i="49" s="1"/>
  <c r="AA22" i="49" s="1"/>
  <c r="Y65" i="49"/>
  <c r="Z65" i="49" s="1"/>
  <c r="AA65" i="49" s="1"/>
  <c r="Y38" i="49"/>
  <c r="Z38" i="49" s="1"/>
  <c r="AA38" i="49" s="1"/>
  <c r="Y20" i="49"/>
  <c r="Z20" i="49" s="1"/>
  <c r="AA20" i="49" s="1"/>
  <c r="Y68" i="49"/>
  <c r="Z68" i="49" s="1"/>
  <c r="AA68" i="49" s="1"/>
  <c r="Y83" i="49"/>
  <c r="Z83" i="49" s="1"/>
  <c r="AA83" i="49" s="1"/>
  <c r="Y9" i="49"/>
  <c r="Z9" i="49" s="1"/>
  <c r="AA9" i="49" s="1"/>
  <c r="Y18" i="49"/>
  <c r="Z18" i="49" s="1"/>
  <c r="AA18" i="49" s="1"/>
  <c r="G15" i="30"/>
  <c r="AF15" i="30" s="1"/>
  <c r="Y13" i="49"/>
  <c r="Z13" i="49" s="1"/>
  <c r="AA13" i="49" s="1"/>
  <c r="Y70" i="49"/>
  <c r="Z70" i="49" s="1"/>
  <c r="AA70" i="49" s="1"/>
  <c r="Y58" i="49"/>
  <c r="Z58" i="49" s="1"/>
  <c r="AA58" i="49" s="1"/>
  <c r="Y72" i="49"/>
  <c r="Z72" i="49" s="1"/>
  <c r="AA72" i="49" s="1"/>
  <c r="Y73" i="49"/>
  <c r="Z73" i="49" s="1"/>
  <c r="AA73" i="49" s="1"/>
  <c r="Y76" i="49"/>
  <c r="Z76" i="49" s="1"/>
  <c r="AA76" i="49" s="1"/>
  <c r="Y5" i="49"/>
  <c r="Z5" i="49" s="1"/>
  <c r="AA5" i="49" s="1"/>
  <c r="Y53" i="49"/>
  <c r="Z53" i="49" s="1"/>
  <c r="AA53" i="49" s="1"/>
  <c r="Y62" i="49"/>
  <c r="Z62" i="49" s="1"/>
  <c r="AA62" i="49" s="1"/>
  <c r="Y50" i="49"/>
  <c r="Z50" i="49" s="1"/>
  <c r="AA50" i="49" s="1"/>
  <c r="Y80" i="49"/>
  <c r="Z80" i="49" s="1"/>
  <c r="AA80" i="49" s="1"/>
  <c r="G18" i="30"/>
  <c r="AF18" i="30" s="1"/>
  <c r="G84" i="30"/>
  <c r="AF84" i="30" s="1"/>
  <c r="G40" i="30"/>
  <c r="AF40" i="30" s="1"/>
  <c r="G63" i="32"/>
  <c r="Y15" i="49"/>
  <c r="Z15" i="49" s="1"/>
  <c r="AA15" i="49" s="1"/>
  <c r="Y42" i="49"/>
  <c r="Z42" i="49" s="1"/>
  <c r="AA42" i="49" s="1"/>
  <c r="Y33" i="49"/>
  <c r="Z33" i="49" s="1"/>
  <c r="AA33" i="49" s="1"/>
  <c r="Y66" i="49"/>
  <c r="Z66" i="49" s="1"/>
  <c r="AA66" i="49" s="1"/>
  <c r="Y7" i="49"/>
  <c r="Z7" i="49" s="1"/>
  <c r="AA7" i="49" s="1"/>
  <c r="Y56" i="49"/>
  <c r="Z56" i="49" s="1"/>
  <c r="AA56" i="49" s="1"/>
  <c r="Y79" i="49"/>
  <c r="Z79" i="49" s="1"/>
  <c r="AA79" i="49" s="1"/>
  <c r="Y31" i="49"/>
  <c r="Z31" i="49" s="1"/>
  <c r="AA31" i="49" s="1"/>
  <c r="G77" i="30"/>
  <c r="G36" i="30"/>
  <c r="AF36" i="30" s="1"/>
  <c r="G30" i="49"/>
  <c r="G23" i="30"/>
  <c r="AF23" i="30" s="1"/>
  <c r="Y41" i="49"/>
  <c r="Z41" i="49" s="1"/>
  <c r="AA41" i="49" s="1"/>
  <c r="G46" i="30"/>
  <c r="AF46" i="30" s="1"/>
  <c r="G49" i="30"/>
  <c r="AF49" i="30" s="1"/>
  <c r="G52" i="30"/>
  <c r="AF52" i="30" s="1"/>
  <c r="Y64" i="49"/>
  <c r="Z64" i="49" s="1"/>
  <c r="AA64" i="49" s="1"/>
  <c r="Y16" i="49"/>
  <c r="Z16" i="49" s="1"/>
  <c r="AA16" i="49" s="1"/>
  <c r="G45" i="30"/>
  <c r="AF45" i="30" s="1"/>
  <c r="G67" i="30"/>
  <c r="AF67" i="30" s="1"/>
  <c r="G6" i="30"/>
  <c r="AF6" i="30" s="1"/>
  <c r="G73" i="30"/>
  <c r="AF73" i="30" s="1"/>
  <c r="G63" i="30"/>
  <c r="AF63" i="30" s="1"/>
  <c r="G64" i="30"/>
  <c r="G41" i="30"/>
  <c r="AF41" i="30" s="1"/>
  <c r="G31" i="30"/>
  <c r="AF31" i="30" s="1"/>
  <c r="G76" i="30"/>
  <c r="AF76" i="30" s="1"/>
  <c r="G54" i="30"/>
  <c r="AF54" i="30" s="1"/>
  <c r="G27" i="30"/>
  <c r="AF27" i="30" s="1"/>
  <c r="G8" i="30"/>
  <c r="AF8" i="30" s="1"/>
  <c r="G4" i="30"/>
  <c r="AF4" i="30" s="1"/>
  <c r="G53" i="30"/>
  <c r="G72" i="30"/>
  <c r="AF72" i="30" s="1"/>
  <c r="G43" i="30"/>
  <c r="AF43" i="30" s="1"/>
  <c r="G74" i="30"/>
  <c r="AF74" i="30" s="1"/>
  <c r="G82" i="30"/>
  <c r="AF82" i="30" s="1"/>
  <c r="G10" i="30"/>
  <c r="AF10" i="30" s="1"/>
  <c r="G66" i="30"/>
  <c r="AF66" i="30" s="1"/>
  <c r="G50" i="30"/>
  <c r="AF50" i="30" s="1"/>
  <c r="G12" i="30"/>
  <c r="G11" i="30"/>
  <c r="AF11" i="30" s="1"/>
  <c r="G24" i="30"/>
  <c r="AF24" i="30" s="1"/>
  <c r="G20" i="30"/>
  <c r="AF20" i="30" s="1"/>
  <c r="G83" i="30"/>
  <c r="AF83" i="30" s="1"/>
  <c r="G68" i="30"/>
  <c r="AF68" i="30" s="1"/>
  <c r="G62" i="30"/>
  <c r="AF62" i="30" s="1"/>
  <c r="G35" i="30"/>
  <c r="G51" i="30"/>
  <c r="AF51" i="30" s="1"/>
  <c r="G81" i="30"/>
  <c r="AF81" i="30" s="1"/>
  <c r="G30" i="30"/>
  <c r="AF30" i="30" s="1"/>
  <c r="G39" i="30"/>
  <c r="AF39" i="30" s="1"/>
  <c r="G48" i="30"/>
  <c r="AF48" i="30" s="1"/>
  <c r="G33" i="30"/>
  <c r="AF33" i="30" s="1"/>
  <c r="G21" i="30"/>
  <c r="AF21" i="30" s="1"/>
  <c r="G65" i="30"/>
  <c r="G42" i="30"/>
  <c r="AF42" i="30" s="1"/>
  <c r="G57" i="30"/>
  <c r="AF57" i="30" s="1"/>
  <c r="G14" i="30"/>
  <c r="AF14" i="30" s="1"/>
  <c r="G75" i="30"/>
  <c r="AF75" i="30" s="1"/>
  <c r="G37" i="30"/>
  <c r="AF37" i="30" s="1"/>
  <c r="G16" i="30"/>
  <c r="AF16" i="30" s="1"/>
  <c r="G70" i="30"/>
  <c r="AF70" i="30" s="1"/>
  <c r="G13" i="30"/>
  <c r="G60" i="30"/>
  <c r="AF60" i="30" s="1"/>
  <c r="G61" i="30"/>
  <c r="AF61" i="30" s="1"/>
  <c r="G7" i="30"/>
  <c r="AF7" i="30" s="1"/>
  <c r="G25" i="30"/>
  <c r="AF25" i="30" s="1"/>
  <c r="G32" i="30"/>
  <c r="AF32" i="30" s="1"/>
  <c r="G71" i="30"/>
  <c r="AF71" i="30" s="1"/>
  <c r="G29" i="30"/>
  <c r="AF29" i="30" s="1"/>
  <c r="G56" i="30"/>
  <c r="G22" i="30"/>
  <c r="AF22" i="30" s="1"/>
  <c r="Y40" i="49"/>
  <c r="Z40" i="49" s="1"/>
  <c r="AA40" i="49" s="1"/>
  <c r="G78" i="30"/>
  <c r="AF78" i="30" s="1"/>
  <c r="C36" i="39"/>
  <c r="C37" i="39" s="1"/>
  <c r="Y74" i="49"/>
  <c r="Z74" i="49" s="1"/>
  <c r="AA74" i="49" s="1"/>
  <c r="Y35" i="49"/>
  <c r="Z35" i="49" s="1"/>
  <c r="AA35" i="49" s="1"/>
  <c r="Y78" i="49"/>
  <c r="Z78" i="49" s="1"/>
  <c r="AA78" i="49" s="1"/>
  <c r="Y8" i="49"/>
  <c r="Z8" i="49" s="1"/>
  <c r="AA8" i="49" s="1"/>
  <c r="Y55" i="49"/>
  <c r="Z55" i="49" s="1"/>
  <c r="AA55" i="49" s="1"/>
  <c r="Y23" i="49"/>
  <c r="Z23" i="49" s="1"/>
  <c r="AA23" i="49" s="1"/>
  <c r="Y48" i="49"/>
  <c r="Z48" i="49" s="1"/>
  <c r="AA48" i="49" s="1"/>
  <c r="Y34" i="49"/>
  <c r="Z34" i="49" s="1"/>
  <c r="AA34" i="49" s="1"/>
  <c r="Y63" i="49"/>
  <c r="Z63" i="49" s="1"/>
  <c r="AA63" i="49" s="1"/>
  <c r="Y36" i="49"/>
  <c r="Z36" i="49" s="1"/>
  <c r="AA36" i="49" s="1"/>
  <c r="Y12" i="49"/>
  <c r="Z12" i="49" s="1"/>
  <c r="AA12" i="49" s="1"/>
  <c r="Y60" i="49"/>
  <c r="Z60" i="49" s="1"/>
  <c r="AA60" i="49" s="1"/>
  <c r="Y67" i="49"/>
  <c r="Z67" i="49" s="1"/>
  <c r="AA67" i="49" s="1"/>
  <c r="Y11" i="49"/>
  <c r="Z11" i="49" s="1"/>
  <c r="AA11" i="49" s="1"/>
  <c r="Y59" i="49"/>
  <c r="Z59" i="49" s="1"/>
  <c r="AA59" i="49" s="1"/>
  <c r="Y49" i="49"/>
  <c r="Z49" i="49" s="1"/>
  <c r="AA49" i="49" s="1"/>
  <c r="Y75" i="49"/>
  <c r="Z75" i="49" s="1"/>
  <c r="AA75" i="49" s="1"/>
  <c r="Y81" i="49"/>
  <c r="Z81" i="49" s="1"/>
  <c r="AA81" i="49" s="1"/>
  <c r="Y46" i="49"/>
  <c r="Z46" i="49" s="1"/>
  <c r="AA46" i="49" s="1"/>
  <c r="Y71" i="49"/>
  <c r="Z71" i="49" s="1"/>
  <c r="AA71" i="49" s="1"/>
  <c r="Y61" i="49"/>
  <c r="Z61" i="49" s="1"/>
  <c r="AA61" i="49" s="1"/>
  <c r="Y27" i="49"/>
  <c r="Z27" i="49" s="1"/>
  <c r="AA27" i="49" s="1"/>
  <c r="Y28" i="49"/>
  <c r="Z28" i="49" s="1"/>
  <c r="AA28" i="49" s="1"/>
  <c r="Y52" i="49"/>
  <c r="Z52" i="49" s="1"/>
  <c r="AA52" i="49" s="1"/>
  <c r="Y21" i="49"/>
  <c r="Z21" i="49" s="1"/>
  <c r="AA21" i="49" s="1"/>
  <c r="Y57" i="49"/>
  <c r="Z57" i="49" s="1"/>
  <c r="AA57" i="49" s="1"/>
  <c r="Y10" i="49"/>
  <c r="Z10" i="49" s="1"/>
  <c r="AA10" i="49" s="1"/>
  <c r="Y17" i="49"/>
  <c r="Z17" i="49" s="1"/>
  <c r="AA17" i="49" s="1"/>
  <c r="Y29" i="49"/>
  <c r="Z29" i="49" s="1"/>
  <c r="AA29" i="49" s="1"/>
  <c r="C36" i="48"/>
  <c r="C37" i="48" s="1"/>
  <c r="C38" i="48" s="1"/>
  <c r="C39" i="48" s="1"/>
  <c r="C40" i="48" s="1"/>
  <c r="C41" i="48" s="1"/>
  <c r="C59" i="48" s="1"/>
  <c r="G34" i="50"/>
  <c r="AF34" i="50" s="1"/>
  <c r="G31" i="50"/>
  <c r="AF31" i="50" s="1"/>
  <c r="G28" i="50"/>
  <c r="AF28" i="50" s="1"/>
  <c r="G81" i="50"/>
  <c r="AF81" i="50" s="1"/>
  <c r="G11" i="50"/>
  <c r="AF11" i="50" s="1"/>
  <c r="G55" i="50"/>
  <c r="AF55" i="50" s="1"/>
  <c r="G65" i="50"/>
  <c r="AF65" i="50" s="1"/>
  <c r="G7" i="50"/>
  <c r="AF7" i="50" s="1"/>
  <c r="G10" i="50"/>
  <c r="AF10" i="50" s="1"/>
  <c r="G26" i="50"/>
  <c r="AF26" i="50" s="1"/>
  <c r="G20" i="50"/>
  <c r="AF20" i="50" s="1"/>
  <c r="G60" i="50"/>
  <c r="AF60" i="50" s="1"/>
  <c r="G67" i="50"/>
  <c r="AF67" i="50" s="1"/>
  <c r="G37" i="50"/>
  <c r="AF37" i="50" s="1"/>
  <c r="G83" i="50"/>
  <c r="AF83" i="50" s="1"/>
  <c r="G40" i="50"/>
  <c r="AF40" i="50" s="1"/>
  <c r="G16" i="50"/>
  <c r="AF16" i="50" s="1"/>
  <c r="G79" i="50"/>
  <c r="AF79" i="50" s="1"/>
  <c r="G12" i="50"/>
  <c r="AF12" i="50" s="1"/>
  <c r="G57" i="50"/>
  <c r="AF57" i="50" s="1"/>
  <c r="G43" i="50"/>
  <c r="AF43" i="50" s="1"/>
  <c r="G64" i="50"/>
  <c r="AF64" i="50" s="1"/>
  <c r="G30" i="50"/>
  <c r="AF30" i="50" s="1"/>
  <c r="G6" i="50"/>
  <c r="AF6" i="50" s="1"/>
  <c r="G17" i="50"/>
  <c r="AF17" i="50" s="1"/>
  <c r="G47" i="50"/>
  <c r="AF47" i="50" s="1"/>
  <c r="G23" i="50"/>
  <c r="AF23" i="50" s="1"/>
  <c r="G84" i="50"/>
  <c r="AF84" i="50" s="1"/>
  <c r="G21" i="50"/>
  <c r="AF21" i="50" s="1"/>
  <c r="G36" i="50"/>
  <c r="AF36" i="50" s="1"/>
  <c r="G22" i="50"/>
  <c r="AF22" i="50" s="1"/>
  <c r="G52" i="50"/>
  <c r="AF52" i="50" s="1"/>
  <c r="G48" i="50"/>
  <c r="AF48" i="50" s="1"/>
  <c r="G58" i="50"/>
  <c r="AF58" i="50" s="1"/>
  <c r="G69" i="50"/>
  <c r="AF69" i="50" s="1"/>
  <c r="G77" i="50"/>
  <c r="AF77" i="50" s="1"/>
  <c r="G72" i="50"/>
  <c r="AF72" i="50" s="1"/>
  <c r="G73" i="50"/>
  <c r="AF73" i="50" s="1"/>
  <c r="G29" i="50"/>
  <c r="AF29" i="50" s="1"/>
  <c r="G44" i="50"/>
  <c r="AF44" i="50" s="1"/>
  <c r="G35" i="50"/>
  <c r="AF35" i="50" s="1"/>
  <c r="G75" i="50"/>
  <c r="AF75" i="50" s="1"/>
  <c r="G32" i="50"/>
  <c r="AF32" i="50" s="1"/>
  <c r="G62" i="50"/>
  <c r="AF62" i="50" s="1"/>
  <c r="G71" i="50"/>
  <c r="AF71" i="50" s="1"/>
  <c r="G42" i="50"/>
  <c r="AF42" i="50" s="1"/>
  <c r="G74" i="50"/>
  <c r="AF74" i="50" s="1"/>
  <c r="G25" i="50"/>
  <c r="AF25" i="50" s="1"/>
  <c r="G13" i="50"/>
  <c r="AF13" i="50" s="1"/>
  <c r="G59" i="50"/>
  <c r="AF59" i="50" s="1"/>
  <c r="G68" i="50"/>
  <c r="AF68" i="50" s="1"/>
  <c r="G33" i="50"/>
  <c r="AF33" i="50" s="1"/>
  <c r="G82" i="50"/>
  <c r="AF82" i="50" s="1"/>
  <c r="G80" i="50"/>
  <c r="AF80" i="50" s="1"/>
  <c r="G9" i="50"/>
  <c r="AF9" i="50" s="1"/>
  <c r="G76" i="50"/>
  <c r="AF76" i="50" s="1"/>
  <c r="G66" i="50"/>
  <c r="AF66" i="50" s="1"/>
  <c r="G63" i="50"/>
  <c r="AF63" i="50" s="1"/>
  <c r="G39" i="50"/>
  <c r="AF39" i="50" s="1"/>
  <c r="G15" i="50"/>
  <c r="AF15" i="50" s="1"/>
  <c r="G49" i="50"/>
  <c r="AF49" i="50" s="1"/>
  <c r="G70" i="50"/>
  <c r="AF70" i="50" s="1"/>
  <c r="G46" i="50"/>
  <c r="AF46" i="50" s="1"/>
  <c r="G24" i="50"/>
  <c r="AF24" i="50" s="1"/>
  <c r="G41" i="50"/>
  <c r="AF41" i="50" s="1"/>
  <c r="G45" i="50"/>
  <c r="AF45" i="50" s="1"/>
  <c r="G4" i="50"/>
  <c r="AF4" i="50" s="1"/>
  <c r="G61" i="50"/>
  <c r="AF61" i="50" s="1"/>
  <c r="G78" i="50"/>
  <c r="AF78" i="50" s="1"/>
  <c r="G54" i="50"/>
  <c r="AF54" i="50" s="1"/>
  <c r="G18" i="50"/>
  <c r="AF18" i="50" s="1"/>
  <c r="G50" i="50"/>
  <c r="AF50" i="50" s="1"/>
  <c r="G56" i="50"/>
  <c r="AF56" i="50" s="1"/>
  <c r="G51" i="50"/>
  <c r="AF51" i="50" s="1"/>
  <c r="G27" i="50"/>
  <c r="AF27" i="50" s="1"/>
  <c r="G53" i="50"/>
  <c r="AF53" i="50" s="1"/>
  <c r="G14" i="50"/>
  <c r="AF14" i="50" s="1"/>
  <c r="G5" i="50"/>
  <c r="AF5" i="50" s="1"/>
  <c r="G19" i="50"/>
  <c r="AF19" i="50" s="1"/>
  <c r="G8" i="50"/>
  <c r="AF8" i="50" s="1"/>
  <c r="G38" i="50"/>
  <c r="AF38" i="50" s="1"/>
  <c r="E112" i="42"/>
  <c r="E18" i="40" s="1"/>
  <c r="E19" i="40" s="1"/>
  <c r="F112" i="47"/>
  <c r="E18" i="48"/>
  <c r="E19" i="48" s="1"/>
  <c r="F113" i="47"/>
  <c r="E47" i="48"/>
  <c r="E48" i="48" s="1"/>
  <c r="Y52" i="32"/>
  <c r="Z52" i="32" s="1"/>
  <c r="AA52" i="32" s="1"/>
  <c r="Y45" i="32"/>
  <c r="Z45" i="32" s="1"/>
  <c r="AA45" i="32" s="1"/>
  <c r="Y39" i="32"/>
  <c r="Z39" i="32" s="1"/>
  <c r="AA39" i="32" s="1"/>
  <c r="Y38" i="32"/>
  <c r="Z38" i="32" s="1"/>
  <c r="AA38" i="32" s="1"/>
  <c r="Z69" i="30"/>
  <c r="AA69" i="30" s="1"/>
  <c r="Z17" i="30"/>
  <c r="AA17" i="30" s="1"/>
  <c r="Z8" i="30"/>
  <c r="AA8" i="30" s="1"/>
  <c r="Z11" i="30"/>
  <c r="AA11" i="30" s="1"/>
  <c r="Z58" i="30"/>
  <c r="AA58" i="30" s="1"/>
  <c r="E113" i="42"/>
  <c r="D47" i="40"/>
  <c r="D48" i="40" s="1"/>
  <c r="Z42" i="30"/>
  <c r="AA42" i="30" s="1"/>
  <c r="Z48" i="30"/>
  <c r="AA48" i="30" s="1"/>
  <c r="Z68" i="30"/>
  <c r="AA68" i="30" s="1"/>
  <c r="Z43" i="30"/>
  <c r="AA43" i="30" s="1"/>
  <c r="Z74" i="30"/>
  <c r="AA74" i="30" s="1"/>
  <c r="Z26" i="30"/>
  <c r="AA26" i="30" s="1"/>
  <c r="Z38" i="30"/>
  <c r="AA38" i="30" s="1"/>
  <c r="Z80" i="30"/>
  <c r="AA80" i="30" s="1"/>
  <c r="Z76" i="30"/>
  <c r="AA76" i="30" s="1"/>
  <c r="Z36" i="30"/>
  <c r="AA36" i="30" s="1"/>
  <c r="Z4" i="30"/>
  <c r="AA4" i="30" s="1"/>
  <c r="Z72" i="30"/>
  <c r="AA72" i="30" s="1"/>
  <c r="Z64" i="30"/>
  <c r="AA64" i="30" s="1"/>
  <c r="Z50" i="30"/>
  <c r="AA50" i="30" s="1"/>
  <c r="Z40" i="30"/>
  <c r="AA40" i="30" s="1"/>
  <c r="Z82" i="30"/>
  <c r="AA82" i="30" s="1"/>
  <c r="Z46" i="30"/>
  <c r="AA46" i="30" s="1"/>
  <c r="Z39" i="30"/>
  <c r="AA39" i="30" s="1"/>
  <c r="Z54" i="30"/>
  <c r="AA54" i="30" s="1"/>
  <c r="Z61" i="30"/>
  <c r="AA61" i="30" s="1"/>
  <c r="Z10" i="30"/>
  <c r="AA10" i="30" s="1"/>
  <c r="Z37" i="30"/>
  <c r="AA37" i="30" s="1"/>
  <c r="Z18" i="30"/>
  <c r="AA18" i="30" s="1"/>
  <c r="Z53" i="30"/>
  <c r="AA53" i="30" s="1"/>
  <c r="Z6" i="30"/>
  <c r="AA6" i="30" s="1"/>
  <c r="Z60" i="30"/>
  <c r="AA60" i="30" s="1"/>
  <c r="Z75" i="30"/>
  <c r="AA75" i="30" s="1"/>
  <c r="Z14" i="30"/>
  <c r="AA14" i="30" s="1"/>
  <c r="Z22" i="30"/>
  <c r="AA22" i="30" s="1"/>
  <c r="Z47" i="30"/>
  <c r="AA47" i="30" s="1"/>
  <c r="Z67" i="30"/>
  <c r="AA67" i="30" s="1"/>
  <c r="Z12" i="30"/>
  <c r="AA12" i="30" s="1"/>
  <c r="Z15" i="30"/>
  <c r="AA15" i="30" s="1"/>
  <c r="Z31" i="30"/>
  <c r="AA31" i="30" s="1"/>
  <c r="Z30" i="30"/>
  <c r="AA30" i="30" s="1"/>
  <c r="Z62" i="30"/>
  <c r="AA62" i="30" s="1"/>
  <c r="Z52" i="30"/>
  <c r="AA52" i="30" s="1"/>
  <c r="Z21" i="30"/>
  <c r="AA21" i="30" s="1"/>
  <c r="Z24" i="30"/>
  <c r="AA24" i="30" s="1"/>
  <c r="Z81" i="30"/>
  <c r="AA81" i="30" s="1"/>
  <c r="Z63" i="30"/>
  <c r="AA63" i="30" s="1"/>
  <c r="Z71" i="30"/>
  <c r="AA71" i="30" s="1"/>
  <c r="Z7" i="30"/>
  <c r="AA7" i="30" s="1"/>
  <c r="Z57" i="30"/>
  <c r="AA57" i="30" s="1"/>
  <c r="Z78" i="30"/>
  <c r="AA78" i="30" s="1"/>
  <c r="Z5" i="30"/>
  <c r="AA5" i="30" s="1"/>
  <c r="Z29" i="30"/>
  <c r="AA29" i="30" s="1"/>
  <c r="Z77" i="30"/>
  <c r="AA77" i="30" s="1"/>
  <c r="Z19" i="30"/>
  <c r="AA19" i="30" s="1"/>
  <c r="Z79" i="30"/>
  <c r="AA79" i="30" s="1"/>
  <c r="Z65" i="30"/>
  <c r="AA65" i="30" s="1"/>
  <c r="Z84" i="30"/>
  <c r="AA84" i="30" s="1"/>
  <c r="Z20" i="30"/>
  <c r="AA20" i="30" s="1"/>
  <c r="Z45" i="30"/>
  <c r="AA45" i="30" s="1"/>
  <c r="Z13" i="30"/>
  <c r="AA13" i="30" s="1"/>
  <c r="Z23" i="30"/>
  <c r="AA23" i="30" s="1"/>
  <c r="Z32" i="30"/>
  <c r="AA32" i="30" s="1"/>
  <c r="Z55" i="30"/>
  <c r="AA55" i="30" s="1"/>
  <c r="Z59" i="30"/>
  <c r="AA59" i="30" s="1"/>
  <c r="Z83" i="30"/>
  <c r="AA83" i="30" s="1"/>
  <c r="Z66" i="30"/>
  <c r="AA66" i="30" s="1"/>
  <c r="Z16" i="30"/>
  <c r="AA16" i="30" s="1"/>
  <c r="Z25" i="30"/>
  <c r="AA25" i="30" s="1"/>
  <c r="Z49" i="30"/>
  <c r="AA49" i="30" s="1"/>
  <c r="Z73" i="30"/>
  <c r="AA73" i="30" s="1"/>
  <c r="Z33" i="30"/>
  <c r="AA33" i="30" s="1"/>
  <c r="Z51" i="30"/>
  <c r="AA51" i="30" s="1"/>
  <c r="Z56" i="30"/>
  <c r="AA56" i="30" s="1"/>
  <c r="Z70" i="30"/>
  <c r="AA70" i="30" s="1"/>
  <c r="Z28" i="30"/>
  <c r="AA28" i="30" s="1"/>
  <c r="Z41" i="30"/>
  <c r="AA41" i="30" s="1"/>
  <c r="Z35" i="30"/>
  <c r="AA35" i="30" s="1"/>
  <c r="Z27" i="30"/>
  <c r="AA27" i="30" s="1"/>
  <c r="Z9" i="30"/>
  <c r="AA9" i="30" s="1"/>
  <c r="Z34" i="30"/>
  <c r="AA34" i="30" s="1"/>
  <c r="D47" i="39"/>
  <c r="D48" i="39" s="1"/>
  <c r="E113" i="33"/>
  <c r="D47" i="34"/>
  <c r="D48" i="34" s="1"/>
  <c r="AA4" i="37"/>
  <c r="Y47" i="32"/>
  <c r="Z47" i="32" s="1"/>
  <c r="AA47" i="32" s="1"/>
  <c r="Y66" i="32"/>
  <c r="Z66" i="32" s="1"/>
  <c r="AA66" i="32" s="1"/>
  <c r="Y42" i="32"/>
  <c r="Z42" i="32" s="1"/>
  <c r="AA42" i="32" s="1"/>
  <c r="Y33" i="32"/>
  <c r="Z33" i="32" s="1"/>
  <c r="AA33" i="32" s="1"/>
  <c r="Y63" i="32"/>
  <c r="Z63" i="32" s="1"/>
  <c r="AA63" i="32" s="1"/>
  <c r="G10" i="32"/>
  <c r="C36" i="40"/>
  <c r="C37" i="40" s="1"/>
  <c r="C36" i="34"/>
  <c r="C37" i="34" s="1"/>
  <c r="G59" i="32"/>
  <c r="G13" i="32"/>
  <c r="G35" i="32"/>
  <c r="G41" i="32"/>
  <c r="G54" i="32"/>
  <c r="G49" i="32"/>
  <c r="G21" i="32"/>
  <c r="G29" i="32"/>
  <c r="G82" i="32"/>
  <c r="G25" i="32"/>
  <c r="G18" i="32"/>
  <c r="G52" i="32"/>
  <c r="G64" i="32"/>
  <c r="G30" i="32"/>
  <c r="G79" i="32"/>
  <c r="G32" i="32"/>
  <c r="G43" i="32"/>
  <c r="G51" i="32"/>
  <c r="G26" i="32"/>
  <c r="G4" i="32"/>
  <c r="G42" i="32"/>
  <c r="G20" i="32"/>
  <c r="G34" i="32"/>
  <c r="G36" i="32"/>
  <c r="G50" i="32"/>
  <c r="G53" i="32"/>
  <c r="G48" i="32"/>
  <c r="G74" i="32"/>
  <c r="G37" i="32"/>
  <c r="G73" i="32"/>
  <c r="G60" i="32"/>
  <c r="G31" i="32"/>
  <c r="G27" i="32"/>
  <c r="G71" i="32"/>
  <c r="G77" i="32"/>
  <c r="G58" i="32"/>
  <c r="G81" i="32"/>
  <c r="G11" i="32"/>
  <c r="G70" i="32"/>
  <c r="G66" i="32"/>
  <c r="G47" i="32"/>
  <c r="G33" i="32"/>
  <c r="G78" i="32"/>
  <c r="G65" i="32"/>
  <c r="G15" i="32"/>
  <c r="G45" i="32"/>
  <c r="G80" i="32"/>
  <c r="G76" i="32"/>
  <c r="G61" i="32"/>
  <c r="G84" i="32"/>
  <c r="G17" i="32"/>
  <c r="G22" i="32"/>
  <c r="G72" i="32"/>
  <c r="G6" i="32"/>
  <c r="G19" i="32"/>
  <c r="G24" i="32"/>
  <c r="G56" i="32"/>
  <c r="G12" i="32"/>
  <c r="G55" i="32"/>
  <c r="G8" i="32"/>
  <c r="G62" i="32"/>
  <c r="G75" i="32"/>
  <c r="G38" i="32"/>
  <c r="G9" i="32"/>
  <c r="G28" i="32"/>
  <c r="G68" i="32"/>
  <c r="G7" i="32"/>
  <c r="G23" i="32"/>
  <c r="G16" i="32"/>
  <c r="G67" i="32"/>
  <c r="G5" i="32"/>
  <c r="G14" i="32"/>
  <c r="G39" i="32"/>
  <c r="G46" i="32"/>
  <c r="G83" i="32"/>
  <c r="G57" i="32"/>
  <c r="G69" i="32"/>
  <c r="Y58" i="32"/>
  <c r="Z58" i="32" s="1"/>
  <c r="AA58" i="32" s="1"/>
  <c r="Y55" i="32"/>
  <c r="Z55" i="32" s="1"/>
  <c r="AA55" i="32" s="1"/>
  <c r="Y9" i="32"/>
  <c r="Z9" i="32" s="1"/>
  <c r="AA9" i="32" s="1"/>
  <c r="Y25" i="32"/>
  <c r="Z25" i="32" s="1"/>
  <c r="AA25" i="32" s="1"/>
  <c r="Y67" i="32"/>
  <c r="Z67" i="32" s="1"/>
  <c r="AA67" i="32" s="1"/>
  <c r="Y36" i="32"/>
  <c r="Z36" i="32" s="1"/>
  <c r="AA36" i="32" s="1"/>
  <c r="Y48" i="32"/>
  <c r="Z48" i="32" s="1"/>
  <c r="AA48" i="32" s="1"/>
  <c r="Y51" i="32"/>
  <c r="Z51" i="32" s="1"/>
  <c r="AA51" i="32" s="1"/>
  <c r="Y32" i="32"/>
  <c r="Z32" i="32" s="1"/>
  <c r="AA32" i="32" s="1"/>
  <c r="Y19" i="32"/>
  <c r="Z19" i="32" s="1"/>
  <c r="AA19" i="32" s="1"/>
  <c r="Y78" i="32"/>
  <c r="Z78" i="32" s="1"/>
  <c r="AA78" i="32" s="1"/>
  <c r="Y72" i="32"/>
  <c r="Z72" i="32" s="1"/>
  <c r="AA72" i="32" s="1"/>
  <c r="Y11" i="32"/>
  <c r="Z11" i="32" s="1"/>
  <c r="AA11" i="32" s="1"/>
  <c r="Y13" i="32"/>
  <c r="Z13" i="32" s="1"/>
  <c r="AA13" i="32" s="1"/>
  <c r="Y68" i="32"/>
  <c r="Z68" i="32" s="1"/>
  <c r="AA68" i="32" s="1"/>
  <c r="Y40" i="32"/>
  <c r="Z40" i="32" s="1"/>
  <c r="AA40" i="32" s="1"/>
  <c r="Y26" i="32"/>
  <c r="Z26" i="32" s="1"/>
  <c r="AA26" i="32" s="1"/>
  <c r="Y81" i="32"/>
  <c r="Z81" i="32" s="1"/>
  <c r="AA81" i="32" s="1"/>
  <c r="Y12" i="32"/>
  <c r="Z12" i="32" s="1"/>
  <c r="AA12" i="32" s="1"/>
  <c r="Y70" i="32"/>
  <c r="Z70" i="32" s="1"/>
  <c r="AA70" i="32" s="1"/>
  <c r="Y43" i="32"/>
  <c r="Z43" i="32" s="1"/>
  <c r="AA43" i="32" s="1"/>
  <c r="Y59" i="32"/>
  <c r="Z59" i="32" s="1"/>
  <c r="AA59" i="32" s="1"/>
  <c r="Y84" i="32"/>
  <c r="Z84" i="32" s="1"/>
  <c r="AA84" i="32" s="1"/>
  <c r="Y73" i="32"/>
  <c r="Z73" i="32" s="1"/>
  <c r="AA73" i="32" s="1"/>
  <c r="Y29" i="32"/>
  <c r="Z29" i="32" s="1"/>
  <c r="AA29" i="32" s="1"/>
  <c r="Y80" i="32"/>
  <c r="Z80" i="32" s="1"/>
  <c r="AA80" i="32" s="1"/>
  <c r="Y14" i="32"/>
  <c r="Z14" i="32" s="1"/>
  <c r="AA14" i="32" s="1"/>
  <c r="Y69" i="32"/>
  <c r="Z69" i="32" s="1"/>
  <c r="AA69" i="32" s="1"/>
  <c r="Y41" i="32"/>
  <c r="Z41" i="32" s="1"/>
  <c r="AA41" i="32" s="1"/>
  <c r="Y5" i="32"/>
  <c r="Z5" i="32" s="1"/>
  <c r="AA5" i="32" s="1"/>
  <c r="Y22" i="32"/>
  <c r="Z22" i="32" s="1"/>
  <c r="AA22" i="32" s="1"/>
  <c r="Y28" i="32"/>
  <c r="Z28" i="32" s="1"/>
  <c r="AA28" i="32" s="1"/>
  <c r="Y17" i="32"/>
  <c r="Z17" i="32" s="1"/>
  <c r="AA17" i="32" s="1"/>
  <c r="Y64" i="32"/>
  <c r="Z64" i="32" s="1"/>
  <c r="AA64" i="32" s="1"/>
  <c r="Y50" i="32"/>
  <c r="Z50" i="32" s="1"/>
  <c r="AA50" i="32" s="1"/>
  <c r="Y24" i="32"/>
  <c r="Z24" i="32" s="1"/>
  <c r="AA24" i="32" s="1"/>
  <c r="Y54" i="32"/>
  <c r="Z54" i="32" s="1"/>
  <c r="AA54" i="32" s="1"/>
  <c r="Y10" i="32"/>
  <c r="Z10" i="32" s="1"/>
  <c r="AA10" i="32" s="1"/>
  <c r="Y49" i="32"/>
  <c r="Z49" i="32" s="1"/>
  <c r="AA49" i="32" s="1"/>
  <c r="Y23" i="32"/>
  <c r="Z23" i="32" s="1"/>
  <c r="AA23" i="32" s="1"/>
  <c r="Y53" i="32"/>
  <c r="Z53" i="32" s="1"/>
  <c r="AA53" i="32" s="1"/>
  <c r="Y83" i="32"/>
  <c r="Z83" i="32" s="1"/>
  <c r="AA83" i="32" s="1"/>
  <c r="Y61" i="32"/>
  <c r="Z61" i="32" s="1"/>
  <c r="AA61" i="32" s="1"/>
  <c r="Y75" i="32"/>
  <c r="Z75" i="32" s="1"/>
  <c r="AA75" i="32" s="1"/>
  <c r="Y76" i="32"/>
  <c r="Z76" i="32" s="1"/>
  <c r="AA76" i="32" s="1"/>
  <c r="Y77" i="32"/>
  <c r="Z77" i="32" s="1"/>
  <c r="AA77" i="32" s="1"/>
  <c r="Y20" i="32"/>
  <c r="Z20" i="32" s="1"/>
  <c r="AA20" i="32" s="1"/>
  <c r="Y35" i="32"/>
  <c r="Z35" i="32" s="1"/>
  <c r="AA35" i="32" s="1"/>
  <c r="Y56" i="32"/>
  <c r="Z56" i="32" s="1"/>
  <c r="AA56" i="32" s="1"/>
  <c r="Y18" i="32"/>
  <c r="Z18" i="32" s="1"/>
  <c r="AA18" i="32" s="1"/>
  <c r="Y82" i="32"/>
  <c r="Z82" i="32" s="1"/>
  <c r="AA82" i="32" s="1"/>
  <c r="Y6" i="32"/>
  <c r="Z6" i="32" s="1"/>
  <c r="AA6" i="32" s="1"/>
  <c r="Y79" i="32"/>
  <c r="Z79" i="32" s="1"/>
  <c r="AA79" i="32" s="1"/>
  <c r="Y62" i="32"/>
  <c r="Z62" i="32" s="1"/>
  <c r="AA62" i="32" s="1"/>
  <c r="Y74" i="32"/>
  <c r="Z74" i="32" s="1"/>
  <c r="AA74" i="32" s="1"/>
  <c r="Y4" i="32"/>
  <c r="Z4" i="32" s="1"/>
  <c r="AA4" i="32" s="1"/>
  <c r="Y31" i="32"/>
  <c r="Z31" i="32" s="1"/>
  <c r="AA31" i="32" s="1"/>
  <c r="Y8" i="32"/>
  <c r="Z8" i="32" s="1"/>
  <c r="AA8" i="32" s="1"/>
  <c r="Y71" i="32"/>
  <c r="Z71" i="32" s="1"/>
  <c r="AA71" i="32" s="1"/>
  <c r="Y30" i="32"/>
  <c r="Z30" i="32" s="1"/>
  <c r="AA30" i="32" s="1"/>
  <c r="Y15" i="32"/>
  <c r="Z15" i="32" s="1"/>
  <c r="AA15" i="32" s="1"/>
  <c r="Y27" i="32"/>
  <c r="Z27" i="32" s="1"/>
  <c r="AA27" i="32" s="1"/>
  <c r="Y34" i="32"/>
  <c r="Z34" i="32" s="1"/>
  <c r="AA34" i="32" s="1"/>
  <c r="Y7" i="32"/>
  <c r="Z7" i="32" s="1"/>
  <c r="AA7" i="32" s="1"/>
  <c r="Y60" i="32"/>
  <c r="Z60" i="32" s="1"/>
  <c r="AA60" i="32" s="1"/>
  <c r="Y65" i="32"/>
  <c r="Z65" i="32" s="1"/>
  <c r="AA65" i="32" s="1"/>
  <c r="Y21" i="32"/>
  <c r="Z21" i="32" s="1"/>
  <c r="AA21" i="32" s="1"/>
  <c r="Y37" i="32"/>
  <c r="Z37" i="32" s="1"/>
  <c r="AA37" i="32" s="1"/>
  <c r="Y16" i="32"/>
  <c r="Z16" i="32" s="1"/>
  <c r="AA16" i="32" s="1"/>
  <c r="Y57" i="32"/>
  <c r="Z57" i="32" s="1"/>
  <c r="AA57" i="32" s="1"/>
  <c r="G82" i="36"/>
  <c r="AF82" i="36" s="1"/>
  <c r="G40" i="36"/>
  <c r="AF40" i="36" s="1"/>
  <c r="G23" i="37"/>
  <c r="AF23" i="37" s="1"/>
  <c r="G77" i="37"/>
  <c r="AF77" i="37" s="1"/>
  <c r="G70" i="37"/>
  <c r="AF70" i="37" s="1"/>
  <c r="G69" i="37"/>
  <c r="AF69" i="37" s="1"/>
  <c r="G62" i="37"/>
  <c r="AF62" i="37" s="1"/>
  <c r="G75" i="37"/>
  <c r="AF75" i="37" s="1"/>
  <c r="G64" i="37"/>
  <c r="AF64" i="37" s="1"/>
  <c r="G43" i="37"/>
  <c r="AF43" i="37" s="1"/>
  <c r="G11" i="37"/>
  <c r="AF11" i="37" s="1"/>
  <c r="G38" i="38"/>
  <c r="AF38" i="38" s="1"/>
  <c r="G55" i="38"/>
  <c r="AF55" i="38" s="1"/>
  <c r="G34" i="38"/>
  <c r="AF34" i="38" s="1"/>
  <c r="G7" i="38"/>
  <c r="AF7" i="38" s="1"/>
  <c r="G66" i="38"/>
  <c r="AF66" i="38" s="1"/>
  <c r="G60" i="38"/>
  <c r="AF60" i="38" s="1"/>
  <c r="G16" i="38"/>
  <c r="AF16" i="38" s="1"/>
  <c r="G45" i="38"/>
  <c r="AF45" i="38" s="1"/>
  <c r="G72" i="38"/>
  <c r="AF72" i="38" s="1"/>
  <c r="G78" i="38"/>
  <c r="AF78" i="38" s="1"/>
  <c r="G52" i="38"/>
  <c r="AF52" i="38" s="1"/>
  <c r="G77" i="38"/>
  <c r="AF77" i="38" s="1"/>
  <c r="G71" i="38"/>
  <c r="AF71" i="38" s="1"/>
  <c r="G58" i="38"/>
  <c r="AF58" i="38" s="1"/>
  <c r="G25" i="38"/>
  <c r="AF25" i="38" s="1"/>
  <c r="G8" i="38"/>
  <c r="AF8" i="38" s="1"/>
  <c r="G73" i="38"/>
  <c r="AF73" i="38" s="1"/>
  <c r="G36" i="38"/>
  <c r="AF36" i="38" s="1"/>
  <c r="G31" i="38"/>
  <c r="AF31" i="38" s="1"/>
  <c r="G30" i="38"/>
  <c r="AF30" i="38" s="1"/>
  <c r="G69" i="38"/>
  <c r="AF69" i="38" s="1"/>
  <c r="G21" i="37"/>
  <c r="AF21" i="37" s="1"/>
  <c r="G73" i="37"/>
  <c r="AF73" i="37" s="1"/>
  <c r="G17" i="37"/>
  <c r="AF17" i="37" s="1"/>
  <c r="G27" i="37"/>
  <c r="AF27" i="37" s="1"/>
  <c r="G7" i="37"/>
  <c r="AF7" i="37" s="1"/>
  <c r="G20" i="37"/>
  <c r="AF20" i="37" s="1"/>
  <c r="G26" i="37"/>
  <c r="AF26" i="37" s="1"/>
  <c r="G33" i="37"/>
  <c r="AF33" i="37" s="1"/>
  <c r="G19" i="37"/>
  <c r="AF19" i="37" s="1"/>
  <c r="G50" i="37"/>
  <c r="AF50" i="37" s="1"/>
  <c r="G18" i="38"/>
  <c r="AF18" i="38" s="1"/>
  <c r="G81" i="38"/>
  <c r="AF81" i="38" s="1"/>
  <c r="G80" i="38"/>
  <c r="AF80" i="38" s="1"/>
  <c r="G26" i="38"/>
  <c r="AF26" i="38" s="1"/>
  <c r="G20" i="38"/>
  <c r="AF20" i="38" s="1"/>
  <c r="G67" i="38"/>
  <c r="AF67" i="38" s="1"/>
  <c r="G53" i="38"/>
  <c r="AF53" i="38" s="1"/>
  <c r="G84" i="38"/>
  <c r="AF84" i="38" s="1"/>
  <c r="G65" i="38"/>
  <c r="AF65" i="38" s="1"/>
  <c r="G5" i="38"/>
  <c r="AF5" i="38" s="1"/>
  <c r="G76" i="38"/>
  <c r="AF76" i="38" s="1"/>
  <c r="G29" i="38"/>
  <c r="AF29" i="38" s="1"/>
  <c r="G53" i="36"/>
  <c r="AF53" i="36" s="1"/>
  <c r="G41" i="36"/>
  <c r="AF41" i="36" s="1"/>
  <c r="G61" i="36"/>
  <c r="AF61" i="36" s="1"/>
  <c r="G51" i="36"/>
  <c r="AF51" i="36" s="1"/>
  <c r="G60" i="37"/>
  <c r="AF60" i="37" s="1"/>
  <c r="G37" i="38"/>
  <c r="AF37" i="38" s="1"/>
  <c r="G59" i="38"/>
  <c r="AF59" i="38" s="1"/>
  <c r="G82" i="38"/>
  <c r="AF82" i="38" s="1"/>
  <c r="G27" i="38"/>
  <c r="AF27" i="38" s="1"/>
  <c r="G69" i="36"/>
  <c r="AF69" i="36" s="1"/>
  <c r="G19" i="36"/>
  <c r="AF19" i="36" s="1"/>
  <c r="G12" i="36"/>
  <c r="AF12" i="36" s="1"/>
  <c r="G72" i="36"/>
  <c r="AF72" i="36" s="1"/>
  <c r="G7" i="36"/>
  <c r="AF7" i="36" s="1"/>
  <c r="G58" i="36"/>
  <c r="AF58" i="36" s="1"/>
  <c r="G31" i="36"/>
  <c r="AF31" i="36" s="1"/>
  <c r="G30" i="36"/>
  <c r="AF30" i="36" s="1"/>
  <c r="G48" i="36"/>
  <c r="AF48" i="36" s="1"/>
  <c r="G62" i="36"/>
  <c r="AF62" i="36" s="1"/>
  <c r="G55" i="37"/>
  <c r="AF55" i="37" s="1"/>
  <c r="G51" i="37"/>
  <c r="AF51" i="37" s="1"/>
  <c r="G34" i="37"/>
  <c r="AF34" i="37" s="1"/>
  <c r="G14" i="37"/>
  <c r="AF14" i="37" s="1"/>
  <c r="G30" i="37"/>
  <c r="AF30" i="37" s="1"/>
  <c r="G6" i="37"/>
  <c r="AF6" i="37" s="1"/>
  <c r="G74" i="37"/>
  <c r="AF74" i="37" s="1"/>
  <c r="G12" i="37"/>
  <c r="AF12" i="37" s="1"/>
  <c r="G61" i="37"/>
  <c r="AF61" i="37" s="1"/>
  <c r="G57" i="37"/>
  <c r="AF57" i="37" s="1"/>
  <c r="G22" i="38"/>
  <c r="AF22" i="38" s="1"/>
  <c r="G15" i="38"/>
  <c r="AF15" i="38" s="1"/>
  <c r="G14" i="38"/>
  <c r="AF14" i="38" s="1"/>
  <c r="G51" i="38"/>
  <c r="AF51" i="38" s="1"/>
  <c r="G81" i="36"/>
  <c r="AF81" i="36" s="1"/>
  <c r="G38" i="36"/>
  <c r="AF38" i="36" s="1"/>
  <c r="G29" i="36"/>
  <c r="AF29" i="36" s="1"/>
  <c r="G15" i="36"/>
  <c r="AF15" i="36" s="1"/>
  <c r="G66" i="36"/>
  <c r="AF66" i="36" s="1"/>
  <c r="G22" i="36"/>
  <c r="AF22" i="36" s="1"/>
  <c r="G18" i="36"/>
  <c r="AF18" i="36" s="1"/>
  <c r="G84" i="36"/>
  <c r="AF84" i="36" s="1"/>
  <c r="G8" i="36"/>
  <c r="AF8" i="36" s="1"/>
  <c r="G9" i="36"/>
  <c r="AF9" i="36" s="1"/>
  <c r="G44" i="36"/>
  <c r="AF44" i="36" s="1"/>
  <c r="G73" i="36"/>
  <c r="AF73" i="36" s="1"/>
  <c r="G76" i="36"/>
  <c r="AF76" i="36" s="1"/>
  <c r="G34" i="36"/>
  <c r="AF34" i="36" s="1"/>
  <c r="G71" i="36"/>
  <c r="AF71" i="36" s="1"/>
  <c r="G23" i="36"/>
  <c r="AF23" i="36" s="1"/>
  <c r="G79" i="36"/>
  <c r="AF79" i="36" s="1"/>
  <c r="G49" i="36"/>
  <c r="AF49" i="36" s="1"/>
  <c r="G6" i="36"/>
  <c r="AF6" i="36" s="1"/>
  <c r="G45" i="36"/>
  <c r="AF45" i="36" s="1"/>
  <c r="G32" i="37"/>
  <c r="AF32" i="37" s="1"/>
  <c r="G10" i="37"/>
  <c r="AF10" i="37" s="1"/>
  <c r="G13" i="37"/>
  <c r="AF13" i="37" s="1"/>
  <c r="G49" i="37"/>
  <c r="AF49" i="37" s="1"/>
  <c r="G54" i="37"/>
  <c r="AF54" i="37" s="1"/>
  <c r="G41" i="37"/>
  <c r="AF41" i="37" s="1"/>
  <c r="G79" i="37"/>
  <c r="AF79" i="37" s="1"/>
  <c r="G84" i="37"/>
  <c r="AF84" i="37" s="1"/>
  <c r="G16" i="37"/>
  <c r="AF16" i="37" s="1"/>
  <c r="G63" i="37"/>
  <c r="AF63" i="37" s="1"/>
  <c r="F112" i="33"/>
  <c r="E18" i="34"/>
  <c r="E19" i="34" s="1"/>
  <c r="F113" i="18"/>
  <c r="E47" i="17"/>
  <c r="E48" i="17" s="1"/>
  <c r="G27" i="36"/>
  <c r="AF27" i="36" s="1"/>
  <c r="G67" i="36"/>
  <c r="AF67" i="36" s="1"/>
  <c r="G21" i="36"/>
  <c r="AF21" i="36" s="1"/>
  <c r="G54" i="36"/>
  <c r="AF54" i="36" s="1"/>
  <c r="G37" i="36"/>
  <c r="AF37" i="36" s="1"/>
  <c r="G83" i="36"/>
  <c r="AF83" i="36" s="1"/>
  <c r="G68" i="36"/>
  <c r="AF68" i="36" s="1"/>
  <c r="G75" i="36"/>
  <c r="AF75" i="36" s="1"/>
  <c r="G47" i="36"/>
  <c r="AF47" i="36" s="1"/>
  <c r="G25" i="36"/>
  <c r="AF25" i="36" s="1"/>
  <c r="G42" i="37"/>
  <c r="AF42" i="37" s="1"/>
  <c r="G36" i="37"/>
  <c r="AF36" i="37" s="1"/>
  <c r="G24" i="37"/>
  <c r="AF24" i="37" s="1"/>
  <c r="G76" i="37"/>
  <c r="AF76" i="37" s="1"/>
  <c r="G18" i="37"/>
  <c r="AF18" i="37" s="1"/>
  <c r="G68" i="37"/>
  <c r="AF68" i="37" s="1"/>
  <c r="G83" i="37"/>
  <c r="AF83" i="37" s="1"/>
  <c r="G37" i="37"/>
  <c r="AF37" i="37" s="1"/>
  <c r="G65" i="37"/>
  <c r="AF65" i="37" s="1"/>
  <c r="G48" i="37"/>
  <c r="AF48" i="37" s="1"/>
  <c r="G62" i="38"/>
  <c r="AF62" i="38" s="1"/>
  <c r="G42" i="38"/>
  <c r="AF42" i="38" s="1"/>
  <c r="G35" i="38"/>
  <c r="AF35" i="38" s="1"/>
  <c r="G75" i="38"/>
  <c r="AF75" i="38" s="1"/>
  <c r="G64" i="38"/>
  <c r="AF64" i="38" s="1"/>
  <c r="G33" i="38"/>
  <c r="AF33" i="38" s="1"/>
  <c r="G17" i="38"/>
  <c r="AF17" i="38" s="1"/>
  <c r="G50" i="38"/>
  <c r="AF50" i="38" s="1"/>
  <c r="G44" i="38"/>
  <c r="AF44" i="38" s="1"/>
  <c r="G12" i="38"/>
  <c r="AF12" i="38" s="1"/>
  <c r="G57" i="38"/>
  <c r="AF57" i="38" s="1"/>
  <c r="G61" i="38"/>
  <c r="AF61" i="38" s="1"/>
  <c r="G54" i="38"/>
  <c r="AF54" i="38" s="1"/>
  <c r="G6" i="38"/>
  <c r="AF6" i="38" s="1"/>
  <c r="G83" i="38"/>
  <c r="AF83" i="38" s="1"/>
  <c r="G49" i="38"/>
  <c r="AF49" i="38" s="1"/>
  <c r="G28" i="38"/>
  <c r="AF28" i="38" s="1"/>
  <c r="G32" i="38"/>
  <c r="AF32" i="38" s="1"/>
  <c r="G24" i="38"/>
  <c r="AF24" i="38" s="1"/>
  <c r="G13" i="38"/>
  <c r="AF13" i="38" s="1"/>
  <c r="G72" i="37"/>
  <c r="AF72" i="37" s="1"/>
  <c r="G66" i="37"/>
  <c r="AF66" i="37" s="1"/>
  <c r="G46" i="37"/>
  <c r="AF46" i="37" s="1"/>
  <c r="G39" i="37"/>
  <c r="AF39" i="37" s="1"/>
  <c r="G40" i="37"/>
  <c r="AF40" i="37" s="1"/>
  <c r="G29" i="37"/>
  <c r="AF29" i="37" s="1"/>
  <c r="G44" i="37"/>
  <c r="AF44" i="37" s="1"/>
  <c r="G25" i="37"/>
  <c r="AF25" i="37" s="1"/>
  <c r="G59" i="37"/>
  <c r="AF59" i="37" s="1"/>
  <c r="G31" i="37"/>
  <c r="AF31" i="37" s="1"/>
  <c r="G43" i="38"/>
  <c r="AF43" i="38" s="1"/>
  <c r="G4" i="38"/>
  <c r="AF4" i="38" s="1"/>
  <c r="G79" i="38"/>
  <c r="AF79" i="38" s="1"/>
  <c r="G41" i="38"/>
  <c r="AF41" i="38" s="1"/>
  <c r="G19" i="38"/>
  <c r="AF19" i="38" s="1"/>
  <c r="G48" i="38"/>
  <c r="AF48" i="38" s="1"/>
  <c r="G56" i="38"/>
  <c r="AF56" i="38" s="1"/>
  <c r="G23" i="38"/>
  <c r="AF23" i="38" s="1"/>
  <c r="G63" i="38"/>
  <c r="AF63" i="38" s="1"/>
  <c r="G70" i="38"/>
  <c r="AF70" i="38" s="1"/>
  <c r="G39" i="38"/>
  <c r="AF39" i="38" s="1"/>
  <c r="G11" i="38"/>
  <c r="AF11" i="38" s="1"/>
  <c r="F112" i="18"/>
  <c r="E18" i="17"/>
  <c r="E19" i="17" s="1"/>
  <c r="G60" i="36"/>
  <c r="AF60" i="36" s="1"/>
  <c r="G65" i="36"/>
  <c r="AF65" i="36" s="1"/>
  <c r="G42" i="36"/>
  <c r="AF42" i="36" s="1"/>
  <c r="G13" i="36"/>
  <c r="AF13" i="36" s="1"/>
  <c r="G9" i="37"/>
  <c r="AF9" i="37" s="1"/>
  <c r="G9" i="38"/>
  <c r="AF9" i="38" s="1"/>
  <c r="G40" i="38"/>
  <c r="AF40" i="38" s="1"/>
  <c r="G10" i="38"/>
  <c r="AF10" i="38" s="1"/>
  <c r="G46" i="38"/>
  <c r="AF46" i="38" s="1"/>
  <c r="G46" i="36"/>
  <c r="AF46" i="36" s="1"/>
  <c r="G77" i="36"/>
  <c r="AF77" i="36" s="1"/>
  <c r="G5" i="36"/>
  <c r="AF5" i="36" s="1"/>
  <c r="G17" i="36"/>
  <c r="AF17" i="36" s="1"/>
  <c r="G56" i="36"/>
  <c r="AF56" i="36" s="1"/>
  <c r="G63" i="36"/>
  <c r="AF63" i="36" s="1"/>
  <c r="G11" i="36"/>
  <c r="AF11" i="36" s="1"/>
  <c r="G16" i="36"/>
  <c r="AF16" i="36" s="1"/>
  <c r="G59" i="36"/>
  <c r="AF59" i="36" s="1"/>
  <c r="G74" i="36"/>
  <c r="AF74" i="36" s="1"/>
  <c r="E18" i="39"/>
  <c r="E19" i="39" s="1"/>
  <c r="G38" i="37"/>
  <c r="AF38" i="37" s="1"/>
  <c r="G45" i="37"/>
  <c r="AF45" i="37" s="1"/>
  <c r="G15" i="37"/>
  <c r="AF15" i="37" s="1"/>
  <c r="G8" i="37"/>
  <c r="AF8" i="37" s="1"/>
  <c r="G53" i="37"/>
  <c r="AF53" i="37" s="1"/>
  <c r="G82" i="37"/>
  <c r="AF82" i="37" s="1"/>
  <c r="G80" i="37"/>
  <c r="AF80" i="37" s="1"/>
  <c r="G78" i="37"/>
  <c r="AF78" i="37" s="1"/>
  <c r="G71" i="37"/>
  <c r="AF71" i="37" s="1"/>
  <c r="G35" i="37"/>
  <c r="AF35" i="37" s="1"/>
  <c r="G21" i="38"/>
  <c r="AF21" i="38" s="1"/>
  <c r="G47" i="38"/>
  <c r="AF47" i="38" s="1"/>
  <c r="G74" i="38"/>
  <c r="AF74" i="38" s="1"/>
  <c r="G20" i="36"/>
  <c r="AF20" i="36" s="1"/>
  <c r="G64" i="36"/>
  <c r="AF64" i="36" s="1"/>
  <c r="G52" i="36"/>
  <c r="AF52" i="36" s="1"/>
  <c r="G24" i="36"/>
  <c r="AF24" i="36" s="1"/>
  <c r="G35" i="36"/>
  <c r="AF35" i="36" s="1"/>
  <c r="G78" i="36"/>
  <c r="AF78" i="36" s="1"/>
  <c r="G33" i="36"/>
  <c r="AF33" i="36" s="1"/>
  <c r="G32" i="36"/>
  <c r="AF32" i="36" s="1"/>
  <c r="G70" i="36"/>
  <c r="AF70" i="36" s="1"/>
  <c r="G57" i="36"/>
  <c r="AF57" i="36" s="1"/>
  <c r="G14" i="36"/>
  <c r="AF14" i="36" s="1"/>
  <c r="G10" i="36"/>
  <c r="AF10" i="36" s="1"/>
  <c r="G55" i="36"/>
  <c r="AF55" i="36" s="1"/>
  <c r="G4" i="36"/>
  <c r="AF4" i="36" s="1"/>
  <c r="G36" i="36"/>
  <c r="AF36" i="36" s="1"/>
  <c r="G39" i="36"/>
  <c r="AF39" i="36" s="1"/>
  <c r="G43" i="36"/>
  <c r="AF43" i="36" s="1"/>
  <c r="G50" i="36"/>
  <c r="AF50" i="36" s="1"/>
  <c r="G26" i="36"/>
  <c r="AF26" i="36" s="1"/>
  <c r="G28" i="36"/>
  <c r="AF28" i="36" s="1"/>
  <c r="G80" i="36"/>
  <c r="AF80" i="36" s="1"/>
  <c r="G5" i="37"/>
  <c r="AF5" i="37" s="1"/>
  <c r="G4" i="37"/>
  <c r="AF4" i="37" s="1"/>
  <c r="G58" i="37"/>
  <c r="AF58" i="37" s="1"/>
  <c r="G56" i="37"/>
  <c r="AF56" i="37" s="1"/>
  <c r="G52" i="37"/>
  <c r="AF52" i="37" s="1"/>
  <c r="G47" i="37"/>
  <c r="AF47" i="37" s="1"/>
  <c r="G28" i="37"/>
  <c r="AF28" i="37" s="1"/>
  <c r="G22" i="37"/>
  <c r="AF22" i="37" s="1"/>
  <c r="G67" i="37"/>
  <c r="AF67" i="37" s="1"/>
  <c r="G81" i="37"/>
  <c r="AF81" i="37" s="1"/>
  <c r="G68" i="38"/>
  <c r="AF68" i="38" s="1"/>
  <c r="D36" i="17"/>
  <c r="D37" i="17" s="1"/>
  <c r="H27" i="26"/>
  <c r="AG27" i="26" s="1"/>
  <c r="H84" i="26"/>
  <c r="AG84" i="26" s="1"/>
  <c r="H4" i="26"/>
  <c r="AG4" i="26" s="1"/>
  <c r="H40" i="26"/>
  <c r="AG40" i="26" s="1"/>
  <c r="H65" i="26"/>
  <c r="AG65" i="26" s="1"/>
  <c r="H54" i="26"/>
  <c r="AG54" i="26" s="1"/>
  <c r="H9" i="26"/>
  <c r="AG9" i="26" s="1"/>
  <c r="H35" i="26"/>
  <c r="AG35" i="26" s="1"/>
  <c r="H60" i="26"/>
  <c r="AG60" i="26" s="1"/>
  <c r="H20" i="26"/>
  <c r="AG20" i="26" s="1"/>
  <c r="H7" i="26"/>
  <c r="AG7" i="26" s="1"/>
  <c r="H8" i="26"/>
  <c r="AG8" i="26" s="1"/>
  <c r="H45" i="26"/>
  <c r="AG45" i="26" s="1"/>
  <c r="H62" i="26"/>
  <c r="AG62" i="26" s="1"/>
  <c r="H18" i="26"/>
  <c r="AG18" i="26" s="1"/>
  <c r="H19" i="26"/>
  <c r="AG19" i="26" s="1"/>
  <c r="H37" i="26"/>
  <c r="AG37" i="26" s="1"/>
  <c r="H46" i="26"/>
  <c r="AG46" i="26" s="1"/>
  <c r="H82" i="26"/>
  <c r="AG82" i="26" s="1"/>
  <c r="H36" i="26"/>
  <c r="AG36" i="26" s="1"/>
  <c r="H73" i="26"/>
  <c r="AG73" i="26" s="1"/>
  <c r="H25" i="26"/>
  <c r="AG25" i="26" s="1"/>
  <c r="H47" i="26"/>
  <c r="AG47" i="26" s="1"/>
  <c r="H43" i="26"/>
  <c r="AG43" i="26" s="1"/>
  <c r="H79" i="26"/>
  <c r="AG79" i="26" s="1"/>
  <c r="H13" i="26"/>
  <c r="AG13" i="26" s="1"/>
  <c r="H32" i="26"/>
  <c r="AG32" i="26" s="1"/>
  <c r="H38" i="26"/>
  <c r="AG38" i="26" s="1"/>
  <c r="H52" i="26"/>
  <c r="AG52" i="26" s="1"/>
  <c r="H59" i="26"/>
  <c r="AG59" i="26" s="1"/>
  <c r="H31" i="26"/>
  <c r="AG31" i="26" s="1"/>
  <c r="H49" i="26"/>
  <c r="AG49" i="26" s="1"/>
  <c r="H68" i="26"/>
  <c r="AG68" i="26" s="1"/>
  <c r="H5" i="26"/>
  <c r="AG5" i="26" s="1"/>
  <c r="H66" i="26"/>
  <c r="AG66" i="26" s="1"/>
  <c r="H75" i="26"/>
  <c r="AG75" i="26" s="1"/>
  <c r="H28" i="26"/>
  <c r="AG28" i="26" s="1"/>
  <c r="H21" i="26"/>
  <c r="AG21" i="26" s="1"/>
  <c r="H41" i="26"/>
  <c r="AG41" i="26" s="1"/>
  <c r="H81" i="26"/>
  <c r="AG81" i="26" s="1"/>
  <c r="H58" i="26"/>
  <c r="AG58" i="26" s="1"/>
  <c r="H76" i="26"/>
  <c r="AG76" i="26" s="1"/>
  <c r="H11" i="26"/>
  <c r="AG11" i="26" s="1"/>
  <c r="H29" i="26"/>
  <c r="AG29" i="26" s="1"/>
  <c r="H51" i="26"/>
  <c r="AG51" i="26" s="1"/>
  <c r="H50" i="26"/>
  <c r="AG50" i="26" s="1"/>
  <c r="H53" i="26"/>
  <c r="AG53" i="26" s="1"/>
  <c r="H72" i="26"/>
  <c r="AG72" i="26" s="1"/>
  <c r="H74" i="26"/>
  <c r="AG74" i="26" s="1"/>
  <c r="H77" i="26"/>
  <c r="AG77" i="26" s="1"/>
  <c r="H17" i="26"/>
  <c r="AG17" i="26" s="1"/>
  <c r="H34" i="26"/>
  <c r="AG34" i="26" s="1"/>
  <c r="H48" i="26"/>
  <c r="AG48" i="26" s="1"/>
  <c r="H71" i="26"/>
  <c r="AG71" i="26" s="1"/>
  <c r="H83" i="26"/>
  <c r="AG83" i="26" s="1"/>
  <c r="H23" i="26"/>
  <c r="AG23" i="26" s="1"/>
  <c r="H42" i="26"/>
  <c r="AG42" i="26" s="1"/>
  <c r="H56" i="26"/>
  <c r="AG56" i="26" s="1"/>
  <c r="H78" i="26"/>
  <c r="AG78" i="26" s="1"/>
  <c r="H12" i="26"/>
  <c r="AG12" i="26" s="1"/>
  <c r="H70" i="26"/>
  <c r="AG70" i="26" s="1"/>
  <c r="H14" i="26"/>
  <c r="AG14" i="26" s="1"/>
  <c r="H30" i="26"/>
  <c r="AG30" i="26" s="1"/>
  <c r="H44" i="26"/>
  <c r="AG44" i="26" s="1"/>
  <c r="H67" i="26"/>
  <c r="AG67" i="26" s="1"/>
  <c r="H63" i="26"/>
  <c r="AG63" i="26" s="1"/>
  <c r="H69" i="26"/>
  <c r="AG69" i="26" s="1"/>
  <c r="H6" i="26"/>
  <c r="AG6" i="26" s="1"/>
  <c r="H22" i="26"/>
  <c r="AG22" i="26" s="1"/>
  <c r="H61" i="26"/>
  <c r="AG61" i="26" s="1"/>
  <c r="H80" i="26"/>
  <c r="AG80" i="26" s="1"/>
  <c r="H16" i="26"/>
  <c r="AG16" i="26" s="1"/>
  <c r="H33" i="26"/>
  <c r="AG33" i="26" s="1"/>
  <c r="H55" i="26"/>
  <c r="AG55" i="26" s="1"/>
  <c r="H39" i="26"/>
  <c r="AG39" i="26" s="1"/>
  <c r="H26" i="26"/>
  <c r="AG26" i="26" s="1"/>
  <c r="H10" i="26"/>
  <c r="AG10" i="26" s="1"/>
  <c r="H24" i="26"/>
  <c r="AG24" i="26" s="1"/>
  <c r="H57" i="26"/>
  <c r="AG57" i="26" s="1"/>
  <c r="H64" i="26"/>
  <c r="AG64" i="26" s="1"/>
  <c r="D52" i="17"/>
  <c r="E13" i="17"/>
  <c r="F13" i="17"/>
  <c r="G52" i="17"/>
  <c r="C52" i="17"/>
  <c r="H14" i="49" l="1"/>
  <c r="AG14" i="49" s="1"/>
  <c r="H82" i="49"/>
  <c r="H18" i="49"/>
  <c r="H31" i="49"/>
  <c r="AG31" i="49" s="1"/>
  <c r="H48" i="49"/>
  <c r="H4" i="49"/>
  <c r="H17" i="49"/>
  <c r="AG17" i="49" s="1"/>
  <c r="H77" i="49"/>
  <c r="AG77" i="49" s="1"/>
  <c r="H42" i="49"/>
  <c r="AG42" i="49" s="1"/>
  <c r="H49" i="49"/>
  <c r="AG49" i="49" s="1"/>
  <c r="H75" i="49"/>
  <c r="AF40" i="32"/>
  <c r="AF48" i="49"/>
  <c r="AF49" i="49"/>
  <c r="AF18" i="49"/>
  <c r="AF73" i="49"/>
  <c r="AF75" i="49"/>
  <c r="AF25" i="49"/>
  <c r="AF77" i="49"/>
  <c r="AF17" i="49"/>
  <c r="AF4" i="49"/>
  <c r="AF42" i="49"/>
  <c r="AF14" i="49"/>
  <c r="AF82" i="49"/>
  <c r="AF31" i="49"/>
  <c r="H65" i="32"/>
  <c r="AF65" i="32"/>
  <c r="H52" i="32"/>
  <c r="AF52" i="32"/>
  <c r="H53" i="49"/>
  <c r="AF53" i="49"/>
  <c r="I51" i="10"/>
  <c r="AH51" i="10" s="1"/>
  <c r="AG51" i="10"/>
  <c r="H77" i="32"/>
  <c r="AF77" i="32"/>
  <c r="H76" i="49"/>
  <c r="AF76" i="49"/>
  <c r="H57" i="49"/>
  <c r="AF57" i="49"/>
  <c r="I30" i="10"/>
  <c r="AH30" i="10" s="1"/>
  <c r="AG30" i="10"/>
  <c r="I32" i="10"/>
  <c r="AH32" i="10" s="1"/>
  <c r="AG32" i="10"/>
  <c r="H80" i="49"/>
  <c r="AF80" i="49"/>
  <c r="I80" i="10"/>
  <c r="AH80" i="10" s="1"/>
  <c r="AG80" i="10"/>
  <c r="I72" i="10"/>
  <c r="AH72" i="10" s="1"/>
  <c r="AG72" i="10"/>
  <c r="H29" i="49"/>
  <c r="AF29" i="49"/>
  <c r="I81" i="10"/>
  <c r="AH81" i="10" s="1"/>
  <c r="AG81" i="10"/>
  <c r="H21" i="49"/>
  <c r="AF21" i="49"/>
  <c r="H40" i="49"/>
  <c r="AF40" i="49"/>
  <c r="I50" i="10"/>
  <c r="AH50" i="10" s="1"/>
  <c r="AG50" i="10"/>
  <c r="H81" i="49"/>
  <c r="AF81" i="49"/>
  <c r="I82" i="10"/>
  <c r="AH82" i="10" s="1"/>
  <c r="AG82" i="10"/>
  <c r="I79" i="10"/>
  <c r="AH79" i="10" s="1"/>
  <c r="AG79" i="10"/>
  <c r="H23" i="49"/>
  <c r="AF23" i="49"/>
  <c r="H9" i="49"/>
  <c r="AF9" i="49"/>
  <c r="I35" i="10"/>
  <c r="AH35" i="10" s="1"/>
  <c r="AG35" i="10"/>
  <c r="I18" i="10"/>
  <c r="AH18" i="10" s="1"/>
  <c r="AG18" i="10"/>
  <c r="I75" i="10"/>
  <c r="AH75" i="10" s="1"/>
  <c r="AG75" i="10"/>
  <c r="I38" i="10"/>
  <c r="AH38" i="10" s="1"/>
  <c r="AG38" i="10"/>
  <c r="H51" i="49"/>
  <c r="AF51" i="49"/>
  <c r="I74" i="10"/>
  <c r="AH74" i="10" s="1"/>
  <c r="AG74" i="10"/>
  <c r="H45" i="49"/>
  <c r="AF45" i="49"/>
  <c r="I55" i="10"/>
  <c r="AH55" i="10" s="1"/>
  <c r="AG55" i="10"/>
  <c r="H8" i="32"/>
  <c r="AF8" i="32"/>
  <c r="H4" i="32"/>
  <c r="AF4" i="32"/>
  <c r="H69" i="49"/>
  <c r="AF69" i="49"/>
  <c r="I20" i="10"/>
  <c r="AH20" i="10" s="1"/>
  <c r="AG20" i="10"/>
  <c r="H64" i="49"/>
  <c r="AF64" i="49"/>
  <c r="H55" i="32"/>
  <c r="AF55" i="32"/>
  <c r="H18" i="32"/>
  <c r="AF18" i="32"/>
  <c r="H84" i="32"/>
  <c r="AF84" i="32"/>
  <c r="H53" i="32"/>
  <c r="AF53" i="32"/>
  <c r="H25" i="32"/>
  <c r="AF25" i="32"/>
  <c r="AG48" i="49"/>
  <c r="I43" i="10"/>
  <c r="AH43" i="10" s="1"/>
  <c r="AG43" i="10"/>
  <c r="H14" i="32"/>
  <c r="AF14" i="32"/>
  <c r="H28" i="32"/>
  <c r="AF28" i="32"/>
  <c r="H56" i="32"/>
  <c r="AF56" i="32"/>
  <c r="H61" i="32"/>
  <c r="AF61" i="32"/>
  <c r="H47" i="32"/>
  <c r="AF47" i="32"/>
  <c r="H27" i="32"/>
  <c r="AF27" i="32"/>
  <c r="H50" i="32"/>
  <c r="AF50" i="32"/>
  <c r="H43" i="32"/>
  <c r="AF43" i="32"/>
  <c r="H82" i="32"/>
  <c r="AF82" i="32"/>
  <c r="H59" i="32"/>
  <c r="AF59" i="32"/>
  <c r="I13" i="10"/>
  <c r="AH13" i="10" s="1"/>
  <c r="AG13" i="10"/>
  <c r="I37" i="10"/>
  <c r="AH37" i="10" s="1"/>
  <c r="AG37" i="10"/>
  <c r="H24" i="49"/>
  <c r="AF24" i="49"/>
  <c r="I5" i="10"/>
  <c r="AH5" i="10" s="1"/>
  <c r="AG5" i="10"/>
  <c r="I65" i="10"/>
  <c r="AH65" i="10" s="1"/>
  <c r="AG65" i="10"/>
  <c r="I31" i="10"/>
  <c r="AH31" i="10" s="1"/>
  <c r="AG31" i="10"/>
  <c r="H7" i="49"/>
  <c r="AF7" i="49"/>
  <c r="I62" i="10"/>
  <c r="AH62" i="10" s="1"/>
  <c r="AG62" i="10"/>
  <c r="H56" i="49"/>
  <c r="AF56" i="49"/>
  <c r="AG18" i="49"/>
  <c r="H58" i="49"/>
  <c r="AF58" i="49"/>
  <c r="I11" i="10"/>
  <c r="AH11" i="10" s="1"/>
  <c r="AG11" i="10"/>
  <c r="I7" i="10"/>
  <c r="AH7" i="10" s="1"/>
  <c r="AG7" i="10"/>
  <c r="I40" i="10"/>
  <c r="AH40" i="10" s="1"/>
  <c r="AG40" i="10"/>
  <c r="H44" i="49"/>
  <c r="AF44" i="49"/>
  <c r="H62" i="49"/>
  <c r="AF62" i="49"/>
  <c r="H73" i="49"/>
  <c r="I83" i="10"/>
  <c r="AH83" i="10" s="1"/>
  <c r="AG83" i="10"/>
  <c r="I71" i="10"/>
  <c r="AH71" i="10" s="1"/>
  <c r="AG71" i="10"/>
  <c r="I76" i="10"/>
  <c r="AH76" i="10" s="1"/>
  <c r="AG76" i="10"/>
  <c r="H13" i="49"/>
  <c r="AF13" i="49"/>
  <c r="H84" i="49"/>
  <c r="AF84" i="49"/>
  <c r="H27" i="49"/>
  <c r="AF27" i="49"/>
  <c r="H37" i="49"/>
  <c r="AF37" i="49"/>
  <c r="I36" i="10"/>
  <c r="AH36" i="10" s="1"/>
  <c r="AG36" i="10"/>
  <c r="I64" i="10"/>
  <c r="AH64" i="10" s="1"/>
  <c r="AG64" i="10"/>
  <c r="H23" i="32"/>
  <c r="AF23" i="32"/>
  <c r="H74" i="32"/>
  <c r="AF74" i="32"/>
  <c r="H65" i="30"/>
  <c r="AF65" i="30"/>
  <c r="H52" i="49"/>
  <c r="AF52" i="49"/>
  <c r="I39" i="10"/>
  <c r="AH39" i="10" s="1"/>
  <c r="AG39" i="10"/>
  <c r="I69" i="10"/>
  <c r="AH69" i="10" s="1"/>
  <c r="AG69" i="10"/>
  <c r="H78" i="32"/>
  <c r="AF78" i="32"/>
  <c r="H35" i="32"/>
  <c r="AF35" i="32"/>
  <c r="H39" i="32"/>
  <c r="AF39" i="32"/>
  <c r="H6" i="49"/>
  <c r="AF6" i="49"/>
  <c r="H26" i="49"/>
  <c r="AF26" i="49"/>
  <c r="H60" i="49"/>
  <c r="AF60" i="49"/>
  <c r="H19" i="49"/>
  <c r="AF19" i="49"/>
  <c r="H5" i="32"/>
  <c r="AF5" i="32"/>
  <c r="H9" i="32"/>
  <c r="AF9" i="32"/>
  <c r="H24" i="32"/>
  <c r="AF24" i="32"/>
  <c r="H76" i="32"/>
  <c r="AF76" i="32"/>
  <c r="H66" i="32"/>
  <c r="AF66" i="32"/>
  <c r="H31" i="32"/>
  <c r="AF31" i="32"/>
  <c r="H36" i="32"/>
  <c r="AF36" i="32"/>
  <c r="H32" i="32"/>
  <c r="AF32" i="32"/>
  <c r="H29" i="32"/>
  <c r="AF29" i="32"/>
  <c r="H30" i="49"/>
  <c r="AF30" i="49"/>
  <c r="H47" i="49"/>
  <c r="AF47" i="49"/>
  <c r="H46" i="49"/>
  <c r="AF46" i="49"/>
  <c r="H20" i="49"/>
  <c r="AF20" i="49"/>
  <c r="H43" i="49"/>
  <c r="AF43" i="49"/>
  <c r="I63" i="10"/>
  <c r="AH63" i="10" s="1"/>
  <c r="AG63" i="10"/>
  <c r="I58" i="10"/>
  <c r="AH58" i="10" s="1"/>
  <c r="AG58" i="10"/>
  <c r="I57" i="10"/>
  <c r="AH57" i="10" s="1"/>
  <c r="AG57" i="10"/>
  <c r="H32" i="49"/>
  <c r="AF32" i="49"/>
  <c r="H54" i="49"/>
  <c r="AF54" i="49"/>
  <c r="H5" i="49"/>
  <c r="AF5" i="49"/>
  <c r="H11" i="49"/>
  <c r="AF11" i="49"/>
  <c r="I34" i="10"/>
  <c r="AH34" i="10" s="1"/>
  <c r="AG34" i="10"/>
  <c r="I10" i="10"/>
  <c r="AH10" i="10" s="1"/>
  <c r="AG10" i="10"/>
  <c r="H22" i="49"/>
  <c r="AF22" i="49"/>
  <c r="H83" i="32"/>
  <c r="AF83" i="32"/>
  <c r="H58" i="32"/>
  <c r="AF58" i="32"/>
  <c r="H35" i="30"/>
  <c r="AF35" i="30"/>
  <c r="AG82" i="49"/>
  <c r="H46" i="32"/>
  <c r="AF46" i="32"/>
  <c r="H33" i="32"/>
  <c r="AF33" i="32"/>
  <c r="H35" i="49"/>
  <c r="AF35" i="49"/>
  <c r="I29" i="10"/>
  <c r="AH29" i="10" s="1"/>
  <c r="AG29" i="10"/>
  <c r="H67" i="32"/>
  <c r="AF67" i="32"/>
  <c r="H38" i="32"/>
  <c r="AF38" i="32"/>
  <c r="H19" i="32"/>
  <c r="AF19" i="32"/>
  <c r="H80" i="32"/>
  <c r="AF80" i="32"/>
  <c r="H70" i="32"/>
  <c r="AF70" i="32"/>
  <c r="H60" i="32"/>
  <c r="AF60" i="32"/>
  <c r="H34" i="32"/>
  <c r="AF34" i="32"/>
  <c r="H79" i="32"/>
  <c r="AF79" i="32"/>
  <c r="H21" i="32"/>
  <c r="AF21" i="32"/>
  <c r="H79" i="49"/>
  <c r="AF79" i="49"/>
  <c r="H44" i="30"/>
  <c r="AF44" i="30"/>
  <c r="H65" i="49"/>
  <c r="AF65" i="49"/>
  <c r="H72" i="49"/>
  <c r="AF72" i="49"/>
  <c r="I84" i="10"/>
  <c r="AH84" i="10" s="1"/>
  <c r="AG84" i="10"/>
  <c r="I67" i="10"/>
  <c r="AH67" i="10" s="1"/>
  <c r="AG67" i="10"/>
  <c r="H66" i="49"/>
  <c r="AF66" i="49"/>
  <c r="I56" i="10"/>
  <c r="AH56" i="10" s="1"/>
  <c r="AG56" i="10"/>
  <c r="I48" i="10"/>
  <c r="AH48" i="10" s="1"/>
  <c r="AG48" i="10"/>
  <c r="I44" i="10"/>
  <c r="AH44" i="10" s="1"/>
  <c r="AG44" i="10"/>
  <c r="H83" i="49"/>
  <c r="AF83" i="49"/>
  <c r="H34" i="49"/>
  <c r="AF34" i="49"/>
  <c r="I21" i="10"/>
  <c r="AH21" i="10" s="1"/>
  <c r="AG21" i="10"/>
  <c r="I41" i="10"/>
  <c r="AH41" i="10" s="1"/>
  <c r="AG41" i="10"/>
  <c r="I33" i="10"/>
  <c r="AH33" i="10" s="1"/>
  <c r="AG33" i="10"/>
  <c r="H68" i="49"/>
  <c r="AF68" i="49"/>
  <c r="H50" i="49"/>
  <c r="AF50" i="49"/>
  <c r="H78" i="49"/>
  <c r="AF78" i="49"/>
  <c r="AG75" i="49"/>
  <c r="I24" i="10"/>
  <c r="AH24" i="10" s="1"/>
  <c r="AG24" i="10"/>
  <c r="I42" i="10"/>
  <c r="AH42" i="10" s="1"/>
  <c r="AG42" i="10"/>
  <c r="I59" i="10"/>
  <c r="AH59" i="10" s="1"/>
  <c r="AG59" i="10"/>
  <c r="I14" i="10"/>
  <c r="AH14" i="10" s="1"/>
  <c r="AG14" i="10"/>
  <c r="H25" i="49"/>
  <c r="H70" i="49"/>
  <c r="AF70" i="49"/>
  <c r="H12" i="49"/>
  <c r="AF12" i="49"/>
  <c r="I25" i="10"/>
  <c r="AH25" i="10" s="1"/>
  <c r="AG25" i="10"/>
  <c r="I4" i="10"/>
  <c r="AH4" i="10" s="1"/>
  <c r="AG4" i="10"/>
  <c r="H22" i="32"/>
  <c r="AF22" i="32"/>
  <c r="H41" i="32"/>
  <c r="AF41" i="32"/>
  <c r="H56" i="30"/>
  <c r="AF56" i="30"/>
  <c r="I60" i="10"/>
  <c r="AH60" i="10" s="1"/>
  <c r="AG60" i="10"/>
  <c r="I45" i="10"/>
  <c r="AH45" i="10" s="1"/>
  <c r="AG45" i="10"/>
  <c r="H7" i="32"/>
  <c r="AF7" i="32"/>
  <c r="H48" i="32"/>
  <c r="AF48" i="32"/>
  <c r="H68" i="32"/>
  <c r="AF68" i="32"/>
  <c r="H51" i="32"/>
  <c r="AF51" i="32"/>
  <c r="H41" i="49"/>
  <c r="AF41" i="49"/>
  <c r="H28" i="49"/>
  <c r="AF28" i="49"/>
  <c r="I12" i="10"/>
  <c r="AH12" i="10" s="1"/>
  <c r="AG12" i="10"/>
  <c r="H69" i="32"/>
  <c r="AF69" i="32"/>
  <c r="H16" i="32"/>
  <c r="AF16" i="32"/>
  <c r="H75" i="32"/>
  <c r="AF75" i="32"/>
  <c r="H6" i="32"/>
  <c r="AF6" i="32"/>
  <c r="H45" i="32"/>
  <c r="AF45" i="32"/>
  <c r="H11" i="32"/>
  <c r="AF11" i="32"/>
  <c r="H73" i="32"/>
  <c r="AF73" i="32"/>
  <c r="H20" i="32"/>
  <c r="AF20" i="32"/>
  <c r="H30" i="32"/>
  <c r="AF30" i="32"/>
  <c r="H49" i="32"/>
  <c r="AF49" i="32"/>
  <c r="H10" i="32"/>
  <c r="AF10" i="32"/>
  <c r="H77" i="30"/>
  <c r="AF77" i="30"/>
  <c r="H74" i="49"/>
  <c r="AF74" i="49"/>
  <c r="H15" i="49"/>
  <c r="AF15" i="49"/>
  <c r="H71" i="49"/>
  <c r="AF71" i="49"/>
  <c r="H67" i="49"/>
  <c r="AF67" i="49"/>
  <c r="H38" i="49"/>
  <c r="AF38" i="49"/>
  <c r="I78" i="10"/>
  <c r="AH78" i="10" s="1"/>
  <c r="AG78" i="10"/>
  <c r="I61" i="10"/>
  <c r="AH61" i="10" s="1"/>
  <c r="AG61" i="10"/>
  <c r="I77" i="10"/>
  <c r="AH77" i="10" s="1"/>
  <c r="AG77" i="10"/>
  <c r="I19" i="10"/>
  <c r="AH19" i="10" s="1"/>
  <c r="AG19" i="10"/>
  <c r="H8" i="49"/>
  <c r="AF8" i="49"/>
  <c r="I54" i="10"/>
  <c r="AH54" i="10" s="1"/>
  <c r="AG54" i="10"/>
  <c r="I66" i="10"/>
  <c r="AH66" i="10" s="1"/>
  <c r="AG66" i="10"/>
  <c r="I70" i="10"/>
  <c r="AH70" i="10" s="1"/>
  <c r="AG70" i="10"/>
  <c r="I17" i="49"/>
  <c r="AH17" i="49" s="1"/>
  <c r="H13" i="30"/>
  <c r="AF13" i="30"/>
  <c r="I22" i="10"/>
  <c r="AH22" i="10" s="1"/>
  <c r="AG22" i="10"/>
  <c r="H17" i="32"/>
  <c r="AF17" i="32"/>
  <c r="H26" i="32"/>
  <c r="AF26" i="32"/>
  <c r="H12" i="32"/>
  <c r="AF12" i="32"/>
  <c r="H71" i="32"/>
  <c r="AF71" i="32"/>
  <c r="H13" i="32"/>
  <c r="AF13" i="32"/>
  <c r="I26" i="10"/>
  <c r="AH26" i="10" s="1"/>
  <c r="AG26" i="10"/>
  <c r="I6" i="10"/>
  <c r="AH6" i="10" s="1"/>
  <c r="AG6" i="10"/>
  <c r="H57" i="32"/>
  <c r="AF57" i="32"/>
  <c r="H40" i="32"/>
  <c r="H62" i="32"/>
  <c r="AF62" i="32"/>
  <c r="H72" i="32"/>
  <c r="AF72" i="32"/>
  <c r="H15" i="32"/>
  <c r="AF15" i="32"/>
  <c r="H81" i="32"/>
  <c r="AF81" i="32"/>
  <c r="H37" i="32"/>
  <c r="AF37" i="32"/>
  <c r="H42" i="32"/>
  <c r="AF42" i="32"/>
  <c r="H64" i="32"/>
  <c r="AF64" i="32"/>
  <c r="H54" i="32"/>
  <c r="AF54" i="32"/>
  <c r="H12" i="30"/>
  <c r="AF12" i="30"/>
  <c r="H53" i="30"/>
  <c r="AF53" i="30"/>
  <c r="H64" i="30"/>
  <c r="AF64" i="30"/>
  <c r="H63" i="32"/>
  <c r="AF63" i="32"/>
  <c r="H59" i="30"/>
  <c r="AF59" i="30"/>
  <c r="H39" i="49"/>
  <c r="AF39" i="49"/>
  <c r="I68" i="10"/>
  <c r="AH68" i="10" s="1"/>
  <c r="AG68" i="10"/>
  <c r="I49" i="10"/>
  <c r="AH49" i="10" s="1"/>
  <c r="AG49" i="10"/>
  <c r="I53" i="10"/>
  <c r="AH53" i="10" s="1"/>
  <c r="AG53" i="10"/>
  <c r="H10" i="49"/>
  <c r="AF10" i="49"/>
  <c r="I9" i="10"/>
  <c r="AH9" i="10" s="1"/>
  <c r="AG9" i="10"/>
  <c r="I15" i="10"/>
  <c r="AH15" i="10" s="1"/>
  <c r="AG15" i="10"/>
  <c r="AG4" i="49"/>
  <c r="H61" i="49"/>
  <c r="AF61" i="49"/>
  <c r="H55" i="49"/>
  <c r="AF55" i="49"/>
  <c r="I73" i="10"/>
  <c r="AH73" i="10" s="1"/>
  <c r="AG73" i="10"/>
  <c r="H59" i="49"/>
  <c r="AF59" i="49"/>
  <c r="I17" i="10"/>
  <c r="AH17" i="10" s="1"/>
  <c r="AG17" i="10"/>
  <c r="I28" i="10"/>
  <c r="AH28" i="10" s="1"/>
  <c r="AG28" i="10"/>
  <c r="H16" i="49"/>
  <c r="AF16" i="49"/>
  <c r="H33" i="49"/>
  <c r="AF33" i="49"/>
  <c r="H44" i="32"/>
  <c r="AF44" i="32"/>
  <c r="I16" i="10"/>
  <c r="AH16" i="10" s="1"/>
  <c r="AG16" i="10"/>
  <c r="I27" i="10"/>
  <c r="AH27" i="10" s="1"/>
  <c r="AG27" i="10"/>
  <c r="I23" i="10"/>
  <c r="AH23" i="10" s="1"/>
  <c r="AG23" i="10"/>
  <c r="I52" i="10"/>
  <c r="AH52" i="10" s="1"/>
  <c r="AG52" i="10"/>
  <c r="I47" i="10"/>
  <c r="AH47" i="10" s="1"/>
  <c r="AG47" i="10"/>
  <c r="H36" i="49"/>
  <c r="AF36" i="49"/>
  <c r="H63" i="49"/>
  <c r="AF63" i="49"/>
  <c r="I46" i="10"/>
  <c r="AH46" i="10" s="1"/>
  <c r="AG46" i="10"/>
  <c r="I8" i="10"/>
  <c r="AH8" i="10" s="1"/>
  <c r="H71" i="30"/>
  <c r="H16" i="30"/>
  <c r="H69" i="30"/>
  <c r="H22" i="30"/>
  <c r="H60" i="30"/>
  <c r="H42" i="30"/>
  <c r="H51" i="30"/>
  <c r="H72" i="30"/>
  <c r="H41" i="30"/>
  <c r="H36" i="30"/>
  <c r="H18" i="30"/>
  <c r="H47" i="30"/>
  <c r="H33" i="30"/>
  <c r="H68" i="30"/>
  <c r="H66" i="30"/>
  <c r="H8" i="30"/>
  <c r="H73" i="30"/>
  <c r="H49" i="30"/>
  <c r="H5" i="30"/>
  <c r="H29" i="30"/>
  <c r="H70" i="30"/>
  <c r="H21" i="30"/>
  <c r="H62" i="30"/>
  <c r="H50" i="30"/>
  <c r="H4" i="30"/>
  <c r="H63" i="30"/>
  <c r="H52" i="30"/>
  <c r="H28" i="30"/>
  <c r="H38" i="30"/>
  <c r="H32" i="30"/>
  <c r="H37" i="30"/>
  <c r="H48" i="30"/>
  <c r="H83" i="30"/>
  <c r="H10" i="30"/>
  <c r="H27" i="30"/>
  <c r="H6" i="30"/>
  <c r="H46" i="30"/>
  <c r="H15" i="30"/>
  <c r="H17" i="30"/>
  <c r="H25" i="30"/>
  <c r="H75" i="30"/>
  <c r="H39" i="30"/>
  <c r="H20" i="30"/>
  <c r="H82" i="30"/>
  <c r="H54" i="30"/>
  <c r="H67" i="30"/>
  <c r="H34" i="30"/>
  <c r="H78" i="30"/>
  <c r="H7" i="30"/>
  <c r="H14" i="30"/>
  <c r="H30" i="30"/>
  <c r="H24" i="30"/>
  <c r="H74" i="30"/>
  <c r="H76" i="30"/>
  <c r="H45" i="30"/>
  <c r="H23" i="30"/>
  <c r="H40" i="30"/>
  <c r="H19" i="30"/>
  <c r="H61" i="30"/>
  <c r="H57" i="30"/>
  <c r="H81" i="30"/>
  <c r="H11" i="30"/>
  <c r="H43" i="30"/>
  <c r="H31" i="30"/>
  <c r="H84" i="30"/>
  <c r="H26" i="30"/>
  <c r="H58" i="30"/>
  <c r="H79" i="30"/>
  <c r="H80" i="30"/>
  <c r="H9" i="30"/>
  <c r="H55" i="30"/>
  <c r="D49" i="48"/>
  <c r="D50" i="48" s="1"/>
  <c r="D51" i="48" s="1"/>
  <c r="D36" i="48"/>
  <c r="D37" i="48" s="1"/>
  <c r="D38" i="48" s="1"/>
  <c r="D39" i="48" s="1"/>
  <c r="D40" i="48" s="1"/>
  <c r="D41" i="48" s="1"/>
  <c r="D59" i="48" s="1"/>
  <c r="D20" i="48"/>
  <c r="D21" i="48" s="1"/>
  <c r="D22" i="48" s="1"/>
  <c r="D29" i="48" s="1"/>
  <c r="F112" i="42"/>
  <c r="F18" i="40" s="1"/>
  <c r="F19" i="40" s="1"/>
  <c r="H8" i="50"/>
  <c r="AG8" i="50" s="1"/>
  <c r="H53" i="50"/>
  <c r="AG53" i="50" s="1"/>
  <c r="H50" i="50"/>
  <c r="AG50" i="50" s="1"/>
  <c r="H61" i="50"/>
  <c r="AG61" i="50" s="1"/>
  <c r="H24" i="50"/>
  <c r="AG24" i="50" s="1"/>
  <c r="H15" i="50"/>
  <c r="AG15" i="50" s="1"/>
  <c r="H76" i="50"/>
  <c r="AG76" i="50" s="1"/>
  <c r="H33" i="50"/>
  <c r="AG33" i="50" s="1"/>
  <c r="H25" i="50"/>
  <c r="AG25" i="50" s="1"/>
  <c r="H62" i="50"/>
  <c r="AG62" i="50" s="1"/>
  <c r="H44" i="50"/>
  <c r="AG44" i="50" s="1"/>
  <c r="H77" i="50"/>
  <c r="AG77" i="50" s="1"/>
  <c r="H52" i="50"/>
  <c r="AG52" i="50" s="1"/>
  <c r="H84" i="50"/>
  <c r="AG84" i="50" s="1"/>
  <c r="H6" i="50"/>
  <c r="AG6" i="50" s="1"/>
  <c r="H57" i="50"/>
  <c r="AG57" i="50" s="1"/>
  <c r="H40" i="50"/>
  <c r="AG40" i="50" s="1"/>
  <c r="H60" i="50"/>
  <c r="AG60" i="50" s="1"/>
  <c r="H7" i="50"/>
  <c r="AG7" i="50" s="1"/>
  <c r="H81" i="50"/>
  <c r="AG81" i="50" s="1"/>
  <c r="H19" i="50"/>
  <c r="AG19" i="50" s="1"/>
  <c r="H27" i="50"/>
  <c r="AG27" i="50" s="1"/>
  <c r="H18" i="50"/>
  <c r="AG18" i="50" s="1"/>
  <c r="H4" i="50"/>
  <c r="AG4" i="50" s="1"/>
  <c r="H46" i="50"/>
  <c r="AG46" i="50" s="1"/>
  <c r="H39" i="50"/>
  <c r="AG39" i="50" s="1"/>
  <c r="H9" i="50"/>
  <c r="AG9" i="50" s="1"/>
  <c r="H68" i="50"/>
  <c r="AG68" i="50" s="1"/>
  <c r="H74" i="50"/>
  <c r="AG74" i="50" s="1"/>
  <c r="H32" i="50"/>
  <c r="AG32" i="50" s="1"/>
  <c r="H29" i="50"/>
  <c r="AG29" i="50" s="1"/>
  <c r="H69" i="50"/>
  <c r="AG69" i="50" s="1"/>
  <c r="H22" i="50"/>
  <c r="AG22" i="50" s="1"/>
  <c r="H23" i="50"/>
  <c r="AG23" i="50" s="1"/>
  <c r="H30" i="50"/>
  <c r="AG30" i="50" s="1"/>
  <c r="H12" i="50"/>
  <c r="AG12" i="50" s="1"/>
  <c r="H83" i="50"/>
  <c r="AG83" i="50" s="1"/>
  <c r="H20" i="50"/>
  <c r="AG20" i="50" s="1"/>
  <c r="H65" i="50"/>
  <c r="AG65" i="50" s="1"/>
  <c r="H28" i="50"/>
  <c r="AG28" i="50" s="1"/>
  <c r="H5" i="50"/>
  <c r="AG5" i="50" s="1"/>
  <c r="H51" i="50"/>
  <c r="AG51" i="50" s="1"/>
  <c r="H54" i="50"/>
  <c r="AG54" i="50" s="1"/>
  <c r="H45" i="50"/>
  <c r="AG45" i="50" s="1"/>
  <c r="H70" i="50"/>
  <c r="AG70" i="50" s="1"/>
  <c r="H63" i="50"/>
  <c r="AG63" i="50" s="1"/>
  <c r="H80" i="50"/>
  <c r="AG80" i="50" s="1"/>
  <c r="H59" i="50"/>
  <c r="AG59" i="50" s="1"/>
  <c r="H42" i="50"/>
  <c r="AG42" i="50" s="1"/>
  <c r="H75" i="50"/>
  <c r="AG75" i="50" s="1"/>
  <c r="H73" i="50"/>
  <c r="AG73" i="50" s="1"/>
  <c r="H58" i="50"/>
  <c r="AG58" i="50" s="1"/>
  <c r="H36" i="50"/>
  <c r="AG36" i="50" s="1"/>
  <c r="H47" i="50"/>
  <c r="AG47" i="50" s="1"/>
  <c r="H64" i="50"/>
  <c r="AG64" i="50" s="1"/>
  <c r="H79" i="50"/>
  <c r="AG79" i="50" s="1"/>
  <c r="H37" i="50"/>
  <c r="AG37" i="50" s="1"/>
  <c r="H26" i="50"/>
  <c r="AG26" i="50" s="1"/>
  <c r="H55" i="50"/>
  <c r="AG55" i="50" s="1"/>
  <c r="H31" i="50"/>
  <c r="AG31" i="50" s="1"/>
  <c r="H38" i="50"/>
  <c r="AG38" i="50" s="1"/>
  <c r="H14" i="50"/>
  <c r="AG14" i="50" s="1"/>
  <c r="H56" i="50"/>
  <c r="AG56" i="50" s="1"/>
  <c r="H78" i="50"/>
  <c r="AG78" i="50" s="1"/>
  <c r="H41" i="50"/>
  <c r="AG41" i="50" s="1"/>
  <c r="H49" i="50"/>
  <c r="AG49" i="50" s="1"/>
  <c r="H66" i="50"/>
  <c r="AG66" i="50" s="1"/>
  <c r="H82" i="50"/>
  <c r="AG82" i="50" s="1"/>
  <c r="H13" i="50"/>
  <c r="AG13" i="50" s="1"/>
  <c r="H71" i="50"/>
  <c r="AG71" i="50" s="1"/>
  <c r="H35" i="50"/>
  <c r="AG35" i="50" s="1"/>
  <c r="H72" i="50"/>
  <c r="AG72" i="50" s="1"/>
  <c r="H48" i="50"/>
  <c r="AG48" i="50" s="1"/>
  <c r="H21" i="50"/>
  <c r="AG21" i="50" s="1"/>
  <c r="H17" i="50"/>
  <c r="AG17" i="50" s="1"/>
  <c r="H43" i="50"/>
  <c r="AG43" i="50" s="1"/>
  <c r="H16" i="50"/>
  <c r="AG16" i="50" s="1"/>
  <c r="H67" i="50"/>
  <c r="AG67" i="50" s="1"/>
  <c r="H10" i="50"/>
  <c r="AG10" i="50" s="1"/>
  <c r="H11" i="50"/>
  <c r="AG11" i="50" s="1"/>
  <c r="H34" i="50"/>
  <c r="AG34" i="50" s="1"/>
  <c r="C44" i="48"/>
  <c r="G113" i="47"/>
  <c r="G47" i="48" s="1"/>
  <c r="G48" i="48" s="1"/>
  <c r="F47" i="48"/>
  <c r="F48" i="48" s="1"/>
  <c r="G112" i="47"/>
  <c r="G18" i="48" s="1"/>
  <c r="G19" i="48" s="1"/>
  <c r="F18" i="48"/>
  <c r="F19" i="48" s="1"/>
  <c r="F113" i="42"/>
  <c r="E47" i="40"/>
  <c r="E48" i="40" s="1"/>
  <c r="F113" i="33"/>
  <c r="E47" i="34"/>
  <c r="E48" i="34" s="1"/>
  <c r="E47" i="39"/>
  <c r="E48" i="39" s="1"/>
  <c r="E36" i="17"/>
  <c r="E37" i="17" s="1"/>
  <c r="D36" i="40"/>
  <c r="D37" i="40" s="1"/>
  <c r="D36" i="34"/>
  <c r="D37" i="34" s="1"/>
  <c r="D36" i="39"/>
  <c r="D37" i="39" s="1"/>
  <c r="H68" i="38"/>
  <c r="AG68" i="38" s="1"/>
  <c r="H67" i="37"/>
  <c r="AG67" i="37" s="1"/>
  <c r="H28" i="37"/>
  <c r="AG28" i="37" s="1"/>
  <c r="H52" i="37"/>
  <c r="AG52" i="37" s="1"/>
  <c r="H58" i="37"/>
  <c r="AG58" i="37" s="1"/>
  <c r="H5" i="37"/>
  <c r="AG5" i="37" s="1"/>
  <c r="H28" i="36"/>
  <c r="AG28" i="36" s="1"/>
  <c r="H50" i="36"/>
  <c r="AG50" i="36" s="1"/>
  <c r="H39" i="36"/>
  <c r="AG39" i="36" s="1"/>
  <c r="H4" i="36"/>
  <c r="AG4" i="36" s="1"/>
  <c r="H10" i="36"/>
  <c r="AG10" i="36" s="1"/>
  <c r="H57" i="36"/>
  <c r="AG57" i="36" s="1"/>
  <c r="H32" i="36"/>
  <c r="AG32" i="36" s="1"/>
  <c r="H78" i="36"/>
  <c r="AG78" i="36" s="1"/>
  <c r="H24" i="36"/>
  <c r="AG24" i="36" s="1"/>
  <c r="H64" i="36"/>
  <c r="AG64" i="36" s="1"/>
  <c r="H74" i="38"/>
  <c r="AG74" i="38" s="1"/>
  <c r="H21" i="38"/>
  <c r="AG21" i="38" s="1"/>
  <c r="H35" i="37"/>
  <c r="AG35" i="37" s="1"/>
  <c r="H78" i="37"/>
  <c r="AG78" i="37" s="1"/>
  <c r="H82" i="37"/>
  <c r="AG82" i="37" s="1"/>
  <c r="H8" i="37"/>
  <c r="AG8" i="37" s="1"/>
  <c r="H45" i="37"/>
  <c r="AG45" i="37" s="1"/>
  <c r="G18" i="39"/>
  <c r="G19" i="39" s="1"/>
  <c r="F18" i="39"/>
  <c r="F19" i="39" s="1"/>
  <c r="H59" i="36"/>
  <c r="AG59" i="36" s="1"/>
  <c r="H11" i="36"/>
  <c r="AG11" i="36" s="1"/>
  <c r="H56" i="36"/>
  <c r="AG56" i="36" s="1"/>
  <c r="H5" i="36"/>
  <c r="AG5" i="36" s="1"/>
  <c r="H46" i="36"/>
  <c r="AG46" i="36" s="1"/>
  <c r="H10" i="38"/>
  <c r="AG10" i="38" s="1"/>
  <c r="H9" i="38"/>
  <c r="AG9" i="38" s="1"/>
  <c r="H13" i="36"/>
  <c r="AG13" i="36" s="1"/>
  <c r="H65" i="36"/>
  <c r="AG65" i="36" s="1"/>
  <c r="G112" i="18"/>
  <c r="G18" i="17" s="1"/>
  <c r="G19" i="17" s="1"/>
  <c r="F18" i="17"/>
  <c r="F19" i="17" s="1"/>
  <c r="H39" i="38"/>
  <c r="AG39" i="38" s="1"/>
  <c r="H63" i="38"/>
  <c r="AG63" i="38" s="1"/>
  <c r="H56" i="38"/>
  <c r="AG56" i="38" s="1"/>
  <c r="H19" i="38"/>
  <c r="AG19" i="38" s="1"/>
  <c r="H79" i="38"/>
  <c r="AG79" i="38" s="1"/>
  <c r="H43" i="38"/>
  <c r="AG43" i="38" s="1"/>
  <c r="H59" i="37"/>
  <c r="AG59" i="37" s="1"/>
  <c r="H44" i="37"/>
  <c r="AG44" i="37" s="1"/>
  <c r="H40" i="37"/>
  <c r="AG40" i="37" s="1"/>
  <c r="H46" i="37"/>
  <c r="AG46" i="37" s="1"/>
  <c r="H72" i="37"/>
  <c r="AG72" i="37" s="1"/>
  <c r="H24" i="38"/>
  <c r="AG24" i="38" s="1"/>
  <c r="H28" i="38"/>
  <c r="AG28" i="38" s="1"/>
  <c r="H83" i="38"/>
  <c r="AG83" i="38" s="1"/>
  <c r="H54" i="38"/>
  <c r="AG54" i="38" s="1"/>
  <c r="H57" i="38"/>
  <c r="AG57" i="38" s="1"/>
  <c r="H44" i="38"/>
  <c r="AG44" i="38" s="1"/>
  <c r="H17" i="38"/>
  <c r="AG17" i="38" s="1"/>
  <c r="H64" i="38"/>
  <c r="AG64" i="38" s="1"/>
  <c r="H35" i="38"/>
  <c r="AG35" i="38" s="1"/>
  <c r="H62" i="38"/>
  <c r="AG62" i="38" s="1"/>
  <c r="H65" i="37"/>
  <c r="AG65" i="37" s="1"/>
  <c r="H83" i="37"/>
  <c r="AG83" i="37" s="1"/>
  <c r="H18" i="37"/>
  <c r="AG18" i="37" s="1"/>
  <c r="H24" i="37"/>
  <c r="AG24" i="37" s="1"/>
  <c r="H42" i="37"/>
  <c r="AG42" i="37" s="1"/>
  <c r="H47" i="36"/>
  <c r="AG47" i="36" s="1"/>
  <c r="H68" i="36"/>
  <c r="AG68" i="36" s="1"/>
  <c r="H37" i="36"/>
  <c r="AG37" i="36" s="1"/>
  <c r="H21" i="36"/>
  <c r="AG21" i="36" s="1"/>
  <c r="H27" i="36"/>
  <c r="AG27" i="36" s="1"/>
  <c r="H63" i="37"/>
  <c r="AG63" i="37" s="1"/>
  <c r="H84" i="37"/>
  <c r="AG84" i="37" s="1"/>
  <c r="H41" i="37"/>
  <c r="AG41" i="37" s="1"/>
  <c r="H49" i="37"/>
  <c r="AG49" i="37" s="1"/>
  <c r="H10" i="37"/>
  <c r="AG10" i="37" s="1"/>
  <c r="H6" i="36"/>
  <c r="AG6" i="36" s="1"/>
  <c r="H79" i="36"/>
  <c r="AG79" i="36" s="1"/>
  <c r="H71" i="36"/>
  <c r="AG71" i="36" s="1"/>
  <c r="H76" i="36"/>
  <c r="AG76" i="36" s="1"/>
  <c r="H44" i="36"/>
  <c r="AG44" i="36" s="1"/>
  <c r="H8" i="36"/>
  <c r="AG8" i="36" s="1"/>
  <c r="H18" i="36"/>
  <c r="AG18" i="36" s="1"/>
  <c r="H66" i="36"/>
  <c r="AG66" i="36" s="1"/>
  <c r="H29" i="36"/>
  <c r="AG29" i="36" s="1"/>
  <c r="H81" i="36"/>
  <c r="AG81" i="36" s="1"/>
  <c r="H14" i="38"/>
  <c r="AG14" i="38" s="1"/>
  <c r="H22" i="38"/>
  <c r="AG22" i="38" s="1"/>
  <c r="H57" i="37"/>
  <c r="AG57" i="37" s="1"/>
  <c r="H12" i="37"/>
  <c r="AG12" i="37" s="1"/>
  <c r="H6" i="37"/>
  <c r="AG6" i="37" s="1"/>
  <c r="H14" i="37"/>
  <c r="AG14" i="37" s="1"/>
  <c r="H51" i="37"/>
  <c r="AG51" i="37" s="1"/>
  <c r="H62" i="36"/>
  <c r="AG62" i="36" s="1"/>
  <c r="H30" i="36"/>
  <c r="AG30" i="36" s="1"/>
  <c r="H58" i="36"/>
  <c r="AG58" i="36" s="1"/>
  <c r="H72" i="36"/>
  <c r="AG72" i="36" s="1"/>
  <c r="H19" i="36"/>
  <c r="AG19" i="36" s="1"/>
  <c r="H27" i="38"/>
  <c r="AG27" i="38" s="1"/>
  <c r="H59" i="38"/>
  <c r="AG59" i="38" s="1"/>
  <c r="H60" i="37"/>
  <c r="AG60" i="37" s="1"/>
  <c r="H61" i="36"/>
  <c r="AG61" i="36" s="1"/>
  <c r="H53" i="36"/>
  <c r="AG53" i="36" s="1"/>
  <c r="H76" i="38"/>
  <c r="AG76" i="38" s="1"/>
  <c r="H65" i="38"/>
  <c r="AG65" i="38" s="1"/>
  <c r="H53" i="38"/>
  <c r="AG53" i="38" s="1"/>
  <c r="H20" i="38"/>
  <c r="AG20" i="38" s="1"/>
  <c r="H80" i="38"/>
  <c r="AG80" i="38" s="1"/>
  <c r="H18" i="38"/>
  <c r="AG18" i="38" s="1"/>
  <c r="H19" i="37"/>
  <c r="AG19" i="37" s="1"/>
  <c r="H26" i="37"/>
  <c r="AG26" i="37" s="1"/>
  <c r="H7" i="37"/>
  <c r="AG7" i="37" s="1"/>
  <c r="H17" i="37"/>
  <c r="AG17" i="37" s="1"/>
  <c r="H21" i="37"/>
  <c r="AG21" i="37" s="1"/>
  <c r="H69" i="38"/>
  <c r="AG69" i="38" s="1"/>
  <c r="H31" i="38"/>
  <c r="AG31" i="38" s="1"/>
  <c r="H73" i="38"/>
  <c r="AG73" i="38" s="1"/>
  <c r="H25" i="38"/>
  <c r="AG25" i="38" s="1"/>
  <c r="H71" i="38"/>
  <c r="AG71" i="38" s="1"/>
  <c r="H52" i="38"/>
  <c r="AG52" i="38" s="1"/>
  <c r="H72" i="38"/>
  <c r="AG72" i="38" s="1"/>
  <c r="H16" i="38"/>
  <c r="AG16" i="38" s="1"/>
  <c r="H66" i="38"/>
  <c r="AG66" i="38" s="1"/>
  <c r="H34" i="38"/>
  <c r="AG34" i="38" s="1"/>
  <c r="E36" i="40"/>
  <c r="E37" i="40" s="1"/>
  <c r="H38" i="38"/>
  <c r="AG38" i="38" s="1"/>
  <c r="H43" i="37"/>
  <c r="AG43" i="37" s="1"/>
  <c r="H75" i="37"/>
  <c r="AG75" i="37" s="1"/>
  <c r="H69" i="37"/>
  <c r="AG69" i="37" s="1"/>
  <c r="H77" i="37"/>
  <c r="AG77" i="37" s="1"/>
  <c r="H40" i="36"/>
  <c r="AG40" i="36" s="1"/>
  <c r="H81" i="37"/>
  <c r="AG81" i="37" s="1"/>
  <c r="H22" i="37"/>
  <c r="AG22" i="37" s="1"/>
  <c r="H47" i="37"/>
  <c r="AG47" i="37" s="1"/>
  <c r="H56" i="37"/>
  <c r="AG56" i="37" s="1"/>
  <c r="H4" i="37"/>
  <c r="AG4" i="37" s="1"/>
  <c r="H80" i="36"/>
  <c r="AG80" i="36" s="1"/>
  <c r="H26" i="36"/>
  <c r="AG26" i="36" s="1"/>
  <c r="H43" i="36"/>
  <c r="AG43" i="36" s="1"/>
  <c r="H36" i="36"/>
  <c r="AG36" i="36" s="1"/>
  <c r="H55" i="36"/>
  <c r="AG55" i="36" s="1"/>
  <c r="H14" i="36"/>
  <c r="AG14" i="36" s="1"/>
  <c r="H70" i="36"/>
  <c r="AG70" i="36" s="1"/>
  <c r="H33" i="36"/>
  <c r="AG33" i="36" s="1"/>
  <c r="H35" i="36"/>
  <c r="AG35" i="36" s="1"/>
  <c r="H52" i="36"/>
  <c r="AG52" i="36" s="1"/>
  <c r="H20" i="36"/>
  <c r="AG20" i="36" s="1"/>
  <c r="H47" i="38"/>
  <c r="AG47" i="38" s="1"/>
  <c r="H71" i="37"/>
  <c r="AG71" i="37" s="1"/>
  <c r="H80" i="37"/>
  <c r="AG80" i="37" s="1"/>
  <c r="H53" i="37"/>
  <c r="AG53" i="37" s="1"/>
  <c r="H15" i="37"/>
  <c r="AG15" i="37" s="1"/>
  <c r="H38" i="37"/>
  <c r="AG38" i="37" s="1"/>
  <c r="H74" i="36"/>
  <c r="AG74" i="36" s="1"/>
  <c r="H16" i="36"/>
  <c r="AG16" i="36" s="1"/>
  <c r="H63" i="36"/>
  <c r="AG63" i="36" s="1"/>
  <c r="H17" i="36"/>
  <c r="AG17" i="36" s="1"/>
  <c r="H77" i="36"/>
  <c r="AG77" i="36" s="1"/>
  <c r="H46" i="38"/>
  <c r="AG46" i="38" s="1"/>
  <c r="H40" i="38"/>
  <c r="AG40" i="38" s="1"/>
  <c r="H9" i="37"/>
  <c r="AG9" i="37" s="1"/>
  <c r="H42" i="36"/>
  <c r="AG42" i="36" s="1"/>
  <c r="H60" i="36"/>
  <c r="AG60" i="36" s="1"/>
  <c r="H11" i="38"/>
  <c r="AG11" i="38" s="1"/>
  <c r="H70" i="38"/>
  <c r="AG70" i="38" s="1"/>
  <c r="H23" i="38"/>
  <c r="AG23" i="38" s="1"/>
  <c r="H48" i="38"/>
  <c r="AG48" i="38" s="1"/>
  <c r="H41" i="38"/>
  <c r="AG41" i="38" s="1"/>
  <c r="H4" i="38"/>
  <c r="AG4" i="38" s="1"/>
  <c r="H31" i="37"/>
  <c r="AG31" i="37" s="1"/>
  <c r="H25" i="37"/>
  <c r="AG25" i="37" s="1"/>
  <c r="H29" i="37"/>
  <c r="AG29" i="37" s="1"/>
  <c r="H39" i="37"/>
  <c r="AG39" i="37" s="1"/>
  <c r="H66" i="37"/>
  <c r="AG66" i="37" s="1"/>
  <c r="H13" i="38"/>
  <c r="AG13" i="38" s="1"/>
  <c r="H32" i="38"/>
  <c r="AG32" i="38" s="1"/>
  <c r="H49" i="38"/>
  <c r="AG49" i="38" s="1"/>
  <c r="H6" i="38"/>
  <c r="AG6" i="38" s="1"/>
  <c r="H61" i="38"/>
  <c r="AG61" i="38" s="1"/>
  <c r="H12" i="38"/>
  <c r="AG12" i="38" s="1"/>
  <c r="H50" i="38"/>
  <c r="AG50" i="38" s="1"/>
  <c r="H33" i="38"/>
  <c r="AG33" i="38" s="1"/>
  <c r="H75" i="38"/>
  <c r="AG75" i="38" s="1"/>
  <c r="H42" i="38"/>
  <c r="AG42" i="38" s="1"/>
  <c r="H48" i="37"/>
  <c r="AG48" i="37" s="1"/>
  <c r="H37" i="37"/>
  <c r="AG37" i="37" s="1"/>
  <c r="H68" i="37"/>
  <c r="AG68" i="37" s="1"/>
  <c r="H76" i="37"/>
  <c r="AG76" i="37" s="1"/>
  <c r="H36" i="37"/>
  <c r="AG36" i="37" s="1"/>
  <c r="H25" i="36"/>
  <c r="AG25" i="36" s="1"/>
  <c r="H75" i="36"/>
  <c r="AG75" i="36" s="1"/>
  <c r="H83" i="36"/>
  <c r="AG83" i="36" s="1"/>
  <c r="H54" i="36"/>
  <c r="AG54" i="36" s="1"/>
  <c r="H67" i="36"/>
  <c r="AG67" i="36" s="1"/>
  <c r="G113" i="18"/>
  <c r="G47" i="17" s="1"/>
  <c r="G48" i="17" s="1"/>
  <c r="F47" i="17"/>
  <c r="F48" i="17" s="1"/>
  <c r="G112" i="33"/>
  <c r="G18" i="34" s="1"/>
  <c r="G19" i="34" s="1"/>
  <c r="F18" i="34"/>
  <c r="F19" i="34" s="1"/>
  <c r="H16" i="37"/>
  <c r="AG16" i="37" s="1"/>
  <c r="H79" i="37"/>
  <c r="AG79" i="37" s="1"/>
  <c r="H54" i="37"/>
  <c r="AG54" i="37" s="1"/>
  <c r="H13" i="37"/>
  <c r="AG13" i="37" s="1"/>
  <c r="H32" i="37"/>
  <c r="AG32" i="37" s="1"/>
  <c r="H45" i="36"/>
  <c r="AG45" i="36" s="1"/>
  <c r="H49" i="36"/>
  <c r="AG49" i="36" s="1"/>
  <c r="H23" i="36"/>
  <c r="AG23" i="36" s="1"/>
  <c r="H34" i="36"/>
  <c r="AG34" i="36" s="1"/>
  <c r="H73" i="36"/>
  <c r="AG73" i="36" s="1"/>
  <c r="H9" i="36"/>
  <c r="AG9" i="36" s="1"/>
  <c r="H84" i="36"/>
  <c r="AG84" i="36" s="1"/>
  <c r="H22" i="36"/>
  <c r="AG22" i="36" s="1"/>
  <c r="H15" i="36"/>
  <c r="AG15" i="36" s="1"/>
  <c r="H38" i="36"/>
  <c r="AG38" i="36" s="1"/>
  <c r="H51" i="38"/>
  <c r="AG51" i="38" s="1"/>
  <c r="H15" i="38"/>
  <c r="AG15" i="38" s="1"/>
  <c r="H61" i="37"/>
  <c r="AG61" i="37" s="1"/>
  <c r="H74" i="37"/>
  <c r="AG74" i="37" s="1"/>
  <c r="H30" i="37"/>
  <c r="AG30" i="37" s="1"/>
  <c r="H34" i="37"/>
  <c r="AG34" i="37" s="1"/>
  <c r="H55" i="37"/>
  <c r="AG55" i="37" s="1"/>
  <c r="H48" i="36"/>
  <c r="AG48" i="36" s="1"/>
  <c r="H31" i="36"/>
  <c r="AG31" i="36" s="1"/>
  <c r="H7" i="36"/>
  <c r="AG7" i="36" s="1"/>
  <c r="H12" i="36"/>
  <c r="AG12" i="36" s="1"/>
  <c r="H69" i="36"/>
  <c r="AG69" i="36" s="1"/>
  <c r="H82" i="38"/>
  <c r="AG82" i="38" s="1"/>
  <c r="H37" i="38"/>
  <c r="AG37" i="38" s="1"/>
  <c r="H51" i="36"/>
  <c r="AG51" i="36" s="1"/>
  <c r="H41" i="36"/>
  <c r="AG41" i="36" s="1"/>
  <c r="H29" i="38"/>
  <c r="AG29" i="38" s="1"/>
  <c r="H5" i="38"/>
  <c r="AG5" i="38" s="1"/>
  <c r="H84" i="38"/>
  <c r="AG84" i="38" s="1"/>
  <c r="H67" i="38"/>
  <c r="AG67" i="38" s="1"/>
  <c r="H26" i="38"/>
  <c r="AG26" i="38" s="1"/>
  <c r="H81" i="38"/>
  <c r="AG81" i="38" s="1"/>
  <c r="H50" i="37"/>
  <c r="AG50" i="37" s="1"/>
  <c r="H33" i="37"/>
  <c r="AG33" i="37" s="1"/>
  <c r="H20" i="37"/>
  <c r="AG20" i="37" s="1"/>
  <c r="H27" i="37"/>
  <c r="AG27" i="37" s="1"/>
  <c r="H73" i="37"/>
  <c r="AG73" i="37" s="1"/>
  <c r="H30" i="38"/>
  <c r="AG30" i="38" s="1"/>
  <c r="H36" i="38"/>
  <c r="AG36" i="38" s="1"/>
  <c r="H8" i="38"/>
  <c r="AG8" i="38" s="1"/>
  <c r="H58" i="38"/>
  <c r="AG58" i="38" s="1"/>
  <c r="H77" i="38"/>
  <c r="AG77" i="38" s="1"/>
  <c r="H78" i="38"/>
  <c r="AG78" i="38" s="1"/>
  <c r="H45" i="38"/>
  <c r="AG45" i="38" s="1"/>
  <c r="H60" i="38"/>
  <c r="AG60" i="38" s="1"/>
  <c r="H7" i="38"/>
  <c r="AG7" i="38" s="1"/>
  <c r="H55" i="38"/>
  <c r="AG55" i="38" s="1"/>
  <c r="H11" i="37"/>
  <c r="AG11" i="37" s="1"/>
  <c r="H64" i="37"/>
  <c r="AG64" i="37" s="1"/>
  <c r="H62" i="37"/>
  <c r="AG62" i="37" s="1"/>
  <c r="H70" i="37"/>
  <c r="AG70" i="37" s="1"/>
  <c r="H23" i="37"/>
  <c r="AG23" i="37" s="1"/>
  <c r="H82" i="36"/>
  <c r="AG82" i="36" s="1"/>
  <c r="I57" i="26"/>
  <c r="AH57" i="26" s="1"/>
  <c r="I10" i="26"/>
  <c r="AH10" i="26" s="1"/>
  <c r="I39" i="26"/>
  <c r="AH39" i="26" s="1"/>
  <c r="I33" i="26"/>
  <c r="AH33" i="26" s="1"/>
  <c r="I80" i="26"/>
  <c r="AH80" i="26" s="1"/>
  <c r="I22" i="26"/>
  <c r="AH22" i="26" s="1"/>
  <c r="I69" i="26"/>
  <c r="AH69" i="26" s="1"/>
  <c r="I67" i="26"/>
  <c r="AH67" i="26" s="1"/>
  <c r="I30" i="26"/>
  <c r="AH30" i="26" s="1"/>
  <c r="I70" i="26"/>
  <c r="AH70" i="26" s="1"/>
  <c r="I78" i="26"/>
  <c r="AH78" i="26" s="1"/>
  <c r="I42" i="26"/>
  <c r="AH42" i="26" s="1"/>
  <c r="I83" i="26"/>
  <c r="AH83" i="26" s="1"/>
  <c r="I48" i="26"/>
  <c r="AH48" i="26" s="1"/>
  <c r="I17" i="26"/>
  <c r="AH17" i="26" s="1"/>
  <c r="I74" i="26"/>
  <c r="AH74" i="26" s="1"/>
  <c r="I53" i="26"/>
  <c r="AH53" i="26" s="1"/>
  <c r="I51" i="26"/>
  <c r="AH51" i="26" s="1"/>
  <c r="I11" i="26"/>
  <c r="AH11" i="26" s="1"/>
  <c r="I58" i="26"/>
  <c r="AH58" i="26" s="1"/>
  <c r="I41" i="26"/>
  <c r="AH41" i="26" s="1"/>
  <c r="I28" i="26"/>
  <c r="AH28" i="26" s="1"/>
  <c r="I66" i="26"/>
  <c r="AH66" i="26" s="1"/>
  <c r="I68" i="26"/>
  <c r="AH68" i="26" s="1"/>
  <c r="I31" i="26"/>
  <c r="AH31" i="26" s="1"/>
  <c r="I52" i="26"/>
  <c r="AH52" i="26" s="1"/>
  <c r="I32" i="26"/>
  <c r="AH32" i="26" s="1"/>
  <c r="I79" i="26"/>
  <c r="AH79" i="26" s="1"/>
  <c r="I47" i="26"/>
  <c r="AH47" i="26" s="1"/>
  <c r="I73" i="26"/>
  <c r="AH73" i="26" s="1"/>
  <c r="I82" i="26"/>
  <c r="AH82" i="26" s="1"/>
  <c r="I37" i="26"/>
  <c r="AH37" i="26" s="1"/>
  <c r="I18" i="26"/>
  <c r="AH18" i="26" s="1"/>
  <c r="I45" i="26"/>
  <c r="AH45" i="26" s="1"/>
  <c r="I7" i="26"/>
  <c r="AH7" i="26" s="1"/>
  <c r="I60" i="26"/>
  <c r="AH60" i="26" s="1"/>
  <c r="I9" i="26"/>
  <c r="AH9" i="26" s="1"/>
  <c r="I15" i="26"/>
  <c r="AH15" i="26" s="1"/>
  <c r="I40" i="26"/>
  <c r="AH40" i="26" s="1"/>
  <c r="I84" i="26"/>
  <c r="AH84" i="26" s="1"/>
  <c r="I64" i="26"/>
  <c r="AH64" i="26" s="1"/>
  <c r="I24" i="26"/>
  <c r="AH24" i="26" s="1"/>
  <c r="I26" i="26"/>
  <c r="AH26" i="26" s="1"/>
  <c r="I55" i="26"/>
  <c r="AH55" i="26" s="1"/>
  <c r="I16" i="26"/>
  <c r="AH16" i="26" s="1"/>
  <c r="I61" i="26"/>
  <c r="AH61" i="26" s="1"/>
  <c r="I6" i="26"/>
  <c r="AH6" i="26" s="1"/>
  <c r="I63" i="26"/>
  <c r="AH63" i="26" s="1"/>
  <c r="I44" i="26"/>
  <c r="AH44" i="26" s="1"/>
  <c r="I14" i="26"/>
  <c r="AH14" i="26" s="1"/>
  <c r="I12" i="26"/>
  <c r="AH12" i="26" s="1"/>
  <c r="I56" i="26"/>
  <c r="AH56" i="26" s="1"/>
  <c r="I23" i="26"/>
  <c r="AH23" i="26" s="1"/>
  <c r="I71" i="26"/>
  <c r="AH71" i="26" s="1"/>
  <c r="I34" i="26"/>
  <c r="AH34" i="26" s="1"/>
  <c r="I77" i="26"/>
  <c r="AH77" i="26" s="1"/>
  <c r="I72" i="26"/>
  <c r="AH72" i="26" s="1"/>
  <c r="I50" i="26"/>
  <c r="AH50" i="26" s="1"/>
  <c r="I29" i="26"/>
  <c r="AH29" i="26" s="1"/>
  <c r="I76" i="26"/>
  <c r="AH76" i="26" s="1"/>
  <c r="I81" i="26"/>
  <c r="AH81" i="26" s="1"/>
  <c r="I21" i="26"/>
  <c r="AH21" i="26" s="1"/>
  <c r="I75" i="26"/>
  <c r="AH75" i="26" s="1"/>
  <c r="I5" i="26"/>
  <c r="AH5" i="26" s="1"/>
  <c r="I49" i="26"/>
  <c r="AH49" i="26" s="1"/>
  <c r="I59" i="26"/>
  <c r="AH59" i="26" s="1"/>
  <c r="I38" i="26"/>
  <c r="AH38" i="26" s="1"/>
  <c r="I13" i="26"/>
  <c r="AH13" i="26" s="1"/>
  <c r="I43" i="26"/>
  <c r="AH43" i="26" s="1"/>
  <c r="I25" i="26"/>
  <c r="AH25" i="26" s="1"/>
  <c r="I36" i="26"/>
  <c r="AH36" i="26" s="1"/>
  <c r="I46" i="26"/>
  <c r="AH46" i="26" s="1"/>
  <c r="I19" i="26"/>
  <c r="AH19" i="26" s="1"/>
  <c r="I62" i="26"/>
  <c r="AH62" i="26" s="1"/>
  <c r="I8" i="26"/>
  <c r="AH8" i="26" s="1"/>
  <c r="I20" i="26"/>
  <c r="AH20" i="26" s="1"/>
  <c r="I35" i="26"/>
  <c r="AH35" i="26" s="1"/>
  <c r="I54" i="26"/>
  <c r="AH54" i="26" s="1"/>
  <c r="I65" i="26"/>
  <c r="AH65" i="26" s="1"/>
  <c r="I4" i="26"/>
  <c r="AH4" i="26" s="1"/>
  <c r="I27" i="26"/>
  <c r="AH27" i="26" s="1"/>
  <c r="E52" i="17"/>
  <c r="F52" i="17"/>
  <c r="D13" i="17"/>
  <c r="G13" i="17"/>
  <c r="I31" i="49" l="1"/>
  <c r="AH31" i="49" s="1"/>
  <c r="I4" i="49"/>
  <c r="AH4" i="49" s="1"/>
  <c r="I75" i="49"/>
  <c r="AH75" i="49" s="1"/>
  <c r="I42" i="49"/>
  <c r="AH42" i="49" s="1"/>
  <c r="I77" i="49"/>
  <c r="AH77" i="49" s="1"/>
  <c r="I82" i="49"/>
  <c r="AH82" i="49" s="1"/>
  <c r="I19" i="30"/>
  <c r="AH19" i="30" s="1"/>
  <c r="AG19" i="30"/>
  <c r="I49" i="30"/>
  <c r="AH49" i="30" s="1"/>
  <c r="AG49" i="30"/>
  <c r="I62" i="32"/>
  <c r="AH62" i="32" s="1"/>
  <c r="AG62" i="32"/>
  <c r="I19" i="32"/>
  <c r="AH19" i="32" s="1"/>
  <c r="AG19" i="32"/>
  <c r="I60" i="49"/>
  <c r="AH60" i="49" s="1"/>
  <c r="AG60" i="49"/>
  <c r="I84" i="49"/>
  <c r="AH84" i="49" s="1"/>
  <c r="AG84" i="49"/>
  <c r="I84" i="30"/>
  <c r="AH84" i="30" s="1"/>
  <c r="AG84" i="30"/>
  <c r="I40" i="30"/>
  <c r="AH40" i="30" s="1"/>
  <c r="AG40" i="30"/>
  <c r="I7" i="30"/>
  <c r="AH7" i="30" s="1"/>
  <c r="AG7" i="30"/>
  <c r="I75" i="30"/>
  <c r="AH75" i="30" s="1"/>
  <c r="AG75" i="30"/>
  <c r="I83" i="30"/>
  <c r="AH83" i="30" s="1"/>
  <c r="AG83" i="30"/>
  <c r="I4" i="30"/>
  <c r="AH4" i="30" s="1"/>
  <c r="AG4" i="30"/>
  <c r="I73" i="30"/>
  <c r="AH73" i="30" s="1"/>
  <c r="AG73" i="30"/>
  <c r="I41" i="30"/>
  <c r="AH41" i="30" s="1"/>
  <c r="AG41" i="30"/>
  <c r="I71" i="30"/>
  <c r="AH71" i="30" s="1"/>
  <c r="AG71" i="30"/>
  <c r="I40" i="32"/>
  <c r="AH40" i="32" s="1"/>
  <c r="AG40" i="32"/>
  <c r="I13" i="32"/>
  <c r="AH13" i="32" s="1"/>
  <c r="AG13" i="32"/>
  <c r="I17" i="32"/>
  <c r="AH17" i="32" s="1"/>
  <c r="AG17" i="32"/>
  <c r="I38" i="49"/>
  <c r="AH38" i="49" s="1"/>
  <c r="AG38" i="49"/>
  <c r="I74" i="49"/>
  <c r="AH74" i="49" s="1"/>
  <c r="AG74" i="49"/>
  <c r="I30" i="32"/>
  <c r="AH30" i="32" s="1"/>
  <c r="AG30" i="32"/>
  <c r="I45" i="32"/>
  <c r="AH45" i="32" s="1"/>
  <c r="AG45" i="32"/>
  <c r="I69" i="32"/>
  <c r="AH69" i="32" s="1"/>
  <c r="AG69" i="32"/>
  <c r="I51" i="32"/>
  <c r="AH51" i="32" s="1"/>
  <c r="AG51" i="32"/>
  <c r="I22" i="32"/>
  <c r="AH22" i="32" s="1"/>
  <c r="AG22" i="32"/>
  <c r="I70" i="49"/>
  <c r="AH70" i="49" s="1"/>
  <c r="AG70" i="49"/>
  <c r="I73" i="49"/>
  <c r="AH73" i="49" s="1"/>
  <c r="AG73" i="49"/>
  <c r="I56" i="49"/>
  <c r="AH56" i="49" s="1"/>
  <c r="AG56" i="49"/>
  <c r="I50" i="32"/>
  <c r="AH50" i="32" s="1"/>
  <c r="AG50" i="32"/>
  <c r="I56" i="32"/>
  <c r="AH56" i="32" s="1"/>
  <c r="AG56" i="32"/>
  <c r="I84" i="32"/>
  <c r="AH84" i="32" s="1"/>
  <c r="AG84" i="32"/>
  <c r="I51" i="49"/>
  <c r="AH51" i="49" s="1"/>
  <c r="AG51" i="49"/>
  <c r="I21" i="49"/>
  <c r="AH21" i="49" s="1"/>
  <c r="AG21" i="49"/>
  <c r="I14" i="30"/>
  <c r="AH14" i="30" s="1"/>
  <c r="AG14" i="30"/>
  <c r="I34" i="32"/>
  <c r="AH34" i="32" s="1"/>
  <c r="AG34" i="32"/>
  <c r="I54" i="49"/>
  <c r="AH54" i="49" s="1"/>
  <c r="AG54" i="49"/>
  <c r="I31" i="30"/>
  <c r="AH31" i="30" s="1"/>
  <c r="AG31" i="30"/>
  <c r="I23" i="30"/>
  <c r="AH23" i="30" s="1"/>
  <c r="AG23" i="30"/>
  <c r="I78" i="30"/>
  <c r="AH78" i="30" s="1"/>
  <c r="AG78" i="30"/>
  <c r="I25" i="30"/>
  <c r="AH25" i="30" s="1"/>
  <c r="AG25" i="30"/>
  <c r="I48" i="30"/>
  <c r="AH48" i="30" s="1"/>
  <c r="AG48" i="30"/>
  <c r="I50" i="30"/>
  <c r="AH50" i="30" s="1"/>
  <c r="AG50" i="30"/>
  <c r="I8" i="30"/>
  <c r="AH8" i="30" s="1"/>
  <c r="AG8" i="30"/>
  <c r="I72" i="30"/>
  <c r="AH72" i="30" s="1"/>
  <c r="AG72" i="30"/>
  <c r="I55" i="49"/>
  <c r="AH55" i="49" s="1"/>
  <c r="AG55" i="49"/>
  <c r="I63" i="32"/>
  <c r="AH63" i="32" s="1"/>
  <c r="AG63" i="32"/>
  <c r="I54" i="32"/>
  <c r="AH54" i="32" s="1"/>
  <c r="AG54" i="32"/>
  <c r="I81" i="32"/>
  <c r="AH81" i="32" s="1"/>
  <c r="AG81" i="32"/>
  <c r="I25" i="49"/>
  <c r="AH25" i="49" s="1"/>
  <c r="AG25" i="49"/>
  <c r="I68" i="49"/>
  <c r="AH68" i="49" s="1"/>
  <c r="AG68" i="49"/>
  <c r="I34" i="49"/>
  <c r="AH34" i="49" s="1"/>
  <c r="AG34" i="49"/>
  <c r="I79" i="49"/>
  <c r="AH79" i="49" s="1"/>
  <c r="AG79" i="49"/>
  <c r="I60" i="32"/>
  <c r="AH60" i="32" s="1"/>
  <c r="AG60" i="32"/>
  <c r="I38" i="32"/>
  <c r="AH38" i="32" s="1"/>
  <c r="AG38" i="32"/>
  <c r="I33" i="32"/>
  <c r="AH33" i="32" s="1"/>
  <c r="AG33" i="32"/>
  <c r="I58" i="32"/>
  <c r="AH58" i="32" s="1"/>
  <c r="AG58" i="32"/>
  <c r="I32" i="49"/>
  <c r="AH32" i="49" s="1"/>
  <c r="AG32" i="49"/>
  <c r="I43" i="49"/>
  <c r="AH43" i="49" s="1"/>
  <c r="AG43" i="49"/>
  <c r="I30" i="49"/>
  <c r="AH30" i="49" s="1"/>
  <c r="AG30" i="49"/>
  <c r="I31" i="32"/>
  <c r="AH31" i="32" s="1"/>
  <c r="AG31" i="32"/>
  <c r="I9" i="32"/>
  <c r="AH9" i="32" s="1"/>
  <c r="AG9" i="32"/>
  <c r="I26" i="49"/>
  <c r="AH26" i="49" s="1"/>
  <c r="AG26" i="49"/>
  <c r="I78" i="32"/>
  <c r="AH78" i="32" s="1"/>
  <c r="AG78" i="32"/>
  <c r="I65" i="30"/>
  <c r="AH65" i="30" s="1"/>
  <c r="AG65" i="30"/>
  <c r="I13" i="49"/>
  <c r="AH13" i="49" s="1"/>
  <c r="AG13" i="49"/>
  <c r="I26" i="30"/>
  <c r="AH26" i="30" s="1"/>
  <c r="AG26" i="30"/>
  <c r="I36" i="30"/>
  <c r="AH36" i="30" s="1"/>
  <c r="AG36" i="30"/>
  <c r="I37" i="32"/>
  <c r="AH37" i="32" s="1"/>
  <c r="AG37" i="32"/>
  <c r="I35" i="49"/>
  <c r="AH35" i="49" s="1"/>
  <c r="AG35" i="49"/>
  <c r="I47" i="49"/>
  <c r="AH47" i="49" s="1"/>
  <c r="AG47" i="49"/>
  <c r="I52" i="49"/>
  <c r="AH52" i="49" s="1"/>
  <c r="AG52" i="49"/>
  <c r="I55" i="30"/>
  <c r="AH55" i="30" s="1"/>
  <c r="AG55" i="30"/>
  <c r="I43" i="30"/>
  <c r="AH43" i="30" s="1"/>
  <c r="AG43" i="30"/>
  <c r="I45" i="30"/>
  <c r="AH45" i="30" s="1"/>
  <c r="AG45" i="30"/>
  <c r="I34" i="30"/>
  <c r="AH34" i="30" s="1"/>
  <c r="AG34" i="30"/>
  <c r="I17" i="30"/>
  <c r="AH17" i="30" s="1"/>
  <c r="AG17" i="30"/>
  <c r="I37" i="30"/>
  <c r="AH37" i="30" s="1"/>
  <c r="AG37" i="30"/>
  <c r="I62" i="30"/>
  <c r="AH62" i="30" s="1"/>
  <c r="AG62" i="30"/>
  <c r="I66" i="30"/>
  <c r="AH66" i="30" s="1"/>
  <c r="AG66" i="30"/>
  <c r="I51" i="30"/>
  <c r="AH51" i="30" s="1"/>
  <c r="AG51" i="30"/>
  <c r="I57" i="32"/>
  <c r="AH57" i="32" s="1"/>
  <c r="AG57" i="32"/>
  <c r="I71" i="32"/>
  <c r="AH71" i="32" s="1"/>
  <c r="AG71" i="32"/>
  <c r="I67" i="49"/>
  <c r="AH67" i="49" s="1"/>
  <c r="AG67" i="49"/>
  <c r="I77" i="30"/>
  <c r="AH77" i="30" s="1"/>
  <c r="AG77" i="30"/>
  <c r="I20" i="32"/>
  <c r="AH20" i="32" s="1"/>
  <c r="AG20" i="32"/>
  <c r="I6" i="32"/>
  <c r="AH6" i="32" s="1"/>
  <c r="AG6" i="32"/>
  <c r="I68" i="32"/>
  <c r="AH68" i="32" s="1"/>
  <c r="AG68" i="32"/>
  <c r="I62" i="49"/>
  <c r="AH62" i="49" s="1"/>
  <c r="AG62" i="49"/>
  <c r="I59" i="32"/>
  <c r="AH59" i="32" s="1"/>
  <c r="AG59" i="32"/>
  <c r="I27" i="32"/>
  <c r="AH27" i="32" s="1"/>
  <c r="AG27" i="32"/>
  <c r="I28" i="32"/>
  <c r="AH28" i="32" s="1"/>
  <c r="AG28" i="32"/>
  <c r="I48" i="49"/>
  <c r="AH48" i="49" s="1"/>
  <c r="I18" i="32"/>
  <c r="AH18" i="32" s="1"/>
  <c r="AG18" i="32"/>
  <c r="I69" i="49"/>
  <c r="AH69" i="49" s="1"/>
  <c r="AG69" i="49"/>
  <c r="I14" i="49"/>
  <c r="AH14" i="49" s="1"/>
  <c r="I9" i="49"/>
  <c r="AH9" i="49" s="1"/>
  <c r="AG9" i="49"/>
  <c r="I81" i="49"/>
  <c r="AH81" i="49" s="1"/>
  <c r="AG81" i="49"/>
  <c r="I57" i="49"/>
  <c r="AH57" i="49" s="1"/>
  <c r="AG57" i="49"/>
  <c r="I53" i="49"/>
  <c r="AH53" i="49" s="1"/>
  <c r="AG53" i="49"/>
  <c r="I10" i="30"/>
  <c r="AH10" i="30" s="1"/>
  <c r="AG10" i="30"/>
  <c r="I16" i="30"/>
  <c r="AH16" i="30" s="1"/>
  <c r="AG16" i="30"/>
  <c r="I16" i="49"/>
  <c r="AH16" i="49" s="1"/>
  <c r="AG16" i="49"/>
  <c r="I12" i="30"/>
  <c r="AH12" i="30" s="1"/>
  <c r="AG12" i="30"/>
  <c r="I44" i="30"/>
  <c r="AH44" i="30" s="1"/>
  <c r="AG44" i="30"/>
  <c r="I35" i="30"/>
  <c r="AH35" i="30" s="1"/>
  <c r="AG35" i="30"/>
  <c r="I36" i="32"/>
  <c r="AH36" i="32" s="1"/>
  <c r="AG36" i="32"/>
  <c r="I9" i="30"/>
  <c r="AH9" i="30" s="1"/>
  <c r="AG9" i="30"/>
  <c r="I11" i="30"/>
  <c r="AH11" i="30" s="1"/>
  <c r="AG11" i="30"/>
  <c r="I76" i="30"/>
  <c r="AH76" i="30" s="1"/>
  <c r="AG76" i="30"/>
  <c r="I67" i="30"/>
  <c r="AH67" i="30" s="1"/>
  <c r="AG67" i="30"/>
  <c r="I15" i="30"/>
  <c r="AH15" i="30" s="1"/>
  <c r="AG15" i="30"/>
  <c r="I32" i="30"/>
  <c r="AH32" i="30" s="1"/>
  <c r="AG32" i="30"/>
  <c r="I21" i="30"/>
  <c r="AH21" i="30" s="1"/>
  <c r="AG21" i="30"/>
  <c r="I68" i="30"/>
  <c r="AH68" i="30" s="1"/>
  <c r="AG68" i="30"/>
  <c r="I42" i="30"/>
  <c r="AH42" i="30" s="1"/>
  <c r="AG42" i="30"/>
  <c r="I44" i="32"/>
  <c r="AH44" i="32" s="1"/>
  <c r="AG44" i="32"/>
  <c r="I61" i="49"/>
  <c r="AH61" i="49" s="1"/>
  <c r="AG61" i="49"/>
  <c r="I64" i="30"/>
  <c r="AH64" i="30" s="1"/>
  <c r="AG64" i="30"/>
  <c r="I64" i="32"/>
  <c r="AH64" i="32" s="1"/>
  <c r="AG64" i="32"/>
  <c r="I15" i="32"/>
  <c r="AH15" i="32" s="1"/>
  <c r="AG15" i="32"/>
  <c r="I83" i="49"/>
  <c r="AH83" i="49" s="1"/>
  <c r="AG83" i="49"/>
  <c r="I72" i="49"/>
  <c r="AH72" i="49" s="1"/>
  <c r="AG72" i="49"/>
  <c r="I21" i="32"/>
  <c r="AH21" i="32" s="1"/>
  <c r="AG21" i="32"/>
  <c r="I70" i="32"/>
  <c r="AH70" i="32" s="1"/>
  <c r="AG70" i="32"/>
  <c r="I67" i="32"/>
  <c r="AH67" i="32" s="1"/>
  <c r="AG67" i="32"/>
  <c r="I46" i="32"/>
  <c r="AH46" i="32" s="1"/>
  <c r="AG46" i="32"/>
  <c r="I83" i="32"/>
  <c r="AH83" i="32" s="1"/>
  <c r="AG83" i="32"/>
  <c r="I11" i="49"/>
  <c r="AH11" i="49" s="1"/>
  <c r="AG11" i="49"/>
  <c r="I20" i="49"/>
  <c r="AH20" i="49" s="1"/>
  <c r="AG20" i="49"/>
  <c r="I29" i="32"/>
  <c r="AH29" i="32" s="1"/>
  <c r="AG29" i="32"/>
  <c r="I66" i="32"/>
  <c r="AH66" i="32" s="1"/>
  <c r="AG66" i="32"/>
  <c r="I5" i="32"/>
  <c r="AH5" i="32" s="1"/>
  <c r="AG5" i="32"/>
  <c r="I6" i="49"/>
  <c r="AH6" i="49" s="1"/>
  <c r="AG6" i="49"/>
  <c r="I74" i="32"/>
  <c r="AH74" i="32" s="1"/>
  <c r="AG74" i="32"/>
  <c r="I37" i="49"/>
  <c r="AH37" i="49" s="1"/>
  <c r="AG37" i="49"/>
  <c r="I39" i="30"/>
  <c r="AH39" i="30" s="1"/>
  <c r="AG39" i="30"/>
  <c r="I36" i="49"/>
  <c r="AH36" i="49" s="1"/>
  <c r="AG36" i="49"/>
  <c r="I59" i="30"/>
  <c r="AH59" i="30" s="1"/>
  <c r="AG59" i="30"/>
  <c r="I24" i="32"/>
  <c r="AH24" i="32" s="1"/>
  <c r="AG24" i="32"/>
  <c r="I35" i="32"/>
  <c r="AH35" i="32" s="1"/>
  <c r="AG35" i="32"/>
  <c r="I80" i="30"/>
  <c r="AH80" i="30" s="1"/>
  <c r="AG80" i="30"/>
  <c r="I81" i="30"/>
  <c r="AH81" i="30" s="1"/>
  <c r="AG81" i="30"/>
  <c r="I74" i="30"/>
  <c r="AH74" i="30" s="1"/>
  <c r="AG74" i="30"/>
  <c r="I54" i="30"/>
  <c r="AH54" i="30" s="1"/>
  <c r="AG54" i="30"/>
  <c r="I46" i="30"/>
  <c r="AH46" i="30" s="1"/>
  <c r="AG46" i="30"/>
  <c r="I38" i="30"/>
  <c r="AH38" i="30" s="1"/>
  <c r="AG38" i="30"/>
  <c r="I70" i="30"/>
  <c r="AH70" i="30" s="1"/>
  <c r="AG70" i="30"/>
  <c r="I33" i="30"/>
  <c r="AH33" i="30" s="1"/>
  <c r="AG33" i="30"/>
  <c r="I60" i="30"/>
  <c r="AH60" i="30" s="1"/>
  <c r="AG60" i="30"/>
  <c r="I12" i="32"/>
  <c r="AH12" i="32" s="1"/>
  <c r="AG12" i="32"/>
  <c r="I13" i="30"/>
  <c r="AH13" i="30" s="1"/>
  <c r="AG13" i="30"/>
  <c r="I71" i="49"/>
  <c r="AH71" i="49" s="1"/>
  <c r="AG71" i="49"/>
  <c r="I10" i="32"/>
  <c r="AH10" i="32" s="1"/>
  <c r="AG10" i="32"/>
  <c r="I73" i="32"/>
  <c r="AH73" i="32" s="1"/>
  <c r="AG73" i="32"/>
  <c r="I75" i="32"/>
  <c r="AH75" i="32" s="1"/>
  <c r="AG75" i="32"/>
  <c r="I28" i="49"/>
  <c r="AH28" i="49" s="1"/>
  <c r="AG28" i="49"/>
  <c r="I48" i="32"/>
  <c r="AH48" i="32" s="1"/>
  <c r="AG48" i="32"/>
  <c r="I56" i="30"/>
  <c r="AH56" i="30" s="1"/>
  <c r="AG56" i="30"/>
  <c r="I44" i="49"/>
  <c r="AH44" i="49" s="1"/>
  <c r="AG44" i="49"/>
  <c r="I58" i="49"/>
  <c r="AH58" i="49" s="1"/>
  <c r="AG58" i="49"/>
  <c r="I7" i="49"/>
  <c r="AH7" i="49" s="1"/>
  <c r="AG7" i="49"/>
  <c r="I24" i="49"/>
  <c r="AH24" i="49" s="1"/>
  <c r="AG24" i="49"/>
  <c r="I82" i="32"/>
  <c r="AH82" i="32" s="1"/>
  <c r="AG82" i="32"/>
  <c r="I47" i="32"/>
  <c r="AH47" i="32" s="1"/>
  <c r="AG47" i="32"/>
  <c r="I14" i="32"/>
  <c r="AH14" i="32" s="1"/>
  <c r="AG14" i="32"/>
  <c r="I25" i="32"/>
  <c r="AH25" i="32" s="1"/>
  <c r="AG25" i="32"/>
  <c r="I55" i="32"/>
  <c r="AH55" i="32" s="1"/>
  <c r="AG55" i="32"/>
  <c r="I4" i="32"/>
  <c r="AH4" i="32" s="1"/>
  <c r="AG4" i="32"/>
  <c r="I45" i="49"/>
  <c r="AH45" i="49" s="1"/>
  <c r="AG45" i="49"/>
  <c r="I23" i="49"/>
  <c r="AH23" i="49" s="1"/>
  <c r="AG23" i="49"/>
  <c r="I29" i="49"/>
  <c r="AH29" i="49" s="1"/>
  <c r="AG29" i="49"/>
  <c r="I80" i="49"/>
  <c r="AH80" i="49" s="1"/>
  <c r="AG80" i="49"/>
  <c r="I76" i="49"/>
  <c r="AH76" i="49" s="1"/>
  <c r="AG76" i="49"/>
  <c r="I52" i="32"/>
  <c r="AH52" i="32" s="1"/>
  <c r="AG52" i="32"/>
  <c r="I50" i="49"/>
  <c r="AH50" i="49" s="1"/>
  <c r="AG50" i="49"/>
  <c r="I79" i="30"/>
  <c r="AH79" i="30" s="1"/>
  <c r="AG79" i="30"/>
  <c r="I57" i="30"/>
  <c r="AH57" i="30" s="1"/>
  <c r="AG57" i="30"/>
  <c r="I24" i="30"/>
  <c r="AH24" i="30" s="1"/>
  <c r="AG24" i="30"/>
  <c r="I82" i="30"/>
  <c r="AH82" i="30" s="1"/>
  <c r="AG82" i="30"/>
  <c r="I6" i="30"/>
  <c r="AH6" i="30" s="1"/>
  <c r="AG6" i="30"/>
  <c r="I28" i="30"/>
  <c r="AH28" i="30" s="1"/>
  <c r="AG28" i="30"/>
  <c r="I29" i="30"/>
  <c r="AH29" i="30" s="1"/>
  <c r="AG29" i="30"/>
  <c r="I47" i="30"/>
  <c r="AH47" i="30" s="1"/>
  <c r="AG47" i="30"/>
  <c r="I22" i="30"/>
  <c r="AH22" i="30" s="1"/>
  <c r="AG22" i="30"/>
  <c r="I63" i="49"/>
  <c r="AH63" i="49" s="1"/>
  <c r="AG63" i="49"/>
  <c r="I33" i="49"/>
  <c r="AH33" i="49" s="1"/>
  <c r="AG33" i="49"/>
  <c r="I59" i="49"/>
  <c r="AH59" i="49" s="1"/>
  <c r="AG59" i="49"/>
  <c r="I10" i="49"/>
  <c r="AH10" i="49" s="1"/>
  <c r="AG10" i="49"/>
  <c r="I39" i="49"/>
  <c r="AH39" i="49" s="1"/>
  <c r="AG39" i="49"/>
  <c r="I53" i="30"/>
  <c r="AH53" i="30" s="1"/>
  <c r="AG53" i="30"/>
  <c r="I42" i="32"/>
  <c r="AH42" i="32" s="1"/>
  <c r="AG42" i="32"/>
  <c r="I72" i="32"/>
  <c r="AH72" i="32" s="1"/>
  <c r="AG72" i="32"/>
  <c r="I78" i="49"/>
  <c r="AH78" i="49" s="1"/>
  <c r="AG78" i="49"/>
  <c r="I66" i="49"/>
  <c r="AH66" i="49" s="1"/>
  <c r="AG66" i="49"/>
  <c r="I65" i="49"/>
  <c r="AH65" i="49" s="1"/>
  <c r="AG65" i="49"/>
  <c r="I79" i="32"/>
  <c r="AH79" i="32" s="1"/>
  <c r="AG79" i="32"/>
  <c r="I80" i="32"/>
  <c r="AH80" i="32" s="1"/>
  <c r="AG80" i="32"/>
  <c r="I22" i="49"/>
  <c r="AH22" i="49" s="1"/>
  <c r="AG22" i="49"/>
  <c r="I5" i="49"/>
  <c r="AH5" i="49" s="1"/>
  <c r="AG5" i="49"/>
  <c r="I46" i="49"/>
  <c r="AH46" i="49" s="1"/>
  <c r="AG46" i="49"/>
  <c r="I32" i="32"/>
  <c r="AH32" i="32" s="1"/>
  <c r="AG32" i="32"/>
  <c r="I76" i="32"/>
  <c r="AH76" i="32" s="1"/>
  <c r="AG76" i="32"/>
  <c r="I19" i="49"/>
  <c r="AH19" i="49" s="1"/>
  <c r="AG19" i="49"/>
  <c r="I39" i="32"/>
  <c r="AH39" i="32" s="1"/>
  <c r="AG39" i="32"/>
  <c r="I23" i="32"/>
  <c r="AH23" i="32" s="1"/>
  <c r="AG23" i="32"/>
  <c r="I27" i="49"/>
  <c r="AH27" i="49" s="1"/>
  <c r="AG27" i="49"/>
  <c r="I63" i="30"/>
  <c r="AH63" i="30" s="1"/>
  <c r="AG63" i="30"/>
  <c r="I58" i="30"/>
  <c r="AH58" i="30" s="1"/>
  <c r="AG58" i="30"/>
  <c r="I61" i="30"/>
  <c r="AH61" i="30" s="1"/>
  <c r="AG61" i="30"/>
  <c r="I30" i="30"/>
  <c r="AH30" i="30" s="1"/>
  <c r="AG30" i="30"/>
  <c r="I20" i="30"/>
  <c r="AH20" i="30" s="1"/>
  <c r="AG20" i="30"/>
  <c r="I27" i="30"/>
  <c r="AH27" i="30" s="1"/>
  <c r="AG27" i="30"/>
  <c r="I52" i="30"/>
  <c r="AH52" i="30" s="1"/>
  <c r="AG52" i="30"/>
  <c r="I5" i="30"/>
  <c r="AH5" i="30" s="1"/>
  <c r="AG5" i="30"/>
  <c r="I18" i="30"/>
  <c r="AH18" i="30" s="1"/>
  <c r="AG18" i="30"/>
  <c r="I69" i="30"/>
  <c r="AH69" i="30" s="1"/>
  <c r="AG69" i="30"/>
  <c r="I26" i="32"/>
  <c r="AH26" i="32" s="1"/>
  <c r="AG26" i="32"/>
  <c r="I8" i="49"/>
  <c r="AH8" i="49" s="1"/>
  <c r="AG8" i="49"/>
  <c r="I15" i="49"/>
  <c r="AH15" i="49" s="1"/>
  <c r="AG15" i="49"/>
  <c r="I49" i="32"/>
  <c r="AH49" i="32" s="1"/>
  <c r="AG49" i="32"/>
  <c r="I11" i="32"/>
  <c r="AH11" i="32" s="1"/>
  <c r="AG11" i="32"/>
  <c r="I16" i="32"/>
  <c r="AH16" i="32" s="1"/>
  <c r="AG16" i="32"/>
  <c r="I41" i="49"/>
  <c r="AH41" i="49" s="1"/>
  <c r="AG41" i="49"/>
  <c r="I7" i="32"/>
  <c r="AH7" i="32" s="1"/>
  <c r="AG7" i="32"/>
  <c r="I41" i="32"/>
  <c r="AH41" i="32" s="1"/>
  <c r="AG41" i="32"/>
  <c r="I12" i="49"/>
  <c r="AH12" i="49" s="1"/>
  <c r="AG12" i="49"/>
  <c r="I18" i="49"/>
  <c r="AH18" i="49" s="1"/>
  <c r="I43" i="32"/>
  <c r="AH43" i="32" s="1"/>
  <c r="AG43" i="32"/>
  <c r="I61" i="32"/>
  <c r="AH61" i="32" s="1"/>
  <c r="AG61" i="32"/>
  <c r="I49" i="49"/>
  <c r="AH49" i="49" s="1"/>
  <c r="I53" i="32"/>
  <c r="AH53" i="32" s="1"/>
  <c r="AG53" i="32"/>
  <c r="I64" i="49"/>
  <c r="AH64" i="49" s="1"/>
  <c r="AG64" i="49"/>
  <c r="I8" i="32"/>
  <c r="AH8" i="32" s="1"/>
  <c r="AG8" i="32"/>
  <c r="I40" i="49"/>
  <c r="AH40" i="49" s="1"/>
  <c r="AG40" i="49"/>
  <c r="I77" i="32"/>
  <c r="AH77" i="32" s="1"/>
  <c r="AG77" i="32"/>
  <c r="I65" i="32"/>
  <c r="AH65" i="32" s="1"/>
  <c r="AG65" i="32"/>
  <c r="E49" i="48"/>
  <c r="E50" i="48" s="1"/>
  <c r="E51" i="48" s="1"/>
  <c r="G112" i="42"/>
  <c r="G18" i="40" s="1"/>
  <c r="G19" i="40" s="1"/>
  <c r="D44" i="48"/>
  <c r="D60" i="48" s="1"/>
  <c r="E36" i="48"/>
  <c r="E37" i="48" s="1"/>
  <c r="E38" i="48" s="1"/>
  <c r="E39" i="48" s="1"/>
  <c r="E40" i="48" s="1"/>
  <c r="E41" i="48" s="1"/>
  <c r="E59" i="48" s="1"/>
  <c r="I11" i="50"/>
  <c r="AH11" i="50" s="1"/>
  <c r="I43" i="50"/>
  <c r="AH43" i="50" s="1"/>
  <c r="I72" i="50"/>
  <c r="AH72" i="50" s="1"/>
  <c r="I82" i="50"/>
  <c r="AH82" i="50" s="1"/>
  <c r="I78" i="50"/>
  <c r="AH78" i="50" s="1"/>
  <c r="I31" i="50"/>
  <c r="AH31" i="50" s="1"/>
  <c r="I79" i="50"/>
  <c r="AH79" i="50" s="1"/>
  <c r="I58" i="50"/>
  <c r="AH58" i="50" s="1"/>
  <c r="I59" i="50"/>
  <c r="AH59" i="50" s="1"/>
  <c r="I45" i="50"/>
  <c r="AH45" i="50" s="1"/>
  <c r="I28" i="50"/>
  <c r="AH28" i="50" s="1"/>
  <c r="I12" i="50"/>
  <c r="AH12" i="50" s="1"/>
  <c r="I69" i="50"/>
  <c r="AH69" i="50" s="1"/>
  <c r="I68" i="50"/>
  <c r="AH68" i="50" s="1"/>
  <c r="I4" i="50"/>
  <c r="AH4" i="50" s="1"/>
  <c r="I81" i="50"/>
  <c r="AH81" i="50" s="1"/>
  <c r="I57" i="50"/>
  <c r="AH57" i="50" s="1"/>
  <c r="I77" i="50"/>
  <c r="AH77" i="50" s="1"/>
  <c r="I33" i="50"/>
  <c r="AH33" i="50" s="1"/>
  <c r="I61" i="50"/>
  <c r="AH61" i="50" s="1"/>
  <c r="I10" i="50"/>
  <c r="AH10" i="50" s="1"/>
  <c r="I17" i="50"/>
  <c r="AH17" i="50" s="1"/>
  <c r="I35" i="50"/>
  <c r="AH35" i="50" s="1"/>
  <c r="I66" i="50"/>
  <c r="AH66" i="50" s="1"/>
  <c r="I56" i="50"/>
  <c r="AH56" i="50" s="1"/>
  <c r="I55" i="50"/>
  <c r="AH55" i="50" s="1"/>
  <c r="I64" i="50"/>
  <c r="AH64" i="50" s="1"/>
  <c r="I73" i="50"/>
  <c r="AH73" i="50" s="1"/>
  <c r="I80" i="50"/>
  <c r="AH80" i="50" s="1"/>
  <c r="I54" i="50"/>
  <c r="AH54" i="50" s="1"/>
  <c r="I65" i="50"/>
  <c r="AH65" i="50" s="1"/>
  <c r="I30" i="50"/>
  <c r="AH30" i="50" s="1"/>
  <c r="I29" i="50"/>
  <c r="AH29" i="50" s="1"/>
  <c r="I9" i="50"/>
  <c r="AH9" i="50" s="1"/>
  <c r="I18" i="50"/>
  <c r="AH18" i="50" s="1"/>
  <c r="I7" i="50"/>
  <c r="AH7" i="50" s="1"/>
  <c r="I6" i="50"/>
  <c r="AH6" i="50" s="1"/>
  <c r="I44" i="50"/>
  <c r="AH44" i="50" s="1"/>
  <c r="I76" i="50"/>
  <c r="AH76" i="50" s="1"/>
  <c r="I50" i="50"/>
  <c r="AH50" i="50" s="1"/>
  <c r="I67" i="50"/>
  <c r="AH67" i="50" s="1"/>
  <c r="I21" i="50"/>
  <c r="AH21" i="50" s="1"/>
  <c r="I71" i="50"/>
  <c r="AH71" i="50" s="1"/>
  <c r="I49" i="50"/>
  <c r="AH49" i="50" s="1"/>
  <c r="I14" i="50"/>
  <c r="AH14" i="50" s="1"/>
  <c r="I26" i="50"/>
  <c r="AH26" i="50" s="1"/>
  <c r="I47" i="50"/>
  <c r="AH47" i="50" s="1"/>
  <c r="I75" i="50"/>
  <c r="AH75" i="50" s="1"/>
  <c r="I63" i="50"/>
  <c r="AH63" i="50" s="1"/>
  <c r="I51" i="50"/>
  <c r="AH51" i="50" s="1"/>
  <c r="I20" i="50"/>
  <c r="AH20" i="50" s="1"/>
  <c r="I23" i="50"/>
  <c r="AH23" i="50" s="1"/>
  <c r="I32" i="50"/>
  <c r="AH32" i="50" s="1"/>
  <c r="I39" i="50"/>
  <c r="AH39" i="50" s="1"/>
  <c r="I27" i="50"/>
  <c r="AH27" i="50" s="1"/>
  <c r="I60" i="50"/>
  <c r="AH60" i="50" s="1"/>
  <c r="I84" i="50"/>
  <c r="AH84" i="50" s="1"/>
  <c r="I62" i="50"/>
  <c r="AH62" i="50" s="1"/>
  <c r="I15" i="50"/>
  <c r="AH15" i="50" s="1"/>
  <c r="I53" i="50"/>
  <c r="AH53" i="50" s="1"/>
  <c r="I34" i="50"/>
  <c r="AH34" i="50" s="1"/>
  <c r="I16" i="50"/>
  <c r="AH16" i="50" s="1"/>
  <c r="I48" i="50"/>
  <c r="AH48" i="50" s="1"/>
  <c r="I13" i="50"/>
  <c r="AH13" i="50" s="1"/>
  <c r="I41" i="50"/>
  <c r="AH41" i="50" s="1"/>
  <c r="I38" i="50"/>
  <c r="AH38" i="50" s="1"/>
  <c r="I37" i="50"/>
  <c r="AH37" i="50" s="1"/>
  <c r="I36" i="50"/>
  <c r="AH36" i="50" s="1"/>
  <c r="I42" i="50"/>
  <c r="AH42" i="50" s="1"/>
  <c r="I70" i="50"/>
  <c r="AH70" i="50" s="1"/>
  <c r="I5" i="50"/>
  <c r="AH5" i="50" s="1"/>
  <c r="I83" i="50"/>
  <c r="AH83" i="50" s="1"/>
  <c r="I22" i="50"/>
  <c r="AH22" i="50" s="1"/>
  <c r="I74" i="50"/>
  <c r="AH74" i="50" s="1"/>
  <c r="I46" i="50"/>
  <c r="AH46" i="50" s="1"/>
  <c r="I19" i="50"/>
  <c r="AH19" i="50" s="1"/>
  <c r="I40" i="50"/>
  <c r="AH40" i="50" s="1"/>
  <c r="I52" i="50"/>
  <c r="AH52" i="50" s="1"/>
  <c r="I25" i="50"/>
  <c r="AH25" i="50" s="1"/>
  <c r="I24" i="50"/>
  <c r="AH24" i="50" s="1"/>
  <c r="I8" i="50"/>
  <c r="AH8" i="50" s="1"/>
  <c r="C56" i="48"/>
  <c r="C62" i="48" s="1"/>
  <c r="C60" i="48"/>
  <c r="E20" i="48"/>
  <c r="E21" i="48" s="1"/>
  <c r="E22" i="48" s="1"/>
  <c r="G113" i="42"/>
  <c r="G47" i="40" s="1"/>
  <c r="G48" i="40" s="1"/>
  <c r="F47" i="40"/>
  <c r="F48" i="40" s="1"/>
  <c r="G47" i="39"/>
  <c r="G48" i="39" s="1"/>
  <c r="F47" i="39"/>
  <c r="F48" i="39" s="1"/>
  <c r="G113" i="33"/>
  <c r="G47" i="34" s="1"/>
  <c r="G48" i="34" s="1"/>
  <c r="F47" i="34"/>
  <c r="F48" i="34" s="1"/>
  <c r="E36" i="34"/>
  <c r="E37" i="34" s="1"/>
  <c r="E36" i="39"/>
  <c r="E37" i="39" s="1"/>
  <c r="I70" i="37"/>
  <c r="AH70" i="37" s="1"/>
  <c r="I55" i="38"/>
  <c r="AH55" i="38" s="1"/>
  <c r="I78" i="38"/>
  <c r="AH78" i="38" s="1"/>
  <c r="I36" i="38"/>
  <c r="AH36" i="38" s="1"/>
  <c r="I20" i="37"/>
  <c r="AH20" i="37" s="1"/>
  <c r="I26" i="38"/>
  <c r="AH26" i="38" s="1"/>
  <c r="I29" i="38"/>
  <c r="AH29" i="38" s="1"/>
  <c r="I51" i="36"/>
  <c r="AH51" i="36" s="1"/>
  <c r="I12" i="36"/>
  <c r="AH12" i="36" s="1"/>
  <c r="I30" i="37"/>
  <c r="AH30" i="37" s="1"/>
  <c r="I15" i="38"/>
  <c r="AH15" i="38" s="1"/>
  <c r="I22" i="36"/>
  <c r="AH22" i="36" s="1"/>
  <c r="I34" i="36"/>
  <c r="AH34" i="36" s="1"/>
  <c r="I54" i="36"/>
  <c r="AH54" i="36" s="1"/>
  <c r="I36" i="37"/>
  <c r="AH36" i="37" s="1"/>
  <c r="I48" i="37"/>
  <c r="AH48" i="37" s="1"/>
  <c r="I50" i="38"/>
  <c r="AH50" i="38" s="1"/>
  <c r="I49" i="38"/>
  <c r="AH49" i="38" s="1"/>
  <c r="I39" i="37"/>
  <c r="AH39" i="37" s="1"/>
  <c r="I4" i="38"/>
  <c r="AH4" i="38" s="1"/>
  <c r="I70" i="38"/>
  <c r="AH70" i="38" s="1"/>
  <c r="I9" i="37"/>
  <c r="AH9" i="37" s="1"/>
  <c r="I17" i="36"/>
  <c r="AH17" i="36" s="1"/>
  <c r="I38" i="37"/>
  <c r="AH38" i="37" s="1"/>
  <c r="I71" i="37"/>
  <c r="AH71" i="37" s="1"/>
  <c r="I35" i="36"/>
  <c r="AH35" i="36" s="1"/>
  <c r="I43" i="36"/>
  <c r="AH43" i="36" s="1"/>
  <c r="I80" i="36"/>
  <c r="AH80" i="36" s="1"/>
  <c r="I22" i="37"/>
  <c r="AH22" i="37" s="1"/>
  <c r="I69" i="37"/>
  <c r="AH69" i="37" s="1"/>
  <c r="I34" i="38"/>
  <c r="AH34" i="38" s="1"/>
  <c r="I52" i="38"/>
  <c r="AH52" i="38" s="1"/>
  <c r="I31" i="38"/>
  <c r="AH31" i="38" s="1"/>
  <c r="I7" i="37"/>
  <c r="AH7" i="37" s="1"/>
  <c r="I80" i="38"/>
  <c r="AH80" i="38" s="1"/>
  <c r="I76" i="38"/>
  <c r="AH76" i="38" s="1"/>
  <c r="I59" i="38"/>
  <c r="AH59" i="38" s="1"/>
  <c r="I58" i="36"/>
  <c r="AH58" i="36" s="1"/>
  <c r="I14" i="37"/>
  <c r="AH14" i="37" s="1"/>
  <c r="I22" i="38"/>
  <c r="AH22" i="38" s="1"/>
  <c r="I66" i="36"/>
  <c r="AH66" i="36" s="1"/>
  <c r="I76" i="36"/>
  <c r="AH76" i="36" s="1"/>
  <c r="I10" i="37"/>
  <c r="AH10" i="37" s="1"/>
  <c r="I63" i="37"/>
  <c r="AH63" i="37" s="1"/>
  <c r="I68" i="36"/>
  <c r="AH68" i="36" s="1"/>
  <c r="I18" i="37"/>
  <c r="AH18" i="37" s="1"/>
  <c r="I35" i="38"/>
  <c r="AH35" i="38" s="1"/>
  <c r="I57" i="38"/>
  <c r="AH57" i="38" s="1"/>
  <c r="I46" i="37"/>
  <c r="AH46" i="37" s="1"/>
  <c r="I43" i="38"/>
  <c r="AH43" i="38" s="1"/>
  <c r="I10" i="38"/>
  <c r="AH10" i="38" s="1"/>
  <c r="I5" i="36"/>
  <c r="AH5" i="36" s="1"/>
  <c r="I11" i="36"/>
  <c r="AH11" i="36" s="1"/>
  <c r="I8" i="37"/>
  <c r="AH8" i="37" s="1"/>
  <c r="I21" i="38"/>
  <c r="AH21" i="38" s="1"/>
  <c r="I78" i="36"/>
  <c r="AH78" i="36" s="1"/>
  <c r="I57" i="36"/>
  <c r="AH57" i="36" s="1"/>
  <c r="I50" i="36"/>
  <c r="AH50" i="36" s="1"/>
  <c r="I52" i="37"/>
  <c r="AH52" i="37" s="1"/>
  <c r="I82" i="36"/>
  <c r="AH82" i="36" s="1"/>
  <c r="I64" i="37"/>
  <c r="AH64" i="37" s="1"/>
  <c r="I60" i="38"/>
  <c r="AH60" i="38" s="1"/>
  <c r="I58" i="38"/>
  <c r="AH58" i="38" s="1"/>
  <c r="I73" i="37"/>
  <c r="AH73" i="37" s="1"/>
  <c r="I50" i="37"/>
  <c r="AH50" i="37" s="1"/>
  <c r="I84" i="38"/>
  <c r="AH84" i="38" s="1"/>
  <c r="I82" i="38"/>
  <c r="AH82" i="38" s="1"/>
  <c r="I31" i="36"/>
  <c r="AH31" i="36" s="1"/>
  <c r="I55" i="37"/>
  <c r="AH55" i="37" s="1"/>
  <c r="I61" i="37"/>
  <c r="AH61" i="37" s="1"/>
  <c r="I38" i="36"/>
  <c r="AH38" i="36" s="1"/>
  <c r="I9" i="36"/>
  <c r="AH9" i="36" s="1"/>
  <c r="I49" i="36"/>
  <c r="AH49" i="36" s="1"/>
  <c r="I32" i="37"/>
  <c r="AH32" i="37" s="1"/>
  <c r="I54" i="37"/>
  <c r="AH54" i="37" s="1"/>
  <c r="I16" i="37"/>
  <c r="AH16" i="37" s="1"/>
  <c r="I75" i="36"/>
  <c r="AH75" i="36" s="1"/>
  <c r="I68" i="37"/>
  <c r="AH68" i="37" s="1"/>
  <c r="I75" i="38"/>
  <c r="AH75" i="38" s="1"/>
  <c r="I61" i="38"/>
  <c r="AH61" i="38" s="1"/>
  <c r="I13" i="38"/>
  <c r="AH13" i="38" s="1"/>
  <c r="I25" i="37"/>
  <c r="AH25" i="37" s="1"/>
  <c r="I48" i="38"/>
  <c r="AH48" i="38" s="1"/>
  <c r="I60" i="36"/>
  <c r="AH60" i="36" s="1"/>
  <c r="I46" i="38"/>
  <c r="AH46" i="38" s="1"/>
  <c r="I16" i="36"/>
  <c r="AH16" i="36" s="1"/>
  <c r="I53" i="37"/>
  <c r="AH53" i="37" s="1"/>
  <c r="I20" i="36"/>
  <c r="AH20" i="36" s="1"/>
  <c r="I70" i="36"/>
  <c r="AH70" i="36" s="1"/>
  <c r="I55" i="36"/>
  <c r="AH55" i="36" s="1"/>
  <c r="I56" i="37"/>
  <c r="AH56" i="37" s="1"/>
  <c r="I40" i="36"/>
  <c r="AH40" i="36" s="1"/>
  <c r="I43" i="37"/>
  <c r="AH43" i="37" s="1"/>
  <c r="I16" i="38"/>
  <c r="AH16" i="38" s="1"/>
  <c r="I25" i="38"/>
  <c r="AH25" i="38" s="1"/>
  <c r="I21" i="37"/>
  <c r="AH21" i="37" s="1"/>
  <c r="I19" i="37"/>
  <c r="AH19" i="37" s="1"/>
  <c r="I53" i="38"/>
  <c r="AH53" i="38" s="1"/>
  <c r="I61" i="36"/>
  <c r="AH61" i="36" s="1"/>
  <c r="I19" i="36"/>
  <c r="AH19" i="36" s="1"/>
  <c r="I62" i="36"/>
  <c r="AH62" i="36" s="1"/>
  <c r="I12" i="37"/>
  <c r="AH12" i="37" s="1"/>
  <c r="I81" i="36"/>
  <c r="AH81" i="36" s="1"/>
  <c r="I8" i="36"/>
  <c r="AH8" i="36" s="1"/>
  <c r="I79" i="36"/>
  <c r="AH79" i="36" s="1"/>
  <c r="I41" i="37"/>
  <c r="AH41" i="37" s="1"/>
  <c r="I21" i="36"/>
  <c r="AH21" i="36" s="1"/>
  <c r="I42" i="37"/>
  <c r="AH42" i="37" s="1"/>
  <c r="I65" i="37"/>
  <c r="AH65" i="37" s="1"/>
  <c r="I17" i="38"/>
  <c r="AH17" i="38" s="1"/>
  <c r="I83" i="38"/>
  <c r="AH83" i="38" s="1"/>
  <c r="I24" i="38"/>
  <c r="AH24" i="38" s="1"/>
  <c r="I44" i="37"/>
  <c r="AH44" i="37" s="1"/>
  <c r="I19" i="38"/>
  <c r="AH19" i="38" s="1"/>
  <c r="I63" i="38"/>
  <c r="AH63" i="38" s="1"/>
  <c r="I13" i="36"/>
  <c r="AH13" i="36" s="1"/>
  <c r="I78" i="37"/>
  <c r="AH78" i="37" s="1"/>
  <c r="I64" i="36"/>
  <c r="AH64" i="36" s="1"/>
  <c r="I4" i="36"/>
  <c r="AH4" i="36" s="1"/>
  <c r="I5" i="37"/>
  <c r="AH5" i="37" s="1"/>
  <c r="I67" i="37"/>
  <c r="AH67" i="37" s="1"/>
  <c r="I23" i="37"/>
  <c r="AH23" i="37" s="1"/>
  <c r="I62" i="37"/>
  <c r="AH62" i="37" s="1"/>
  <c r="I11" i="37"/>
  <c r="AH11" i="37" s="1"/>
  <c r="I7" i="38"/>
  <c r="AH7" i="38" s="1"/>
  <c r="I45" i="38"/>
  <c r="AH45" i="38" s="1"/>
  <c r="I77" i="38"/>
  <c r="AH77" i="38" s="1"/>
  <c r="I8" i="38"/>
  <c r="AH8" i="38" s="1"/>
  <c r="I30" i="38"/>
  <c r="AH30" i="38" s="1"/>
  <c r="I27" i="37"/>
  <c r="AH27" i="37" s="1"/>
  <c r="I33" i="37"/>
  <c r="AH33" i="37" s="1"/>
  <c r="I81" i="38"/>
  <c r="AH81" i="38" s="1"/>
  <c r="I67" i="38"/>
  <c r="AH67" i="38" s="1"/>
  <c r="I5" i="38"/>
  <c r="AH5" i="38" s="1"/>
  <c r="I41" i="36"/>
  <c r="AH41" i="36" s="1"/>
  <c r="I37" i="38"/>
  <c r="AH37" i="38" s="1"/>
  <c r="I69" i="36"/>
  <c r="AH69" i="36" s="1"/>
  <c r="I7" i="36"/>
  <c r="AH7" i="36" s="1"/>
  <c r="I48" i="36"/>
  <c r="AH48" i="36" s="1"/>
  <c r="I34" i="37"/>
  <c r="AH34" i="37" s="1"/>
  <c r="I74" i="37"/>
  <c r="AH74" i="37" s="1"/>
  <c r="I51" i="38"/>
  <c r="AH51" i="38" s="1"/>
  <c r="I15" i="36"/>
  <c r="AH15" i="36" s="1"/>
  <c r="I84" i="36"/>
  <c r="AH84" i="36" s="1"/>
  <c r="I73" i="36"/>
  <c r="AH73" i="36" s="1"/>
  <c r="I23" i="36"/>
  <c r="AH23" i="36" s="1"/>
  <c r="I45" i="36"/>
  <c r="AH45" i="36" s="1"/>
  <c r="I13" i="37"/>
  <c r="AH13" i="37" s="1"/>
  <c r="I79" i="37"/>
  <c r="AH79" i="37" s="1"/>
  <c r="I67" i="36"/>
  <c r="AH67" i="36" s="1"/>
  <c r="I83" i="36"/>
  <c r="AH83" i="36" s="1"/>
  <c r="I25" i="36"/>
  <c r="AH25" i="36" s="1"/>
  <c r="I76" i="37"/>
  <c r="AH76" i="37" s="1"/>
  <c r="I37" i="37"/>
  <c r="AH37" i="37" s="1"/>
  <c r="I42" i="38"/>
  <c r="AH42" i="38" s="1"/>
  <c r="I33" i="38"/>
  <c r="AH33" i="38" s="1"/>
  <c r="I12" i="38"/>
  <c r="AH12" i="38" s="1"/>
  <c r="I6" i="38"/>
  <c r="AH6" i="38" s="1"/>
  <c r="I32" i="38"/>
  <c r="AH32" i="38" s="1"/>
  <c r="I66" i="37"/>
  <c r="AH66" i="37" s="1"/>
  <c r="I29" i="37"/>
  <c r="AH29" i="37" s="1"/>
  <c r="I31" i="37"/>
  <c r="AH31" i="37" s="1"/>
  <c r="I41" i="38"/>
  <c r="AH41" i="38" s="1"/>
  <c r="I23" i="38"/>
  <c r="AH23" i="38" s="1"/>
  <c r="I11" i="38"/>
  <c r="AH11" i="38" s="1"/>
  <c r="I42" i="36"/>
  <c r="AH42" i="36" s="1"/>
  <c r="I40" i="38"/>
  <c r="AH40" i="38" s="1"/>
  <c r="I77" i="36"/>
  <c r="AH77" i="36" s="1"/>
  <c r="I63" i="36"/>
  <c r="AH63" i="36" s="1"/>
  <c r="I74" i="36"/>
  <c r="AH74" i="36" s="1"/>
  <c r="I15" i="37"/>
  <c r="AH15" i="37" s="1"/>
  <c r="I80" i="37"/>
  <c r="AH80" i="37" s="1"/>
  <c r="I47" i="38"/>
  <c r="AH47" i="38" s="1"/>
  <c r="I52" i="36"/>
  <c r="AH52" i="36" s="1"/>
  <c r="I33" i="36"/>
  <c r="AH33" i="36" s="1"/>
  <c r="I14" i="36"/>
  <c r="AH14" i="36" s="1"/>
  <c r="I36" i="36"/>
  <c r="AH36" i="36" s="1"/>
  <c r="I26" i="36"/>
  <c r="AH26" i="36" s="1"/>
  <c r="I4" i="37"/>
  <c r="AH4" i="37" s="1"/>
  <c r="I47" i="37"/>
  <c r="AH47" i="37" s="1"/>
  <c r="I81" i="37"/>
  <c r="AH81" i="37" s="1"/>
  <c r="I77" i="37"/>
  <c r="AH77" i="37" s="1"/>
  <c r="I75" i="37"/>
  <c r="AH75" i="37" s="1"/>
  <c r="I38" i="38"/>
  <c r="AH38" i="38" s="1"/>
  <c r="I66" i="38"/>
  <c r="AH66" i="38" s="1"/>
  <c r="I72" i="38"/>
  <c r="AH72" i="38" s="1"/>
  <c r="I71" i="38"/>
  <c r="AH71" i="38" s="1"/>
  <c r="I73" i="38"/>
  <c r="AH73" i="38" s="1"/>
  <c r="I69" i="38"/>
  <c r="AH69" i="38" s="1"/>
  <c r="I17" i="37"/>
  <c r="AH17" i="37" s="1"/>
  <c r="I26" i="37"/>
  <c r="AH26" i="37" s="1"/>
  <c r="I18" i="38"/>
  <c r="AH18" i="38" s="1"/>
  <c r="I20" i="38"/>
  <c r="AH20" i="38" s="1"/>
  <c r="I65" i="38"/>
  <c r="AH65" i="38" s="1"/>
  <c r="I53" i="36"/>
  <c r="AH53" i="36" s="1"/>
  <c r="I60" i="37"/>
  <c r="AH60" i="37" s="1"/>
  <c r="I27" i="38"/>
  <c r="AH27" i="38" s="1"/>
  <c r="I72" i="36"/>
  <c r="AH72" i="36" s="1"/>
  <c r="I30" i="36"/>
  <c r="AH30" i="36" s="1"/>
  <c r="I51" i="37"/>
  <c r="AH51" i="37" s="1"/>
  <c r="I6" i="37"/>
  <c r="AH6" i="37" s="1"/>
  <c r="I57" i="37"/>
  <c r="AH57" i="37" s="1"/>
  <c r="I14" i="38"/>
  <c r="AH14" i="38" s="1"/>
  <c r="I29" i="36"/>
  <c r="AH29" i="36" s="1"/>
  <c r="I18" i="36"/>
  <c r="AH18" i="36" s="1"/>
  <c r="I44" i="36"/>
  <c r="AH44" i="36" s="1"/>
  <c r="I71" i="36"/>
  <c r="AH71" i="36" s="1"/>
  <c r="I6" i="36"/>
  <c r="AH6" i="36" s="1"/>
  <c r="I49" i="37"/>
  <c r="AH49" i="37" s="1"/>
  <c r="I84" i="37"/>
  <c r="AH84" i="37" s="1"/>
  <c r="I27" i="36"/>
  <c r="AH27" i="36" s="1"/>
  <c r="I37" i="36"/>
  <c r="AH37" i="36" s="1"/>
  <c r="I47" i="36"/>
  <c r="AH47" i="36" s="1"/>
  <c r="I24" i="37"/>
  <c r="AH24" i="37" s="1"/>
  <c r="I83" i="37"/>
  <c r="AH83" i="37" s="1"/>
  <c r="I62" i="38"/>
  <c r="AH62" i="38" s="1"/>
  <c r="I64" i="38"/>
  <c r="AH64" i="38" s="1"/>
  <c r="I44" i="38"/>
  <c r="AH44" i="38" s="1"/>
  <c r="I54" i="38"/>
  <c r="AH54" i="38" s="1"/>
  <c r="I28" i="38"/>
  <c r="AH28" i="38" s="1"/>
  <c r="I72" i="37"/>
  <c r="AH72" i="37" s="1"/>
  <c r="I40" i="37"/>
  <c r="AH40" i="37" s="1"/>
  <c r="I59" i="37"/>
  <c r="AH59" i="37" s="1"/>
  <c r="I79" i="38"/>
  <c r="AH79" i="38" s="1"/>
  <c r="I56" i="38"/>
  <c r="AH56" i="38" s="1"/>
  <c r="I39" i="38"/>
  <c r="AH39" i="38" s="1"/>
  <c r="I65" i="36"/>
  <c r="AH65" i="36" s="1"/>
  <c r="I9" i="38"/>
  <c r="AH9" i="38" s="1"/>
  <c r="I46" i="36"/>
  <c r="AH46" i="36" s="1"/>
  <c r="I56" i="36"/>
  <c r="AH56" i="36" s="1"/>
  <c r="I59" i="36"/>
  <c r="AH59" i="36" s="1"/>
  <c r="I45" i="37"/>
  <c r="AH45" i="37" s="1"/>
  <c r="I82" i="37"/>
  <c r="AH82" i="37" s="1"/>
  <c r="I35" i="37"/>
  <c r="AH35" i="37" s="1"/>
  <c r="I74" i="38"/>
  <c r="AH74" i="38" s="1"/>
  <c r="I24" i="36"/>
  <c r="AH24" i="36" s="1"/>
  <c r="I32" i="36"/>
  <c r="AH32" i="36" s="1"/>
  <c r="I10" i="36"/>
  <c r="AH10" i="36" s="1"/>
  <c r="I39" i="36"/>
  <c r="AH39" i="36" s="1"/>
  <c r="I28" i="36"/>
  <c r="AH28" i="36" s="1"/>
  <c r="I58" i="37"/>
  <c r="AH58" i="37" s="1"/>
  <c r="I28" i="37"/>
  <c r="AH28" i="37" s="1"/>
  <c r="I68" i="38"/>
  <c r="AH68" i="38" s="1"/>
  <c r="G36" i="17"/>
  <c r="G37" i="17" s="1"/>
  <c r="F36" i="17"/>
  <c r="F37" i="17" s="1"/>
  <c r="F49" i="48" l="1"/>
  <c r="F50" i="48" s="1"/>
  <c r="F51" i="48" s="1"/>
  <c r="G49" i="48"/>
  <c r="G50" i="48" s="1"/>
  <c r="G51" i="48" s="1"/>
  <c r="D56" i="48"/>
  <c r="D62" i="48" s="1"/>
  <c r="E44" i="48"/>
  <c r="E56" i="48" s="1"/>
  <c r="E62" i="48" s="1"/>
  <c r="G36" i="48"/>
  <c r="G37" i="48" s="1"/>
  <c r="G38" i="48" s="1"/>
  <c r="G39" i="48" s="1"/>
  <c r="G40" i="48" s="1"/>
  <c r="G41" i="48" s="1"/>
  <c r="G59" i="48" s="1"/>
  <c r="F36" i="48"/>
  <c r="F37" i="48" s="1"/>
  <c r="F38" i="48" s="1"/>
  <c r="F39" i="48" s="1"/>
  <c r="F40" i="48" s="1"/>
  <c r="F41" i="48" s="1"/>
  <c r="F59" i="48" s="1"/>
  <c r="E29" i="48"/>
  <c r="F20" i="48"/>
  <c r="F21" i="48" s="1"/>
  <c r="F22" i="48" s="1"/>
  <c r="F29" i="48" s="1"/>
  <c r="G20" i="48"/>
  <c r="G21" i="48" s="1"/>
  <c r="G22" i="48" s="1"/>
  <c r="C20" i="40"/>
  <c r="C21" i="40" s="1"/>
  <c r="C22" i="40" s="1"/>
  <c r="F36" i="39"/>
  <c r="F37" i="39" s="1"/>
  <c r="F36" i="40"/>
  <c r="F37" i="40" s="1"/>
  <c r="F36" i="34"/>
  <c r="F37" i="34" s="1"/>
  <c r="G36" i="40"/>
  <c r="G37" i="40" s="1"/>
  <c r="G36" i="34"/>
  <c r="G37" i="34" s="1"/>
  <c r="C49" i="40"/>
  <c r="C50" i="40" s="1"/>
  <c r="C51" i="40" s="1"/>
  <c r="C38" i="40"/>
  <c r="C39" i="40" s="1"/>
  <c r="C40" i="40" s="1"/>
  <c r="C41" i="40" s="1"/>
  <c r="C49" i="34"/>
  <c r="C38" i="34"/>
  <c r="C20" i="34"/>
  <c r="E60" i="48" l="1"/>
  <c r="G44" i="48"/>
  <c r="G56" i="48" s="1"/>
  <c r="G62" i="48" s="1"/>
  <c r="G36" i="39"/>
  <c r="G37" i="39" s="1"/>
  <c r="F44" i="48"/>
  <c r="F56" i="48" s="1"/>
  <c r="F62" i="48" s="1"/>
  <c r="G29" i="48"/>
  <c r="D20" i="40"/>
  <c r="D21" i="40" s="1"/>
  <c r="D22" i="40" s="1"/>
  <c r="D49" i="40"/>
  <c r="D50" i="40" s="1"/>
  <c r="D51" i="40" s="1"/>
  <c r="D38" i="40"/>
  <c r="D39" i="40" s="1"/>
  <c r="D40" i="40" s="1"/>
  <c r="D41" i="40" s="1"/>
  <c r="C59" i="40"/>
  <c r="C29" i="40"/>
  <c r="C44" i="40"/>
  <c r="C60" i="40" s="1"/>
  <c r="D49" i="34"/>
  <c r="D38" i="34"/>
  <c r="D20" i="34"/>
  <c r="G60" i="48" l="1"/>
  <c r="F60" i="48"/>
  <c r="D59" i="40"/>
  <c r="E20" i="40"/>
  <c r="E21" i="40" s="1"/>
  <c r="E22" i="40" s="1"/>
  <c r="E49" i="40"/>
  <c r="E50" i="40" s="1"/>
  <c r="E51" i="40" s="1"/>
  <c r="E38" i="40"/>
  <c r="E39" i="40" s="1"/>
  <c r="E40" i="40" s="1"/>
  <c r="E41" i="40" s="1"/>
  <c r="C56" i="40"/>
  <c r="C62" i="40" s="1"/>
  <c r="D29" i="40"/>
  <c r="D44" i="40"/>
  <c r="D60" i="40" s="1"/>
  <c r="E38" i="34"/>
  <c r="E49" i="34"/>
  <c r="E20" i="34"/>
  <c r="D56" i="40" l="1"/>
  <c r="D62" i="40" s="1"/>
  <c r="E59" i="40"/>
  <c r="G20" i="40"/>
  <c r="G21" i="40" s="1"/>
  <c r="G22" i="40" s="1"/>
  <c r="G49" i="40"/>
  <c r="G50" i="40" s="1"/>
  <c r="G51" i="40" s="1"/>
  <c r="G38" i="40"/>
  <c r="G39" i="40" s="1"/>
  <c r="G40" i="40" s="1"/>
  <c r="G41" i="40" s="1"/>
  <c r="F20" i="40"/>
  <c r="F21" i="40" s="1"/>
  <c r="F22" i="40" s="1"/>
  <c r="F49" i="40"/>
  <c r="F50" i="40" s="1"/>
  <c r="F51" i="40" s="1"/>
  <c r="F38" i="40"/>
  <c r="F39" i="40" s="1"/>
  <c r="F40" i="40" s="1"/>
  <c r="F41" i="40" s="1"/>
  <c r="E29" i="40"/>
  <c r="E44" i="40"/>
  <c r="E60" i="40" s="1"/>
  <c r="G49" i="34"/>
  <c r="G38" i="34"/>
  <c r="G20" i="34"/>
  <c r="F49" i="34"/>
  <c r="F38" i="34"/>
  <c r="F20" i="34"/>
  <c r="C21" i="34"/>
  <c r="C22" i="34" s="1"/>
  <c r="C39" i="34"/>
  <c r="C50" i="34"/>
  <c r="C51" i="34" s="1"/>
  <c r="C20" i="17" l="1"/>
  <c r="C21" i="17" s="1"/>
  <c r="C22" i="17" s="1"/>
  <c r="F29" i="40"/>
  <c r="F44" i="40"/>
  <c r="F60" i="40" s="1"/>
  <c r="G59" i="40"/>
  <c r="E56" i="40"/>
  <c r="E62" i="40" s="1"/>
  <c r="G29" i="40"/>
  <c r="G44" i="40"/>
  <c r="G60" i="40" s="1"/>
  <c r="F59" i="40"/>
  <c r="C40" i="34"/>
  <c r="C41" i="34" s="1"/>
  <c r="D39" i="34"/>
  <c r="C29" i="34"/>
  <c r="C49" i="17"/>
  <c r="C50" i="17" s="1"/>
  <c r="C51" i="17" s="1"/>
  <c r="D50" i="34"/>
  <c r="D51" i="34" s="1"/>
  <c r="D21" i="34"/>
  <c r="D22" i="34" s="1"/>
  <c r="C38" i="17"/>
  <c r="C39" i="17" s="1"/>
  <c r="C40" i="17" s="1"/>
  <c r="F56" i="40" l="1"/>
  <c r="F62" i="40" s="1"/>
  <c r="G56" i="40"/>
  <c r="G62" i="40" s="1"/>
  <c r="C41" i="17"/>
  <c r="C29" i="17"/>
  <c r="C59" i="34"/>
  <c r="C44" i="34"/>
  <c r="C60" i="34" s="1"/>
  <c r="D40" i="34"/>
  <c r="D41" i="34" s="1"/>
  <c r="D29" i="34"/>
  <c r="E39" i="34"/>
  <c r="E21" i="34"/>
  <c r="E22" i="34" s="1"/>
  <c r="E50" i="34"/>
  <c r="E51" i="34" s="1"/>
  <c r="C53" i="17"/>
  <c r="D20" i="17"/>
  <c r="D21" i="17" s="1"/>
  <c r="D22" i="17" s="1"/>
  <c r="D49" i="17"/>
  <c r="D50" i="17" s="1"/>
  <c r="E20" i="17"/>
  <c r="E21" i="17" s="1"/>
  <c r="E22" i="17" s="1"/>
  <c r="E49" i="17"/>
  <c r="E50" i="17" s="1"/>
  <c r="D38" i="17"/>
  <c r="D39" i="17" s="1"/>
  <c r="C59" i="17" l="1"/>
  <c r="D40" i="17"/>
  <c r="D41" i="17" s="1"/>
  <c r="C26" i="17"/>
  <c r="C30" i="17" s="1"/>
  <c r="C44" i="17"/>
  <c r="C60" i="17" s="1"/>
  <c r="C56" i="34"/>
  <c r="C62" i="34" s="1"/>
  <c r="D59" i="34"/>
  <c r="D44" i="34"/>
  <c r="D60" i="34" s="1"/>
  <c r="E40" i="34"/>
  <c r="E41" i="34" s="1"/>
  <c r="F39" i="34"/>
  <c r="F21" i="34"/>
  <c r="F22" i="34" s="1"/>
  <c r="F50" i="34"/>
  <c r="F51" i="34" s="1"/>
  <c r="E29" i="34"/>
  <c r="D51" i="17"/>
  <c r="E51" i="17"/>
  <c r="D29" i="17"/>
  <c r="D26" i="17"/>
  <c r="D30" i="17" s="1"/>
  <c r="E29" i="17"/>
  <c r="E26" i="17"/>
  <c r="E30" i="17" s="1"/>
  <c r="F49" i="17"/>
  <c r="F50" i="17" s="1"/>
  <c r="F20" i="17"/>
  <c r="F21" i="17" s="1"/>
  <c r="F22" i="17" s="1"/>
  <c r="E38" i="17"/>
  <c r="E39" i="17" s="1"/>
  <c r="C56" i="17" l="1"/>
  <c r="C62" i="17" s="1"/>
  <c r="D59" i="17"/>
  <c r="D44" i="17"/>
  <c r="D60" i="17" s="1"/>
  <c r="E40" i="17"/>
  <c r="E41" i="17" s="1"/>
  <c r="E59" i="34"/>
  <c r="E44" i="34"/>
  <c r="E60" i="34" s="1"/>
  <c r="F40" i="34"/>
  <c r="F41" i="34" s="1"/>
  <c r="D56" i="34"/>
  <c r="D62" i="34" s="1"/>
  <c r="G39" i="34"/>
  <c r="G21" i="34"/>
  <c r="G22" i="34" s="1"/>
  <c r="G50" i="34"/>
  <c r="G51" i="34" s="1"/>
  <c r="F29" i="34"/>
  <c r="C61" i="17"/>
  <c r="E53" i="17"/>
  <c r="E61" i="17" s="1"/>
  <c r="D53" i="17"/>
  <c r="D61" i="17" s="1"/>
  <c r="F51" i="17"/>
  <c r="F29" i="17"/>
  <c r="F26" i="17"/>
  <c r="F30" i="17" s="1"/>
  <c r="G20" i="17"/>
  <c r="G21" i="17" s="1"/>
  <c r="G22" i="17" s="1"/>
  <c r="G49" i="17"/>
  <c r="G50" i="17" s="1"/>
  <c r="F38" i="17"/>
  <c r="F39" i="17" s="1"/>
  <c r="D56" i="17" l="1"/>
  <c r="D62" i="17" s="1"/>
  <c r="E44" i="17"/>
  <c r="E60" i="17" s="1"/>
  <c r="E59" i="17"/>
  <c r="F40" i="17"/>
  <c r="F41" i="17" s="1"/>
  <c r="F44" i="34"/>
  <c r="F60" i="34" s="1"/>
  <c r="F59" i="34"/>
  <c r="G40" i="34"/>
  <c r="G41" i="34" s="1"/>
  <c r="E56" i="34"/>
  <c r="E62" i="34" s="1"/>
  <c r="G29" i="34"/>
  <c r="G51" i="17"/>
  <c r="F53" i="17"/>
  <c r="F61" i="17" s="1"/>
  <c r="G29" i="17"/>
  <c r="G26" i="17"/>
  <c r="G30" i="17" s="1"/>
  <c r="G38" i="17"/>
  <c r="G39" i="17" s="1"/>
  <c r="E56" i="17" l="1"/>
  <c r="E62" i="17" s="1"/>
  <c r="F59" i="17"/>
  <c r="F44" i="17"/>
  <c r="F60" i="17" s="1"/>
  <c r="G40" i="17"/>
  <c r="G41" i="17" s="1"/>
  <c r="F56" i="34"/>
  <c r="F62" i="34" s="1"/>
  <c r="G59" i="34"/>
  <c r="G44" i="34"/>
  <c r="G60" i="34" s="1"/>
  <c r="G53" i="17"/>
  <c r="G61" i="17" s="1"/>
  <c r="F56" i="17" l="1"/>
  <c r="F62" i="17" s="1"/>
  <c r="G44" i="17"/>
  <c r="G60" i="17" s="1"/>
  <c r="G59" i="17"/>
  <c r="G56" i="34"/>
  <c r="G62" i="34" s="1"/>
  <c r="G56" i="17" l="1"/>
  <c r="G62" i="17" s="1"/>
  <c r="C11" i="7" l="1"/>
  <c r="C12" i="7"/>
  <c r="C10" i="7"/>
  <c r="B187" i="47" l="1"/>
  <c r="B187" i="41"/>
  <c r="B187" i="18"/>
  <c r="B187" i="42"/>
  <c r="E52" i="48" l="1"/>
  <c r="E53" i="48" s="1"/>
  <c r="E61" i="48" s="1"/>
  <c r="E13" i="48"/>
  <c r="E26" i="48" s="1"/>
  <c r="E30" i="48" s="1"/>
  <c r="F52" i="39"/>
  <c r="F13" i="39"/>
  <c r="F52" i="48"/>
  <c r="F53" i="48" s="1"/>
  <c r="F61" i="48" s="1"/>
  <c r="F13" i="48"/>
  <c r="F26" i="48" s="1"/>
  <c r="F30" i="48" s="1"/>
  <c r="C52" i="40"/>
  <c r="C53" i="40" s="1"/>
  <c r="C61" i="40" s="1"/>
  <c r="C13" i="40"/>
  <c r="G52" i="48"/>
  <c r="G53" i="48" s="1"/>
  <c r="G61" i="48" s="1"/>
  <c r="G13" i="48"/>
  <c r="G26" i="48" s="1"/>
  <c r="G30" i="48" s="1"/>
  <c r="F52" i="40"/>
  <c r="F53" i="40" s="1"/>
  <c r="F61" i="40" s="1"/>
  <c r="F13" i="40"/>
  <c r="F26" i="40" s="1"/>
  <c r="F30" i="40" s="1"/>
  <c r="D52" i="39"/>
  <c r="D13" i="39"/>
  <c r="E52" i="39"/>
  <c r="E13" i="39"/>
  <c r="D52" i="40"/>
  <c r="D53" i="40" s="1"/>
  <c r="D61" i="40" s="1"/>
  <c r="D13" i="40"/>
  <c r="G52" i="40"/>
  <c r="G53" i="40" s="1"/>
  <c r="G61" i="40" s="1"/>
  <c r="G13" i="40"/>
  <c r="G26" i="40" s="1"/>
  <c r="G30" i="40" s="1"/>
  <c r="C52" i="39"/>
  <c r="C13" i="39"/>
  <c r="D52" i="48"/>
  <c r="D53" i="48" s="1"/>
  <c r="D61" i="48" s="1"/>
  <c r="D13" i="48"/>
  <c r="D26" i="48" s="1"/>
  <c r="D30" i="48" s="1"/>
  <c r="C52" i="48"/>
  <c r="C53" i="48" s="1"/>
  <c r="C61" i="48" s="1"/>
  <c r="C13" i="48"/>
  <c r="E52" i="40"/>
  <c r="E53" i="40" s="1"/>
  <c r="E61" i="40" s="1"/>
  <c r="E13" i="40"/>
  <c r="E26" i="40" s="1"/>
  <c r="E30" i="40" s="1"/>
  <c r="G52" i="39"/>
  <c r="G13" i="39"/>
  <c r="C26" i="40" l="1"/>
  <c r="C30" i="40" s="1"/>
  <c r="C26" i="48"/>
  <c r="C30" i="48" s="1"/>
  <c r="D26" i="40"/>
  <c r="D30" i="40" s="1"/>
  <c r="C9" i="7"/>
  <c r="B187" i="33" l="1"/>
  <c r="C52" i="34" l="1"/>
  <c r="C53" i="34" s="1"/>
  <c r="C61" i="34" s="1"/>
  <c r="C13" i="34"/>
  <c r="G52" i="34"/>
  <c r="G53" i="34" s="1"/>
  <c r="G61" i="34" s="1"/>
  <c r="G13" i="34"/>
  <c r="G26" i="34" s="1"/>
  <c r="G30" i="34" s="1"/>
  <c r="F52" i="34"/>
  <c r="F53" i="34" s="1"/>
  <c r="F61" i="34" s="1"/>
  <c r="F13" i="34"/>
  <c r="F26" i="34" s="1"/>
  <c r="F30" i="34" s="1"/>
  <c r="D52" i="34"/>
  <c r="D53" i="34" s="1"/>
  <c r="D61" i="34" s="1"/>
  <c r="D13" i="34"/>
  <c r="D26" i="34" s="1"/>
  <c r="D30" i="34" s="1"/>
  <c r="E52" i="34"/>
  <c r="E53" i="34" s="1"/>
  <c r="E61" i="34" s="1"/>
  <c r="E13" i="34"/>
  <c r="E26" i="34" s="1"/>
  <c r="E30" i="34" s="1"/>
  <c r="C26" i="34" l="1"/>
  <c r="C30" i="34" s="1"/>
  <c r="F16" i="31" l="1"/>
  <c r="AE16" i="31" s="1"/>
  <c r="F74" i="31"/>
  <c r="AE74" i="31" s="1"/>
  <c r="F26" i="31" l="1"/>
  <c r="AE26" i="31" s="1"/>
  <c r="F49" i="31"/>
  <c r="AE49" i="31" s="1"/>
  <c r="F33" i="31"/>
  <c r="AE33" i="31" s="1"/>
  <c r="F69" i="31"/>
  <c r="AE69" i="31" s="1"/>
  <c r="F44" i="31"/>
  <c r="F35" i="31"/>
  <c r="AE35" i="31" s="1"/>
  <c r="F27" i="31"/>
  <c r="AE27" i="31" s="1"/>
  <c r="F56" i="31"/>
  <c r="AE56" i="31" s="1"/>
  <c r="F61" i="31"/>
  <c r="AE61" i="31" s="1"/>
  <c r="F12" i="31"/>
  <c r="AE12" i="31" s="1"/>
  <c r="F46" i="31"/>
  <c r="AE46" i="31" s="1"/>
  <c r="F11" i="31"/>
  <c r="AE11" i="31" s="1"/>
  <c r="F65" i="31"/>
  <c r="AE65" i="31" s="1"/>
  <c r="F73" i="31"/>
  <c r="AE73" i="31" s="1"/>
  <c r="F18" i="31"/>
  <c r="AE18" i="31" s="1"/>
  <c r="F63" i="31"/>
  <c r="AE63" i="31" s="1"/>
  <c r="F30" i="31"/>
  <c r="AE30" i="31" s="1"/>
  <c r="F7" i="31"/>
  <c r="AE7" i="31" s="1"/>
  <c r="F81" i="31"/>
  <c r="AE81" i="31" s="1"/>
  <c r="F80" i="31"/>
  <c r="AE80" i="31" s="1"/>
  <c r="F75" i="31"/>
  <c r="AE75" i="31" s="1"/>
  <c r="F4" i="31"/>
  <c r="AE4" i="31" s="1"/>
  <c r="F51" i="31"/>
  <c r="AE51" i="31" s="1"/>
  <c r="F48" i="31"/>
  <c r="AE48" i="31" s="1"/>
  <c r="F22" i="31"/>
  <c r="AE22" i="31" s="1"/>
  <c r="F53" i="31"/>
  <c r="AE53" i="31" s="1"/>
  <c r="F71" i="31"/>
  <c r="AE71" i="31" s="1"/>
  <c r="F79" i="31"/>
  <c r="AE79" i="31" s="1"/>
  <c r="F15" i="31"/>
  <c r="AE15" i="31" s="1"/>
  <c r="F50" i="31"/>
  <c r="AE50" i="31" s="1"/>
  <c r="F70" i="31"/>
  <c r="AE70" i="31" s="1"/>
  <c r="F54" i="31"/>
  <c r="AE54" i="31" s="1"/>
  <c r="F32" i="31"/>
  <c r="AE32" i="31" s="1"/>
  <c r="F72" i="31"/>
  <c r="AE72" i="31" s="1"/>
  <c r="F24" i="31"/>
  <c r="AE24" i="31" s="1"/>
  <c r="F47" i="31"/>
  <c r="AE47" i="31" s="1"/>
  <c r="F76" i="31"/>
  <c r="AE76" i="31" s="1"/>
  <c r="F78" i="31"/>
  <c r="AE78" i="31" s="1"/>
  <c r="F77" i="31"/>
  <c r="AE77" i="31" s="1"/>
  <c r="F62" i="31"/>
  <c r="AE62" i="31" s="1"/>
  <c r="F6" i="31"/>
  <c r="AE6" i="31" s="1"/>
  <c r="F55" i="31"/>
  <c r="AE55" i="31" s="1"/>
  <c r="F28" i="31"/>
  <c r="AE28" i="31" s="1"/>
  <c r="F29" i="31"/>
  <c r="AE29" i="31" s="1"/>
  <c r="F9" i="31"/>
  <c r="AE9" i="31" s="1"/>
  <c r="F25" i="31"/>
  <c r="AE25" i="31" s="1"/>
  <c r="F10" i="31"/>
  <c r="AE10" i="31" s="1"/>
  <c r="F5" i="31"/>
  <c r="AE5" i="31" s="1"/>
  <c r="F34" i="31"/>
  <c r="AE34" i="31" s="1"/>
  <c r="F83" i="31"/>
  <c r="AE83" i="31" s="1"/>
  <c r="F17" i="31"/>
  <c r="AE17" i="31" s="1"/>
  <c r="F82" i="31"/>
  <c r="AE82" i="31" s="1"/>
  <c r="F42" i="31"/>
  <c r="AE42" i="31" s="1"/>
  <c r="F21" i="31"/>
  <c r="AE21" i="31" s="1"/>
  <c r="F57" i="31"/>
  <c r="AE57" i="31" s="1"/>
  <c r="F66" i="31"/>
  <c r="AE66" i="31" s="1"/>
  <c r="F67" i="31"/>
  <c r="AE67" i="31" s="1"/>
  <c r="F39" i="31"/>
  <c r="AE39" i="31" s="1"/>
  <c r="F41" i="31"/>
  <c r="AE41" i="31" s="1"/>
  <c r="F37" i="31"/>
  <c r="AE37" i="31" s="1"/>
  <c r="F68" i="31"/>
  <c r="AE68" i="31" s="1"/>
  <c r="F31" i="31"/>
  <c r="AE31" i="31" s="1"/>
  <c r="F38" i="31"/>
  <c r="AE38" i="31" s="1"/>
  <c r="F52" i="31"/>
  <c r="AE52" i="31" s="1"/>
  <c r="F36" i="31"/>
  <c r="AE36" i="31" s="1"/>
  <c r="F20" i="31"/>
  <c r="AE20" i="31" s="1"/>
  <c r="F58" i="31"/>
  <c r="AE58" i="31" s="1"/>
  <c r="F43" i="31"/>
  <c r="AE43" i="31" s="1"/>
  <c r="F84" i="31"/>
  <c r="AE84" i="31" s="1"/>
  <c r="F13" i="31"/>
  <c r="AE13" i="31" s="1"/>
  <c r="F19" i="31"/>
  <c r="AE19" i="31" s="1"/>
  <c r="F8" i="31"/>
  <c r="AE8" i="31" s="1"/>
  <c r="F40" i="31"/>
  <c r="AE40" i="31" s="1"/>
  <c r="F45" i="31"/>
  <c r="AE45" i="31" s="1"/>
  <c r="F60" i="31"/>
  <c r="AE60" i="31" s="1"/>
  <c r="F59" i="31"/>
  <c r="AE59" i="31" s="1"/>
  <c r="F64" i="31"/>
  <c r="AE64" i="31" s="1"/>
  <c r="F14" i="31"/>
  <c r="AE14" i="31" s="1"/>
  <c r="F23" i="31"/>
  <c r="AE23" i="31" s="1"/>
  <c r="G44" i="31" l="1"/>
  <c r="AE44" i="31"/>
  <c r="G56" i="31"/>
  <c r="AF56" i="31" s="1"/>
  <c r="G74" i="31"/>
  <c r="AF74" i="31" s="1"/>
  <c r="G16" i="31"/>
  <c r="AF16" i="31" s="1"/>
  <c r="G27" i="31"/>
  <c r="AF27" i="31" s="1"/>
  <c r="G46" i="31"/>
  <c r="AF46" i="31" s="1"/>
  <c r="G35" i="31"/>
  <c r="G33" i="31"/>
  <c r="AF33" i="31" s="1"/>
  <c r="G49" i="31"/>
  <c r="G11" i="31"/>
  <c r="G12" i="31"/>
  <c r="AF12" i="31" s="1"/>
  <c r="G61" i="31"/>
  <c r="AF61" i="31" s="1"/>
  <c r="G69" i="31"/>
  <c r="AF69" i="31" s="1"/>
  <c r="G26" i="31"/>
  <c r="AF26" i="31" s="1"/>
  <c r="G13" i="31"/>
  <c r="AF13" i="31" s="1"/>
  <c r="G36" i="31"/>
  <c r="AF36" i="31" s="1"/>
  <c r="G47" i="31"/>
  <c r="AF47" i="31" s="1"/>
  <c r="G43" i="31"/>
  <c r="AF43" i="31" s="1"/>
  <c r="G52" i="31"/>
  <c r="AF52" i="31" s="1"/>
  <c r="G66" i="31"/>
  <c r="AF66" i="31" s="1"/>
  <c r="G5" i="31"/>
  <c r="AF5" i="31" s="1"/>
  <c r="G62" i="31"/>
  <c r="AF62" i="31" s="1"/>
  <c r="G24" i="31"/>
  <c r="AF24" i="31" s="1"/>
  <c r="G50" i="31"/>
  <c r="AF50" i="31" s="1"/>
  <c r="G75" i="31"/>
  <c r="AF75" i="31" s="1"/>
  <c r="G55" i="31"/>
  <c r="AF55" i="31" s="1"/>
  <c r="G18" i="31"/>
  <c r="AF18" i="31" s="1"/>
  <c r="G67" i="31"/>
  <c r="AF67" i="31" s="1"/>
  <c r="G70" i="31"/>
  <c r="AF70" i="31" s="1"/>
  <c r="G64" i="31"/>
  <c r="AF64" i="31" s="1"/>
  <c r="G14" i="31"/>
  <c r="AF14" i="31" s="1"/>
  <c r="G45" i="31"/>
  <c r="AF45" i="31" s="1"/>
  <c r="G38" i="31"/>
  <c r="AF38" i="31" s="1"/>
  <c r="G57" i="31"/>
  <c r="AF57" i="31" s="1"/>
  <c r="G10" i="31"/>
  <c r="AF10" i="31" s="1"/>
  <c r="G77" i="31"/>
  <c r="AF77" i="31" s="1"/>
  <c r="G80" i="31"/>
  <c r="AF80" i="31" s="1"/>
  <c r="G65" i="31"/>
  <c r="AF65" i="31" s="1"/>
  <c r="G6" i="31"/>
  <c r="AF6" i="31" s="1"/>
  <c r="G59" i="31"/>
  <c r="AF59" i="31" s="1"/>
  <c r="G21" i="31"/>
  <c r="AF21" i="31" s="1"/>
  <c r="G25" i="31"/>
  <c r="AF25" i="31" s="1"/>
  <c r="G78" i="31"/>
  <c r="AF78" i="31" s="1"/>
  <c r="G72" i="31"/>
  <c r="AF72" i="31" s="1"/>
  <c r="G15" i="31"/>
  <c r="AF15" i="31" s="1"/>
  <c r="G71" i="31"/>
  <c r="AF71" i="31" s="1"/>
  <c r="G81" i="31"/>
  <c r="AF81" i="31" s="1"/>
  <c r="G34" i="31"/>
  <c r="AF34" i="31" s="1"/>
  <c r="G79" i="31"/>
  <c r="AF79" i="31" s="1"/>
  <c r="G60" i="31"/>
  <c r="AF60" i="31" s="1"/>
  <c r="G42" i="31"/>
  <c r="AF42" i="31" s="1"/>
  <c r="G9" i="31"/>
  <c r="AF9" i="31" s="1"/>
  <c r="G76" i="31"/>
  <c r="AF76" i="31" s="1"/>
  <c r="G32" i="31"/>
  <c r="AF32" i="31" s="1"/>
  <c r="G53" i="31"/>
  <c r="AF53" i="31" s="1"/>
  <c r="G7" i="31"/>
  <c r="AF7" i="31" s="1"/>
  <c r="G23" i="31"/>
  <c r="AF23" i="31" s="1"/>
  <c r="G39" i="31"/>
  <c r="AF39" i="31" s="1"/>
  <c r="G4" i="31"/>
  <c r="AF4" i="31" s="1"/>
  <c r="G31" i="31"/>
  <c r="AF31" i="31" s="1"/>
  <c r="G58" i="31"/>
  <c r="AF58" i="31" s="1"/>
  <c r="G37" i="31"/>
  <c r="AF37" i="31" s="1"/>
  <c r="G29" i="31"/>
  <c r="AF29" i="31" s="1"/>
  <c r="C20" i="39"/>
  <c r="C21" i="39" s="1"/>
  <c r="C22" i="39" s="1"/>
  <c r="C49" i="39"/>
  <c r="C50" i="39" s="1"/>
  <c r="C51" i="39" s="1"/>
  <c r="C53" i="39" s="1"/>
  <c r="C61" i="39" s="1"/>
  <c r="C38" i="39"/>
  <c r="C39" i="39" s="1"/>
  <c r="C40" i="39" s="1"/>
  <c r="C41" i="39" s="1"/>
  <c r="G54" i="31"/>
  <c r="AF54" i="31" s="1"/>
  <c r="G22" i="31"/>
  <c r="AF22" i="31" s="1"/>
  <c r="G30" i="31"/>
  <c r="AF30" i="31" s="1"/>
  <c r="G83" i="31"/>
  <c r="AF83" i="31" s="1"/>
  <c r="G51" i="31"/>
  <c r="AF51" i="31" s="1"/>
  <c r="G84" i="31"/>
  <c r="AF84" i="31" s="1"/>
  <c r="G73" i="31"/>
  <c r="AF73" i="31" s="1"/>
  <c r="G40" i="31"/>
  <c r="AF40" i="31" s="1"/>
  <c r="G68" i="31"/>
  <c r="AF68" i="31" s="1"/>
  <c r="G8" i="31"/>
  <c r="AF8" i="31" s="1"/>
  <c r="G20" i="31"/>
  <c r="AF20" i="31" s="1"/>
  <c r="G82" i="31"/>
  <c r="AF82" i="31" s="1"/>
  <c r="G19" i="31"/>
  <c r="AF19" i="31" s="1"/>
  <c r="G41" i="31"/>
  <c r="AF41" i="31" s="1"/>
  <c r="G17" i="31"/>
  <c r="AF17" i="31" s="1"/>
  <c r="G28" i="31"/>
  <c r="AF28" i="31" s="1"/>
  <c r="G48" i="31"/>
  <c r="AF48" i="31" s="1"/>
  <c r="G63" i="31"/>
  <c r="AF63" i="31" s="1"/>
  <c r="H27" i="31" l="1"/>
  <c r="AG27" i="31" s="1"/>
  <c r="H35" i="31"/>
  <c r="AG35" i="31" s="1"/>
  <c r="AF35" i="31"/>
  <c r="H11" i="31"/>
  <c r="AG11" i="31" s="1"/>
  <c r="AF11" i="31"/>
  <c r="H49" i="31"/>
  <c r="AG49" i="31" s="1"/>
  <c r="AF49" i="31"/>
  <c r="H44" i="31"/>
  <c r="I11" i="31" s="1"/>
  <c r="AH11" i="31" s="1"/>
  <c r="AF44" i="31"/>
  <c r="H46" i="31"/>
  <c r="AG46" i="31" s="1"/>
  <c r="H74" i="31"/>
  <c r="AG74" i="31" s="1"/>
  <c r="H56" i="31"/>
  <c r="AG56" i="31" s="1"/>
  <c r="H12" i="31"/>
  <c r="AG12" i="31" s="1"/>
  <c r="H16" i="31"/>
  <c r="H33" i="31"/>
  <c r="AG33" i="31" s="1"/>
  <c r="H61" i="31"/>
  <c r="H69" i="31"/>
  <c r="H26" i="31"/>
  <c r="AG26" i="31" s="1"/>
  <c r="D38" i="39"/>
  <c r="D39" i="39" s="1"/>
  <c r="D40" i="39" s="1"/>
  <c r="D41" i="39" s="1"/>
  <c r="D59" i="39" s="1"/>
  <c r="D49" i="39"/>
  <c r="D50" i="39" s="1"/>
  <c r="D51" i="39" s="1"/>
  <c r="D53" i="39" s="1"/>
  <c r="D61" i="39" s="1"/>
  <c r="D20" i="39"/>
  <c r="D21" i="39" s="1"/>
  <c r="D22" i="39" s="1"/>
  <c r="D29" i="39" s="1"/>
  <c r="H10" i="31"/>
  <c r="AG10" i="31" s="1"/>
  <c r="H45" i="31"/>
  <c r="AG45" i="31" s="1"/>
  <c r="H67" i="31"/>
  <c r="AG67" i="31" s="1"/>
  <c r="H75" i="31"/>
  <c r="AG75" i="31" s="1"/>
  <c r="H43" i="31"/>
  <c r="AG43" i="31" s="1"/>
  <c r="H68" i="31"/>
  <c r="AG68" i="31" s="1"/>
  <c r="H25" i="31"/>
  <c r="AG25" i="31" s="1"/>
  <c r="H32" i="31"/>
  <c r="AG32" i="31" s="1"/>
  <c r="H62" i="31"/>
  <c r="AG62" i="31" s="1"/>
  <c r="H28" i="31"/>
  <c r="AG28" i="31" s="1"/>
  <c r="H48" i="31"/>
  <c r="AG48" i="31" s="1"/>
  <c r="H51" i="31"/>
  <c r="AG51" i="31" s="1"/>
  <c r="H22" i="31"/>
  <c r="AG22" i="31" s="1"/>
  <c r="C26" i="39"/>
  <c r="C30" i="39" s="1"/>
  <c r="C44" i="39"/>
  <c r="C60" i="39" s="1"/>
  <c r="C29" i="39"/>
  <c r="H31" i="31"/>
  <c r="AG31" i="31" s="1"/>
  <c r="H15" i="31"/>
  <c r="AG15" i="31" s="1"/>
  <c r="H57" i="31"/>
  <c r="AG57" i="31" s="1"/>
  <c r="H18" i="31"/>
  <c r="AG18" i="31" s="1"/>
  <c r="H41" i="31"/>
  <c r="AG41" i="31" s="1"/>
  <c r="H20" i="31"/>
  <c r="AG20" i="31" s="1"/>
  <c r="H83" i="31"/>
  <c r="AG83" i="31" s="1"/>
  <c r="H4" i="31"/>
  <c r="AG4" i="31" s="1"/>
  <c r="H76" i="31"/>
  <c r="AG76" i="31" s="1"/>
  <c r="H79" i="31"/>
  <c r="AG79" i="31" s="1"/>
  <c r="H72" i="31"/>
  <c r="AG72" i="31" s="1"/>
  <c r="H14" i="31"/>
  <c r="AG14" i="31" s="1"/>
  <c r="H5" i="31"/>
  <c r="AG5" i="31" s="1"/>
  <c r="H47" i="31"/>
  <c r="AG47" i="31" s="1"/>
  <c r="C59" i="39"/>
  <c r="H17" i="31"/>
  <c r="AG17" i="31" s="1"/>
  <c r="H30" i="31"/>
  <c r="AG30" i="31" s="1"/>
  <c r="H21" i="31"/>
  <c r="AG21" i="31" s="1"/>
  <c r="H29" i="31"/>
  <c r="AG29" i="31" s="1"/>
  <c r="H7" i="31"/>
  <c r="AG7" i="31" s="1"/>
  <c r="H59" i="31"/>
  <c r="AG59" i="31" s="1"/>
  <c r="H64" i="31"/>
  <c r="AG64" i="31" s="1"/>
  <c r="H55" i="31"/>
  <c r="AG55" i="31" s="1"/>
  <c r="H66" i="31"/>
  <c r="AG66" i="31" s="1"/>
  <c r="H36" i="31"/>
  <c r="AG36" i="31" s="1"/>
  <c r="H71" i="31"/>
  <c r="AG71" i="31" s="1"/>
  <c r="H40" i="31"/>
  <c r="AG40" i="31" s="1"/>
  <c r="H80" i="31"/>
  <c r="AG80" i="31" s="1"/>
  <c r="H8" i="31"/>
  <c r="AG8" i="31" s="1"/>
  <c r="H73" i="31"/>
  <c r="AG73" i="31" s="1"/>
  <c r="H37" i="31"/>
  <c r="AG37" i="31" s="1"/>
  <c r="H53" i="31"/>
  <c r="AG53" i="31" s="1"/>
  <c r="H34" i="31"/>
  <c r="AG34" i="31" s="1"/>
  <c r="H81" i="31"/>
  <c r="AG81" i="31" s="1"/>
  <c r="H6" i="31"/>
  <c r="AG6" i="31" s="1"/>
  <c r="H38" i="31"/>
  <c r="AG38" i="31" s="1"/>
  <c r="H50" i="31"/>
  <c r="AG50" i="31" s="1"/>
  <c r="H82" i="31"/>
  <c r="AG82" i="31" s="1"/>
  <c r="H60" i="31"/>
  <c r="AG60" i="31" s="1"/>
  <c r="H54" i="31"/>
  <c r="AG54" i="31" s="1"/>
  <c r="H9" i="31"/>
  <c r="AG9" i="31" s="1"/>
  <c r="H78" i="31"/>
  <c r="AG78" i="31" s="1"/>
  <c r="H77" i="31"/>
  <c r="AG77" i="31" s="1"/>
  <c r="H24" i="31"/>
  <c r="AG24" i="31" s="1"/>
  <c r="H52" i="31"/>
  <c r="AG52" i="31" s="1"/>
  <c r="H13" i="31"/>
  <c r="AG13" i="31" s="1"/>
  <c r="H19" i="31"/>
  <c r="AG19" i="31" s="1"/>
  <c r="H23" i="31"/>
  <c r="AG23" i="31" s="1"/>
  <c r="H63" i="31"/>
  <c r="AG63" i="31" s="1"/>
  <c r="H84" i="31"/>
  <c r="AG84" i="31" s="1"/>
  <c r="H58" i="31"/>
  <c r="AG58" i="31" s="1"/>
  <c r="H39" i="31"/>
  <c r="AG39" i="31" s="1"/>
  <c r="H42" i="31"/>
  <c r="AG42" i="31" s="1"/>
  <c r="H65" i="31"/>
  <c r="AG65" i="31" s="1"/>
  <c r="H70" i="31"/>
  <c r="AG70" i="31" s="1"/>
  <c r="I27" i="31" l="1"/>
  <c r="AH27" i="31" s="1"/>
  <c r="I49" i="31"/>
  <c r="AH49" i="31" s="1"/>
  <c r="I56" i="31"/>
  <c r="AH56" i="31" s="1"/>
  <c r="I61" i="31"/>
  <c r="AH61" i="31" s="1"/>
  <c r="AG61" i="31"/>
  <c r="AG44" i="31"/>
  <c r="I44" i="31"/>
  <c r="AH44" i="31" s="1"/>
  <c r="I16" i="31"/>
  <c r="AH16" i="31" s="1"/>
  <c r="AG16" i="31"/>
  <c r="I69" i="31"/>
  <c r="AH69" i="31" s="1"/>
  <c r="AG69" i="31"/>
  <c r="I35" i="31"/>
  <c r="AH35" i="31" s="1"/>
  <c r="I46" i="31"/>
  <c r="AH46" i="31" s="1"/>
  <c r="I74" i="31"/>
  <c r="AH74" i="31" s="1"/>
  <c r="I12" i="31"/>
  <c r="AH12" i="31" s="1"/>
  <c r="I33" i="31"/>
  <c r="AH33" i="31" s="1"/>
  <c r="I26" i="31"/>
  <c r="AH26" i="31" s="1"/>
  <c r="C56" i="39"/>
  <c r="C62" i="39" s="1"/>
  <c r="D26" i="39"/>
  <c r="D30" i="39" s="1"/>
  <c r="D44" i="39"/>
  <c r="D60" i="39" s="1"/>
  <c r="E38" i="39"/>
  <c r="E39" i="39" s="1"/>
  <c r="E40" i="39" s="1"/>
  <c r="E41" i="39" s="1"/>
  <c r="E59" i="39" s="1"/>
  <c r="I9" i="31"/>
  <c r="AH9" i="31" s="1"/>
  <c r="I63" i="31"/>
  <c r="AH63" i="31" s="1"/>
  <c r="I37" i="31"/>
  <c r="AH37" i="31" s="1"/>
  <c r="I72" i="31"/>
  <c r="AH72" i="31" s="1"/>
  <c r="I4" i="31"/>
  <c r="AH4" i="31" s="1"/>
  <c r="I31" i="31"/>
  <c r="AH31" i="31" s="1"/>
  <c r="I51" i="31"/>
  <c r="AH51" i="31" s="1"/>
  <c r="I32" i="31"/>
  <c r="AH32" i="31" s="1"/>
  <c r="I75" i="31"/>
  <c r="AH75" i="31" s="1"/>
  <c r="I6" i="31"/>
  <c r="AH6" i="31" s="1"/>
  <c r="I81" i="31"/>
  <c r="AH81" i="31" s="1"/>
  <c r="I73" i="31"/>
  <c r="AH73" i="31" s="1"/>
  <c r="I71" i="31"/>
  <c r="AH71" i="31" s="1"/>
  <c r="I64" i="31"/>
  <c r="AH64" i="31" s="1"/>
  <c r="I41" i="31"/>
  <c r="AH41" i="31" s="1"/>
  <c r="I18" i="31"/>
  <c r="AH18" i="31" s="1"/>
  <c r="I36" i="31"/>
  <c r="AH36" i="31" s="1"/>
  <c r="I59" i="31"/>
  <c r="AH59" i="31" s="1"/>
  <c r="I83" i="31"/>
  <c r="AH83" i="31" s="1"/>
  <c r="I48" i="31"/>
  <c r="AH48" i="31" s="1"/>
  <c r="I25" i="31"/>
  <c r="AH25" i="31" s="1"/>
  <c r="I67" i="31"/>
  <c r="AH67" i="31" s="1"/>
  <c r="I19" i="31"/>
  <c r="AH19" i="31" s="1"/>
  <c r="I40" i="31"/>
  <c r="AH40" i="31" s="1"/>
  <c r="I62" i="31"/>
  <c r="AH62" i="31" s="1"/>
  <c r="I13" i="31"/>
  <c r="AH13" i="31" s="1"/>
  <c r="I70" i="31"/>
  <c r="AH70" i="31" s="1"/>
  <c r="I54" i="31"/>
  <c r="AH54" i="31" s="1"/>
  <c r="I8" i="31"/>
  <c r="AH8" i="31" s="1"/>
  <c r="I21" i="31"/>
  <c r="AH21" i="31" s="1"/>
  <c r="I47" i="31"/>
  <c r="AH47" i="31" s="1"/>
  <c r="I82" i="31"/>
  <c r="AH82" i="31" s="1"/>
  <c r="I34" i="31"/>
  <c r="AH34" i="31" s="1"/>
  <c r="I52" i="31"/>
  <c r="AH52" i="31" s="1"/>
  <c r="I50" i="31"/>
  <c r="AH50" i="31" s="1"/>
  <c r="I80" i="31"/>
  <c r="AH80" i="31" s="1"/>
  <c r="I7" i="31"/>
  <c r="AH7" i="31" s="1"/>
  <c r="I5" i="31"/>
  <c r="AH5" i="31" s="1"/>
  <c r="I79" i="31"/>
  <c r="AH79" i="31" s="1"/>
  <c r="I57" i="31"/>
  <c r="AH57" i="31" s="1"/>
  <c r="I22" i="31"/>
  <c r="AH22" i="31" s="1"/>
  <c r="I28" i="31"/>
  <c r="AH28" i="31" s="1"/>
  <c r="I68" i="31"/>
  <c r="AH68" i="31" s="1"/>
  <c r="I45" i="31"/>
  <c r="AH45" i="31" s="1"/>
  <c r="I42" i="31"/>
  <c r="AH42" i="31" s="1"/>
  <c r="I39" i="31"/>
  <c r="AH39" i="31" s="1"/>
  <c r="I77" i="31"/>
  <c r="AH77" i="31" s="1"/>
  <c r="I65" i="31"/>
  <c r="AH65" i="31" s="1"/>
  <c r="I58" i="31"/>
  <c r="AH58" i="31" s="1"/>
  <c r="I23" i="31"/>
  <c r="AH23" i="31" s="1"/>
  <c r="I24" i="31"/>
  <c r="AH24" i="31" s="1"/>
  <c r="I78" i="31"/>
  <c r="AH78" i="31" s="1"/>
  <c r="I60" i="31"/>
  <c r="AH60" i="31" s="1"/>
  <c r="I53" i="31"/>
  <c r="AH53" i="31" s="1"/>
  <c r="I66" i="31"/>
  <c r="AH66" i="31" s="1"/>
  <c r="I30" i="31"/>
  <c r="AH30" i="31" s="1"/>
  <c r="I84" i="31"/>
  <c r="AH84" i="31" s="1"/>
  <c r="E49" i="39"/>
  <c r="E50" i="39" s="1"/>
  <c r="E51" i="39" s="1"/>
  <c r="E53" i="39" s="1"/>
  <c r="E61" i="39" s="1"/>
  <c r="E20" i="39"/>
  <c r="E21" i="39" s="1"/>
  <c r="E22" i="39" s="1"/>
  <c r="I38" i="31"/>
  <c r="AH38" i="31" s="1"/>
  <c r="I55" i="31"/>
  <c r="AH55" i="31" s="1"/>
  <c r="I29" i="31"/>
  <c r="AH29" i="31" s="1"/>
  <c r="I17" i="31"/>
  <c r="AH17" i="31" s="1"/>
  <c r="I14" i="31"/>
  <c r="AH14" i="31" s="1"/>
  <c r="I76" i="31"/>
  <c r="AH76" i="31" s="1"/>
  <c r="I20" i="31"/>
  <c r="AH20" i="31" s="1"/>
  <c r="I15" i="31"/>
  <c r="AH15" i="31" s="1"/>
  <c r="I43" i="31"/>
  <c r="AH43" i="31" s="1"/>
  <c r="I10" i="31"/>
  <c r="AH10" i="31" s="1"/>
  <c r="D56" i="39" l="1"/>
  <c r="D62" i="39" s="1"/>
  <c r="E29" i="39"/>
  <c r="E26" i="39"/>
  <c r="E30" i="39" s="1"/>
  <c r="E44" i="39"/>
  <c r="F20" i="39"/>
  <c r="F21" i="39" s="1"/>
  <c r="F22" i="39" s="1"/>
  <c r="F49" i="39"/>
  <c r="F50" i="39" s="1"/>
  <c r="F51" i="39" s="1"/>
  <c r="F53" i="39" s="1"/>
  <c r="F61" i="39" s="1"/>
  <c r="G20" i="39"/>
  <c r="G21" i="39" s="1"/>
  <c r="G22" i="39" s="1"/>
  <c r="G49" i="39"/>
  <c r="G50" i="39" s="1"/>
  <c r="G51" i="39" s="1"/>
  <c r="G53" i="39" s="1"/>
  <c r="G61" i="39" s="1"/>
  <c r="G38" i="39"/>
  <c r="G39" i="39" s="1"/>
  <c r="G40" i="39" s="1"/>
  <c r="G41" i="39" s="1"/>
  <c r="F38" i="39"/>
  <c r="F39" i="39" s="1"/>
  <c r="F40" i="39" s="1"/>
  <c r="F41" i="39" s="1"/>
  <c r="F29" i="39" l="1"/>
  <c r="F44" i="39"/>
  <c r="F60" i="39" s="1"/>
  <c r="F26" i="39"/>
  <c r="F30" i="39" s="1"/>
  <c r="E60" i="39"/>
  <c r="E56" i="39"/>
  <c r="E62" i="39" s="1"/>
  <c r="G59" i="39"/>
  <c r="F59" i="39"/>
  <c r="G26" i="39"/>
  <c r="G30" i="39" s="1"/>
  <c r="G29" i="39"/>
  <c r="G44" i="39"/>
  <c r="G60" i="39" s="1"/>
  <c r="F56" i="39" l="1"/>
  <c r="F62" i="39" s="1"/>
  <c r="G56" i="39"/>
  <c r="G62" i="39" s="1"/>
  <c r="F14" i="47"/>
  <c r="E14" i="47" s="1"/>
  <c r="C130" i="47" s="1"/>
  <c r="C133" i="47" s="1"/>
  <c r="E151" i="47" l="1"/>
  <c r="E61" i="47" s="1"/>
  <c r="B149" i="47"/>
  <c r="B57" i="47" s="1"/>
  <c r="F148" i="47"/>
  <c r="F56" i="47" s="1"/>
  <c r="C151" i="47"/>
  <c r="C61" i="47" s="1"/>
  <c r="I151" i="47"/>
  <c r="I61" i="47" s="1"/>
  <c r="F149" i="47"/>
  <c r="F57" i="47" s="1"/>
  <c r="D148" i="47"/>
  <c r="D56" i="47" s="1"/>
  <c r="B27" i="47"/>
  <c r="G149" i="47"/>
  <c r="G57" i="47" s="1"/>
  <c r="C148" i="47"/>
  <c r="C56" i="47" s="1"/>
  <c r="D149" i="47"/>
  <c r="D57" i="47" s="1"/>
  <c r="G148" i="47"/>
  <c r="G56" i="47" s="1"/>
  <c r="B150" i="47"/>
  <c r="B58" i="47" s="1"/>
  <c r="E149" i="47"/>
  <c r="E57" i="47" s="1"/>
  <c r="B151" i="47"/>
  <c r="B61" i="47" s="1"/>
  <c r="B188" i="47"/>
  <c r="B28" i="47" s="1"/>
  <c r="G151" i="47"/>
  <c r="G61" i="47" s="1"/>
  <c r="D151" i="47"/>
  <c r="D61" i="47" s="1"/>
  <c r="E148" i="47"/>
  <c r="E56" i="47" s="1"/>
  <c r="C145" i="47"/>
  <c r="B65" i="47" s="1"/>
  <c r="G150" i="47"/>
  <c r="G58" i="47" s="1"/>
  <c r="F151" i="47"/>
  <c r="F61" i="47" s="1"/>
  <c r="B152" i="47"/>
  <c r="B62" i="47" s="1"/>
  <c r="B148" i="47"/>
  <c r="B56" i="47" s="1"/>
  <c r="E150" i="47"/>
  <c r="E58" i="47" s="1"/>
  <c r="F150" i="47"/>
  <c r="F58" i="47" s="1"/>
  <c r="C150" i="47"/>
  <c r="C58" i="47" s="1"/>
  <c r="B153" i="47"/>
  <c r="B63" i="47" s="1"/>
  <c r="D150" i="47"/>
  <c r="D58" i="47" s="1"/>
  <c r="C149" i="47"/>
  <c r="C57" i="47" s="1"/>
  <c r="F14" i="41"/>
  <c r="E14" i="41" s="1"/>
  <c r="C130" i="41" s="1"/>
  <c r="C133" i="41" s="1"/>
  <c r="E14" i="18"/>
  <c r="C130" i="18" s="1"/>
  <c r="C133" i="18" s="1"/>
  <c r="F14" i="42"/>
  <c r="E14" i="42" s="1"/>
  <c r="C130" i="42" s="1"/>
  <c r="C133" i="42" s="1"/>
  <c r="F14" i="33"/>
  <c r="E14" i="33" s="1"/>
  <c r="C130" i="33" s="1"/>
  <c r="C133" i="33" s="1"/>
  <c r="I153" i="47" l="1"/>
  <c r="I63" i="47" s="1"/>
  <c r="E153" i="47"/>
  <c r="E63" i="47" s="1"/>
  <c r="D152" i="47"/>
  <c r="D62" i="47" s="1"/>
  <c r="D153" i="47"/>
  <c r="D63" i="47" s="1"/>
  <c r="C152" i="47"/>
  <c r="C62" i="47" s="1"/>
  <c r="G153" i="47"/>
  <c r="G63" i="47" s="1"/>
  <c r="F153" i="47"/>
  <c r="F63" i="47" s="1"/>
  <c r="I152" i="47"/>
  <c r="I62" i="47" s="1"/>
  <c r="G152" i="47"/>
  <c r="G62" i="47" s="1"/>
  <c r="E152" i="47"/>
  <c r="E62" i="47" s="1"/>
  <c r="F152" i="47"/>
  <c r="F62" i="47" s="1"/>
  <c r="C153" i="47"/>
  <c r="C63" i="47" s="1"/>
  <c r="B27" i="42"/>
  <c r="C151" i="42"/>
  <c r="C61" i="42" s="1"/>
  <c r="B149" i="42"/>
  <c r="B57" i="42" s="1"/>
  <c r="B150" i="42"/>
  <c r="B58" i="42" s="1"/>
  <c r="D148" i="42"/>
  <c r="D56" i="42" s="1"/>
  <c r="B152" i="42"/>
  <c r="B62" i="42" s="1"/>
  <c r="F151" i="42"/>
  <c r="F61" i="42" s="1"/>
  <c r="E148" i="42"/>
  <c r="E56" i="42" s="1"/>
  <c r="C149" i="42"/>
  <c r="C57" i="42" s="1"/>
  <c r="G149" i="42"/>
  <c r="G57" i="42" s="1"/>
  <c r="G148" i="42"/>
  <c r="G56" i="42" s="1"/>
  <c r="B188" i="42"/>
  <c r="B28" i="42" s="1"/>
  <c r="E151" i="42"/>
  <c r="E61" i="42" s="1"/>
  <c r="B148" i="42"/>
  <c r="B56" i="42" s="1"/>
  <c r="D150" i="42"/>
  <c r="D58" i="42" s="1"/>
  <c r="G151" i="42"/>
  <c r="G61" i="42" s="1"/>
  <c r="G150" i="42"/>
  <c r="G58" i="42" s="1"/>
  <c r="B151" i="42"/>
  <c r="B61" i="42" s="1"/>
  <c r="C145" i="42"/>
  <c r="B65" i="42" s="1"/>
  <c r="C150" i="42"/>
  <c r="C58" i="42" s="1"/>
  <c r="B153" i="42"/>
  <c r="B63" i="42" s="1"/>
  <c r="F148" i="42"/>
  <c r="F56" i="42" s="1"/>
  <c r="D151" i="42"/>
  <c r="D61" i="42" s="1"/>
  <c r="F149" i="42"/>
  <c r="F57" i="42" s="1"/>
  <c r="F150" i="42"/>
  <c r="F58" i="42" s="1"/>
  <c r="C148" i="42"/>
  <c r="C56" i="42" s="1"/>
  <c r="E149" i="42"/>
  <c r="E57" i="42" s="1"/>
  <c r="D149" i="42"/>
  <c r="D57" i="42" s="1"/>
  <c r="I151" i="42"/>
  <c r="I61" i="42" s="1"/>
  <c r="E150" i="42"/>
  <c r="E58" i="42" s="1"/>
  <c r="C150" i="18"/>
  <c r="C58" i="18" s="1"/>
  <c r="B150" i="18"/>
  <c r="B58" i="18" s="1"/>
  <c r="G150" i="18"/>
  <c r="G58" i="18" s="1"/>
  <c r="D150" i="18"/>
  <c r="D58" i="18" s="1"/>
  <c r="B27" i="18"/>
  <c r="B151" i="18"/>
  <c r="B61" i="18" s="1"/>
  <c r="B148" i="18"/>
  <c r="B56" i="18" s="1"/>
  <c r="B153" i="18"/>
  <c r="B63" i="18" s="1"/>
  <c r="C149" i="18"/>
  <c r="C57" i="18" s="1"/>
  <c r="B152" i="18"/>
  <c r="B62" i="18" s="1"/>
  <c r="F150" i="18"/>
  <c r="F58" i="18" s="1"/>
  <c r="D149" i="18"/>
  <c r="D57" i="18" s="1"/>
  <c r="G148" i="18"/>
  <c r="D148" i="18"/>
  <c r="C148" i="18"/>
  <c r="F148" i="18"/>
  <c r="I151" i="18"/>
  <c r="I61" i="18" s="1"/>
  <c r="B149" i="18"/>
  <c r="B57" i="18" s="1"/>
  <c r="G149" i="18"/>
  <c r="G57" i="18" s="1"/>
  <c r="E150" i="18"/>
  <c r="E58" i="18" s="1"/>
  <c r="C145" i="18"/>
  <c r="B65" i="18" s="1"/>
  <c r="B188" i="18"/>
  <c r="B28" i="18" s="1"/>
  <c r="E149" i="18"/>
  <c r="E57" i="18" s="1"/>
  <c r="F149" i="18"/>
  <c r="F57" i="18" s="1"/>
  <c r="E148" i="18"/>
  <c r="B165" i="47"/>
  <c r="B103" i="47" s="1"/>
  <c r="D157" i="47"/>
  <c r="D92" i="47" s="1"/>
  <c r="E158" i="47"/>
  <c r="E93" i="47" s="1"/>
  <c r="G162" i="47"/>
  <c r="G100" i="47" s="1"/>
  <c r="F157" i="47"/>
  <c r="F92" i="47" s="1"/>
  <c r="B161" i="47"/>
  <c r="B96" i="47" s="1"/>
  <c r="B166" i="47"/>
  <c r="B104" i="47" s="1"/>
  <c r="G158" i="47"/>
  <c r="G93" i="47" s="1"/>
  <c r="C157" i="47"/>
  <c r="C92" i="47" s="1"/>
  <c r="F158" i="47"/>
  <c r="F93" i="47" s="1"/>
  <c r="D161" i="47"/>
  <c r="D96" i="47" s="1"/>
  <c r="B164" i="47"/>
  <c r="B102" i="47" s="1"/>
  <c r="F161" i="47"/>
  <c r="F96" i="47" s="1"/>
  <c r="C162" i="47"/>
  <c r="C100" i="47" s="1"/>
  <c r="B157" i="47"/>
  <c r="B91" i="47" s="1"/>
  <c r="B162" i="47"/>
  <c r="B99" i="47" s="1"/>
  <c r="G159" i="47"/>
  <c r="G94" i="47" s="1"/>
  <c r="F159" i="47"/>
  <c r="F94" i="47" s="1"/>
  <c r="E162" i="47"/>
  <c r="E100" i="47" s="1"/>
  <c r="D158" i="47"/>
  <c r="D93" i="47" s="1"/>
  <c r="F162" i="47"/>
  <c r="F100" i="47" s="1"/>
  <c r="B160" i="47"/>
  <c r="B95" i="47" s="1"/>
  <c r="C158" i="47"/>
  <c r="C93" i="47" s="1"/>
  <c r="E160" i="47"/>
  <c r="E95" i="47" s="1"/>
  <c r="D159" i="47"/>
  <c r="D94" i="47" s="1"/>
  <c r="C159" i="47"/>
  <c r="C94" i="47" s="1"/>
  <c r="I162" i="47"/>
  <c r="I99" i="47" s="1"/>
  <c r="G160" i="47"/>
  <c r="G95" i="47" s="1"/>
  <c r="E157" i="47"/>
  <c r="E92" i="47" s="1"/>
  <c r="F160" i="47"/>
  <c r="F95" i="47" s="1"/>
  <c r="G157" i="47"/>
  <c r="G92" i="47" s="1"/>
  <c r="B158" i="47"/>
  <c r="B93" i="47" s="1"/>
  <c r="B163" i="47"/>
  <c r="B101" i="47" s="1"/>
  <c r="E159" i="47"/>
  <c r="E94" i="47" s="1"/>
  <c r="D162" i="47"/>
  <c r="D100" i="47" s="1"/>
  <c r="B192" i="47"/>
  <c r="B66" i="47" s="1"/>
  <c r="E161" i="47"/>
  <c r="E96" i="47" s="1"/>
  <c r="C161" i="47"/>
  <c r="C96" i="47" s="1"/>
  <c r="C160" i="47"/>
  <c r="C95" i="47" s="1"/>
  <c r="G161" i="47"/>
  <c r="G96" i="47" s="1"/>
  <c r="D160" i="47"/>
  <c r="D95" i="47" s="1"/>
  <c r="B159" i="47"/>
  <c r="B94" i="47" s="1"/>
  <c r="B149" i="33"/>
  <c r="B57" i="33" s="1"/>
  <c r="B27" i="33"/>
  <c r="B151" i="33"/>
  <c r="B61" i="33" s="1"/>
  <c r="B152" i="33"/>
  <c r="B62" i="33" s="1"/>
  <c r="D148" i="33"/>
  <c r="D56" i="33" s="1"/>
  <c r="C149" i="33"/>
  <c r="C57" i="33" s="1"/>
  <c r="B148" i="33"/>
  <c r="B56" i="33" s="1"/>
  <c r="C148" i="33"/>
  <c r="C56" i="33" s="1"/>
  <c r="F149" i="33"/>
  <c r="F57" i="33" s="1"/>
  <c r="B153" i="33"/>
  <c r="B63" i="33" s="1"/>
  <c r="G148" i="33"/>
  <c r="G56" i="33" s="1"/>
  <c r="E148" i="33"/>
  <c r="E56" i="33" s="1"/>
  <c r="F150" i="33"/>
  <c r="F58" i="33" s="1"/>
  <c r="E149" i="33"/>
  <c r="E57" i="33" s="1"/>
  <c r="I151" i="33"/>
  <c r="I61" i="33" s="1"/>
  <c r="E150" i="33"/>
  <c r="E58" i="33" s="1"/>
  <c r="C145" i="33"/>
  <c r="B65" i="33" s="1"/>
  <c r="G151" i="33"/>
  <c r="G61" i="33" s="1"/>
  <c r="D150" i="33"/>
  <c r="D58" i="33" s="1"/>
  <c r="D151" i="33"/>
  <c r="D61" i="33" s="1"/>
  <c r="E151" i="33"/>
  <c r="E61" i="33" s="1"/>
  <c r="G149" i="33"/>
  <c r="G57" i="33" s="1"/>
  <c r="F151" i="33"/>
  <c r="F61" i="33" s="1"/>
  <c r="C151" i="33"/>
  <c r="C61" i="33" s="1"/>
  <c r="F148" i="33"/>
  <c r="F56" i="33" s="1"/>
  <c r="B150" i="33"/>
  <c r="B58" i="33" s="1"/>
  <c r="D149" i="33"/>
  <c r="D57" i="33" s="1"/>
  <c r="G150" i="33"/>
  <c r="G58" i="33" s="1"/>
  <c r="B188" i="33"/>
  <c r="B28" i="33" s="1"/>
  <c r="C150" i="33"/>
  <c r="C58" i="33" s="1"/>
  <c r="D148" i="41"/>
  <c r="D56" i="41" s="1"/>
  <c r="E151" i="41"/>
  <c r="E61" i="41" s="1"/>
  <c r="E148" i="41"/>
  <c r="E56" i="41" s="1"/>
  <c r="G148" i="41"/>
  <c r="G56" i="41" s="1"/>
  <c r="C151" i="41"/>
  <c r="C61" i="41" s="1"/>
  <c r="B148" i="41"/>
  <c r="B56" i="41" s="1"/>
  <c r="B27" i="41"/>
  <c r="B149" i="41"/>
  <c r="B57" i="41" s="1"/>
  <c r="B152" i="41"/>
  <c r="B62" i="41" s="1"/>
  <c r="B153" i="41"/>
  <c r="B63" i="41" s="1"/>
  <c r="B151" i="41"/>
  <c r="B61" i="41" s="1"/>
  <c r="F148" i="41"/>
  <c r="F56" i="41" s="1"/>
  <c r="B150" i="41"/>
  <c r="B58" i="41" s="1"/>
  <c r="C150" i="41"/>
  <c r="C58" i="41" s="1"/>
  <c r="G150" i="41"/>
  <c r="G58" i="41" s="1"/>
  <c r="C148" i="41"/>
  <c r="C56" i="41" s="1"/>
  <c r="C149" i="41"/>
  <c r="C57" i="41" s="1"/>
  <c r="F150" i="41"/>
  <c r="F58" i="41" s="1"/>
  <c r="F151" i="41"/>
  <c r="F61" i="41" s="1"/>
  <c r="D151" i="41"/>
  <c r="D61" i="41" s="1"/>
  <c r="D149" i="41"/>
  <c r="D57" i="41" s="1"/>
  <c r="E149" i="41"/>
  <c r="E57" i="41" s="1"/>
  <c r="D150" i="41"/>
  <c r="D58" i="41" s="1"/>
  <c r="B188" i="41"/>
  <c r="B28" i="41" s="1"/>
  <c r="C145" i="41"/>
  <c r="B65" i="41" s="1"/>
  <c r="G149" i="41"/>
  <c r="G57" i="41" s="1"/>
  <c r="G151" i="41"/>
  <c r="G61" i="41" s="1"/>
  <c r="E150" i="41"/>
  <c r="E58" i="41" s="1"/>
  <c r="I151" i="41"/>
  <c r="I61" i="41" s="1"/>
  <c r="F149" i="41"/>
  <c r="F57" i="41" s="1"/>
  <c r="C152" i="41" l="1"/>
  <c r="C62" i="41" s="1"/>
  <c r="D163" i="47"/>
  <c r="D101" i="47" s="1"/>
  <c r="E153" i="41"/>
  <c r="E63" i="41" s="1"/>
  <c r="F153" i="33"/>
  <c r="F63" i="33" s="1"/>
  <c r="G152" i="33"/>
  <c r="G62" i="33" s="1"/>
  <c r="E152" i="18"/>
  <c r="E62" i="18" s="1"/>
  <c r="G153" i="42"/>
  <c r="G63" i="42" s="1"/>
  <c r="C153" i="42"/>
  <c r="C63" i="42" s="1"/>
  <c r="E152" i="41"/>
  <c r="E62" i="41" s="1"/>
  <c r="F153" i="42"/>
  <c r="F63" i="42" s="1"/>
  <c r="I153" i="42"/>
  <c r="I63" i="42" s="1"/>
  <c r="E153" i="33"/>
  <c r="E63" i="33" s="1"/>
  <c r="C152" i="42"/>
  <c r="C62" i="42" s="1"/>
  <c r="G152" i="41"/>
  <c r="G62" i="41" s="1"/>
  <c r="F153" i="41"/>
  <c r="F63" i="41" s="1"/>
  <c r="I153" i="33"/>
  <c r="I63" i="33" s="1"/>
  <c r="E166" i="47"/>
  <c r="E104" i="47" s="1"/>
  <c r="C164" i="47"/>
  <c r="C102" i="47" s="1"/>
  <c r="G166" i="47"/>
  <c r="G104" i="47" s="1"/>
  <c r="F163" i="47"/>
  <c r="F101" i="47" s="1"/>
  <c r="I164" i="47"/>
  <c r="I102" i="47" s="1"/>
  <c r="G153" i="18"/>
  <c r="G63" i="18" s="1"/>
  <c r="F152" i="42"/>
  <c r="F62" i="42" s="1"/>
  <c r="C153" i="33"/>
  <c r="C63" i="33" s="1"/>
  <c r="F165" i="47"/>
  <c r="F103" i="47" s="1"/>
  <c r="E152" i="42"/>
  <c r="E62" i="42" s="1"/>
  <c r="D153" i="33"/>
  <c r="D63" i="33" s="1"/>
  <c r="E152" i="33"/>
  <c r="E62" i="33" s="1"/>
  <c r="C152" i="33"/>
  <c r="C62" i="33" s="1"/>
  <c r="G165" i="47"/>
  <c r="G103" i="47" s="1"/>
  <c r="G164" i="47"/>
  <c r="G102" i="47" s="1"/>
  <c r="F166" i="47"/>
  <c r="F104" i="47" s="1"/>
  <c r="D152" i="18"/>
  <c r="D62" i="18" s="1"/>
  <c r="C152" i="18"/>
  <c r="C62" i="18" s="1"/>
  <c r="D153" i="18"/>
  <c r="D63" i="18" s="1"/>
  <c r="G152" i="42"/>
  <c r="G62" i="42" s="1"/>
  <c r="D152" i="42"/>
  <c r="D62" i="42" s="1"/>
  <c r="I163" i="47"/>
  <c r="I101" i="47" s="1"/>
  <c r="D152" i="41"/>
  <c r="D62" i="41" s="1"/>
  <c r="D152" i="33"/>
  <c r="D62" i="33" s="1"/>
  <c r="E164" i="47"/>
  <c r="E102" i="47" s="1"/>
  <c r="D166" i="47"/>
  <c r="D104" i="47" s="1"/>
  <c r="C163" i="47"/>
  <c r="C101" i="47" s="1"/>
  <c r="G152" i="18"/>
  <c r="G62" i="18" s="1"/>
  <c r="I153" i="18"/>
  <c r="I63" i="18" s="1"/>
  <c r="C153" i="18"/>
  <c r="C63" i="18" s="1"/>
  <c r="F153" i="18"/>
  <c r="F63" i="18" s="1"/>
  <c r="I166" i="47"/>
  <c r="I104" i="47" s="1"/>
  <c r="F152" i="41"/>
  <c r="F62" i="41" s="1"/>
  <c r="I152" i="41"/>
  <c r="I62" i="41" s="1"/>
  <c r="G153" i="33"/>
  <c r="G63" i="33" s="1"/>
  <c r="I152" i="33"/>
  <c r="I62" i="33" s="1"/>
  <c r="D165" i="47"/>
  <c r="D103" i="47" s="1"/>
  <c r="G163" i="47"/>
  <c r="G101" i="47" s="1"/>
  <c r="C165" i="47"/>
  <c r="C103" i="47" s="1"/>
  <c r="I152" i="18"/>
  <c r="I62" i="18" s="1"/>
  <c r="I152" i="42"/>
  <c r="I62" i="42" s="1"/>
  <c r="I153" i="41"/>
  <c r="I63" i="41" s="1"/>
  <c r="C153" i="41"/>
  <c r="C63" i="41" s="1"/>
  <c r="D153" i="41"/>
  <c r="D63" i="41" s="1"/>
  <c r="G153" i="41"/>
  <c r="G63" i="41" s="1"/>
  <c r="C166" i="47"/>
  <c r="C104" i="47" s="1"/>
  <c r="I165" i="47"/>
  <c r="I103" i="47" s="1"/>
  <c r="E153" i="18"/>
  <c r="E63" i="18" s="1"/>
  <c r="E153" i="42"/>
  <c r="E63" i="42" s="1"/>
  <c r="D153" i="42"/>
  <c r="D63" i="42" s="1"/>
  <c r="F152" i="33"/>
  <c r="F62" i="33" s="1"/>
  <c r="D164" i="47"/>
  <c r="D102" i="47" s="1"/>
  <c r="E163" i="47"/>
  <c r="E101" i="47" s="1"/>
  <c r="E165" i="47"/>
  <c r="E103" i="47" s="1"/>
  <c r="F164" i="47"/>
  <c r="F102" i="47" s="1"/>
  <c r="F152" i="18"/>
  <c r="F62" i="18" s="1"/>
  <c r="B166" i="41"/>
  <c r="B104" i="41" s="1"/>
  <c r="B164" i="41"/>
  <c r="B102" i="41" s="1"/>
  <c r="B161" i="41"/>
  <c r="B96" i="41" s="1"/>
  <c r="C161" i="41"/>
  <c r="C96" i="41" s="1"/>
  <c r="G157" i="41"/>
  <c r="G92" i="41" s="1"/>
  <c r="B158" i="41"/>
  <c r="B93" i="41" s="1"/>
  <c r="B163" i="41"/>
  <c r="B101" i="41" s="1"/>
  <c r="E162" i="41"/>
  <c r="E100" i="41" s="1"/>
  <c r="D159" i="41"/>
  <c r="D94" i="41" s="1"/>
  <c r="B157" i="41"/>
  <c r="B91" i="41" s="1"/>
  <c r="B192" i="41"/>
  <c r="B66" i="41" s="1"/>
  <c r="D162" i="41"/>
  <c r="D100" i="41" s="1"/>
  <c r="C162" i="41"/>
  <c r="C100" i="41" s="1"/>
  <c r="F162" i="41"/>
  <c r="F100" i="41" s="1"/>
  <c r="D160" i="41"/>
  <c r="D95" i="41" s="1"/>
  <c r="I162" i="41"/>
  <c r="I99" i="41" s="1"/>
  <c r="G162" i="41"/>
  <c r="G100" i="41" s="1"/>
  <c r="D161" i="41"/>
  <c r="D96" i="41" s="1"/>
  <c r="F161" i="41"/>
  <c r="F96" i="41" s="1"/>
  <c r="B162" i="41"/>
  <c r="B99" i="41" s="1"/>
  <c r="E160" i="41"/>
  <c r="E95" i="41" s="1"/>
  <c r="G161" i="41"/>
  <c r="G96" i="41" s="1"/>
  <c r="F159" i="41"/>
  <c r="F94" i="41" s="1"/>
  <c r="D157" i="41"/>
  <c r="D92" i="41" s="1"/>
  <c r="C158" i="41"/>
  <c r="C93" i="41" s="1"/>
  <c r="F158" i="41"/>
  <c r="F93" i="41" s="1"/>
  <c r="B160" i="41"/>
  <c r="B95" i="41" s="1"/>
  <c r="G158" i="41"/>
  <c r="G93" i="41" s="1"/>
  <c r="E161" i="41"/>
  <c r="E96" i="41" s="1"/>
  <c r="C160" i="41"/>
  <c r="C95" i="41" s="1"/>
  <c r="B165" i="41"/>
  <c r="B103" i="41" s="1"/>
  <c r="F160" i="41"/>
  <c r="F95" i="41" s="1"/>
  <c r="E157" i="41"/>
  <c r="E92" i="41" s="1"/>
  <c r="C157" i="41"/>
  <c r="C92" i="41" s="1"/>
  <c r="G159" i="41"/>
  <c r="G94" i="41" s="1"/>
  <c r="B159" i="41"/>
  <c r="B94" i="41" s="1"/>
  <c r="E158" i="41"/>
  <c r="E93" i="41" s="1"/>
  <c r="E159" i="41"/>
  <c r="E94" i="41" s="1"/>
  <c r="C159" i="41"/>
  <c r="C94" i="41" s="1"/>
  <c r="F157" i="41"/>
  <c r="F92" i="41" s="1"/>
  <c r="G160" i="41"/>
  <c r="G95" i="41" s="1"/>
  <c r="D158" i="41"/>
  <c r="D93" i="41" s="1"/>
  <c r="C56" i="18"/>
  <c r="C151" i="18"/>
  <c r="C61" i="18" s="1"/>
  <c r="G151" i="18"/>
  <c r="G61" i="18" s="1"/>
  <c r="G56" i="18"/>
  <c r="E56" i="18"/>
  <c r="E151" i="18"/>
  <c r="E61" i="18" s="1"/>
  <c r="B159" i="42"/>
  <c r="B94" i="42" s="1"/>
  <c r="E162" i="42"/>
  <c r="E100" i="42" s="1"/>
  <c r="B164" i="42"/>
  <c r="B102" i="42" s="1"/>
  <c r="E157" i="42"/>
  <c r="E92" i="42" s="1"/>
  <c r="G158" i="42"/>
  <c r="G93" i="42" s="1"/>
  <c r="B192" i="42"/>
  <c r="B66" i="42" s="1"/>
  <c r="F159" i="42"/>
  <c r="F94" i="42" s="1"/>
  <c r="G157" i="42"/>
  <c r="G92" i="42" s="1"/>
  <c r="B158" i="42"/>
  <c r="B93" i="42" s="1"/>
  <c r="B161" i="42"/>
  <c r="B96" i="42" s="1"/>
  <c r="D159" i="42"/>
  <c r="D94" i="42" s="1"/>
  <c r="C158" i="42"/>
  <c r="C93" i="42" s="1"/>
  <c r="F158" i="42"/>
  <c r="F93" i="42" s="1"/>
  <c r="B165" i="42"/>
  <c r="B103" i="42" s="1"/>
  <c r="B160" i="42"/>
  <c r="B95" i="42" s="1"/>
  <c r="B157" i="42"/>
  <c r="B91" i="42" s="1"/>
  <c r="D158" i="42"/>
  <c r="D93" i="42" s="1"/>
  <c r="D157" i="42"/>
  <c r="D92" i="42" s="1"/>
  <c r="G162" i="42"/>
  <c r="G100" i="42" s="1"/>
  <c r="F160" i="42"/>
  <c r="F95" i="42" s="1"/>
  <c r="E161" i="42"/>
  <c r="E96" i="42" s="1"/>
  <c r="B166" i="42"/>
  <c r="B104" i="42" s="1"/>
  <c r="E158" i="42"/>
  <c r="E93" i="42" s="1"/>
  <c r="E159" i="42"/>
  <c r="E94" i="42" s="1"/>
  <c r="F161" i="42"/>
  <c r="F96" i="42" s="1"/>
  <c r="D160" i="42"/>
  <c r="D95" i="42" s="1"/>
  <c r="G160" i="42"/>
  <c r="G95" i="42" s="1"/>
  <c r="D162" i="42"/>
  <c r="D100" i="42" s="1"/>
  <c r="C161" i="42"/>
  <c r="C96" i="42" s="1"/>
  <c r="G159" i="42"/>
  <c r="G94" i="42" s="1"/>
  <c r="C162" i="42"/>
  <c r="C100" i="42" s="1"/>
  <c r="F162" i="42"/>
  <c r="F100" i="42" s="1"/>
  <c r="F157" i="42"/>
  <c r="F92" i="42" s="1"/>
  <c r="D161" i="42"/>
  <c r="D96" i="42" s="1"/>
  <c r="E160" i="42"/>
  <c r="E95" i="42" s="1"/>
  <c r="B162" i="42"/>
  <c r="B99" i="42" s="1"/>
  <c r="C157" i="42"/>
  <c r="C92" i="42" s="1"/>
  <c r="I162" i="42"/>
  <c r="I99" i="42" s="1"/>
  <c r="C160" i="42"/>
  <c r="C95" i="42" s="1"/>
  <c r="B163" i="42"/>
  <c r="B101" i="42" s="1"/>
  <c r="G161" i="42"/>
  <c r="G96" i="42" s="1"/>
  <c r="C159" i="42"/>
  <c r="C94" i="42" s="1"/>
  <c r="E157" i="33"/>
  <c r="E92" i="33" s="1"/>
  <c r="B162" i="33"/>
  <c r="B99" i="33" s="1"/>
  <c r="B164" i="33"/>
  <c r="B102" i="33" s="1"/>
  <c r="E159" i="33"/>
  <c r="E94" i="33" s="1"/>
  <c r="C162" i="33"/>
  <c r="C100" i="33" s="1"/>
  <c r="I162" i="33"/>
  <c r="I99" i="33" s="1"/>
  <c r="G158" i="33"/>
  <c r="G93" i="33" s="1"/>
  <c r="B163" i="33"/>
  <c r="B101" i="33" s="1"/>
  <c r="E158" i="33"/>
  <c r="E93" i="33" s="1"/>
  <c r="B192" i="33"/>
  <c r="B66" i="33" s="1"/>
  <c r="D157" i="33"/>
  <c r="D92" i="33" s="1"/>
  <c r="F157" i="33"/>
  <c r="F92" i="33" s="1"/>
  <c r="F159" i="33"/>
  <c r="F94" i="33" s="1"/>
  <c r="E162" i="33"/>
  <c r="E100" i="33" s="1"/>
  <c r="C158" i="33"/>
  <c r="C93" i="33" s="1"/>
  <c r="D161" i="33"/>
  <c r="D96" i="33" s="1"/>
  <c r="B165" i="33"/>
  <c r="B103" i="33" s="1"/>
  <c r="F158" i="33"/>
  <c r="F93" i="33" s="1"/>
  <c r="F161" i="33"/>
  <c r="F96" i="33" s="1"/>
  <c r="F162" i="33"/>
  <c r="F100" i="33" s="1"/>
  <c r="C157" i="33"/>
  <c r="C92" i="33" s="1"/>
  <c r="C161" i="33"/>
  <c r="C96" i="33" s="1"/>
  <c r="B157" i="33"/>
  <c r="B91" i="33" s="1"/>
  <c r="D159" i="33"/>
  <c r="D94" i="33" s="1"/>
  <c r="E161" i="33"/>
  <c r="E96" i="33" s="1"/>
  <c r="B158" i="33"/>
  <c r="B93" i="33" s="1"/>
  <c r="D162" i="33"/>
  <c r="D100" i="33" s="1"/>
  <c r="G159" i="33"/>
  <c r="G94" i="33" s="1"/>
  <c r="B161" i="33"/>
  <c r="B96" i="33" s="1"/>
  <c r="G160" i="33"/>
  <c r="G95" i="33" s="1"/>
  <c r="B160" i="33"/>
  <c r="B95" i="33" s="1"/>
  <c r="G162" i="33"/>
  <c r="G100" i="33" s="1"/>
  <c r="D158" i="33"/>
  <c r="D93" i="33" s="1"/>
  <c r="E160" i="33"/>
  <c r="E95" i="33" s="1"/>
  <c r="D160" i="33"/>
  <c r="D95" i="33" s="1"/>
  <c r="B159" i="33"/>
  <c r="B94" i="33" s="1"/>
  <c r="B166" i="33"/>
  <c r="B104" i="33" s="1"/>
  <c r="G157" i="33"/>
  <c r="G92" i="33" s="1"/>
  <c r="C160" i="33"/>
  <c r="C95" i="33" s="1"/>
  <c r="G161" i="33"/>
  <c r="G96" i="33" s="1"/>
  <c r="F160" i="33"/>
  <c r="F95" i="33" s="1"/>
  <c r="C159" i="33"/>
  <c r="C94" i="33" s="1"/>
  <c r="D56" i="18"/>
  <c r="D151" i="18"/>
  <c r="D61" i="18" s="1"/>
  <c r="B192" i="18"/>
  <c r="B66" i="18" s="1"/>
  <c r="B159" i="18"/>
  <c r="B94" i="18" s="1"/>
  <c r="E157" i="18"/>
  <c r="E92" i="18" s="1"/>
  <c r="C158" i="18"/>
  <c r="C93" i="18" s="1"/>
  <c r="B158" i="18"/>
  <c r="B93" i="18" s="1"/>
  <c r="G160" i="18"/>
  <c r="G95" i="18" s="1"/>
  <c r="E158" i="18"/>
  <c r="E93" i="18" s="1"/>
  <c r="B164" i="18"/>
  <c r="B102" i="18" s="1"/>
  <c r="B163" i="18"/>
  <c r="B101" i="18" s="1"/>
  <c r="C157" i="18"/>
  <c r="C92" i="18" s="1"/>
  <c r="F161" i="18"/>
  <c r="F96" i="18" s="1"/>
  <c r="F158" i="18"/>
  <c r="F93" i="18" s="1"/>
  <c r="B165" i="18"/>
  <c r="B103" i="18" s="1"/>
  <c r="I162" i="18"/>
  <c r="I99" i="18" s="1"/>
  <c r="D162" i="18"/>
  <c r="D100" i="18" s="1"/>
  <c r="E160" i="18"/>
  <c r="E95" i="18" s="1"/>
  <c r="G158" i="18"/>
  <c r="G93" i="18" s="1"/>
  <c r="F159" i="18"/>
  <c r="F94" i="18" s="1"/>
  <c r="B162" i="18"/>
  <c r="B99" i="18" s="1"/>
  <c r="F162" i="18"/>
  <c r="F100" i="18" s="1"/>
  <c r="C160" i="18"/>
  <c r="C95" i="18" s="1"/>
  <c r="E162" i="18"/>
  <c r="E100" i="18" s="1"/>
  <c r="G157" i="18"/>
  <c r="G92" i="18" s="1"/>
  <c r="B160" i="18"/>
  <c r="B95" i="18" s="1"/>
  <c r="F160" i="18"/>
  <c r="F95" i="18" s="1"/>
  <c r="C159" i="18"/>
  <c r="C94" i="18" s="1"/>
  <c r="D161" i="18"/>
  <c r="D96" i="18" s="1"/>
  <c r="B161" i="18"/>
  <c r="B96" i="18" s="1"/>
  <c r="D159" i="18"/>
  <c r="D94" i="18" s="1"/>
  <c r="D158" i="18"/>
  <c r="D93" i="18" s="1"/>
  <c r="B157" i="18"/>
  <c r="B91" i="18" s="1"/>
  <c r="D157" i="18"/>
  <c r="D92" i="18" s="1"/>
  <c r="E161" i="18"/>
  <c r="E96" i="18" s="1"/>
  <c r="E159" i="18"/>
  <c r="E94" i="18" s="1"/>
  <c r="B166" i="18"/>
  <c r="B104" i="18" s="1"/>
  <c r="C162" i="18"/>
  <c r="C100" i="18" s="1"/>
  <c r="G161" i="18"/>
  <c r="G96" i="18" s="1"/>
  <c r="D160" i="18"/>
  <c r="D95" i="18" s="1"/>
  <c r="G162" i="18"/>
  <c r="G100" i="18" s="1"/>
  <c r="G159" i="18"/>
  <c r="G94" i="18" s="1"/>
  <c r="C161" i="18"/>
  <c r="C96" i="18" s="1"/>
  <c r="F157" i="18"/>
  <c r="F92" i="18" s="1"/>
  <c r="F56" i="18"/>
  <c r="F151" i="18"/>
  <c r="F61" i="18" s="1"/>
  <c r="E165" i="42" l="1"/>
  <c r="E103" i="42" s="1"/>
  <c r="E163" i="18"/>
  <c r="E101" i="18" s="1"/>
  <c r="G164" i="18"/>
  <c r="G102" i="18" s="1"/>
  <c r="G163" i="18"/>
  <c r="G101" i="18" s="1"/>
  <c r="G165" i="18"/>
  <c r="G103" i="18" s="1"/>
  <c r="C165" i="42"/>
  <c r="C103" i="42" s="1"/>
  <c r="G163" i="41"/>
  <c r="G101" i="41" s="1"/>
  <c r="D164" i="33"/>
  <c r="D102" i="33" s="1"/>
  <c r="G166" i="41"/>
  <c r="G104" i="41" s="1"/>
  <c r="E164" i="33"/>
  <c r="E102" i="33" s="1"/>
  <c r="D165" i="18"/>
  <c r="D103" i="18" s="1"/>
  <c r="D163" i="33"/>
  <c r="D101" i="33" s="1"/>
  <c r="E166" i="42"/>
  <c r="E104" i="42" s="1"/>
  <c r="E165" i="18"/>
  <c r="E103" i="18" s="1"/>
  <c r="E164" i="42"/>
  <c r="E102" i="42" s="1"/>
  <c r="I165" i="18"/>
  <c r="I103" i="18" s="1"/>
  <c r="D166" i="18"/>
  <c r="D104" i="18" s="1"/>
  <c r="G166" i="18"/>
  <c r="G104" i="18" s="1"/>
  <c r="D164" i="18"/>
  <c r="D102" i="18" s="1"/>
  <c r="I164" i="18"/>
  <c r="I102" i="18" s="1"/>
  <c r="E164" i="18"/>
  <c r="E102" i="18" s="1"/>
  <c r="I164" i="33"/>
  <c r="I102" i="33" s="1"/>
  <c r="D165" i="33"/>
  <c r="D103" i="33" s="1"/>
  <c r="I166" i="33"/>
  <c r="I104" i="33" s="1"/>
  <c r="D164" i="42"/>
  <c r="D102" i="42" s="1"/>
  <c r="G164" i="42"/>
  <c r="G102" i="42" s="1"/>
  <c r="I163" i="42"/>
  <c r="I101" i="42" s="1"/>
  <c r="D164" i="41"/>
  <c r="D102" i="41" s="1"/>
  <c r="F166" i="41"/>
  <c r="F104" i="41" s="1"/>
  <c r="I164" i="41"/>
  <c r="I102" i="41" s="1"/>
  <c r="G164" i="33"/>
  <c r="G102" i="33" s="1"/>
  <c r="E166" i="41"/>
  <c r="E104" i="41" s="1"/>
  <c r="F164" i="18"/>
  <c r="F102" i="18" s="1"/>
  <c r="C166" i="18"/>
  <c r="C104" i="18" s="1"/>
  <c r="F163" i="18"/>
  <c r="F101" i="18" s="1"/>
  <c r="I166" i="18"/>
  <c r="I104" i="18" s="1"/>
  <c r="F165" i="33"/>
  <c r="F103" i="33" s="1"/>
  <c r="I165" i="33"/>
  <c r="I103" i="33" s="1"/>
  <c r="C166" i="33"/>
  <c r="C104" i="33" s="1"/>
  <c r="E163" i="33"/>
  <c r="E101" i="33" s="1"/>
  <c r="C165" i="33"/>
  <c r="C103" i="33" s="1"/>
  <c r="F163" i="42"/>
  <c r="F101" i="42" s="1"/>
  <c r="F166" i="42"/>
  <c r="F104" i="42" s="1"/>
  <c r="I166" i="42"/>
  <c r="I104" i="42" s="1"/>
  <c r="D166" i="42"/>
  <c r="D104" i="42" s="1"/>
  <c r="C164" i="41"/>
  <c r="C102" i="41" s="1"/>
  <c r="C165" i="41"/>
  <c r="C103" i="41" s="1"/>
  <c r="C163" i="41"/>
  <c r="C101" i="41" s="1"/>
  <c r="E163" i="41"/>
  <c r="E101" i="41" s="1"/>
  <c r="I163" i="18"/>
  <c r="I101" i="18" s="1"/>
  <c r="F166" i="18"/>
  <c r="F104" i="18" s="1"/>
  <c r="E166" i="18"/>
  <c r="E104" i="18" s="1"/>
  <c r="E165" i="33"/>
  <c r="E103" i="33" s="1"/>
  <c r="E166" i="33"/>
  <c r="E104" i="33" s="1"/>
  <c r="G163" i="42"/>
  <c r="G101" i="42" s="1"/>
  <c r="G165" i="42"/>
  <c r="G103" i="42" s="1"/>
  <c r="F165" i="41"/>
  <c r="F103" i="41" s="1"/>
  <c r="E165" i="41"/>
  <c r="E103" i="41" s="1"/>
  <c r="I163" i="41"/>
  <c r="I101" i="41" s="1"/>
  <c r="D166" i="41"/>
  <c r="D104" i="41" s="1"/>
  <c r="G166" i="33"/>
  <c r="G104" i="33" s="1"/>
  <c r="E164" i="41"/>
  <c r="E102" i="41" s="1"/>
  <c r="I166" i="41"/>
  <c r="I104" i="41" s="1"/>
  <c r="C164" i="18"/>
  <c r="C102" i="18" s="1"/>
  <c r="C164" i="33"/>
  <c r="C102" i="33" s="1"/>
  <c r="I163" i="33"/>
  <c r="I101" i="33" s="1"/>
  <c r="G165" i="33"/>
  <c r="G103" i="33" s="1"/>
  <c r="F166" i="33"/>
  <c r="F104" i="33" s="1"/>
  <c r="D166" i="33"/>
  <c r="D104" i="33" s="1"/>
  <c r="C164" i="42"/>
  <c r="C102" i="42" s="1"/>
  <c r="G166" i="42"/>
  <c r="G104" i="42" s="1"/>
  <c r="G165" i="41"/>
  <c r="G103" i="41" s="1"/>
  <c r="F163" i="41"/>
  <c r="F101" i="41" s="1"/>
  <c r="D163" i="41"/>
  <c r="D101" i="41" s="1"/>
  <c r="F164" i="33"/>
  <c r="F102" i="33" s="1"/>
  <c r="F163" i="33"/>
  <c r="F101" i="33" s="1"/>
  <c r="C166" i="42"/>
  <c r="C104" i="42" s="1"/>
  <c r="I164" i="42"/>
  <c r="I102" i="42" s="1"/>
  <c r="D163" i="42"/>
  <c r="D101" i="42" s="1"/>
  <c r="F165" i="42"/>
  <c r="F103" i="42" s="1"/>
  <c r="D165" i="41"/>
  <c r="D103" i="41" s="1"/>
  <c r="C165" i="18"/>
  <c r="C103" i="18" s="1"/>
  <c r="F164" i="42"/>
  <c r="F102" i="42" s="1"/>
  <c r="D163" i="18"/>
  <c r="D101" i="18" s="1"/>
  <c r="C163" i="18"/>
  <c r="C101" i="18" s="1"/>
  <c r="F165" i="18"/>
  <c r="F103" i="18" s="1"/>
  <c r="G163" i="33"/>
  <c r="G101" i="33" s="1"/>
  <c r="C163" i="33"/>
  <c r="C101" i="33" s="1"/>
  <c r="E163" i="42"/>
  <c r="E101" i="42" s="1"/>
  <c r="C163" i="42"/>
  <c r="C101" i="42" s="1"/>
  <c r="D165" i="42"/>
  <c r="D103" i="42" s="1"/>
  <c r="I165" i="42"/>
  <c r="I103" i="42" s="1"/>
  <c r="G164" i="41"/>
  <c r="G102" i="41" s="1"/>
  <c r="I165" i="41"/>
  <c r="I103" i="41" s="1"/>
  <c r="C166" i="41"/>
  <c r="C104" i="41" s="1"/>
  <c r="F164" i="41"/>
  <c r="F102" i="41" s="1"/>
</calcChain>
</file>

<file path=xl/sharedStrings.xml><?xml version="1.0" encoding="utf-8"?>
<sst xmlns="http://schemas.openxmlformats.org/spreadsheetml/2006/main" count="1219" uniqueCount="393">
  <si>
    <t>2019/20</t>
  </si>
  <si>
    <t>2020/21</t>
  </si>
  <si>
    <t>2021/22</t>
  </si>
  <si>
    <t>2022/23</t>
  </si>
  <si>
    <t>User Income Distribution</t>
  </si>
  <si>
    <t>Blank?</t>
  </si>
  <si>
    <t>User House Price Distribution</t>
  </si>
  <si>
    <t>Overall issue - 2 Tenure</t>
  </si>
  <si>
    <t xml:space="preserve"> </t>
  </si>
  <si>
    <t>http://landregistry.data.gov.uk/app/ppd/</t>
  </si>
  <si>
    <t>https://www.ukfinance.org.uk/data-and-research/data/mortgages/regional-lending-trends</t>
  </si>
  <si>
    <t>Enter the following dates</t>
  </si>
  <si>
    <t>Date of Calculation (dd/mm/yyyy)</t>
  </si>
  <si>
    <t>Dates of 5-year projection period</t>
  </si>
  <si>
    <t>Year 1</t>
  </si>
  <si>
    <t>Year 2</t>
  </si>
  <si>
    <t>Year 3</t>
  </si>
  <si>
    <t>Year 4</t>
  </si>
  <si>
    <t>Year 5</t>
  </si>
  <si>
    <t>Inputs</t>
  </si>
  <si>
    <t>2023/24</t>
  </si>
  <si>
    <t>2018/19</t>
  </si>
  <si>
    <t>2017/18</t>
  </si>
  <si>
    <t>OBR (2020 Outlook Supplementary tables, 1.13)</t>
  </si>
  <si>
    <t>OBR (2020 Outlook Supplementary tables, 1.6)</t>
  </si>
  <si>
    <t>Blue font cells below should be updated as needed</t>
  </si>
  <si>
    <t>OBR (2020 Outlook Supplementary tables, 1.21)</t>
  </si>
  <si>
    <t>Dyddiad Cyhoeddi:</t>
  </si>
  <si>
    <t>Manylion Cyswllt:</t>
  </si>
  <si>
    <t>ystadegau.tai@llyw.cymru</t>
  </si>
  <si>
    <t>Cyfarwyddiadau-Crynodeb o'r ffigurau a gynhyrchwyd</t>
  </si>
  <si>
    <t>Ymwadiad</t>
  </si>
  <si>
    <t>Cod Lliw</t>
  </si>
  <si>
    <t>Defnydd cyffredinol o'r adnodd</t>
  </si>
  <si>
    <t xml:space="preserve">• Mae celloedd sydd wedi'u lliwio'n las yn nodi y gallwch ddewis o ddewislen, ychwanegu data, neu glicio ar fotwm. </t>
  </si>
  <si>
    <t>• Os nad oes amcangyfrifon yn ymddangos, gwiriwch nad oes celloedd coch yn dangos "N" yng ngholofn gyflawn pob taflen rhaniad y ddeiliadaeth. Os oes, dilynwch y testun coch i fewnbynnu data neu ddewis yr opsiwn wedi'i ragosod (lle'n bosib).</t>
  </si>
  <si>
    <t xml:space="preserve">• Er mwyn gweld amcangyfrifon wedi'u rhannu yn bedair deiliadaeth, mae'n rhaid i chi fewngofnodi eich data ar gyfer y gyfran o brynwyr am y tro cyntaf sy'n mynd ymlaen i brynu eiddo. </t>
  </si>
  <si>
    <t>Mewngofnodi eich data chi</t>
  </si>
  <si>
    <t xml:space="preserve">• Mae'r opsiwn gennych i ddefnyddio'ch data a'ch rhagdybiaethau eich hun. Gallwch roi eich data chi yn lle'r rhagdybiaethau a ffynonellau data wedi'u rhagosod, defnyddio cymysgedd o'ch data chi a data wedi'i ragosod, neu ddefnyddio'r holl ragdybiaethau a ffynonellau data wedi'u rhagosod. </t>
  </si>
  <si>
    <t>• Nid oes rhaid i chi fewngofnodi gwerthoedd ym mhob rhanbarth er mwyn i'r adnodd weithio. Cyhyd â'ch bod wedi mewngofnodi data ar lefel Cymru, mi fyddwch yn gweld amcangyfrifon ar lefel Cymru. Bydd y taflenni rhanbarthol yn dangos statws anorffenedig a pharhau yn wag.</t>
  </si>
  <si>
    <t xml:space="preserve">• Yn yr un modd, nid oes angen i chi fewngofnodi data ar lefel Cymru er mwyn i'r adnodd weithio. Os oes gennych ddiddordeb penodol mewn un rhanbarth, ac eisiau defnyddio eich data eich hun, gallwch wneud hynny drwy ddewis ar y daflen Cymru. Bydd mewngofnodi data ar lefel rhanbarthol yn unig yn darparu amcangyfrifon ar gyfer y rhanbarth hwnnw (bydd y taflenni eraill yn parhau yn anorffenedig ac ni fyddant yn arddangos canlyniadau). </t>
  </si>
  <si>
    <t>Deall y fethodoleg</t>
  </si>
  <si>
    <t>Canllawiau ar y Newidynnau</t>
  </si>
  <si>
    <t>Mae'r daflen hon yn cynnig arweiniad ar bob un o'r newidynnau sydd eu hangen i gynhyrchu amcangyfrifon yn ôl rhaniad y ddeiliadaeth.</t>
  </si>
  <si>
    <t>Newidyn</t>
  </si>
  <si>
    <t>Cyfeirnod y daflen waith</t>
  </si>
  <si>
    <t>Disgrifiad o'r Newidyn</t>
  </si>
  <si>
    <t>Sylwadau ar y Newidyn sydd wedi'i Ragosod</t>
  </si>
  <si>
    <t>Ffynhonnell y Newidyn sydd wedi'i Ragosod</t>
  </si>
  <si>
    <t>Nodiadau</t>
  </si>
  <si>
    <t>Ffynonellau Data (rhaniad 2 ddeiliadaeth)</t>
  </si>
  <si>
    <t>Amcanestyniadau o Aelwydydd</t>
  </si>
  <si>
    <t>Yr Angen Presennol nas Diwallwyd</t>
  </si>
  <si>
    <t>Incwm yr Aelwyd</t>
  </si>
  <si>
    <t>Prisiau Rhenti Preifat</t>
  </si>
  <si>
    <t>Prisiau Rhenti</t>
  </si>
  <si>
    <t>Disgrifiad o'r Taflenni</t>
  </si>
  <si>
    <t>Disgrifiad</t>
  </si>
  <si>
    <t xml:space="preserve">Enw </t>
  </si>
  <si>
    <t>Dolenni defnyddiol</t>
  </si>
  <si>
    <t>Erthygl Ystadegol ar Raniad Deiliadaeth Amcangyfrifon Tai</t>
  </si>
  <si>
    <t xml:space="preserve">Erthygl Ystadegol ar Gyfanswm yr Unedau Tai Ychwanegol </t>
  </si>
  <si>
    <t>https://llyw.cymru/amcanestyniadau-genedlaethol-o-aelwydydd-sail-2018</t>
  </si>
  <si>
    <t>Mae amcanestyniadau aelwydydd Awdurdodau lleol wedi'u cyfansymu i gyfrifo amcanestyniadau cenedlaethol a rhanbarthol.</t>
  </si>
  <si>
    <t xml:space="preserve">Daw'r data am aelwydydd sy'n orlawn ac yn gudd o Gyfrifiad 2011. </t>
  </si>
  <si>
    <t xml:space="preserve">Mae dosbarthiad incwm yr aelwyd yn ofynnol (ynghyd â meini prawf fforddiadwyedd pob deiliadaeth) ar lefel genedlaethol a rhanbarthol i gyfrifo pa gyfran o'r angen newydd sy’n codi  fyddai'n addas ar gyfer pob deiliadaeth tai. </t>
  </si>
  <si>
    <t xml:space="preserve">Mae'r data a ddefnyddiwyd at bwrpas y gwaith hwn yn cynnwys aelwydydd sydd yn derbyn cymhorthdal tai yn ogystal a aelwydydd myfyrwyr. Caiff y rhain eu heithrio o'r data a gyhoeddir ar StatsCymru ac felly nid oes modd cymharu'r data. </t>
  </si>
  <si>
    <t>https://llyw.cymru/rhenti-yn-y-sector-preifat-2018</t>
  </si>
  <si>
    <t>https://statscymru.llyw.cymru/Catalogue/Housing/Homelessness/Temporary-Accommodation/householdsaccommodatedtemporarily-by-accommodationtype-householdtype
https://cy.ons.gov.uk/peoplepopulationandcommunity/housing/adhocs/008905ct08512011census</t>
  </si>
  <si>
    <t>Mae angen y newidynnau hyn i gynhyrchu amcangyfrifon wedi'u rhannu yn ddwy ddeiliadaeth (ar y farchnad a fforddiadwy).</t>
  </si>
  <si>
    <t>Meini Prawf Fforddiadwyedd (Marchnad)</t>
  </si>
  <si>
    <t>Blynyddoedd i gael gwared ar yr ôl-groniad</t>
  </si>
  <si>
    <t>Mae'r dybiaeth yn ofynnol er mwyn cyfrifo (ynghyd â phris canolrif rhent preifat) yr incwm gofynnol sydd ei angen i fforddio tai ar y farchnad (rhent preifat neu berchen-feddiannydd).</t>
  </si>
  <si>
    <t>Dyma'r hyd amser fydd angen i ddiwallu'r holl aelwydydd a chanddynt angen presennol nas diwallwyd.</t>
  </si>
  <si>
    <t>Rhagdybiaethau Blynyddol Penodol (rhaniad 2 ddeiliadaeth)</t>
  </si>
  <si>
    <t>Rhagdybiaethau Blynyddol</t>
  </si>
  <si>
    <t xml:space="preserve">Rhagdybiaethau 5 mlynedd (rhaniad 2 ddeiliadaeth) </t>
  </si>
  <si>
    <t>Byddai aelwydydd a fyddai'n gwario llai na 30% o incwm yr aelwyd ar rent preifat canolrifol yn addas ar gyfer rhentu'n breifat.
Wrth i'r trothwy incwm aelwyd gynyddu (ee aelwydydd sy'n gwario llai na 35% o incwm aelwyd ar rhent canolrifol yn addas ar gyfer rhent preifat) felly hefyd fydd nifer yr aelwydydd a fyddai'n addas i rentu'n breifat.</t>
  </si>
  <si>
    <t>Y dybiaeth ragosod yw y bydd yn cymryd 5 mlynedd i gael gwared ar yr ôl-groniad o angen presennol nas diwallwyd.  Casgliad y grŵp technegol oedd ei bod yn rhesymol i dybio y dylid cael gwared ar yr angen presennol o fewn 5 mlynedd.</t>
  </si>
  <si>
    <t>Rhagdybiaethau Dyfodol</t>
  </si>
  <si>
    <t>Newid i Incwm Canolrifol yr Aelwyd</t>
  </si>
  <si>
    <t>I ragweld tyfiant incwm yr aelwyd</t>
  </si>
  <si>
    <t>Mae’r Swyddfa Cyfrifoldeb Cyllidebol (OBR) yn cyhoeddi rhagolygon o incwm aelwydydd. Tra bo’r rhagolygon ar lefel DU mae wedi’i ddefnyddio ar lefel cenedlaethol a rhanbarthol yng Nghymru. Mae’r rhagolwg yn nodi twf o oddeutu 3% bob blwyddyn ar gyfer y cyfnod o bum mlynedd.</t>
  </si>
  <si>
    <t xml:space="preserve">I ragweld sut y bydd dosbarthiad incwm yr aelwyd yn newid dros amser. </t>
  </si>
  <si>
    <t xml:space="preserve">Mae angen y newidynnau ychwanegol hyn i gynhyrchu amcangyfrifon wedi'u rhannu yn bedair deiliadaeth (perchen-feddiannydd, rhent preifat, rhent canolradd a chymdeithasol). </t>
  </si>
  <si>
    <t>Newid i brisiau rhenti</t>
  </si>
  <si>
    <t>Newid i Ddosbarthiad Incwm yr Aelwyd</t>
  </si>
  <si>
    <t>Ffynonellau Data (rhaniad 4 deiliadaeth)</t>
  </si>
  <si>
    <t>Dosbarthiad Prisiau Tai</t>
  </si>
  <si>
    <t xml:space="preserve">Mae data ar brisiau tai ar gael drwy set ddata Cofrestrfa Tir ar brisiau a dalwyd. </t>
  </si>
  <si>
    <t xml:space="preserve">Data yn gywir ar 4 Rhagfyr 2019.  </t>
  </si>
  <si>
    <t>Rhagdybiaethau Blynyddol Penodol (rhaniad 4 deiliadaeth)</t>
  </si>
  <si>
    <t>Cymhareb Incwm Prynwyr am y Tro Cyntaf</t>
  </si>
  <si>
    <t>Canradd y Prynwyr sy'n Prynu Eiddo am y Tro Cyntaf</t>
  </si>
  <si>
    <t>Prynwyr sy'n mynd ymlaen i brynu eiddo am y tro cyntaf (nid oes newidyn wedi'i ragosod)</t>
  </si>
  <si>
    <t>Meini Prawf Fforddiadwyedd (Cymdeithasol)</t>
  </si>
  <si>
    <t xml:space="preserve">Defnyddir y newidyn hwn ar y cyd gyda'r uchod i ddarganfod faint o incwm yr aelwyd sydd angen i Brynwyr am y Tro Cyntaf fedru prynu tŷ. </t>
  </si>
  <si>
    <t xml:space="preserve"> Mae'r newidyn hwn yn ystyried na fydd pob aelwyd sy'n medru fforddio prynu tŷ (yn seiliedig ar y rhagdybiaeth uchod) mewn gwirionedd yn parhau i wneud hynny, unai drwy ddewis neu amgylchiad.</t>
  </si>
  <si>
    <t xml:space="preserve">Er mwyn dyrannu'r rheini a ystyrir yn addas ar gyfer rhent fforddiadwy i rhent cymdeithasol a chanolradd, mae gofyn am ragdybiaeth o ba aelwydydd sy'n addas ar gyfer rhent cymdeithasol. </t>
  </si>
  <si>
    <t>Mae Cyllid y DU (a adwaenir gynt fel Cyngor Benthycwyr Morgeisi) yn cyhoeddi ffigurau chwarterol ar lefel Cymru.</t>
  </si>
  <si>
    <t>O gymharu'r pris cyfartalog a dalwyd gan brynwyr am y tro cyntaf yng Nghymru yn ôl yr hyn a gyhoeddwyd gan y Swyddfa Ystadegau Gwladol â dosbarthiad set ddata Cofrestrfa Tir ar brisiau a dalwyd, mae prynwyr am y tro cyntaf yng Nghymru yn tueddu i allu prynu eiddo am y tro cyntaf yn ôl 40 canradd.</t>
  </si>
  <si>
    <t>Ni chanfuwyd tystiolaeth gadarn er mwyn gwneud rhagdybiaeth gredadwy am y newidyn hwn yng Nghymru. Rhaid i ddefnyddwyr gyflwyno eu gwerth eu hunain i weld amcangyfrifon wedi'u rhannu yn bedair deiliadaeth.</t>
  </si>
  <si>
    <t>Heb ei ragosod.</t>
  </si>
  <si>
    <t>I ragweld tyfiant mewn prisiau tai.</t>
  </si>
  <si>
    <t>Newid i brisiau tai</t>
  </si>
  <si>
    <t xml:space="preserve">Mae'r Swyddfa Cyfrifoldeb Cyllidebol (OBR) yn cynhyrchu rhagolygon o brisiau tai ar gyfer y DU. </t>
  </si>
  <si>
    <t xml:space="preserve">OBR Mawrth 2020: Tabl 1.21 (Rhagdybiaethau Prisiau Tai) </t>
  </si>
  <si>
    <t xml:space="preserve">Rhagdybiaethau 5 mlynedd (rhaniad 4 deiliadaeth) </t>
  </si>
  <si>
    <t>Lefel Ddaearyddol:</t>
  </si>
  <si>
    <t>Dewislen</t>
  </si>
  <si>
    <t>Wedi'i gwblhau?</t>
  </si>
  <si>
    <t>Cyfarwyddiadau/Gwirio</t>
  </si>
  <si>
    <t>Rhagdybiaethau yr Aelwyd</t>
  </si>
  <si>
    <r>
      <t xml:space="preserve">Llenwch y blychau </t>
    </r>
    <r>
      <rPr>
        <sz val="10"/>
        <color theme="3" tint="0.39997558519241921"/>
        <rFont val="Arial"/>
        <family val="2"/>
      </rPr>
      <t>GLAS</t>
    </r>
    <r>
      <rPr>
        <sz val="10"/>
        <color theme="8"/>
        <rFont val="Arial"/>
        <family val="2"/>
      </rPr>
      <t xml:space="preserve"> </t>
    </r>
    <r>
      <rPr>
        <sz val="10"/>
        <color theme="1"/>
        <rFont val="Arial"/>
        <family val="2"/>
      </rPr>
      <t>yn y ddewislen a dilynwch unrhyw gyfarwyddiadau yn y golofn Cyfarwyddiadau/Gwirio.</t>
    </r>
  </si>
  <si>
    <t>Angen Nas Diwallwyd Presennol</t>
  </si>
  <si>
    <t>Blynyddoedd i Gael Gwared ar yr ôl Groniad</t>
  </si>
  <si>
    <t xml:space="preserve">Newid i Ddosbarthiad Incwm yr Aelwyd </t>
  </si>
  <si>
    <t>Newid i Brisiau Rhenti</t>
  </si>
  <si>
    <t xml:space="preserve">Rhagdybiaethau 5 mlynedd (rhaniad 2 deiliadaeth) </t>
  </si>
  <si>
    <t>Newid i Brisiau Tai</t>
  </si>
  <si>
    <t>Dosbarthiad Prisiau Tai Wedi'i Ragosod (De-ddwyrain Cymru)</t>
  </si>
  <si>
    <t>Dosbarthiad prisiau tai defnyddwyr</t>
  </si>
  <si>
    <t>Canradd</t>
  </si>
  <si>
    <t>Dosbarthiad Prisiau Tai Wedi'i Ragosod (De-orllewin Cymru)</t>
  </si>
  <si>
    <t>Dosbarthiad Prisiau Tai Wedi'i Ragosod (Canolbarth Cymru)</t>
  </si>
  <si>
    <t>Dosbarthiad Prisiau Tai Wedi'i Ragosod (Gogledd Cymru)</t>
  </si>
  <si>
    <t>Dosbarthiad Prisiau Tai Wedi'i Ragosod (Cymru)</t>
  </si>
  <si>
    <t>Dosbarthiad Prisiau Tai a Ddefnyddiwyd (unai LlC neu Defnyddwyr)</t>
  </si>
  <si>
    <t>Dosbarthiad Incwm a Ddewiswyd (unai LlC neu defnyddwyr)</t>
  </si>
  <si>
    <t>Dosbarthiad Incwm Wedi'i Ragosod - Cymru</t>
  </si>
  <si>
    <t>Dosbarthiad incwm defnyddwyr</t>
  </si>
  <si>
    <t>Dosbarthiad incwm defnyddwyr - Gogledd Cymru</t>
  </si>
  <si>
    <t>Dosbarthiad Incwm Wedi'i Ragosod - Gogledd Cymru</t>
  </si>
  <si>
    <t>Dosbarthiad Incwm Wedi'i Ragosod - Canolbarth Cymru</t>
  </si>
  <si>
    <t>Dosbarthiad Incwm Wedi'i Ragosod - De-orllewin Cymru</t>
  </si>
  <si>
    <t>Dosbarthiad Incwm Wedi'i Ragosod - De-ddwyrain Cymru</t>
  </si>
  <si>
    <t>Dosbarthiad incwm defnyddwyr - Canolbarth Cymru</t>
  </si>
  <si>
    <t>Dosbarthiad incwm defnyddwyr - De-orllewin Cymru</t>
  </si>
  <si>
    <t>Dosbarthiad incwm defnyddwyr - De-ddwyrain Cymru</t>
  </si>
  <si>
    <r>
      <t xml:space="preserve">Mae'r daflen hon yn cynnwys y rhagdybiaethau wedi'u rhagosod (fel sy'n cael ei egluro yn y daflen </t>
    </r>
    <r>
      <rPr>
        <b/>
        <sz val="11"/>
        <color theme="1"/>
        <rFont val="Calibri"/>
        <family val="2"/>
        <scheme val="minor"/>
      </rPr>
      <t>canllawiau ar newidynnau</t>
    </r>
    <r>
      <rPr>
        <sz val="11"/>
        <color theme="1"/>
        <rFont val="Calibri"/>
        <family val="2"/>
        <scheme val="minor"/>
      </rPr>
      <t xml:space="preserve">) ar gyfer gwerthoedd rhenti 30 canradd a chanolrifol. Os byddwch wedi dewis mewngofnodi eich data eich hunain, cewch eich atgoffa o dan y newidynnau perthnasol i roi eich data. Cyfeiriwch at y Canllawiau ar Newidynnau i gael rhagor o wybodaeth. </t>
    </r>
    <r>
      <rPr>
        <b/>
        <sz val="11"/>
        <color theme="1"/>
        <rFont val="Calibri"/>
        <family val="2"/>
        <scheme val="minor"/>
      </rPr>
      <t>Mae'r ffigyrau yn cyfeirio at 2018/19</t>
    </r>
    <r>
      <rPr>
        <sz val="11"/>
        <color theme="1"/>
        <rFont val="Calibri"/>
        <family val="2"/>
        <scheme val="minor"/>
      </rPr>
      <t>.</t>
    </r>
  </si>
  <si>
    <t>Cymru</t>
  </si>
  <si>
    <t>30 Canradd</t>
  </si>
  <si>
    <t>Arall</t>
  </si>
  <si>
    <t>Gogledd Cymru</t>
  </si>
  <si>
    <t>Canolbarth Cymru</t>
  </si>
  <si>
    <t>De-orllewin Cymru</t>
  </si>
  <si>
    <t>De-ddwyrain Cymru</t>
  </si>
  <si>
    <t>Incwm</t>
  </si>
  <si>
    <r>
      <t xml:space="preserve">Mae'r daflen hon yn cynnwys y rhagdybiaethau wedi'u rhagosod (fel sy'n cael ei egluro yn y daflen </t>
    </r>
    <r>
      <rPr>
        <b/>
        <sz val="11"/>
        <color theme="1"/>
        <rFont val="Calibri"/>
        <family val="2"/>
        <scheme val="minor"/>
      </rPr>
      <t>canllawiau ar newidynnau</t>
    </r>
    <r>
      <rPr>
        <sz val="11"/>
        <color theme="1"/>
        <rFont val="Calibri"/>
        <family val="2"/>
        <scheme val="minor"/>
      </rPr>
      <t xml:space="preserve">) ar gyfer y newidynnau hynny a all gael ffigur blynyddol gwahanol. Os byddwch wedi dewis mewngofnodi eich data eich hunain, cewch eich atgoffa o dan y newidynnau perthnasol i roi eich data. Cyfeiriwch at y Canllawiau ar Newidynnau i gael rhagor o wybodaeth. </t>
    </r>
  </si>
  <si>
    <t>1. Newid i incwm canolrifol yr aelwyd</t>
  </si>
  <si>
    <t>Rhagolygon defnyddwyr</t>
  </si>
  <si>
    <t xml:space="preserve">2. Newid i ddosbarthiad incwm yr aelwyd </t>
  </si>
  <si>
    <t>3. Newid i brisiau tai</t>
  </si>
  <si>
    <t>Prisiau Tai</t>
  </si>
  <si>
    <t>Dim Newid</t>
  </si>
  <si>
    <t xml:space="preserve">Mwy o Anghydraddoldeb </t>
  </si>
  <si>
    <r>
      <t xml:space="preserve">Mae'r daflen hon yn cynnwys y rhagdybiaethau wedi'u rhagosod (fel sy'n cael ei egluro yn y daflen </t>
    </r>
    <r>
      <rPr>
        <b/>
        <sz val="11"/>
        <color theme="1"/>
        <rFont val="Calibri"/>
        <family val="2"/>
        <scheme val="minor"/>
      </rPr>
      <t>canllawiau ar newidynnau</t>
    </r>
    <r>
      <rPr>
        <sz val="11"/>
        <color theme="1"/>
        <rFont val="Calibri"/>
        <family val="2"/>
        <scheme val="minor"/>
      </rPr>
      <t xml:space="preserve">) ar gyfer yr holl newidynnau sy'n aros yr un fath dros gyfnod yr amcangyfrifon. Os byddwch wedi dewis mewngofnodi eich data eich hunain, cewch eich atgoffa o dan y newidynnau perthnasol i roi eich data. Cyfeiriwch at y Canllawiau ar Newidynnau i gael rhagor o wybodaeth. </t>
    </r>
  </si>
  <si>
    <t>Newidynnau sydd eu hangen i gynhyrchu amcangyfrifon wedi eu rhannu i ddwy ddeiliadaeth</t>
  </si>
  <si>
    <t>Newidynnau sydd eu hangen i gynhyrchu amcangyfrifon wedi eu rhannu i bedair deiliadaeth</t>
  </si>
  <si>
    <t>Wedi'i ragosod</t>
  </si>
  <si>
    <t>Wedi'i ragosod (1)</t>
  </si>
  <si>
    <t>Wedi'i ragosod (2)</t>
  </si>
  <si>
    <t>Gwerth Defnyddiwr</t>
  </si>
  <si>
    <t>Canran y Prynwyr am y Tro Cyntaf sy'n mynd ymlaen i brynu eiddo</t>
  </si>
  <si>
    <r>
      <t xml:space="preserve">Mae'r daflen hon yn cynnwys y rhagdybiaethau wedi'u rhagosod (fel sy'n cael ei egluro yn y daflen </t>
    </r>
    <r>
      <rPr>
        <b/>
        <sz val="11"/>
        <color theme="1"/>
        <rFont val="Calibri"/>
        <family val="2"/>
        <scheme val="minor"/>
      </rPr>
      <t>canllawiau ar newidynnau</t>
    </r>
    <r>
      <rPr>
        <sz val="11"/>
        <color theme="1"/>
        <rFont val="Calibri"/>
        <family val="2"/>
        <scheme val="minor"/>
      </rPr>
      <t xml:space="preserve">) ar gyfer amcangyfrifon o'r angen presennol nas diwallwyd. Os byddwch wedi dewis mewngofnodi eich data eich hunain, cewch eich atgoffa o dan y newidynnau perthnasol i roi eich data. Cyfeiriwch at y Canllawiau ar Newidynnau i gael rhagor o wybodaeth.  </t>
    </r>
  </si>
  <si>
    <t>Angen Presennol Nas Diwallwyd</t>
  </si>
  <si>
    <t>Amcangyfrifon LlC</t>
  </si>
  <si>
    <t>Lefel Ddaearyddol</t>
  </si>
  <si>
    <t>Cyfanswm</t>
  </si>
  <si>
    <t>Gogledd</t>
  </si>
  <si>
    <t>Canolbarth</t>
  </si>
  <si>
    <t>De-orllewin</t>
  </si>
  <si>
    <t>De-ddwyrain</t>
  </si>
  <si>
    <t>Blynyddoedd i gael gwared ar yr ôl groniad</t>
  </si>
  <si>
    <t>Amcangyfrifon Defnyddwyr</t>
  </si>
  <si>
    <t>Amcanestyniadau Aelwydydd</t>
  </si>
  <si>
    <t>Prif</t>
  </si>
  <si>
    <t>Newidyn Uwch</t>
  </si>
  <si>
    <t>Newidyn Is</t>
  </si>
  <si>
    <t>Amcanestyniad Defnyddwyr</t>
  </si>
  <si>
    <t>Angen Sydd Newydd Ymddangos</t>
  </si>
  <si>
    <r>
      <t xml:space="preserve">Mae'r daflen hon yn defnyddio'r set o ragdybiaethau i gyfrifo faint o aelwydydd a fyddai'n addas ar gyfer pob deiliadaeth tŷ ym mhob blwyddyn. Caiff y canlyniadau yn y daflen hon eu bwydo i'r daflen Rhaniad y Ddeiliadaeth (Cymru). </t>
    </r>
    <r>
      <rPr>
        <b/>
        <sz val="10"/>
        <color theme="1"/>
        <rFont val="Arial"/>
        <family val="2"/>
      </rPr>
      <t>Nid oes angen ichi roi unrhyw beth ar y daflen hon.</t>
    </r>
    <r>
      <rPr>
        <sz val="10"/>
        <color theme="1"/>
        <rFont val="Arial"/>
        <family val="2"/>
      </rPr>
      <t xml:space="preserve"> Os bydd gennych unrhyw gofnodion o ddata na chwblhawyd ar unrhyw newidynnau, bydd cyfeiliornadau'n digwydd. </t>
    </r>
  </si>
  <si>
    <t>Unedau Tai Ychwanegol</t>
  </si>
  <si>
    <t>Rhaniad y Ddeiliadaeth: Tai Fforddiadwy ac ar y Farchnad</t>
  </si>
  <si>
    <t>Rhent Preifat Canolrifol</t>
  </si>
  <si>
    <t>Isafswm Incwm yr Aelwyd</t>
  </si>
  <si>
    <t>Canradd dosbarthiad incwm</t>
  </si>
  <si>
    <t>Canran angen sydd newydd ymddangos sy'n gallu fforddio</t>
  </si>
  <si>
    <t>Tai Fforddiadwy</t>
  </si>
  <si>
    <t>Gweddill yr aelwydydd na all fforddio'r farchnad</t>
  </si>
  <si>
    <t>Amcangyfrifon</t>
  </si>
  <si>
    <t>Tai'r Farchnad Agored</t>
  </si>
  <si>
    <t>Rhaniad y Ddeiliadaeth: Perchen-feddianwyr, Y Sector Rhentu Preifat, Rhent Canolradd a Chymdeithasol</t>
  </si>
  <si>
    <t>NODWCH: OS NAD YDYCH WEDI CWBLHAU OPSIYNAU'R DDEWISLEN, BYDD CYFEILIORNADAU'N DIGWYDD ISOD</t>
  </si>
  <si>
    <t>Perchen-feddiannydd</t>
  </si>
  <si>
    <r>
      <t>Canran sy'n gallu fforddio</t>
    </r>
    <r>
      <rPr>
        <b/>
        <sz val="11"/>
        <color rgb="FF0070C0"/>
        <rFont val="Calibri"/>
        <family val="2"/>
        <scheme val="minor"/>
      </rPr>
      <t xml:space="preserve"> a </t>
    </r>
    <r>
      <rPr>
        <sz val="11"/>
        <color rgb="FF0070C0"/>
        <rFont val="Calibri"/>
        <family val="2"/>
        <scheme val="minor"/>
      </rPr>
      <t>mynd ymlaen i brynu eiddo</t>
    </r>
  </si>
  <si>
    <r>
      <t xml:space="preserve">Canran sy'n gallu fforddio </t>
    </r>
    <r>
      <rPr>
        <b/>
        <sz val="11"/>
        <color rgb="FF0070C0"/>
        <rFont val="Calibri"/>
        <family val="2"/>
        <scheme val="minor"/>
      </rPr>
      <t>a</t>
    </r>
    <r>
      <rPr>
        <sz val="11"/>
        <color rgb="FF0070C0"/>
        <rFont val="Calibri"/>
        <family val="2"/>
        <scheme val="minor"/>
      </rPr>
      <t xml:space="preserve"> mynd ymlaen i brynu eiddo</t>
    </r>
  </si>
  <si>
    <r>
      <t xml:space="preserve">Canran sy'n gallu fforddio </t>
    </r>
    <r>
      <rPr>
        <b/>
        <sz val="11"/>
        <color rgb="FF0070C0"/>
        <rFont val="Calibri"/>
        <family val="2"/>
        <scheme val="minor"/>
      </rPr>
      <t xml:space="preserve">a </t>
    </r>
    <r>
      <rPr>
        <sz val="11"/>
        <color rgb="FF0070C0"/>
        <rFont val="Calibri"/>
        <family val="2"/>
        <scheme val="minor"/>
      </rPr>
      <t>mynd ymlaen i brynu eiddo</t>
    </r>
  </si>
  <si>
    <t>Y Sector Rhentu Preifat</t>
  </si>
  <si>
    <t>Llai y rheini sy'n mynd ymlaen i brynu eiddo (ar gyfer rhaniad o bedair deiliadaeth)</t>
  </si>
  <si>
    <t>Tai Cymdeithasol</t>
  </si>
  <si>
    <t>30 Canradd Rhenti Preifat</t>
  </si>
  <si>
    <t>Trothwy Uwch incwm yr aelwyd</t>
  </si>
  <si>
    <t>Aelwydydd o ran Angen Presennol nas Diwallwyd</t>
  </si>
  <si>
    <t>Cyfanswm yr aelwydydd sy'n addas ar gyfer rhent cymdeithasol</t>
  </si>
  <si>
    <t>Tai Canolradd</t>
  </si>
  <si>
    <t xml:space="preserve">Aelwydydd nad ydynt wedi'u neilltuo </t>
  </si>
  <si>
    <t>Perchen-Feddiannydd</t>
  </si>
  <si>
    <t>Cyfarwyddiadau/Gwirio/Nodyn</t>
  </si>
  <si>
    <t>Canllawiau ar Newidynnau</t>
  </si>
  <si>
    <t>Rhaniad y Ddeiliadaeth (Cymru)</t>
  </si>
  <si>
    <t>Rhaniad y Ddeiliadaeth (Gogledd)</t>
  </si>
  <si>
    <t>Rhaniad y Ddeiliadaeth (Canolbarth)</t>
  </si>
  <si>
    <t>Rhaniad y Ddeiliadaeth (De-orllewin)</t>
  </si>
  <si>
    <t>Rhaniad y Ddeiliadaeth (De-ddwyrain)</t>
  </si>
  <si>
    <t>Cyfrifiadau - Cymru</t>
  </si>
  <si>
    <t>Cyfrifiadau - Gogledd</t>
  </si>
  <si>
    <t>Cyfrifiadau - Canolbarth</t>
  </si>
  <si>
    <t>Cyfrifiadau - De-orllewin</t>
  </si>
  <si>
    <t>Cyfrifiadau - De-ddwyrain</t>
  </si>
  <si>
    <t>Amcanestyniadau o Aelwyd</t>
  </si>
  <si>
    <t>Rhagdybiaeth Blynyddol</t>
  </si>
  <si>
    <t>Rhagolygon y Dyfodol</t>
  </si>
  <si>
    <t>Incwm (Cymru)</t>
  </si>
  <si>
    <t>Incwm (Canolbarth)</t>
  </si>
  <si>
    <t>Incwm (De-orllewin)</t>
  </si>
  <si>
    <t>Incwm (De-ddwyrain)</t>
  </si>
  <si>
    <t>Map Rhanbarthol</t>
  </si>
  <si>
    <t>Prisiau Tai (Cymru)</t>
  </si>
  <si>
    <t>Prisiau Tai (Gogledd)</t>
  </si>
  <si>
    <t>Prisiau Tai (Canolbarth)</t>
  </si>
  <si>
    <t>Prisiau Tai (De-orllewin)</t>
  </si>
  <si>
    <t>Prisiau Tai (De-ddwyrain)</t>
  </si>
  <si>
    <t>Incwm (Gogledd)</t>
  </si>
  <si>
    <t>Yn rhestru'r newidynnau sydd eu hangen i'w rhannu yn ddeiliadaeth, pam y mae eu hangen a ffynhonnell y newidyn sydd wedi'i ragosod (os yw'n berthnasol)</t>
  </si>
  <si>
    <t>Yn caniatáu i ddefnyddwyr archwilio amcangyfrifon o unedau tai ychwanegol yng Nghymru wedi'u rhannu yn ôl deiliadaeth (rhaniad o ddwy ddeiliadaeth a rhaniad o bedair deiliadaeth)</t>
  </si>
  <si>
    <t>Yn caniatáu i ddefnyddwyr archwilio amcangyfrifon o unedau tai ychwanegol yng Ngogledd Cymru wedi'u rhannu yn ôl deiliadaeth (rhaniad o ddwy ddeiliadaeth a rhaniad o bedair deiliadaeth)</t>
  </si>
  <si>
    <t>Yn caniatáu i ddefnyddwyr archwilio amcangyfrifon o unedau tai ychwanegol yng Nghanolbarth Cymru wedi'u rhannu yn ôl deiliadaeth (rhaniad o ddwy ddeiliadaeth a rhaniad o bedair deiliadaeth)</t>
  </si>
  <si>
    <t>Yn caniatáu i ddefnyddwyr archwilio amcangyfrifon o unedau tai ychwanegol yn Ne-ddwyrain Cymru wedi'u rhannu yn ôl deiliadaeth (rhaniad o ddwy ddeiliadaeth a rhaniad o bedair deiliadaeth)</t>
  </si>
  <si>
    <t>Cyfrifiadau cam wrth gam o amcangyfrifon wedi'u rhannu yn ôl deiliadaeth (Cymru)</t>
  </si>
  <si>
    <t>Cyfrifiadau cam wrth gam o amcangyfrifon wedi'u rhannu yn ôl deiliadaeth (Gogledd Cymru)</t>
  </si>
  <si>
    <t>Cyfrifiadau cam wrth gam o amcangyfrifon wedi'u rhannu yn ôl deiliadaeth (Canolbarth Cymru)</t>
  </si>
  <si>
    <t>Cyfrifiadau cam wrth gam o amcangyfrifon wedi'u rhannu yn ôl deiliadaeth (De-orllewin Cymru)</t>
  </si>
  <si>
    <t>Cyfrifiadau cam wrth gam o amcangyfrifon wedi'u rhannu yn ôl deiliadaeth (De-ddwyrain Cymru)</t>
  </si>
  <si>
    <t>Angen sydd Newydd Ymddangos, sy'n deillio o amcanestyniadau aelwydydd</t>
  </si>
  <si>
    <t>Lefelau amcan o'r angen presennol nas diwallwyd yng Nghymru a'r Rhanbarthau</t>
  </si>
  <si>
    <t>Yr holl ragdybiaethau sy'n gyson drwy gydol cyfnod o bum mlynedd yr amcangyfrifon</t>
  </si>
  <si>
    <t>Newidynnau sydd angen eu rhagamcanu'n flynyddol</t>
  </si>
  <si>
    <t>Gwerthoedd Rhenti 30 Canradd a Chanolrifol ar gyfer Cymru a'r Rhanbarthau</t>
  </si>
  <si>
    <t>Dosbarthiad incwm gros yr aelwyd ar gyfer Cymru</t>
  </si>
  <si>
    <t>Dosbarthiad incwm gros yr aelwyd ar gyfer Gogledd Cymru</t>
  </si>
  <si>
    <t>Dosbarthiad incwm gros yr aelwyd ar gyfer Canolbarth Cymru</t>
  </si>
  <si>
    <t>Dosbarthiad incwm gros yr aelwyd ar gyfer De-orllewin Cymru</t>
  </si>
  <si>
    <t>Dosbarthiad incwm gros yr aelwyd ar gyfer De-ddwyrain Cymru</t>
  </si>
  <si>
    <t>Dosbarthiad prisiau tai yng Nghymru, Gorffennaf 2018 - Mehefin 2019</t>
  </si>
  <si>
    <t>Dosbarthiad prisiau tai yng Ngogledd Cymru, Gorffennaf 2018 - Mehefin 2019</t>
  </si>
  <si>
    <t>Yn caniatáu i ddefnyddwyr archwilio amcangyfrifon o unedau tai ychwanegol yn Ne-orllewin Cymru wedi'u rhannu yn ôl deiliadaeth (rhaniad o ddwy ddeiliadaeth a rhaniad o bedair deiliadaeth)</t>
  </si>
  <si>
    <t>Dosbarthiad prisiau tai yng Nghanolbarth Cymru, Gorffennaf 2018 - Mehefin 2019</t>
  </si>
  <si>
    <t>Dosbarthiad prisiau tai yn Ne-orllewin Cymru, Gorffennaf 2018 - Mehefin 2019</t>
  </si>
  <si>
    <t>Dosbarthiad prisiau tai yn Ne-ddwyrain Cymru, Gorffennaf 2018 - Mehefin 2019</t>
  </si>
  <si>
    <t>Map o'r bedair rhanbarth economaidd yng Nghymru</t>
  </si>
  <si>
    <t xml:space="preserve">Mae'r dewisiadau a wnaed ar daflen: Rhaniad y Ddeiliadaeth (Cymru) yn cael eu cadw yn y taflenni rhanbarthol. Os byddwch wedi dewis defnyddio eich data eich hunain, ac nad ydych wedi nodi'r data rhanbarthol lle y mae angen eu rhoi, cewch eich atgoffa i wneud hynny. </t>
  </si>
  <si>
    <r>
      <t xml:space="preserve">Mae'r daflen hon yn defnyddio'r set o ragdybiaethau i gyfrifo faint o aelwydydd a fyddai'n addas ar gyfer pob deiliadaeth tŷ ym mhob blwyddyn. Caiff y canlyniadau yn y daflen hon eu bwydo i'r daflen Rhaniad y Ddeiliadaeth (De-ddwyrain). </t>
    </r>
    <r>
      <rPr>
        <b/>
        <sz val="10"/>
        <color theme="1"/>
        <rFont val="Arial"/>
        <family val="2"/>
      </rPr>
      <t>Nid oes angen ichi roi unrhyw beth ar y daflen hon</t>
    </r>
    <r>
      <rPr>
        <sz val="10"/>
        <color theme="1"/>
        <rFont val="Arial"/>
        <family val="2"/>
      </rPr>
      <t xml:space="preserve">. Os bydd gennych unrhyw gofnodion o ddata na chwblhawyd ar unrhyw newidynnau, bydd cyfeiliornadau'n digwydd. </t>
    </r>
  </si>
  <si>
    <r>
      <t xml:space="preserve">Mae'r daflen hon yn defnyddio'r set o ragdybiaethau i gyfrifo faint o aelwydydd a fyddai'n addas ar gyfer pob deiliadaeth tŷ ym mhob blwyddyn. Caiff y canlyniadau yn y daflen hon eu bwydo i'r daflen Rhaniad y Ddeiliadaeth (De-orllewin). </t>
    </r>
    <r>
      <rPr>
        <b/>
        <sz val="10"/>
        <color theme="1"/>
        <rFont val="Arial"/>
        <family val="2"/>
      </rPr>
      <t>Nid oes angen ichi roi unrhyw beth ar y daflen hon</t>
    </r>
    <r>
      <rPr>
        <sz val="10"/>
        <color theme="1"/>
        <rFont val="Arial"/>
        <family val="2"/>
      </rPr>
      <t xml:space="preserve">. Os bydd gennych unrhyw gofnodion o ddata na chwblhawyd ar unrhyw newidynnau, bydd cyfeiliornadau'n digwydd. </t>
    </r>
  </si>
  <si>
    <r>
      <t xml:space="preserve">Mae'r daflen hon yn defnyddio'r set o ragdybiaethau i gyfrifo faint o aelwydydd a fyddai'n addas ar gyfer pob deiliadaeth tŷ ym mhob blwyddyn. Caiff y canlyniadau yn y daflen hon eu bwydo i'r daflen Rhaniad y Ddeiliadaeth (Canolbarth). </t>
    </r>
    <r>
      <rPr>
        <b/>
        <sz val="10"/>
        <color theme="1"/>
        <rFont val="Arial"/>
        <family val="2"/>
      </rPr>
      <t>Nid oes angen ichi roi unrhyw beth ar y daflen hon</t>
    </r>
    <r>
      <rPr>
        <sz val="10"/>
        <color theme="1"/>
        <rFont val="Arial"/>
        <family val="2"/>
      </rPr>
      <t xml:space="preserve">. Os bydd gennych unrhyw gofnodion o ddata na chwblhawyd ar unrhyw newidynnau, bydd cyfeiliornadau'n digwydd. </t>
    </r>
  </si>
  <si>
    <r>
      <t xml:space="preserve">Mae'r daflen hon yn defnyddio'r set o ragdybiaethau i gyfrifo faint o aelwydydd a fyddai'n addas ar gyfer pob deiliadaeth tŷ ym mhob blwyddyn. Caiff y canlyniadau yn y daflen hon eu bwydo i'r daflen Rhaniad y Ddeiliadaeth (Gogledd). </t>
    </r>
    <r>
      <rPr>
        <b/>
        <sz val="10"/>
        <color theme="1"/>
        <rFont val="Arial"/>
        <family val="2"/>
      </rPr>
      <t>Nid oes angen ichi roi unrhyw beth ar y daflen hon.</t>
    </r>
    <r>
      <rPr>
        <sz val="10"/>
        <color theme="1"/>
        <rFont val="Arial"/>
        <family val="2"/>
      </rPr>
      <t xml:space="preserve"> Os bydd gennych unrhyw gofnodion o ddata na chwblhawyd ar unrhyw newidynnau, bydd cyfeiliornadau'n digwydd. </t>
    </r>
  </si>
  <si>
    <t>Ffigur i'w ddefnyddio:</t>
  </si>
  <si>
    <t>Cyfanswm Cymru</t>
  </si>
  <si>
    <t>Yn seiliedig ar incwm gwario yr aelwyd</t>
  </si>
  <si>
    <t xml:space="preserve">Yn seiliedig ar % dwf enillion cyfartalog </t>
  </si>
  <si>
    <t>Yn seiliedig ar Fynegai Prisiau Tai (% y newid ar y flwyddyn flaenorol)</t>
  </si>
  <si>
    <t>Dolenni defnyddiol i dudalennau eraill:</t>
  </si>
  <si>
    <t>OBR Mawrth 2020 Llwytho ychwanegol i brisiau tai yn y DU (paragraff 3.2, tudalen 9)</t>
  </si>
  <si>
    <t>I ddarogan y twf ym mhrisiau rhent preifat</t>
  </si>
  <si>
    <t>Rhaniad o 2 Ddeiliadaeth a amcangyfrifir - Cymru (yn seiliedig ar ragdybiaethau defnyddwyr)</t>
  </si>
  <si>
    <t>Rhaniad o 2 Ddeiliadaeth a amcangyfrifir - Gogledd Cymru (yn seiliedig ar ragdybiaethau defnyddwyr)</t>
  </si>
  <si>
    <t>Rhaniad o 2 Ddeiliadaeth a amcangyfrifir - Canolbarth Cymru (yn seiliedig ar ragdybiaethau defnyddwyr)</t>
  </si>
  <si>
    <t>Rhaniad o 2 Ddeiliadaeth a amcangyfrifir - De-orllewin Cymru (yn seiliedig ar ragdybiaethau defnyddwyr)</t>
  </si>
  <si>
    <t>Rhaniad o 2 Ddeiliadaeth a amcangyfrifir - De-ddwyrain Cymru (yn seiliedig ar ragdybiaethau defnyddwyr)</t>
  </si>
  <si>
    <t xml:space="preserve"> Rhaniad Cymesur o 2 Ddeiliadaeth - Gogledd Cymru (yn seiliedig ar ragdybiaethau defnyddwyr)</t>
  </si>
  <si>
    <t xml:space="preserve"> Rhaniad Cymesur o 2 Ddeiliadaeth - De-ddwyrain Cymru (yn seiliedig ar ragdybiaethau defnyddwyr)</t>
  </si>
  <si>
    <t xml:space="preserve"> Rhaniad Cymesur o 2 Ddeiliadaeth - De-orllewin Cymru (yn seiliedig ar ragdybiaethau defnyddwyr)</t>
  </si>
  <si>
    <t xml:space="preserve"> Rhaniad Cymesur o 2 Ddeiliadaeth - Canolbarth Cymru (yn seiliedig ar ragdybiaethau defnyddwyr)</t>
  </si>
  <si>
    <t xml:space="preserve"> Rhaniad Cymesur o 2 Ddeiliadaeth - Cymru (yn seiliedig ar ragdybiaethau defnyddwyr)</t>
  </si>
  <si>
    <t>Y Cynnydd i Incwm yr Aelwyd</t>
  </si>
  <si>
    <t>Newid i ddosbarthiad incwm</t>
  </si>
  <si>
    <t>Y Cynnydd i Brisiau Rhenti Preifat</t>
  </si>
  <si>
    <t>Rhenti Canolrifol Blynyddol</t>
  </si>
  <si>
    <t>Rhenti 30 Canradd Blynyddol</t>
  </si>
  <si>
    <t>Prynwyr sy'n mynd ymlaen i brynu eiddo am y tro cyntaf</t>
  </si>
  <si>
    <t>Y Cynnydd i Brisiau Tai</t>
  </si>
  <si>
    <t>Crynodeb o Ragdybiaethau a Ddewiswyd gan Ddefnyddwyr – Cymru</t>
  </si>
  <si>
    <t>Crynodeb o Ragdybiaethau a Ddewiswyd gan Ddefnyddwyr – Gogledd Cymru</t>
  </si>
  <si>
    <t>Crynodeb o Ragdybiaethau a Ddewiswyd gan Ddefnyddwyr – Canolbarth Cymru</t>
  </si>
  <si>
    <t>Crynodeb o Ragdybiaethau a Ddewiswyd gan Ddefnyddwyr – De-orllewin Cymru</t>
  </si>
  <si>
    <t>Crynodeb o Ragdybiaethau a Ddewiswyd gan Ddefnyddwyr – De-ddwyrain Cymru</t>
  </si>
  <si>
    <t>Rhaniad o 4 deiliadaeth a amcangyfrifir - De-ddwyrain Cymru (yn seiliedig ar ragdybiaethau defnyddwyr)</t>
  </si>
  <si>
    <t>Rhaniad o 4 deiliadaeth a amcangyfrifir - De-orllewin Cymru (yn seiliedig ar ragdybiaethau defnyddwyr)</t>
  </si>
  <si>
    <t>Rhaniad o 4 deiliadaeth a amcangyfrifir - Canolbarth Cymru (yn seiliedig ar ragdybiaethau defnyddwyr)</t>
  </si>
  <si>
    <t>Rhaniad o 4 deiliadaeth a amcangyfrifir - Gogledd Cymru (yn seiliedig ar ragdybiaethau defnyddwyr)</t>
  </si>
  <si>
    <t>Rhaniad o 4 deiliadaeth a amcangyfrifir - Cymru (yn seiliedig ar ragdybiaethau defnyddwyr)</t>
  </si>
  <si>
    <t xml:space="preserve"> Rhaniad Cymesur o 4 deiliadaeth - Cymru (yn seiliedig ar ragdybiaethau defnyddwyr)</t>
  </si>
  <si>
    <t xml:space="preserve"> Rhaniad Cymesur o 4 deiliadaeth - Gogledd Cymru (yn seiliedig ar ragdybiaethau defnyddwyr)</t>
  </si>
  <si>
    <t xml:space="preserve"> Rhaniad Cymesur o 4 deiliadaeth - Canolbarth Cymru (yn seiliedig ar ragdybiaethau defnyddwyr)</t>
  </si>
  <si>
    <t xml:space="preserve"> Rhaniad Cymesur o 4 deiliadaeth - De-orllewin Cymru (yn seiliedig ar ragdybiaethau defnyddwyr)</t>
  </si>
  <si>
    <t xml:space="preserve"> Rhaniad Cymesur o 4 deiliadaeth - De-ddwyrain Cymru (yn seiliedig ar ragdybiaethau defnyddwyr)</t>
  </si>
  <si>
    <t>Tai'r Farchnad</t>
  </si>
  <si>
    <t xml:space="preserve">Sylwadau </t>
  </si>
  <si>
    <t>Paragraff Olaf - 2 Deiliadaeth</t>
  </si>
  <si>
    <t>Amcangyfrifon - Rhaniad 2 Deiliadaeth</t>
  </si>
  <si>
    <t>Amcangyfrifon - Rhaniad 4 Deiliadaeth</t>
  </si>
  <si>
    <t>Mater?</t>
  </si>
  <si>
    <t xml:space="preserve">Gwirio Gwallau -  Newidynnau 2 Deiliadaeth </t>
  </si>
  <si>
    <t>Ffynonellau Data</t>
  </si>
  <si>
    <t>4 Deiliadaeth</t>
  </si>
  <si>
    <t>Cymhareb Prynwyr am y Tro Cyntaf</t>
  </si>
  <si>
    <t>Prynwyr sy'n Prynu Eiddo am y Tro Cyntaf</t>
  </si>
  <si>
    <t>Paragraff Olaf - 4 Deiliadaeth</t>
  </si>
  <si>
    <t xml:space="preserve">Paragraff Olaf - 2 Deiliaiadaeth </t>
  </si>
  <si>
    <t xml:space="preserve">Gwirio Gwallau -  Newidynnau 4 Deiliadaeth </t>
  </si>
  <si>
    <t xml:space="preserve">Newid i Brisiau Tai </t>
  </si>
  <si>
    <t>Dosbarthiad Incwm</t>
  </si>
  <si>
    <t xml:space="preserve">% sy'n mynd ymlaen i brynu </t>
  </si>
  <si>
    <t xml:space="preserve">Rhagdybiaethau 5 Mlynedd </t>
  </si>
  <si>
    <t xml:space="preserve">Rhagdybiaethau Blynyddol Penodol (rhaniad 2 ddeiliadaeth) </t>
  </si>
  <si>
    <t xml:space="preserve">Gwerthoedd Blynyddol Penodol </t>
  </si>
  <si>
    <t>Trothwy Cymdeithasol</t>
  </si>
  <si>
    <t>Amser i Gael Gwared ar yr ôl Groniad</t>
  </si>
  <si>
    <t xml:space="preserve">Paragraff Olaf - 4 Deiliadaeth </t>
  </si>
  <si>
    <t>Gwnewch ddetholiad ar y daflen Rhaniad y Ddeiliadaeth (Cymru)</t>
  </si>
  <si>
    <t>Paragraff Olaf 2 Deiliadaeth</t>
  </si>
  <si>
    <t>Data rhagosodedig a ddefnyddiwyd</t>
  </si>
  <si>
    <t>Cofnodwch ddata defnyddwyr ar y daflen:</t>
  </si>
  <si>
    <t>OBR Mawrth 2020: Tabl 1.13 (Incwm Gwario Aelwydydd)</t>
  </si>
  <si>
    <t>OBR Mawrth 2020: Tabl 1.6 (Twf Cyflog Cyfartalog)</t>
  </si>
  <si>
    <t>Mae'r ffont glas yn rhifau â chodau caled a rhifau hanesyddol yn gyffredinol;  Mae’r ffont gwyrdd ar gyfer yr holl rifau sydd wedi'u cysylltu'n uniongyrchol â thaflenni gwaith eraill; ac mae ffont du ar gyfer pob fformiwlâu lle nad oes cysylltiad uniongyrchol â thaflen waith arall.</t>
  </si>
  <si>
    <t xml:space="preserve">Nid yw'r amcangyfrifon a gynhyrchwyd gan ddefnyddio'r Adnodd i Ddefnyddwyr: Amcangyfrifon o'r Angen am Dai yng Nghymru yn ôl Deiliadaeth yn ffigurau swyddogol a gynhyrchwyd nac a gymeradwywyd gan Lywodraeth Cymru. Mae gan ddefnyddwyr yr opsiwn i drawsysgrifo'r rhagdybiaethau sylfaenol i archwilio'r effaith y byddai'r newid yn ei gael ar yr amcangyfrifon. Nid targedau ar gyfer tai yw'r amcangyfrifon hyn. Amcangyfrifon o'r angen am dai yn ôl deiliadaeth wedi'u seilio ar set o ragdybiaethau ydynt. Wrth rannu unrhyw amcangyfrifon sydd wedi'u cynhyrchu gan yr adnodd pan fydd defnyddwyr wedi cyflwyno eu rhagdybiaethau eu hunain, rhaid i hynny gael ei ddatgan yn glir. </t>
  </si>
  <si>
    <t>Holl Amrywiolion yr Amcanestyniadau Aelwydydd</t>
  </si>
  <si>
    <t>•Er mwyn gweld amcangyfrifon wedi'u rhannu yn ddwy ddeiliadaeth, nid oes angen i chi fewngofnodi eich data chi o gwbl.</t>
  </si>
  <si>
    <t>Mae'r amcangyfrifon sydd wedi'u rhagosod o'r angen presennol nas diwallwyd yn cynnwys dwy agwedd: aelwydydd digartref mewn llety dros dro (ciplun ar ddiwedd mis Mehefin 2019) ac aelwydydd sy'n orlawn ac yn gudd (Cyfrifiad 2011).</t>
  </si>
  <si>
    <t xml:space="preserve">At ddibenion y gwaith hwn, caiff incwm yr aelwyd ei diffinio'n incwm gros yr aelwyd nad yw'n cyfrif cyfwerthedd ar gyfer pob oedolyn sy'n byw o fewn yr aelwyd, yn deillio o gwestiynau incwm manwl ar Arolwg Cenedlaethol Cymru 2017. Mae hyn yn cynnwys budd-daliadau a lwfansau cysylltiedig â thai.
Diweddarwyd y dosbarthiad incwm o 2017/18 i 2018/19 drwy ddefnyddio lluosydd yn seiliedig ar y twf dros y cyfnod yma yn incwm gros cymedrig aelwydydd fesul degraddau drwy ddefnyddio UKMOD 1.0. Model budd-dal treth y DU yw hwn a ddatblygwyd gan y Sefydliad Ymchwil Gymdeithasol ac Economaidd sy'n seiliedig ar yr Arolwg o Adnoddau Teulu.  </t>
  </si>
  <si>
    <t>Defnyddir data canolrif a 30 canradd rhent preifat ar lefel genedlaethol a rhanbarthol ynghyd â dosbarthiad incwm aelwydydd er mwyn sefydlu faint o aelwydydd sydd yn addas ar gyfer tai’r farchnad.</t>
  </si>
  <si>
    <t>Yn seiliedig ar y dystiolaeth sydd ar gael, y dybiaeth ragosod yw y bydd, dros amser, mwy o anghydraddoldeb yn nosbarthiad incwm aelwydydd. Mae hyn yn golygu y bydd aelwydydd incwm uchel yn cynyddu yn gynt na'r rhai o gartrefi incwm isel.</t>
  </si>
  <si>
    <t>Cyhoeddodd y Swyddfa Cyfrifoldeb Cyllidebol (OBR) eu Rhagolygon Economaidd ac Ariannol diweddaraf ym mis Mawrth 2020. Maent yn tybio bod rhenti preifat yn tyfu yn unol â'u rhagolygon enillion cyfartalog. Er bod y rhagolwg ar lefel y DU, mae wedi'i gymhwyso ar lefel genedlaethol a rhanbarthol yng Nghymru. Rhagwelir cynnydd o tua 3% bob blwyddyn dros y cyfnod o bum mlynedd.</t>
  </si>
  <si>
    <t xml:space="preserve">Mae angen gwybodaeth am brisiau tai i ddyrannu'r rhai sy'n addas ar gyfer tai'r farchnad agored  i berchen-feddianwyr a rhenti preifat. </t>
  </si>
  <si>
    <t>Mae angen y newidyn hwn er mwyn rhannu'r sector tai'r farchnad berchen-feddianwyr a rhenti preifat. Y gymhareb fforddiadwyedd yw sawl gwaith eu hincwm, y gall prynwyr tro cyntaf ddisgwyl talu am dŷ.</t>
  </si>
  <si>
    <t>Canradd Mynediad y farchnad ar gyfer y Prynwyr sy'n Prynu Eiddo am y Tro Cyntaf</t>
  </si>
  <si>
    <t>Byddai aelwydydd fyddai’n gwario mwy na 35% o incwm yr aelwyd ar renti 30 canradd yn addas ar gyfer tai cymdeithasol.    
Wrth i'r trothwy incwm aelwyd ostwng (ee aelwydydd sy'n gwario mwy na 30% o incwm aelwyd ar rhent 30 canradd yn addas ar gyfer tai cymdeithasol) bydd mwy o aelwydydd yn addas ar gyfer tai cymdeithasol</t>
  </si>
  <si>
    <r>
      <t xml:space="preserve">Mae angen y newidynnau hyn i gynhyrchu amcangyfrifon wedi'u rhannu yn </t>
    </r>
    <r>
      <rPr>
        <b/>
        <sz val="10"/>
        <color theme="1"/>
        <rFont val="Arial"/>
        <family val="2"/>
      </rPr>
      <t>ddwy deiliadaeth</t>
    </r>
    <r>
      <rPr>
        <sz val="10"/>
        <color theme="1"/>
        <rFont val="Arial"/>
        <family val="2"/>
      </rPr>
      <t xml:space="preserve"> (marchnad a fforddiadwy). 
Mae'r daenlen "Canllawiau ar Newidynnau" yn darparu diffiniadau llawn.</t>
    </r>
  </si>
  <si>
    <r>
      <t xml:space="preserve">Mae angen y newidynnau ychwanegol hyn i gynhyrchu amcangyfrifon wedi'u rhannu yn </t>
    </r>
    <r>
      <rPr>
        <b/>
        <sz val="10"/>
        <color theme="1"/>
        <rFont val="Arial"/>
        <family val="2"/>
      </rPr>
      <t>bedair deiliadaeth</t>
    </r>
    <r>
      <rPr>
        <sz val="10"/>
        <color theme="1"/>
        <rFont val="Arial"/>
        <family val="2"/>
      </rPr>
      <t xml:space="preserve"> (perchen-feddiannydd, rhent preifat, rhent canolradd a chymdeithasol).
Mae'r daenlen "Canllawiau ar Newidynnau" yn darparu diffiniadau llawn.</t>
    </r>
  </si>
  <si>
    <t>Prif Amcanestyniadau</t>
  </si>
  <si>
    <t>Mwy o Anghydraddoldeb</t>
  </si>
  <si>
    <t>Data Cofrestrfa Tir</t>
  </si>
  <si>
    <t>Gwerth defnyddiwr (nid oes gwerth wedi'i ragosod)</t>
  </si>
  <si>
    <r>
      <rPr>
        <b/>
        <sz val="11"/>
        <color theme="1"/>
        <rFont val="Arial"/>
        <family val="2"/>
      </rPr>
      <t xml:space="preserve">Noder: </t>
    </r>
    <r>
      <rPr>
        <sz val="11"/>
        <color theme="1"/>
        <rFont val="Arial"/>
        <family val="2"/>
      </rPr>
      <t>Gall fod gwahaniaethau bach rhwng swm y canlyniadau rhanbarthol a'r canlyniadau cenedlaethol o dan unrhyw amcangyfrifon a rhannwyd yn ôl daliadaeth. Mae hyn oherwydd y cyfrifir amcangyfrifon rhanbarthol gan ddefnyddio data rhanbarthol (incwm aelwyd, prisiau rhentu) ac felly bydd yn wahanol i lefel Cymru gyfan. Ymhellach, bydd unrhyw angen newydd am dai rhanbarthol sy'n negyddol yn cael ei osod fel sero ar gyfer y rhanbarth hwnnw ond fe'i cymerir fel ffigwr negyddol o fewn ffigurau Cymru.</t>
    </r>
  </si>
  <si>
    <t>Trothwy Y Sector Rhentu Preifat</t>
  </si>
  <si>
    <t>Yn dilyn yr uchod, caiff yr amcangyfrifon eu rhannu ymhellach yn bedair deiliadaeth. Caiff yr amcangyfrifon hyn eu cynhyrchu gan y defnyddiwr, ac maent yn seiliedig ar y rhagdybiaethau canlynol.</t>
  </si>
  <si>
    <t xml:space="preserve">Mae amcangyfrifon sylfaenol yr unedau tai ychwanegol wedi'u seilio ar  </t>
  </si>
  <si>
    <t xml:space="preserve">, ac amcangyfrif o </t>
  </si>
  <si>
    <t xml:space="preserve">Mae data ar brisiau tai yn seiliedig ar </t>
  </si>
  <si>
    <t xml:space="preserve">Mae data ar incwm yn seiliedig ar </t>
  </si>
  <si>
    <t xml:space="preserve">ac mae data ar renti preifat yn seiliedig ar </t>
  </si>
  <si>
    <t xml:space="preserve">Mae'r ffigurau isod yn rhannu yr amcangyfrifon o'r angen am dai yn 2 deiliadaeth ac maent yn seiliedig ar y rhagdybiaethau canlynol. </t>
  </si>
  <si>
    <t>Angen o'r Newydd</t>
  </si>
  <si>
    <t>Canran yr angen o'r newydd sy'n gallu fforddio</t>
  </si>
  <si>
    <t xml:space="preserve">Cyfanswm yr aelwydydd newydd all fforddio'r farchnad </t>
  </si>
  <si>
    <t>Canran yr angen o'r newydd sy'n addas ar gyfer rhent cymdeithasol</t>
  </si>
  <si>
    <t>Aelwydydd o ran Angen o'r newydd</t>
  </si>
  <si>
    <t xml:space="preserve">Noder: Amcanestyniadau aelwydydd Cymru yw cyfanswm amcanestyniadau aelwydydd y pedwar rhanbarth. Efallai y bydd gwahaniaethau bach (oherwydd talgrynnu) rhwng y ffigurau hyn a'r rhai a gyhoeddir ar StatsCymru. </t>
  </si>
  <si>
    <r>
      <t xml:space="preserve">Mae'r daflen hon yn defnyddio amcanestyniadau aelwydydd i gyfrifo faint o aelwydydd sy'n ymddangos o'r newydd bob blwyddyn (y gwahaniaeth yn yr amcanestyniadau aelwydydd o un flwyddyn i'r llall). </t>
    </r>
    <r>
      <rPr>
        <b/>
        <sz val="10"/>
        <color theme="1"/>
        <rFont val="Arial"/>
        <family val="2"/>
      </rPr>
      <t>Nid oes angen ichi roi unrhyw beth ar y daflen hon.</t>
    </r>
    <r>
      <rPr>
        <sz val="10"/>
        <color theme="1"/>
        <rFont val="Arial"/>
        <family val="2"/>
      </rPr>
      <t xml:space="preserve"> Os byddwch wedi cofnodi eich amcanestyniadau eich hunain o aelwydydd, bydd yr angen o'r newydd  yn cael ei gyfrifo ar sail eich data.</t>
    </r>
  </si>
  <si>
    <t>…ac o'r rhain, y nifer sy'n Gudd ac yn Orlawn</t>
  </si>
  <si>
    <t>…ac o'r rhain, y nifer sy'n Aelwydydd Digartref mewn Llety Dros Dro</t>
  </si>
  <si>
    <t>4. Newid i brisiau rhenti preifat</t>
  </si>
  <si>
    <t>Canolrif</t>
  </si>
  <si>
    <t>Dim newid</t>
  </si>
  <si>
    <t>Mwy o anghydraddoldeb</t>
  </si>
  <si>
    <t>Amrywiolyn Uwch</t>
  </si>
  <si>
    <t>Amrywiolyn Is</t>
  </si>
  <si>
    <t>Amcanestyniadau Defnyddwyr</t>
  </si>
  <si>
    <t xml:space="preserve">Offeryn i Ddefnyddwyr: Amcangyfrifon o'r Angen Ychwanegol am Dai yng Nghymru yn ôl Deiliadaeth (yn seiliedig ar 2019) </t>
  </si>
  <si>
    <t>Mae'r daflen hon yn anelu i roi cyngor defnyddiol ar gyfer defnyddio a llywio'r adnodd. Os ydych yn meddwl y byddai cyngor ychwanegol yn ddefnyddiol, cysylltwch â ni os gwelwch yn dda (manylion cyswllt ar y daflen flaen).</t>
  </si>
  <si>
    <t xml:space="preserve">• Bydd y dewisiadau a wnewch ar daflen Rhaniad y Ddeiliadaeth (Cymru) i ddefnyddio data wedi'i ragosod neu eich data chi, yn dilyn drwodd i'r taflenni rhanbarthol. Ni fedrwch ddefnyddio'r rhagosodon mewn un rhanbarth a defnyddio'ch data eich hun mewn un arall. </t>
  </si>
  <si>
    <t>Defnyddir Amcanestyniadau Aelwydydd sy'n seiliedig ar 2018 gan Lywodraeth Cymru fel y ffynhonnell sydd wedi'i rhagosod ar gyfer lefel genedlaethol a lefel ranbarthol. Mae gan ddefnyddwyr yr opsiwn i ddewis amrywiolyn amcanestyniadau aelwydydd y maent yn ei ddefnyddio. Ceir diffiniadau llawn o'r gwahanol amrywiolion yn yr erthygl ystadegol sy'n cyd-fynd a'r adnodd hwn.</t>
  </si>
  <si>
    <t>Defnyddir amcangyfrifon o'r angen presennol nas diwallwyd ynghyd ag amcanestyniadau aelwydydd i amcangyfrif yr angen cyffredinol am unedau tai ychwanegol. Diffinnir yr Angen Presennol nas Diwallwyd fel nifer yr aelwydydd sydd heb fynediad i dai digonol ac y byddai angen uned tai ychwanegol. Ni chaiff y rheini a all fod angen tai mwy priodol ond na fyddai angen tai ychwanegol arnynt eu cynnwys yn y dadansoddiad hwn.</t>
  </si>
  <si>
    <t>Mae amcanestyniadau aelwydydd yn cael eu defnyddio i gyfrifo'r angen blynyddol sy'n codi. Diffinnir yr Angen sy'n Codi o'r Newydd fel nifer amcanestynedig y cartrefi sydd newydd gael eu ffurfio a fydd angen unedau tai ychwanegol am gyfnod yn y dyfodol.
Mae nifer o wahanol amrywiadau o amcanestyniadau aelwydydd:
-Prif amcanestyniadau (y sail ar gyfer yr amcangyfrifon canolog o'r angen am dai)
-Amrywiolyn uwch
-Amrywiolyn is</t>
  </si>
  <si>
    <t>Defnyddiwyd rhagolygon ar gyfer blynyddoedd ariannol ac felly nid ydynt yn cyd-fynd yn uniongyrchol â'r amcangyfrifon canol-blwyddyn i ganol-blwyddyn o unedau tai ychwanegol.</t>
  </si>
  <si>
    <t xml:space="preserve">Mae'r adnodd hwn yn caniatáu i ddefnyddwyr archwilio amcangyfrifon o'r angen am dai yng Nghymru yn ôl deiliadaeth, ac mae'n cynnwys yr opsiwn i newid y rhagdybiaethau sylfaenol a ffynonellau'r data. 
Ym mis Ionawr 2019, cyhoeddodd Llywodraeth Cymru amcangyfrifon cyffredinol o'r angen am dai ychwanegol ar lefel cenedlaethol a rhanbarthol dros gyfnod o 20 mlynedd (2018/19 i 2037/38). Yn dilyn hyn, cafwyd ail gyhoeddiad yn rhannu'r amcangyfrifon cyffredinol ar gyfer y pum mlynedd cyntaf fesul deiliadaeth (naill ai marchnad neu fforddiadwy). Ceir dolen at yr erthyglau yma isod ac maent yn rhoi'r wybodaeth gefndirol berthnasol i'r adnodd hwn. 
Cyhoeddwyd amcangyfrifon yn seiliedig ar 2019 ar 13 Awst 2020 - mae dolen i'r erthygl ddiweddaraf hon wedi'i chynnwys isod hefyd.  Mae'r model wedi cael ei rannu o 3 rhanbarth i 4 ac wedi'i ddiweddaru lle mae data mwy diweddar ar gael.  Mae'r model yn ymdrin â cyfnod o 20 mlynedd o 2019/20 i 2038/39.
At ddiben yr adroddiad hwn, diffinnir tai'r farchnad a thai fforddiadwy fel a ganlyn:
Tai'r Farchnad: Unedau tai sydd â pherchennog-ddeiliad neu a rentir yn breifat. Mae'n cynnwys unedau tai Cymorth i Brynu a Pherchentyaeth Cost Isel Canolradd (ee Cymorth Prynu a Rhanberchnogaeth). 
Tai Fforddiadwy : Tai cymdeithasol a thai rhent canolradd. Nid yw'n cynnwys unedau tai Perchentyaeth Cost Isel Canolradd. 
Fel y trafodwyd yn yr erthygl ystadegol (dolen isod), mae'r adnodd hwn hefyd yn caniatáu i ddefnyddwyr archwilio amcangyfrifon sydd wedi'u rhannu yn bedair deiliadaeth. 
Ceir dalen wahanol ar gyfer pob un o'r rhanbarthau (Cymru, Gogledd Cymru, Canolbarth a De-orllewin Cymru, De-ddwyrain Cymru). Yn y daflen sy'n dangos Rhaniad y Ddeiliadaeth (CYMRU), mae gan ddefnyddwyr yr opsiwn i newid ffynonellau'r data a'r rhagdybiaethau sylfaenol. 
Darllenwch drwy'r CANLLAWIAU AR NEWIDYNNAU a fydd yn egluro sut y mae pob newidyn yn cael ei ddefnyddio a ffynhonnell y newidyn sydd wedi'i ragosod. Ar ôl dewis o'r blychau glas, bydd cyfarwyddiadau'n ymddangos er mwyn gallu cyflwyno data. Ar ôl cwblhau mewnbynnu'r data, bydd amcangyfrifon yn ymddangos ar ffurf siartiau a thablau a rhywfaint o sylwadau am y rhagdybiaethau a ddewiswyd.
</t>
  </si>
  <si>
    <t xml:space="preserve">• Ar gyfer amcangyfrifon ar lefel Cymru a'r tair rhanbarth, mae yna daflen 'Cyfrifiadau'. Mae hwn yn torri'r fethodoleg i lawr gam wrth gam. Mae yna enghraifft weithredol yn Atodiad 3 o'r erthygl ystadegol (linc ar y dudalen flaen). </t>
  </si>
  <si>
    <t xml:space="preserve">Defnyddir Data ar Renti Preifat a gasglwyd gan swyddogion rhenti Llywodraeth Cymru fel y data wedi'u rhagosod. Mae'r gwerthoedd canolrifol a 30 canradd wedi'u cymryd o Orffennaf 2018 - Mehefin 2019 ar gyfer eiddo gyda 2/3 ystafell wely. </t>
  </si>
  <si>
    <t>Mae'r ffigurau wedi'u talgrynnu i'r 3 agosaf ac efallai na fydd cyfanswm y ffigurau rhanbarthol yn cyfateb i gyfanswm Cymru.</t>
  </si>
  <si>
    <t xml:space="preserve">Noder: O dan yr amrywiolyn is, mae swm yr angen o'r newydd ar gyfer y pedair rhanbarth yn fwy na Chymru.  Mae'r angen o'r newydd  yng nghanolbarth Cymru yn negyddol ar gyfer 2019/20 a 2020/21 ac mae'r ffigurau negatif hyn wedi'u cynnwys yn ffigurau Cymru ond wedi'u pennu i sero ar gyfer rhanbarth Canolbarth Cymru (dangosir fel  "-" uchod).
</t>
  </si>
  <si>
    <t>Data defnyddwyr</t>
  </si>
  <si>
    <t>Erthygl ystadegol ar Amcangyfrifon o'r Angen ychwanegol am Dai (sail-2019)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</si>
</sst>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6" formatCode="&quot;£&quot;#,##0;[Red]\-&quot;£&quot;#,##0"/>
    <numFmt numFmtId="44" formatCode="_-&quot;£&quot;* #,##0.00_-;\-&quot;£&quot;* #,##0.00_-;_-&quot;£&quot;* &quot;-&quot;??_-;_-@_-"/>
    <numFmt numFmtId="43" formatCode="_-* #,##0.00_-;\-* #,##0.00_-;_-* &quot;-&quot;??_-;_-@_-"/>
    <numFmt numFmtId="164" formatCode="0.0"/>
    <numFmt numFmtId="165" formatCode="_-* #,##0_-;\-* #,##0_-;_-* &quot;-&quot;??_-;_-@_-"/>
    <numFmt numFmtId="166" formatCode="&quot;£&quot;#,##0"/>
    <numFmt numFmtId="167" formatCode="0.000"/>
    <numFmt numFmtId="168" formatCode="0.0000"/>
    <numFmt numFmtId="169" formatCode="#,##0.0_-;\(#,##0.0\);_-* &quot;-&quot;??_-"/>
    <numFmt numFmtId="170" formatCode="0000"/>
    <numFmt numFmtId="171" formatCode="#,##0,"/>
    <numFmt numFmtId="172" formatCode="&quot;to &quot;0.0000;&quot;to &quot;\-0.0000;&quot;to 0&quot;"/>
    <numFmt numFmtId="173" formatCode="_-[$€-2]* #,##0.00_-;\-[$€-2]* #,##0.00_-;_-[$€-2]* &quot;-&quot;??_-"/>
    <numFmt numFmtId="174" formatCode="#,##0;\-#,##0;\-"/>
    <numFmt numFmtId="175" formatCode="&quot; &quot;General"/>
    <numFmt numFmtId="176" formatCode="[&lt;0.0001]&quot;&lt;0.0001&quot;;0.0000"/>
    <numFmt numFmtId="177" formatCode="#,##0_);;&quot;- &quot;_);@_)\ "/>
    <numFmt numFmtId="178" formatCode="#,##0.0,,;\-#,##0.0,,;\-"/>
    <numFmt numFmtId="179" formatCode="_(General"/>
    <numFmt numFmtId="180" formatCode="#,##0,;\-#,##0,;\-"/>
    <numFmt numFmtId="181" formatCode="0.0%;\-0.0%;\-"/>
    <numFmt numFmtId="182" formatCode="#,##0.0,,;\-#,##0.0,,"/>
    <numFmt numFmtId="183" formatCode="#,##0,;\-#,##0,"/>
    <numFmt numFmtId="184" formatCode="0.0%;\-0.0%"/>
    <numFmt numFmtId="185" formatCode="&quot;£&quot;#,##0.00"/>
    <numFmt numFmtId="186" formatCode="0.0%"/>
  </numFmts>
  <fonts count="157" x14ac:knownFonts="1">
    <font>
      <sz val="11"/>
      <color theme="1"/>
      <name val="Calibri"/>
      <family val="2"/>
      <scheme val="minor"/>
    </font>
    <font>
      <sz val="12"/>
      <color theme="1"/>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theme="1"/>
      <name val="Arial"/>
      <family val="2"/>
    </font>
    <font>
      <sz val="10"/>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7"/>
      <name val="Arial"/>
      <family val="2"/>
    </font>
    <font>
      <sz val="10"/>
      <color indexed="10"/>
      <name val="Arial"/>
      <family val="2"/>
    </font>
    <font>
      <sz val="10"/>
      <color rgb="FF000000"/>
      <name val="Arial"/>
      <family val="2"/>
    </font>
    <font>
      <sz val="10"/>
      <color rgb="FFFF0000"/>
      <name val="Arial"/>
      <family val="2"/>
    </font>
    <font>
      <sz val="10"/>
      <name val="MS Sans Serif"/>
      <family val="2"/>
    </font>
    <font>
      <b/>
      <sz val="10"/>
      <color theme="1"/>
      <name val="Arial"/>
      <family val="2"/>
    </font>
    <font>
      <i/>
      <sz val="10"/>
      <name val="Arial"/>
      <family val="2"/>
    </font>
    <font>
      <b/>
      <i/>
      <sz val="1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sz val="10"/>
      <color theme="0"/>
      <name val="Arial"/>
      <family val="2"/>
    </font>
    <font>
      <sz val="12"/>
      <color theme="1"/>
      <name val="Arial"/>
      <family val="2"/>
    </font>
    <font>
      <u/>
      <sz val="10"/>
      <color rgb="FF0000FF"/>
      <name val="Arial"/>
      <family val="2"/>
    </font>
    <font>
      <b/>
      <sz val="10"/>
      <color indexed="18"/>
      <name val="Arial"/>
      <family val="2"/>
    </font>
    <font>
      <sz val="11"/>
      <color indexed="8"/>
      <name val="Calibri"/>
      <family val="2"/>
    </font>
    <font>
      <sz val="11"/>
      <color indexed="9"/>
      <name val="Calibri"/>
      <family val="2"/>
    </font>
    <font>
      <b/>
      <sz val="18"/>
      <name val="Arial"/>
      <family val="2"/>
    </font>
    <font>
      <sz val="11"/>
      <color indexed="20"/>
      <name val="Calibri"/>
      <family val="2"/>
    </font>
    <font>
      <b/>
      <sz val="11"/>
      <color indexed="10"/>
      <name val="Calibri"/>
      <family val="2"/>
    </font>
    <font>
      <b/>
      <sz val="11"/>
      <color indexed="9"/>
      <name val="Calibri"/>
      <family val="2"/>
    </font>
    <font>
      <sz val="9"/>
      <name val="Arial"/>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b/>
      <sz val="9"/>
      <color indexed="18"/>
      <name val="Arial"/>
      <family val="2"/>
    </font>
    <font>
      <b/>
      <sz val="14"/>
      <color theme="0"/>
      <name val="Calibri"/>
      <family val="2"/>
      <scheme val="minor"/>
    </font>
    <font>
      <b/>
      <sz val="9"/>
      <color indexed="8"/>
      <name val="Arial"/>
      <family val="2"/>
    </font>
    <font>
      <b/>
      <sz val="12"/>
      <color indexed="12"/>
      <name val="Arial"/>
      <family val="2"/>
    </font>
    <font>
      <b/>
      <sz val="15"/>
      <color indexed="62"/>
      <name val="Calibri"/>
      <family val="2"/>
    </font>
    <font>
      <b/>
      <sz val="13"/>
      <color indexed="62"/>
      <name val="Calibri"/>
      <family val="2"/>
    </font>
    <font>
      <b/>
      <sz val="11"/>
      <color indexed="62"/>
      <name val="Calibri"/>
      <family val="2"/>
    </font>
    <font>
      <u/>
      <sz val="10"/>
      <color theme="10"/>
      <name val="Arial"/>
      <family val="2"/>
    </font>
    <font>
      <u/>
      <sz val="10"/>
      <color indexed="12"/>
      <name val="Arial"/>
      <family val="2"/>
    </font>
    <font>
      <u/>
      <sz val="12"/>
      <color theme="10"/>
      <name val="Arial"/>
      <family val="2"/>
    </font>
    <font>
      <u/>
      <sz val="12"/>
      <color indexed="12"/>
      <name val="Arial"/>
      <family val="2"/>
    </font>
    <font>
      <u/>
      <sz val="7.5"/>
      <color indexed="12"/>
      <name val="Arial"/>
      <family val="2"/>
    </font>
    <font>
      <sz val="10"/>
      <color indexed="12"/>
      <name val="Arial"/>
      <family val="2"/>
    </font>
    <font>
      <u/>
      <sz val="10"/>
      <color indexed="12"/>
      <name val="MS Sans Serif"/>
      <family val="2"/>
    </font>
    <font>
      <sz val="11"/>
      <color indexed="62"/>
      <name val="Calibri"/>
      <family val="2"/>
    </font>
    <font>
      <sz val="11"/>
      <color indexed="10"/>
      <name val="Calibri"/>
      <family val="2"/>
    </font>
    <font>
      <sz val="11"/>
      <color indexed="19"/>
      <name val="Calibri"/>
      <family val="2"/>
    </font>
    <font>
      <sz val="12"/>
      <name val="Helv"/>
    </font>
    <font>
      <sz val="12"/>
      <color rgb="FF000000"/>
      <name val="Arial"/>
      <family val="2"/>
    </font>
    <font>
      <sz val="11"/>
      <color indexed="8"/>
      <name val="Calibri"/>
      <family val="2"/>
      <scheme val="minor"/>
    </font>
    <font>
      <sz val="10"/>
      <color rgb="FF000000"/>
      <name val="Courier"/>
      <family val="3"/>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2"/>
      <color indexed="8"/>
      <name val="Arial"/>
      <family val="2"/>
    </font>
    <font>
      <b/>
      <sz val="16"/>
      <color indexed="23"/>
      <name val="Arial"/>
      <family val="2"/>
    </font>
    <font>
      <b/>
      <sz val="8"/>
      <color rgb="FF000000"/>
      <name val="Arial"/>
      <family val="2"/>
    </font>
    <font>
      <sz val="10"/>
      <name val="Tahoma"/>
      <family val="2"/>
    </font>
    <font>
      <sz val="8"/>
      <color rgb="FF000000"/>
      <name val="Arial"/>
      <family val="2"/>
    </font>
    <font>
      <b/>
      <sz val="10"/>
      <name val="Tahoma"/>
      <family val="2"/>
    </font>
    <font>
      <b/>
      <sz val="12"/>
      <color theme="1"/>
      <name val="Calibri"/>
      <family val="2"/>
      <scheme val="minor"/>
    </font>
    <font>
      <sz val="11"/>
      <name val="Times New Roman"/>
      <family val="1"/>
    </font>
    <font>
      <b/>
      <sz val="11"/>
      <name val="Times New Roman"/>
      <family val="1"/>
    </font>
    <font>
      <i/>
      <sz val="7"/>
      <name val="Arial"/>
      <family val="2"/>
    </font>
    <font>
      <b/>
      <sz val="8"/>
      <color indexed="12"/>
      <name val="Arial"/>
      <family val="2"/>
    </font>
    <font>
      <i/>
      <sz val="8"/>
      <color indexed="12"/>
      <name val="Arial"/>
      <family val="2"/>
    </font>
    <font>
      <b/>
      <sz val="12"/>
      <name val="Times New Roman"/>
      <family val="1"/>
    </font>
    <font>
      <i/>
      <sz val="8"/>
      <name val="Arial"/>
      <family val="2"/>
    </font>
    <font>
      <b/>
      <sz val="18"/>
      <color indexed="56"/>
      <name val="Cambria"/>
      <family val="2"/>
    </font>
    <font>
      <b/>
      <sz val="18"/>
      <color indexed="62"/>
      <name val="Cambria"/>
      <family val="2"/>
    </font>
    <font>
      <b/>
      <sz val="11"/>
      <color indexed="8"/>
      <name val="Calibri"/>
      <family val="2"/>
    </font>
    <font>
      <sz val="11"/>
      <color rgb="FF000000"/>
      <name val="Calibri"/>
      <family val="2"/>
    </font>
    <font>
      <u/>
      <sz val="11"/>
      <color theme="10"/>
      <name val="Calibri"/>
      <family val="2"/>
      <scheme val="minor"/>
    </font>
    <font>
      <b/>
      <sz val="14"/>
      <color theme="1"/>
      <name val="Calibri"/>
      <family val="2"/>
      <scheme val="minor"/>
    </font>
    <font>
      <i/>
      <sz val="11"/>
      <color rgb="FFFF0000"/>
      <name val="Calibri"/>
      <family val="2"/>
      <scheme val="minor"/>
    </font>
    <font>
      <i/>
      <sz val="11"/>
      <color theme="1"/>
      <name val="Calibri"/>
      <family val="2"/>
      <scheme val="minor"/>
    </font>
    <font>
      <sz val="11"/>
      <name val="Calibri"/>
      <family val="2"/>
      <scheme val="minor"/>
    </font>
    <font>
      <i/>
      <sz val="11"/>
      <name val="Calibri"/>
      <family val="2"/>
      <scheme val="minor"/>
    </font>
    <font>
      <sz val="11"/>
      <color theme="1"/>
      <name val="Arial"/>
      <family val="2"/>
    </font>
    <font>
      <b/>
      <sz val="12"/>
      <color theme="1"/>
      <name val="Arial"/>
      <family val="2"/>
    </font>
    <font>
      <i/>
      <sz val="10"/>
      <color theme="1"/>
      <name val="Arial"/>
      <family val="2"/>
    </font>
    <font>
      <b/>
      <i/>
      <sz val="10"/>
      <color rgb="FFFF0000"/>
      <name val="Arial"/>
      <family val="2"/>
    </font>
    <font>
      <i/>
      <sz val="10"/>
      <color rgb="FFFF0000"/>
      <name val="Arial"/>
      <family val="2"/>
    </font>
    <font>
      <b/>
      <sz val="18"/>
      <color theme="1"/>
      <name val="Arial"/>
      <family val="2"/>
    </font>
    <font>
      <b/>
      <sz val="11"/>
      <color theme="1"/>
      <name val="Arial"/>
      <family val="2"/>
    </font>
    <font>
      <b/>
      <sz val="16"/>
      <color theme="1"/>
      <name val="Calibri"/>
      <family val="2"/>
      <scheme val="minor"/>
    </font>
    <font>
      <b/>
      <sz val="20"/>
      <color theme="1"/>
      <name val="Arial"/>
      <family val="2"/>
    </font>
    <font>
      <b/>
      <sz val="11"/>
      <name val="Calibri"/>
      <family val="2"/>
      <scheme val="minor"/>
    </font>
    <font>
      <u/>
      <sz val="11"/>
      <color rgb="FF0000FF"/>
      <name val="Calibri"/>
      <family val="2"/>
      <scheme val="minor"/>
    </font>
    <font>
      <sz val="14"/>
      <color theme="1"/>
      <name val="Calibri"/>
      <family val="2"/>
      <scheme val="minor"/>
    </font>
    <font>
      <b/>
      <sz val="18"/>
      <color theme="1"/>
      <name val="Calibri"/>
      <family val="2"/>
      <scheme val="minor"/>
    </font>
    <font>
      <sz val="11"/>
      <color theme="1"/>
      <name val="Calibri"/>
      <family val="2"/>
    </font>
    <font>
      <b/>
      <sz val="11"/>
      <color rgb="FF0070C0"/>
      <name val="Calibri"/>
      <family val="2"/>
      <scheme val="minor"/>
    </font>
    <font>
      <sz val="11"/>
      <color rgb="FF0070C0"/>
      <name val="Calibri"/>
      <family val="2"/>
      <scheme val="minor"/>
    </font>
    <font>
      <b/>
      <sz val="11"/>
      <color rgb="FF00B050"/>
      <name val="Calibri"/>
      <family val="2"/>
    </font>
    <font>
      <sz val="11"/>
      <color rgb="FF00B050"/>
      <name val="Calibri"/>
      <family val="2"/>
      <scheme val="minor"/>
    </font>
    <font>
      <b/>
      <sz val="18"/>
      <color rgb="FF0070C0"/>
      <name val="Calibri"/>
      <family val="2"/>
    </font>
    <font>
      <b/>
      <sz val="12"/>
      <color rgb="FF0070C0"/>
      <name val="Calibri"/>
      <family val="2"/>
      <scheme val="minor"/>
    </font>
    <font>
      <i/>
      <sz val="9"/>
      <color rgb="FF0070C0"/>
      <name val="Calibri"/>
      <family val="2"/>
      <scheme val="minor"/>
    </font>
    <font>
      <i/>
      <sz val="11"/>
      <color rgb="FF0070C0"/>
      <name val="Calibri"/>
      <family val="2"/>
      <scheme val="minor"/>
    </font>
    <font>
      <b/>
      <sz val="11"/>
      <color rgb="FFFF0000"/>
      <name val="Calibri"/>
      <family val="2"/>
      <scheme val="minor"/>
    </font>
    <font>
      <b/>
      <sz val="14"/>
      <color rgb="FF0070C0"/>
      <name val="Calibri"/>
      <family val="2"/>
      <scheme val="minor"/>
    </font>
    <font>
      <b/>
      <sz val="16"/>
      <color rgb="FF0070C0"/>
      <name val="Calibri"/>
      <family val="2"/>
      <scheme val="minor"/>
    </font>
    <font>
      <sz val="11"/>
      <color rgb="FF2E75B6"/>
      <name val="Calibri"/>
      <family val="2"/>
      <scheme val="minor"/>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2"/>
      <name val="Arial"/>
      <family val="2"/>
    </font>
    <font>
      <b/>
      <i/>
      <sz val="12"/>
      <name val="Arial"/>
      <family val="2"/>
    </font>
    <font>
      <u/>
      <sz val="11"/>
      <color theme="10"/>
      <name val="Calibri"/>
      <family val="2"/>
    </font>
    <font>
      <sz val="11"/>
      <color rgb="FF0070C0"/>
      <name val="Calibri"/>
      <family val="2"/>
    </font>
    <font>
      <sz val="10"/>
      <color theme="8"/>
      <name val="Arial"/>
      <family val="2"/>
    </font>
    <font>
      <sz val="10"/>
      <color theme="3" tint="0.39997558519241921"/>
      <name val="Arial"/>
      <family val="2"/>
    </font>
    <font>
      <sz val="11"/>
      <color theme="3" tint="0.39997558519241921"/>
      <name val="Calibri"/>
      <family val="2"/>
      <scheme val="minor"/>
    </font>
  </fonts>
  <fills count="9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51"/>
        <bgColor indexed="64"/>
      </patternFill>
    </fill>
    <fill>
      <patternFill patternType="solid">
        <fgColor indexed="11"/>
        <bgColor indexed="64"/>
      </patternFill>
    </fill>
    <fill>
      <patternFill patternType="solid">
        <fgColor indexed="55"/>
        <bgColor indexed="64"/>
      </patternFill>
    </fill>
    <fill>
      <patternFill patternType="solid">
        <fgColor theme="9" tint="0.79998168889431442"/>
        <bgColor indexed="64"/>
      </patternFill>
    </fill>
    <fill>
      <patternFill patternType="solid">
        <fgColor indexed="13"/>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17"/>
        <bgColor indexed="64"/>
      </patternFill>
    </fill>
    <fill>
      <patternFill patternType="solid">
        <fgColor rgb="FF006E5A"/>
        <bgColor indexed="64"/>
      </patternFill>
    </fill>
    <fill>
      <patternFill patternType="solid">
        <fgColor indexed="26"/>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31"/>
      </patternFill>
    </fill>
    <fill>
      <patternFill patternType="solid">
        <fgColor indexed="42"/>
      </patternFill>
    </fill>
    <fill>
      <patternFill patternType="solid">
        <fgColor indexed="1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22"/>
      </patternFill>
    </fill>
  </fills>
  <borders count="4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medium">
        <color indexed="8"/>
      </right>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style="medium">
        <color indexed="8"/>
      </right>
      <top/>
      <bottom style="medium">
        <color indexed="8"/>
      </bottom>
      <diagonal/>
    </border>
    <border>
      <left/>
      <right/>
      <top/>
      <bottom style="medium">
        <color indexed="8"/>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56"/>
      </top>
      <bottom style="double">
        <color indexed="56"/>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s>
  <cellStyleXfs count="793">
    <xf numFmtId="0" fontId="0" fillId="0" borderId="0"/>
    <xf numFmtId="43" fontId="2" fillId="0" borderId="0" applyFont="0" applyFill="0" applyBorder="0" applyAlignment="0" applyProtection="0"/>
    <xf numFmtId="0" fontId="3" fillId="0" borderId="0" applyNumberFormat="0" applyFill="0" applyBorder="0" applyAlignment="0" applyProtection="0"/>
    <xf numFmtId="0" fontId="19" fillId="0" borderId="0"/>
    <xf numFmtId="43" fontId="21" fillId="0" borderId="0" applyFont="0" applyFill="0" applyBorder="0" applyAlignment="0" applyProtection="0"/>
    <xf numFmtId="44" fontId="21" fillId="0" borderId="0" applyFont="0" applyFill="0" applyBorder="0" applyAlignment="0" applyProtection="0"/>
    <xf numFmtId="0" fontId="21" fillId="0" borderId="0"/>
    <xf numFmtId="0" fontId="20" fillId="0" borderId="0"/>
    <xf numFmtId="3" fontId="21" fillId="0" borderId="0"/>
    <xf numFmtId="9" fontId="21" fillId="0" borderId="0" applyFont="0" applyFill="0" applyBorder="0" applyAlignment="0" applyProtection="0"/>
    <xf numFmtId="9" fontId="25" fillId="0" borderId="0" applyFont="0" applyFill="0" applyBorder="0" applyAlignment="0" applyProtection="0"/>
    <xf numFmtId="0" fontId="20" fillId="0" borderId="0"/>
    <xf numFmtId="44" fontId="21" fillId="0" borderId="0" applyFont="0" applyFill="0" applyBorder="0" applyAlignment="0" applyProtection="0"/>
    <xf numFmtId="0" fontId="20" fillId="0" borderId="0"/>
    <xf numFmtId="0" fontId="21" fillId="0" borderId="0"/>
    <xf numFmtId="0" fontId="20" fillId="0" borderId="0"/>
    <xf numFmtId="0" fontId="31" fillId="0" borderId="0"/>
    <xf numFmtId="0" fontId="21" fillId="0" borderId="0"/>
    <xf numFmtId="0" fontId="35" fillId="0" borderId="1" applyNumberFormat="0" applyFill="0" applyAlignment="0" applyProtection="0"/>
    <xf numFmtId="0" fontId="36" fillId="0" borderId="2" applyNumberFormat="0" applyFill="0" applyAlignment="0" applyProtection="0"/>
    <xf numFmtId="0" fontId="37" fillId="0" borderId="3" applyNumberFormat="0" applyFill="0" applyAlignment="0" applyProtection="0"/>
    <xf numFmtId="0" fontId="37" fillId="0" borderId="0" applyNumberFormat="0" applyFill="0" applyBorder="0" applyAlignment="0" applyProtection="0"/>
    <xf numFmtId="0" fontId="38" fillId="2" borderId="0" applyNumberFormat="0" applyBorder="0" applyAlignment="0" applyProtection="0"/>
    <xf numFmtId="0" fontId="39" fillId="3" borderId="0" applyNumberFormat="0" applyBorder="0" applyAlignment="0" applyProtection="0"/>
    <xf numFmtId="0" fontId="40" fillId="4" borderId="0" applyNumberFormat="0" applyBorder="0" applyAlignment="0" applyProtection="0"/>
    <xf numFmtId="0" fontId="41" fillId="5" borderId="4" applyNumberFormat="0" applyAlignment="0" applyProtection="0"/>
    <xf numFmtId="0" fontId="42" fillId="6" borderId="5" applyNumberFormat="0" applyAlignment="0" applyProtection="0"/>
    <xf numFmtId="0" fontId="43" fillId="6" borderId="4" applyNumberFormat="0" applyAlignment="0" applyProtection="0"/>
    <xf numFmtId="0" fontId="44" fillId="0" borderId="6" applyNumberFormat="0" applyFill="0" applyAlignment="0" applyProtection="0"/>
    <xf numFmtId="0" fontId="45" fillId="7" borderId="7" applyNumberFormat="0" applyAlignment="0" applyProtection="0"/>
    <xf numFmtId="0" fontId="30" fillId="0" borderId="0" applyNumberFormat="0" applyFill="0" applyBorder="0" applyAlignment="0" applyProtection="0"/>
    <xf numFmtId="0" fontId="46" fillId="0" borderId="0" applyNumberFormat="0" applyFill="0" applyBorder="0" applyAlignment="0" applyProtection="0"/>
    <xf numFmtId="0" fontId="32" fillId="0" borderId="9" applyNumberFormat="0" applyFill="0" applyAlignment="0" applyProtection="0"/>
    <xf numFmtId="0" fontId="47"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47" fillId="32" borderId="0" applyNumberFormat="0" applyBorder="0" applyAlignment="0" applyProtection="0"/>
    <xf numFmtId="0" fontId="20" fillId="0" borderId="0"/>
    <xf numFmtId="0" fontId="2" fillId="0" borderId="0"/>
    <xf numFmtId="0" fontId="20" fillId="0" borderId="0"/>
    <xf numFmtId="0" fontId="20" fillId="8" borderId="8" applyNumberFormat="0" applyFont="0" applyAlignment="0" applyProtection="0"/>
    <xf numFmtId="0" fontId="2" fillId="0" borderId="0"/>
    <xf numFmtId="43" fontId="2" fillId="0" borderId="0" applyFont="0" applyFill="0" applyBorder="0" applyAlignment="0" applyProtection="0"/>
    <xf numFmtId="0" fontId="2" fillId="0" borderId="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21" fillId="0" borderId="0"/>
    <xf numFmtId="43" fontId="21" fillId="0" borderId="0" applyFont="0" applyFill="0" applyBorder="0" applyAlignment="0" applyProtection="0"/>
    <xf numFmtId="44" fontId="21" fillId="0" borderId="0" applyFont="0" applyFill="0" applyBorder="0" applyAlignment="0" applyProtection="0"/>
    <xf numFmtId="0" fontId="20" fillId="0" borderId="0"/>
    <xf numFmtId="9" fontId="21" fillId="0" borderId="0" applyFont="0" applyFill="0" applyBorder="0" applyAlignment="0" applyProtection="0"/>
    <xf numFmtId="9" fontId="25" fillId="0" borderId="0" applyFont="0" applyFill="0" applyBorder="0" applyAlignment="0" applyProtection="0"/>
    <xf numFmtId="0" fontId="20" fillId="0" borderId="0"/>
    <xf numFmtId="44" fontId="21" fillId="0" borderId="0" applyFont="0" applyFill="0" applyBorder="0" applyAlignment="0" applyProtection="0"/>
    <xf numFmtId="0" fontId="20" fillId="0" borderId="0"/>
    <xf numFmtId="0" fontId="20" fillId="0" borderId="0"/>
    <xf numFmtId="0" fontId="35" fillId="0" borderId="1" applyNumberFormat="0" applyFill="0" applyAlignment="0" applyProtection="0"/>
    <xf numFmtId="0" fontId="36" fillId="0" borderId="2" applyNumberFormat="0" applyFill="0" applyAlignment="0" applyProtection="0"/>
    <xf numFmtId="0" fontId="37" fillId="0" borderId="3" applyNumberFormat="0" applyFill="0" applyAlignment="0" applyProtection="0"/>
    <xf numFmtId="0" fontId="37" fillId="0" borderId="0" applyNumberFormat="0" applyFill="0" applyBorder="0" applyAlignment="0" applyProtection="0"/>
    <xf numFmtId="0" fontId="38" fillId="2" borderId="0" applyNumberFormat="0" applyBorder="0" applyAlignment="0" applyProtection="0"/>
    <xf numFmtId="0" fontId="39" fillId="3" borderId="0" applyNumberFormat="0" applyBorder="0" applyAlignment="0" applyProtection="0"/>
    <xf numFmtId="0" fontId="40" fillId="4" borderId="0" applyNumberFormat="0" applyBorder="0" applyAlignment="0" applyProtection="0"/>
    <xf numFmtId="0" fontId="41" fillId="5" borderId="4" applyNumberFormat="0" applyAlignment="0" applyProtection="0"/>
    <xf numFmtId="0" fontId="42" fillId="6" borderId="5" applyNumberFormat="0" applyAlignment="0" applyProtection="0"/>
    <xf numFmtId="0" fontId="43" fillId="6" borderId="4" applyNumberFormat="0" applyAlignment="0" applyProtection="0"/>
    <xf numFmtId="0" fontId="44" fillId="0" borderId="6" applyNumberFormat="0" applyFill="0" applyAlignment="0" applyProtection="0"/>
    <xf numFmtId="0" fontId="45" fillId="7" borderId="7" applyNumberFormat="0" applyAlignment="0" applyProtection="0"/>
    <xf numFmtId="0" fontId="30" fillId="0" borderId="0" applyNumberFormat="0" applyFill="0" applyBorder="0" applyAlignment="0" applyProtection="0"/>
    <xf numFmtId="0" fontId="46" fillId="0" borderId="0" applyNumberFormat="0" applyFill="0" applyBorder="0" applyAlignment="0" applyProtection="0"/>
    <xf numFmtId="0" fontId="32" fillId="0" borderId="9" applyNumberFormat="0" applyFill="0" applyAlignment="0" applyProtection="0"/>
    <xf numFmtId="0" fontId="47"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47" fillId="32" borderId="0" applyNumberFormat="0" applyBorder="0" applyAlignment="0" applyProtection="0"/>
    <xf numFmtId="0" fontId="20" fillId="0" borderId="0"/>
    <xf numFmtId="0" fontId="2" fillId="0" borderId="0"/>
    <xf numFmtId="0" fontId="20" fillId="0" borderId="0"/>
    <xf numFmtId="0" fontId="20" fillId="8" borderId="8" applyNumberFormat="0" applyFont="0" applyAlignment="0" applyProtection="0"/>
    <xf numFmtId="0" fontId="49" fillId="0" borderId="0" applyNumberFormat="0" applyFill="0" applyBorder="0" applyAlignment="0" applyProtection="0"/>
    <xf numFmtId="0" fontId="25" fillId="0" borderId="0"/>
    <xf numFmtId="9" fontId="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50" fillId="0" borderId="23" applyNumberFormat="0" applyFill="0" applyProtection="0">
      <alignment horizontal="center"/>
    </xf>
    <xf numFmtId="164" fontId="21" fillId="0" borderId="0" applyFont="0" applyFill="0" applyBorder="0" applyProtection="0">
      <alignment horizontal="right"/>
    </xf>
    <xf numFmtId="164" fontId="21" fillId="0" borderId="0" applyFont="0" applyFill="0" applyBorder="0" applyProtection="0">
      <alignment horizontal="right"/>
    </xf>
    <xf numFmtId="0" fontId="2" fillId="10" borderId="0" applyNumberFormat="0" applyBorder="0" applyAlignment="0" applyProtection="0"/>
    <xf numFmtId="0" fontId="51" fillId="41" borderId="0" applyNumberFormat="0" applyBorder="0" applyAlignment="0" applyProtection="0"/>
    <xf numFmtId="0" fontId="2" fillId="14" borderId="0" applyNumberFormat="0" applyBorder="0" applyAlignment="0" applyProtection="0"/>
    <xf numFmtId="0" fontId="51" fillId="42" borderId="0" applyNumberFormat="0" applyBorder="0" applyAlignment="0" applyProtection="0"/>
    <xf numFmtId="0" fontId="2" fillId="18" borderId="0" applyNumberFormat="0" applyBorder="0" applyAlignment="0" applyProtection="0"/>
    <xf numFmtId="0" fontId="51" fillId="43" borderId="0" applyNumberFormat="0" applyBorder="0" applyAlignment="0" applyProtection="0"/>
    <xf numFmtId="0" fontId="2" fillId="22" borderId="0" applyNumberFormat="0" applyBorder="0" applyAlignment="0" applyProtection="0"/>
    <xf numFmtId="0" fontId="51" fillId="44" borderId="0" applyNumberFormat="0" applyBorder="0" applyAlignment="0" applyProtection="0"/>
    <xf numFmtId="0" fontId="2" fillId="26" borderId="0" applyNumberFormat="0" applyBorder="0" applyAlignment="0" applyProtection="0"/>
    <xf numFmtId="0" fontId="51" fillId="45" borderId="0" applyNumberFormat="0" applyBorder="0" applyAlignment="0" applyProtection="0"/>
    <xf numFmtId="0" fontId="2" fillId="30" borderId="0" applyNumberFormat="0" applyBorder="0" applyAlignment="0" applyProtection="0"/>
    <xf numFmtId="0" fontId="51" fillId="43" borderId="0" applyNumberFormat="0" applyBorder="0" applyAlignment="0" applyProtection="0"/>
    <xf numFmtId="167" fontId="21" fillId="0" borderId="0" applyFont="0" applyFill="0" applyBorder="0" applyProtection="0">
      <alignment horizontal="right"/>
    </xf>
    <xf numFmtId="167" fontId="21" fillId="0" borderId="0" applyFont="0" applyFill="0" applyBorder="0" applyProtection="0">
      <alignment horizontal="right"/>
    </xf>
    <xf numFmtId="0" fontId="2" fillId="11" borderId="0" applyNumberFormat="0" applyBorder="0" applyAlignment="0" applyProtection="0"/>
    <xf numFmtId="0" fontId="51" fillId="45" borderId="0" applyNumberFormat="0" applyBorder="0" applyAlignment="0" applyProtection="0"/>
    <xf numFmtId="0" fontId="2" fillId="15" borderId="0" applyNumberFormat="0" applyBorder="0" applyAlignment="0" applyProtection="0"/>
    <xf numFmtId="0" fontId="51" fillId="42" borderId="0" applyNumberFormat="0" applyBorder="0" applyAlignment="0" applyProtection="0"/>
    <xf numFmtId="0" fontId="2" fillId="19" borderId="0" applyNumberFormat="0" applyBorder="0" applyAlignment="0" applyProtection="0"/>
    <xf numFmtId="0" fontId="51" fillId="46" borderId="0" applyNumberFormat="0" applyBorder="0" applyAlignment="0" applyProtection="0"/>
    <xf numFmtId="0" fontId="2" fillId="23" borderId="0" applyNumberFormat="0" applyBorder="0" applyAlignment="0" applyProtection="0"/>
    <xf numFmtId="0" fontId="51" fillId="47" borderId="0" applyNumberFormat="0" applyBorder="0" applyAlignment="0" applyProtection="0"/>
    <xf numFmtId="0" fontId="2" fillId="27" borderId="0" applyNumberFormat="0" applyBorder="0" applyAlignment="0" applyProtection="0"/>
    <xf numFmtId="0" fontId="51" fillId="45" borderId="0" applyNumberFormat="0" applyBorder="0" applyAlignment="0" applyProtection="0"/>
    <xf numFmtId="0" fontId="2" fillId="31" borderId="0" applyNumberFormat="0" applyBorder="0" applyAlignment="0" applyProtection="0"/>
    <xf numFmtId="0" fontId="51" fillId="43" borderId="0" applyNumberFormat="0" applyBorder="0" applyAlignment="0" applyProtection="0"/>
    <xf numFmtId="168" fontId="21" fillId="0" borderId="0" applyFont="0" applyFill="0" applyBorder="0" applyProtection="0">
      <alignment horizontal="right"/>
    </xf>
    <xf numFmtId="168" fontId="21" fillId="0" borderId="0" applyFont="0" applyFill="0" applyBorder="0" applyProtection="0">
      <alignment horizontal="right"/>
    </xf>
    <xf numFmtId="0" fontId="18" fillId="12" borderId="0" applyNumberFormat="0" applyBorder="0" applyAlignment="0" applyProtection="0"/>
    <xf numFmtId="0" fontId="52" fillId="45" borderId="0" applyNumberFormat="0" applyBorder="0" applyAlignment="0" applyProtection="0"/>
    <xf numFmtId="0" fontId="18" fillId="16" borderId="0" applyNumberFormat="0" applyBorder="0" applyAlignment="0" applyProtection="0"/>
    <xf numFmtId="0" fontId="52" fillId="48" borderId="0" applyNumberFormat="0" applyBorder="0" applyAlignment="0" applyProtection="0"/>
    <xf numFmtId="0" fontId="18" fillId="20" borderId="0" applyNumberFormat="0" applyBorder="0" applyAlignment="0" applyProtection="0"/>
    <xf numFmtId="0" fontId="52" fillId="49" borderId="0" applyNumberFormat="0" applyBorder="0" applyAlignment="0" applyProtection="0"/>
    <xf numFmtId="0" fontId="18" fillId="24" borderId="0" applyNumberFormat="0" applyBorder="0" applyAlignment="0" applyProtection="0"/>
    <xf numFmtId="0" fontId="52" fillId="47" borderId="0" applyNumberFormat="0" applyBorder="0" applyAlignment="0" applyProtection="0"/>
    <xf numFmtId="0" fontId="18" fillId="28" borderId="0" applyNumberFormat="0" applyBorder="0" applyAlignment="0" applyProtection="0"/>
    <xf numFmtId="0" fontId="52" fillId="45" borderId="0" applyNumberFormat="0" applyBorder="0" applyAlignment="0" applyProtection="0"/>
    <xf numFmtId="0" fontId="18" fillId="32" borderId="0" applyNumberFormat="0" applyBorder="0" applyAlignment="0" applyProtection="0"/>
    <xf numFmtId="0" fontId="52" fillId="42" borderId="0" applyNumberFormat="0" applyBorder="0" applyAlignment="0" applyProtection="0"/>
    <xf numFmtId="0" fontId="18" fillId="9" borderId="0" applyNumberFormat="0" applyBorder="0" applyAlignment="0" applyProtection="0"/>
    <xf numFmtId="0" fontId="52" fillId="50" borderId="0" applyNumberFormat="0" applyBorder="0" applyAlignment="0" applyProtection="0"/>
    <xf numFmtId="0" fontId="18" fillId="13" borderId="0" applyNumberFormat="0" applyBorder="0" applyAlignment="0" applyProtection="0"/>
    <xf numFmtId="0" fontId="52" fillId="48" borderId="0" applyNumberFormat="0" applyBorder="0" applyAlignment="0" applyProtection="0"/>
    <xf numFmtId="0" fontId="18" fillId="17" borderId="0" applyNumberFormat="0" applyBorder="0" applyAlignment="0" applyProtection="0"/>
    <xf numFmtId="0" fontId="52" fillId="49" borderId="0" applyNumberFormat="0" applyBorder="0" applyAlignment="0" applyProtection="0"/>
    <xf numFmtId="0" fontId="18" fillId="21" borderId="0" applyNumberFormat="0" applyBorder="0" applyAlignment="0" applyProtection="0"/>
    <xf numFmtId="0" fontId="52" fillId="51" borderId="0" applyNumberFormat="0" applyBorder="0" applyAlignment="0" applyProtection="0"/>
    <xf numFmtId="0" fontId="18" fillId="25" borderId="0" applyNumberFormat="0" applyBorder="0" applyAlignment="0" applyProtection="0"/>
    <xf numFmtId="0" fontId="52" fillId="52" borderId="0" applyNumberFormat="0" applyBorder="0" applyAlignment="0" applyProtection="0"/>
    <xf numFmtId="0" fontId="18" fillId="29" borderId="0" applyNumberFormat="0" applyBorder="0" applyAlignment="0" applyProtection="0"/>
    <xf numFmtId="0" fontId="52" fillId="53" borderId="0" applyNumberFormat="0" applyBorder="0" applyAlignment="0" applyProtection="0"/>
    <xf numFmtId="0" fontId="21" fillId="0" borderId="0" applyNumberFormat="0" applyFill="0" applyBorder="0" applyAlignment="0" applyProtection="0"/>
    <xf numFmtId="0" fontId="53" fillId="0" borderId="0" applyNumberFormat="0" applyFont="0" applyBorder="0" applyAlignment="0">
      <alignment horizontal="left" vertical="center"/>
    </xf>
    <xf numFmtId="0" fontId="8" fillId="3" borderId="0" applyNumberFormat="0" applyBorder="0" applyAlignment="0" applyProtection="0"/>
    <xf numFmtId="0" fontId="54" fillId="54" borderId="0" applyNumberFormat="0" applyBorder="0" applyAlignment="0" applyProtection="0"/>
    <xf numFmtId="169" fontId="21" fillId="0" borderId="0" applyBorder="0"/>
    <xf numFmtId="0" fontId="12" fillId="6" borderId="4" applyNumberFormat="0" applyAlignment="0" applyProtection="0"/>
    <xf numFmtId="0" fontId="55" fillId="55" borderId="24" applyNumberFormat="0" applyAlignment="0" applyProtection="0"/>
    <xf numFmtId="170" fontId="21" fillId="33" borderId="25">
      <alignment horizontal="right" vertical="top"/>
    </xf>
    <xf numFmtId="0" fontId="21" fillId="33" borderId="25">
      <alignment horizontal="left" indent="5"/>
    </xf>
    <xf numFmtId="3" fontId="21" fillId="33" borderId="25">
      <alignment horizontal="right"/>
    </xf>
    <xf numFmtId="3" fontId="21" fillId="33" borderId="25">
      <alignment horizontal="right"/>
    </xf>
    <xf numFmtId="170" fontId="21" fillId="33" borderId="21" applyNumberFormat="0">
      <alignment horizontal="right" vertical="top"/>
    </xf>
    <xf numFmtId="0" fontId="21" fillId="33" borderId="21">
      <alignment horizontal="left" indent="3"/>
    </xf>
    <xf numFmtId="3" fontId="21" fillId="33" borderId="21">
      <alignment horizontal="right"/>
    </xf>
    <xf numFmtId="170" fontId="23" fillId="33" borderId="21" applyNumberFormat="0">
      <alignment horizontal="right" vertical="top"/>
    </xf>
    <xf numFmtId="0" fontId="23" fillId="33" borderId="21">
      <alignment horizontal="left" indent="1"/>
    </xf>
    <xf numFmtId="0" fontId="23" fillId="33" borderId="21">
      <alignment horizontal="right" vertical="top"/>
    </xf>
    <xf numFmtId="0" fontId="23" fillId="33" borderId="21"/>
    <xf numFmtId="171" fontId="23" fillId="33" borderId="21">
      <alignment horizontal="right"/>
    </xf>
    <xf numFmtId="3" fontId="23" fillId="33" borderId="21">
      <alignment horizontal="right"/>
    </xf>
    <xf numFmtId="0" fontId="21" fillId="33" borderId="26" applyFont="0" applyFill="0" applyAlignment="0"/>
    <xf numFmtId="0" fontId="23" fillId="33" borderId="21">
      <alignment horizontal="right" vertical="top"/>
    </xf>
    <xf numFmtId="0" fontId="23" fillId="33" borderId="21">
      <alignment horizontal="left" indent="2"/>
    </xf>
    <xf numFmtId="3" fontId="23" fillId="33" borderId="21">
      <alignment horizontal="right"/>
    </xf>
    <xf numFmtId="170" fontId="21" fillId="33" borderId="21" applyNumberFormat="0">
      <alignment horizontal="right" vertical="top"/>
    </xf>
    <xf numFmtId="0" fontId="21" fillId="33" borderId="21">
      <alignment horizontal="left" indent="3"/>
    </xf>
    <xf numFmtId="3" fontId="21" fillId="33" borderId="21">
      <alignment horizontal="right"/>
    </xf>
    <xf numFmtId="3" fontId="21" fillId="33" borderId="21">
      <alignment horizontal="right"/>
    </xf>
    <xf numFmtId="0" fontId="14" fillId="7" borderId="7" applyNumberFormat="0" applyAlignment="0" applyProtection="0"/>
    <xf numFmtId="0" fontId="56" fillId="56" borderId="27" applyNumberFormat="0" applyAlignment="0" applyProtection="0"/>
    <xf numFmtId="168" fontId="57" fillId="0" borderId="0" applyFont="0" applyFill="0" applyBorder="0" applyProtection="0">
      <alignment horizontal="right"/>
    </xf>
    <xf numFmtId="172" fontId="57" fillId="0" borderId="0" applyFont="0" applyFill="0" applyBorder="0" applyProtection="0">
      <alignment horizontal="left"/>
    </xf>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3" fontId="2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0" fontId="58" fillId="0" borderId="12" applyNumberFormat="0" applyBorder="0" applyAlignment="0" applyProtection="0">
      <alignment horizontal="right" vertical="center"/>
    </xf>
    <xf numFmtId="173" fontId="21" fillId="0" borderId="0" applyFont="0" applyFill="0" applyBorder="0" applyAlignment="0" applyProtection="0"/>
    <xf numFmtId="0" fontId="16" fillId="0" borderId="0" applyNumberFormat="0" applyFill="0" applyBorder="0" applyAlignment="0" applyProtection="0"/>
    <xf numFmtId="0" fontId="59" fillId="0" borderId="0" applyNumberFormat="0" applyFill="0" applyBorder="0" applyAlignment="0" applyProtection="0"/>
    <xf numFmtId="0" fontId="60" fillId="0" borderId="0">
      <alignment horizontal="right"/>
      <protection locked="0"/>
    </xf>
    <xf numFmtId="0" fontId="61" fillId="0" borderId="0">
      <alignment horizontal="left"/>
    </xf>
    <xf numFmtId="0" fontId="62" fillId="0" borderId="0">
      <alignment horizontal="left"/>
    </xf>
    <xf numFmtId="0" fontId="21" fillId="0" borderId="0" applyFont="0" applyFill="0" applyBorder="0" applyProtection="0">
      <alignment horizontal="right"/>
    </xf>
    <xf numFmtId="0" fontId="21" fillId="0" borderId="0" applyFont="0" applyFill="0" applyBorder="0" applyProtection="0">
      <alignment horizontal="right"/>
    </xf>
    <xf numFmtId="0" fontId="7" fillId="2" borderId="0" applyNumberFormat="0" applyBorder="0" applyAlignment="0" applyProtection="0"/>
    <xf numFmtId="0" fontId="63" fillId="45" borderId="0" applyNumberFormat="0" applyBorder="0" applyAlignment="0" applyProtection="0"/>
    <xf numFmtId="38" fontId="22" fillId="34" borderId="0" applyNumberFormat="0" applyBorder="0" applyAlignment="0" applyProtection="0"/>
    <xf numFmtId="0" fontId="64" fillId="57" borderId="28" applyProtection="0">
      <alignment horizontal="right"/>
    </xf>
    <xf numFmtId="0" fontId="65" fillId="58" borderId="0"/>
    <xf numFmtId="0" fontId="66" fillId="57" borderId="0" applyProtection="0">
      <alignment horizontal="left"/>
    </xf>
    <xf numFmtId="0" fontId="4" fillId="0" borderId="1" applyNumberFormat="0" applyFill="0" applyAlignment="0" applyProtection="0"/>
    <xf numFmtId="0" fontId="67" fillId="0" borderId="0">
      <alignment vertical="top" wrapText="1"/>
    </xf>
    <xf numFmtId="0" fontId="67" fillId="0" borderId="0">
      <alignment vertical="top" wrapText="1"/>
    </xf>
    <xf numFmtId="0" fontId="68" fillId="0" borderId="29" applyNumberFormat="0" applyFill="0" applyAlignment="0" applyProtection="0"/>
    <xf numFmtId="0" fontId="67" fillId="0" borderId="0">
      <alignment vertical="top" wrapText="1"/>
    </xf>
    <xf numFmtId="0" fontId="5" fillId="0" borderId="2" applyNumberFormat="0" applyFill="0" applyAlignment="0" applyProtection="0"/>
    <xf numFmtId="0" fontId="69" fillId="0" borderId="30" applyNumberFormat="0" applyFill="0" applyAlignment="0" applyProtection="0"/>
    <xf numFmtId="0" fontId="6" fillId="0" borderId="3" applyNumberFormat="0" applyFill="0" applyAlignment="0" applyProtection="0"/>
    <xf numFmtId="0" fontId="70" fillId="0" borderId="31" applyNumberFormat="0" applyFill="0" applyAlignment="0" applyProtection="0"/>
    <xf numFmtId="0" fontId="6" fillId="0" borderId="0" applyNumberFormat="0" applyFill="0" applyBorder="0" applyAlignment="0" applyProtection="0"/>
    <xf numFmtId="0" fontId="70" fillId="0" borderId="0" applyNumberFormat="0" applyFill="0" applyBorder="0" applyAlignment="0" applyProtection="0"/>
    <xf numFmtId="174" fontId="34" fillId="0" borderId="0" applyNumberFormat="0" applyFill="0" applyAlignment="0" applyProtection="0"/>
    <xf numFmtId="174" fontId="33" fillId="0" borderId="0" applyNumberFormat="0" applyFill="0" applyAlignment="0" applyProtection="0"/>
    <xf numFmtId="174" fontId="33" fillId="0" borderId="0" applyNumberFormat="0" applyFont="0" applyFill="0" applyBorder="0" applyAlignment="0" applyProtection="0"/>
    <xf numFmtId="174" fontId="33" fillId="0" borderId="0" applyNumberFormat="0" applyFon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3" fillId="0" borderId="0" applyNumberFormat="0" applyFill="0" applyBorder="0" applyAlignment="0" applyProtection="0"/>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ont="0" applyFill="0" applyBorder="0" applyAlignment="0" applyProtection="0"/>
    <xf numFmtId="0" fontId="77"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alignment vertical="top"/>
      <protection locked="0"/>
    </xf>
    <xf numFmtId="0" fontId="27" fillId="0" borderId="0" applyFill="0" applyBorder="0" applyProtection="0">
      <alignment horizontal="left"/>
    </xf>
    <xf numFmtId="10" fontId="22" fillId="59" borderId="21" applyNumberFormat="0" applyBorder="0" applyAlignment="0" applyProtection="0"/>
    <xf numFmtId="0" fontId="78" fillId="44" borderId="24" applyNumberFormat="0" applyAlignment="0" applyProtection="0"/>
    <xf numFmtId="0" fontId="78" fillId="44" borderId="24" applyNumberFormat="0" applyAlignment="0" applyProtection="0"/>
    <xf numFmtId="0" fontId="78" fillId="44" borderId="24" applyNumberFormat="0" applyAlignment="0" applyProtection="0"/>
    <xf numFmtId="0" fontId="78" fillId="44" borderId="24" applyNumberFormat="0" applyAlignment="0" applyProtection="0"/>
    <xf numFmtId="0" fontId="78" fillId="44" borderId="24" applyNumberFormat="0" applyAlignment="0" applyProtection="0"/>
    <xf numFmtId="0" fontId="78" fillId="44" borderId="24" applyNumberFormat="0" applyAlignment="0" applyProtection="0"/>
    <xf numFmtId="0" fontId="78" fillId="44" borderId="24" applyNumberFormat="0" applyAlignment="0" applyProtection="0"/>
    <xf numFmtId="0" fontId="78" fillId="44" borderId="24" applyNumberFormat="0" applyAlignment="0" applyProtection="0"/>
    <xf numFmtId="0" fontId="78" fillId="44" borderId="24" applyNumberFormat="0" applyAlignment="0" applyProtection="0"/>
    <xf numFmtId="0" fontId="78" fillId="44" borderId="24" applyNumberFormat="0" applyAlignment="0" applyProtection="0"/>
    <xf numFmtId="0" fontId="10" fillId="5" borderId="4" applyNumberFormat="0" applyAlignment="0" applyProtection="0"/>
    <xf numFmtId="0" fontId="78" fillId="46" borderId="24" applyNumberFormat="0" applyAlignment="0" applyProtection="0"/>
    <xf numFmtId="0" fontId="78" fillId="44" borderId="24" applyNumberFormat="0" applyAlignment="0" applyProtection="0"/>
    <xf numFmtId="0" fontId="78" fillId="44" borderId="24" applyNumberFormat="0" applyAlignment="0" applyProtection="0"/>
    <xf numFmtId="0" fontId="78" fillId="44" borderId="24" applyNumberFormat="0" applyAlignment="0" applyProtection="0"/>
    <xf numFmtId="0" fontId="78" fillId="44" borderId="24" applyNumberFormat="0" applyAlignment="0" applyProtection="0"/>
    <xf numFmtId="0" fontId="78" fillId="44" borderId="24" applyNumberFormat="0" applyAlignment="0" applyProtection="0"/>
    <xf numFmtId="0" fontId="78" fillId="44" borderId="24" applyNumberFormat="0" applyAlignment="0" applyProtection="0"/>
    <xf numFmtId="0" fontId="64" fillId="0" borderId="32" applyProtection="0">
      <alignment horizontal="right"/>
    </xf>
    <xf numFmtId="0" fontId="64" fillId="0" borderId="28" applyProtection="0">
      <alignment horizontal="right"/>
    </xf>
    <xf numFmtId="0" fontId="64" fillId="0" borderId="33" applyProtection="0">
      <alignment horizontal="center"/>
      <protection locked="0"/>
    </xf>
    <xf numFmtId="0" fontId="13" fillId="0" borderId="6" applyNumberFormat="0" applyFill="0" applyAlignment="0" applyProtection="0"/>
    <xf numFmtId="0" fontId="79" fillId="0" borderId="34" applyNumberFormat="0" applyFill="0" applyAlignment="0" applyProtection="0"/>
    <xf numFmtId="0" fontId="21" fillId="0" borderId="0"/>
    <xf numFmtId="0" fontId="21" fillId="0" borderId="0"/>
    <xf numFmtId="0" fontId="21" fillId="0" borderId="0"/>
    <xf numFmtId="1" fontId="21" fillId="0" borderId="0" applyFont="0" applyFill="0" applyBorder="0" applyProtection="0">
      <alignment horizontal="right"/>
    </xf>
    <xf numFmtId="1" fontId="21" fillId="0" borderId="0" applyFont="0" applyFill="0" applyBorder="0" applyProtection="0">
      <alignment horizontal="right"/>
    </xf>
    <xf numFmtId="0" fontId="9" fillId="4" borderId="0" applyNumberFormat="0" applyBorder="0" applyAlignment="0" applyProtection="0"/>
    <xf numFmtId="0" fontId="80" fillId="46" borderId="0" applyNumberFormat="0" applyBorder="0" applyAlignment="0" applyProtection="0"/>
    <xf numFmtId="0" fontId="81" fillId="0" borderId="0"/>
    <xf numFmtId="0" fontId="81" fillId="0" borderId="0"/>
    <xf numFmtId="0" fontId="81" fillId="0" borderId="0"/>
    <xf numFmtId="0" fontId="81" fillId="0" borderId="0"/>
    <xf numFmtId="0" fontId="81" fillId="0" borderId="0"/>
    <xf numFmtId="0" fontId="4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76" fillId="0" borderId="0"/>
    <xf numFmtId="0" fontId="2" fillId="0" borderId="0"/>
    <xf numFmtId="0" fontId="2" fillId="0" borderId="0"/>
    <xf numFmtId="0" fontId="48" fillId="0" borderId="0"/>
    <xf numFmtId="0" fontId="76" fillId="0" borderId="0"/>
    <xf numFmtId="0" fontId="76" fillId="0" borderId="0"/>
    <xf numFmtId="0" fontId="25" fillId="0" borderId="0"/>
    <xf numFmtId="0" fontId="25" fillId="0" borderId="0"/>
    <xf numFmtId="0" fontId="76" fillId="0" borderId="0"/>
    <xf numFmtId="0" fontId="21" fillId="0" borderId="0"/>
    <xf numFmtId="0" fontId="25" fillId="0" borderId="0"/>
    <xf numFmtId="0" fontId="48" fillId="0" borderId="0"/>
    <xf numFmtId="0" fontId="2" fillId="0" borderId="0"/>
    <xf numFmtId="0" fontId="82" fillId="0" borderId="0" applyNumberFormat="0" applyFont="0" applyBorder="0" applyProtection="0"/>
    <xf numFmtId="0" fontId="21" fillId="0" borderId="0"/>
    <xf numFmtId="0" fontId="2" fillId="0" borderId="0"/>
    <xf numFmtId="0" fontId="21" fillId="0" borderId="0"/>
    <xf numFmtId="0" fontId="48" fillId="0" borderId="0"/>
    <xf numFmtId="0" fontId="83" fillId="0" borderId="0"/>
    <xf numFmtId="0" fontId="21" fillId="0" borderId="0" applyNumberFormat="0" applyFill="0" applyBorder="0" applyAlignment="0" applyProtection="0"/>
    <xf numFmtId="0" fontId="21" fillId="0" borderId="0" applyNumberFormat="0" applyFill="0" applyBorder="0" applyAlignment="0" applyProtection="0"/>
    <xf numFmtId="0" fontId="4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48" fillId="0" borderId="0"/>
    <xf numFmtId="0" fontId="48" fillId="0" borderId="0"/>
    <xf numFmtId="0" fontId="48" fillId="0" borderId="0"/>
    <xf numFmtId="0" fontId="48" fillId="0" borderId="0"/>
    <xf numFmtId="0" fontId="48" fillId="0" borderId="0"/>
    <xf numFmtId="0" fontId="29" fillId="0" borderId="0"/>
    <xf numFmtId="0" fontId="48" fillId="0" borderId="0"/>
    <xf numFmtId="0" fontId="29" fillId="0" borderId="0"/>
    <xf numFmtId="175" fontId="84" fillId="0" borderId="0" applyBorder="0" applyProtection="0"/>
    <xf numFmtId="0" fontId="20" fillId="0" borderId="0"/>
    <xf numFmtId="0" fontId="31" fillId="0" borderId="0"/>
    <xf numFmtId="0" fontId="21" fillId="33" borderId="0"/>
    <xf numFmtId="0" fontId="29" fillId="0" borderId="0"/>
    <xf numFmtId="0" fontId="5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9" fillId="0" borderId="0" applyNumberFormat="0" applyBorder="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2" fillId="0" borderId="0"/>
    <xf numFmtId="0" fontId="48" fillId="0" borderId="0"/>
    <xf numFmtId="0" fontId="2" fillId="0" borderId="0"/>
    <xf numFmtId="0" fontId="48" fillId="0" borderId="0"/>
    <xf numFmtId="0" fontId="48" fillId="0" borderId="0"/>
    <xf numFmtId="0" fontId="48" fillId="0" borderId="0"/>
    <xf numFmtId="0" fontId="2" fillId="0" borderId="0"/>
    <xf numFmtId="0" fontId="25" fillId="0" borderId="0"/>
    <xf numFmtId="0" fontId="48" fillId="0" borderId="0"/>
    <xf numFmtId="0" fontId="21" fillId="0" borderId="0"/>
    <xf numFmtId="0" fontId="48" fillId="0" borderId="0"/>
    <xf numFmtId="0" fontId="2" fillId="8" borderId="8" applyNumberFormat="0" applyFont="0" applyAlignment="0" applyProtection="0"/>
    <xf numFmtId="0" fontId="21" fillId="43" borderId="35" applyNumberFormat="0" applyFont="0" applyAlignment="0" applyProtection="0"/>
    <xf numFmtId="0" fontId="11" fillId="6" borderId="5" applyNumberFormat="0" applyAlignment="0" applyProtection="0"/>
    <xf numFmtId="0" fontId="85" fillId="55" borderId="36" applyNumberFormat="0" applyAlignment="0" applyProtection="0"/>
    <xf numFmtId="40" fontId="86" fillId="33" borderId="0">
      <alignment horizontal="right"/>
    </xf>
    <xf numFmtId="0" fontId="87" fillId="33" borderId="0">
      <alignment horizontal="right"/>
    </xf>
    <xf numFmtId="0" fontId="88" fillId="33" borderId="14"/>
    <xf numFmtId="0" fontId="88" fillId="0" borderId="0" applyBorder="0">
      <alignment horizontal="centerContinuous"/>
    </xf>
    <xf numFmtId="0" fontId="89" fillId="0" borderId="0" applyBorder="0">
      <alignment horizontal="centerContinuous"/>
    </xf>
    <xf numFmtId="176" fontId="21" fillId="0" borderId="0" applyFont="0" applyFill="0" applyBorder="0" applyProtection="0">
      <alignment horizontal="right"/>
    </xf>
    <xf numFmtId="176" fontId="21" fillId="0" borderId="0" applyFont="0" applyFill="0" applyBorder="0" applyProtection="0">
      <alignment horizontal="right"/>
    </xf>
    <xf numFmtId="10" fontId="21" fillId="0" borderId="0" applyFont="0" applyFill="0" applyBorder="0" applyAlignment="0" applyProtection="0"/>
    <xf numFmtId="9" fontId="48" fillId="0" borderId="0" applyFont="0" applyFill="0" applyBorder="0" applyAlignment="0" applyProtection="0"/>
    <xf numFmtId="9" fontId="2" fillId="0" borderId="0" applyFont="0" applyFill="0" applyBorder="0" applyAlignment="0" applyProtection="0"/>
    <xf numFmtId="9" fontId="48" fillId="0" borderId="0" applyFont="0" applyFill="0" applyBorder="0" applyAlignment="0" applyProtection="0"/>
    <xf numFmtId="9" fontId="21" fillId="0" borderId="0" applyFont="0" applyFill="0" applyBorder="0" applyAlignment="0" applyProtection="0"/>
    <xf numFmtId="9" fontId="48" fillId="0" borderId="0" applyFont="0" applyFill="0" applyBorder="0" applyAlignment="0" applyProtection="0"/>
    <xf numFmtId="9" fontId="82"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2" fillId="0" borderId="0" applyFont="0" applyFill="0" applyBorder="0" applyAlignment="0" applyProtection="0"/>
    <xf numFmtId="9" fontId="48" fillId="0" borderId="0" applyFont="0" applyFill="0" applyBorder="0" applyAlignment="0" applyProtection="0"/>
    <xf numFmtId="9" fontId="2"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21" fillId="0" borderId="0"/>
    <xf numFmtId="2" fontId="90" fillId="35" borderId="18" applyAlignment="0" applyProtection="0">
      <protection locked="0"/>
    </xf>
    <xf numFmtId="0" fontId="91" fillId="59" borderId="18" applyNumberFormat="0" applyAlignment="0" applyProtection="0"/>
    <xf numFmtId="0" fontId="92" fillId="38" borderId="21" applyNumberFormat="0" applyAlignment="0" applyProtection="0">
      <alignment horizontal="center" vertical="center"/>
    </xf>
    <xf numFmtId="0" fontId="21" fillId="0" borderId="0"/>
    <xf numFmtId="4" fontId="25" fillId="60" borderId="36" applyNumberFormat="0" applyProtection="0">
      <alignment vertical="center"/>
    </xf>
    <xf numFmtId="4" fontId="93" fillId="60" borderId="36" applyNumberFormat="0" applyProtection="0">
      <alignment vertical="center"/>
    </xf>
    <xf numFmtId="4" fontId="25" fillId="60" borderId="36" applyNumberFormat="0" applyProtection="0">
      <alignment horizontal="left" vertical="center" indent="1"/>
    </xf>
    <xf numFmtId="4" fontId="25" fillId="60" borderId="36" applyNumberFormat="0" applyProtection="0">
      <alignment horizontal="left" vertical="center" indent="1"/>
    </xf>
    <xf numFmtId="0" fontId="21" fillId="61" borderId="36" applyNumberFormat="0" applyProtection="0">
      <alignment horizontal="left" vertical="center" indent="1"/>
    </xf>
    <xf numFmtId="4" fontId="25" fillId="62" borderId="36" applyNumberFormat="0" applyProtection="0">
      <alignment horizontal="right" vertical="center"/>
    </xf>
    <xf numFmtId="4" fontId="25" fillId="63" borderId="36" applyNumberFormat="0" applyProtection="0">
      <alignment horizontal="right" vertical="center"/>
    </xf>
    <xf numFmtId="4" fontId="25" fillId="64" borderId="36" applyNumberFormat="0" applyProtection="0">
      <alignment horizontal="right" vertical="center"/>
    </xf>
    <xf numFmtId="4" fontId="25" fillId="36" borderId="36" applyNumberFormat="0" applyProtection="0">
      <alignment horizontal="right" vertical="center"/>
    </xf>
    <xf numFmtId="4" fontId="25" fillId="65" borderId="36" applyNumberFormat="0" applyProtection="0">
      <alignment horizontal="right" vertical="center"/>
    </xf>
    <xf numFmtId="4" fontId="25" fillId="66" borderId="36" applyNumberFormat="0" applyProtection="0">
      <alignment horizontal="right" vertical="center"/>
    </xf>
    <xf numFmtId="4" fontId="25" fillId="67" borderId="36" applyNumberFormat="0" applyProtection="0">
      <alignment horizontal="right" vertical="center"/>
    </xf>
    <xf numFmtId="4" fontId="25" fillId="68" borderId="36" applyNumberFormat="0" applyProtection="0">
      <alignment horizontal="right" vertical="center"/>
    </xf>
    <xf numFmtId="4" fontId="25" fillId="37" borderId="36" applyNumberFormat="0" applyProtection="0">
      <alignment horizontal="right" vertical="center"/>
    </xf>
    <xf numFmtId="4" fontId="26" fillId="69" borderId="36" applyNumberFormat="0" applyProtection="0">
      <alignment horizontal="left" vertical="center" indent="1"/>
    </xf>
    <xf numFmtId="4" fontId="25" fillId="70" borderId="37" applyNumberFormat="0" applyProtection="0">
      <alignment horizontal="left" vertical="center" indent="1"/>
    </xf>
    <xf numFmtId="4" fontId="94" fillId="71" borderId="0" applyNumberFormat="0" applyProtection="0">
      <alignment horizontal="left" vertical="center" indent="1"/>
    </xf>
    <xf numFmtId="0" fontId="21" fillId="61" borderId="36" applyNumberFormat="0" applyProtection="0">
      <alignment horizontal="left" vertical="center" indent="1"/>
    </xf>
    <xf numFmtId="4" fontId="25" fillId="70" borderId="36" applyNumberFormat="0" applyProtection="0">
      <alignment horizontal="left" vertical="center" indent="1"/>
    </xf>
    <xf numFmtId="4" fontId="25" fillId="72" borderId="36" applyNumberFormat="0" applyProtection="0">
      <alignment horizontal="left" vertical="center" indent="1"/>
    </xf>
    <xf numFmtId="0" fontId="21" fillId="72" borderId="36" applyNumberFormat="0" applyProtection="0">
      <alignment horizontal="left" vertical="center" indent="1"/>
    </xf>
    <xf numFmtId="0" fontId="21" fillId="72" borderId="36" applyNumberFormat="0" applyProtection="0">
      <alignment horizontal="left" vertical="center" indent="1"/>
    </xf>
    <xf numFmtId="0" fontId="21" fillId="38" borderId="36" applyNumberFormat="0" applyProtection="0">
      <alignment horizontal="left" vertical="center" indent="1"/>
    </xf>
    <xf numFmtId="0" fontId="21" fillId="38" borderId="36" applyNumberFormat="0" applyProtection="0">
      <alignment horizontal="left" vertical="center" indent="1"/>
    </xf>
    <xf numFmtId="0" fontId="21" fillId="34" borderId="36" applyNumberFormat="0" applyProtection="0">
      <alignment horizontal="left" vertical="center" indent="1"/>
    </xf>
    <xf numFmtId="0" fontId="21" fillId="34" borderId="36" applyNumberFormat="0" applyProtection="0">
      <alignment horizontal="left" vertical="center" indent="1"/>
    </xf>
    <xf numFmtId="0" fontId="21" fillId="61" borderId="36" applyNumberFormat="0" applyProtection="0">
      <alignment horizontal="left" vertical="center" indent="1"/>
    </xf>
    <xf numFmtId="0" fontId="21" fillId="61" borderId="36" applyNumberFormat="0" applyProtection="0">
      <alignment horizontal="left" vertical="center" indent="1"/>
    </xf>
    <xf numFmtId="4" fontId="25" fillId="59" borderId="36" applyNumberFormat="0" applyProtection="0">
      <alignment vertical="center"/>
    </xf>
    <xf numFmtId="4" fontId="93" fillId="59" borderId="36" applyNumberFormat="0" applyProtection="0">
      <alignment vertical="center"/>
    </xf>
    <xf numFmtId="4" fontId="25" fillId="59" borderId="36" applyNumberFormat="0" applyProtection="0">
      <alignment horizontal="left" vertical="center" indent="1"/>
    </xf>
    <xf numFmtId="4" fontId="25" fillId="59" borderId="36" applyNumberFormat="0" applyProtection="0">
      <alignment horizontal="left" vertical="center" indent="1"/>
    </xf>
    <xf numFmtId="4" fontId="25" fillId="70" borderId="36" applyNumberFormat="0" applyProtection="0">
      <alignment horizontal="right" vertical="center"/>
    </xf>
    <xf numFmtId="4" fontId="93" fillId="70" borderId="36" applyNumberFormat="0" applyProtection="0">
      <alignment horizontal="right" vertical="center"/>
    </xf>
    <xf numFmtId="0" fontId="21" fillId="61" borderId="36" applyNumberFormat="0" applyProtection="0">
      <alignment horizontal="left" vertical="center" indent="1"/>
    </xf>
    <xf numFmtId="0" fontId="21" fillId="61" borderId="36" applyNumberFormat="0" applyProtection="0">
      <alignment horizontal="left" vertical="center" indent="1"/>
    </xf>
    <xf numFmtId="0" fontId="95" fillId="0" borderId="0"/>
    <xf numFmtId="4" fontId="28" fillId="70" borderId="36" applyNumberFormat="0" applyProtection="0">
      <alignment horizontal="right" vertical="center"/>
    </xf>
    <xf numFmtId="0" fontId="21" fillId="0" borderId="0"/>
    <xf numFmtId="0" fontId="96" fillId="0" borderId="0" applyNumberFormat="0" applyBorder="0" applyProtection="0">
      <alignment horizontal="left"/>
    </xf>
    <xf numFmtId="0" fontId="24" fillId="0" borderId="0">
      <alignment horizontal="left"/>
    </xf>
    <xf numFmtId="3" fontId="97" fillId="33" borderId="0"/>
    <xf numFmtId="0" fontId="98" fillId="0" borderId="0" applyNumberFormat="0" applyBorder="0" applyProtection="0">
      <alignment horizontal="center" vertical="center" wrapText="1"/>
    </xf>
    <xf numFmtId="0" fontId="97" fillId="33" borderId="0"/>
    <xf numFmtId="0" fontId="99" fillId="33" borderId="0"/>
    <xf numFmtId="0" fontId="97" fillId="33" borderId="0">
      <alignment horizontal="center"/>
    </xf>
    <xf numFmtId="0" fontId="100" fillId="39" borderId="0"/>
    <xf numFmtId="177" fontId="101" fillId="0" borderId="16" applyFill="0" applyBorder="0" applyProtection="0">
      <alignment horizontal="right"/>
    </xf>
    <xf numFmtId="177" fontId="101" fillId="0" borderId="16" applyFill="0" applyBorder="0" applyProtection="0">
      <alignment horizontal="right"/>
    </xf>
    <xf numFmtId="0" fontId="102" fillId="0" borderId="0" applyNumberFormat="0" applyFill="0" applyBorder="0" applyProtection="0">
      <alignment horizontal="center" vertical="center" wrapText="1"/>
    </xf>
    <xf numFmtId="0" fontId="103" fillId="0" borderId="0">
      <alignment wrapText="1"/>
    </xf>
    <xf numFmtId="0" fontId="103" fillId="0" borderId="0">
      <alignment wrapText="1"/>
    </xf>
    <xf numFmtId="0" fontId="103" fillId="0" borderId="0">
      <alignment wrapText="1"/>
    </xf>
    <xf numFmtId="0" fontId="103" fillId="0" borderId="0">
      <alignment wrapText="1"/>
    </xf>
    <xf numFmtId="0" fontId="24" fillId="73" borderId="0">
      <alignment horizontal="right" vertical="top" wrapText="1"/>
    </xf>
    <xf numFmtId="0" fontId="24" fillId="73" borderId="0">
      <alignment horizontal="right" vertical="top" wrapText="1"/>
    </xf>
    <xf numFmtId="0" fontId="24" fillId="73" borderId="0">
      <alignment horizontal="right" vertical="top" wrapText="1"/>
    </xf>
    <xf numFmtId="0" fontId="24" fillId="73" borderId="0">
      <alignment horizontal="right" vertical="top" wrapText="1"/>
    </xf>
    <xf numFmtId="0" fontId="104" fillId="0" borderId="0"/>
    <xf numFmtId="0" fontId="104" fillId="0" borderId="0"/>
    <xf numFmtId="0" fontId="104" fillId="0" borderId="0"/>
    <xf numFmtId="0" fontId="104" fillId="0" borderId="0"/>
    <xf numFmtId="0" fontId="105" fillId="0" borderId="0"/>
    <xf numFmtId="0" fontId="105" fillId="0" borderId="0"/>
    <xf numFmtId="0" fontId="105" fillId="0" borderId="0"/>
    <xf numFmtId="1" fontId="106" fillId="0" borderId="0" applyNumberFormat="0" applyFill="0" applyBorder="0" applyProtection="0">
      <alignment horizontal="right" vertical="top"/>
    </xf>
    <xf numFmtId="0" fontId="107" fillId="0" borderId="0"/>
    <xf numFmtId="0" fontId="107" fillId="0" borderId="0"/>
    <xf numFmtId="0" fontId="107" fillId="0" borderId="0"/>
    <xf numFmtId="178" fontId="22" fillId="0" borderId="0">
      <alignment wrapText="1"/>
      <protection locked="0"/>
    </xf>
    <xf numFmtId="178" fontId="22" fillId="0" borderId="0">
      <alignment wrapText="1"/>
      <protection locked="0"/>
    </xf>
    <xf numFmtId="178" fontId="24" fillId="40" borderId="0">
      <alignment wrapText="1"/>
      <protection locked="0"/>
    </xf>
    <xf numFmtId="178" fontId="24" fillId="40" borderId="0">
      <alignment wrapText="1"/>
      <protection locked="0"/>
    </xf>
    <xf numFmtId="178" fontId="24" fillId="40" borderId="0">
      <alignment wrapText="1"/>
      <protection locked="0"/>
    </xf>
    <xf numFmtId="178" fontId="24" fillId="40" borderId="0">
      <alignment wrapText="1"/>
      <protection locked="0"/>
    </xf>
    <xf numFmtId="178" fontId="22" fillId="0" borderId="0">
      <alignment wrapText="1"/>
      <protection locked="0"/>
    </xf>
    <xf numFmtId="179" fontId="101" fillId="0" borderId="0" applyNumberFormat="0" applyFill="0" applyBorder="0" applyProtection="0">
      <alignment horizontal="left"/>
    </xf>
    <xf numFmtId="180" fontId="22" fillId="0" borderId="0">
      <alignment wrapText="1"/>
      <protection locked="0"/>
    </xf>
    <xf numFmtId="180" fontId="22" fillId="0" borderId="0">
      <alignment wrapText="1"/>
      <protection locked="0"/>
    </xf>
    <xf numFmtId="180" fontId="22" fillId="0" borderId="0">
      <alignment wrapText="1"/>
      <protection locked="0"/>
    </xf>
    <xf numFmtId="180" fontId="24" fillId="40" borderId="0">
      <alignment wrapText="1"/>
      <protection locked="0"/>
    </xf>
    <xf numFmtId="180" fontId="24" fillId="40" borderId="0">
      <alignment wrapText="1"/>
      <protection locked="0"/>
    </xf>
    <xf numFmtId="180" fontId="24" fillId="40" borderId="0">
      <alignment wrapText="1"/>
      <protection locked="0"/>
    </xf>
    <xf numFmtId="180" fontId="24" fillId="40" borderId="0">
      <alignment wrapText="1"/>
      <protection locked="0"/>
    </xf>
    <xf numFmtId="180" fontId="24" fillId="40" borderId="0">
      <alignment wrapText="1"/>
      <protection locked="0"/>
    </xf>
    <xf numFmtId="180" fontId="22" fillId="0" borderId="0">
      <alignment wrapText="1"/>
      <protection locked="0"/>
    </xf>
    <xf numFmtId="181" fontId="22" fillId="0" borderId="0">
      <alignment wrapText="1"/>
      <protection locked="0"/>
    </xf>
    <xf numFmtId="181" fontId="22" fillId="0" borderId="0">
      <alignment wrapText="1"/>
      <protection locked="0"/>
    </xf>
    <xf numFmtId="181" fontId="24" fillId="40" borderId="0">
      <alignment wrapText="1"/>
      <protection locked="0"/>
    </xf>
    <xf numFmtId="181" fontId="24" fillId="40" borderId="0">
      <alignment wrapText="1"/>
      <protection locked="0"/>
    </xf>
    <xf numFmtId="181" fontId="24" fillId="40" borderId="0">
      <alignment wrapText="1"/>
      <protection locked="0"/>
    </xf>
    <xf numFmtId="181" fontId="24" fillId="40" borderId="0">
      <alignment wrapText="1"/>
      <protection locked="0"/>
    </xf>
    <xf numFmtId="181" fontId="22" fillId="0" borderId="0">
      <alignment wrapText="1"/>
      <protection locked="0"/>
    </xf>
    <xf numFmtId="0" fontId="106" fillId="0" borderId="0" applyNumberFormat="0" applyFill="0" applyBorder="0" applyProtection="0">
      <alignment horizontal="left" vertical="top"/>
    </xf>
    <xf numFmtId="182" fontId="24" fillId="73" borderId="38">
      <alignment wrapText="1"/>
    </xf>
    <xf numFmtId="182" fontId="24" fillId="73" borderId="38">
      <alignment wrapText="1"/>
    </xf>
    <xf numFmtId="182" fontId="24" fillId="73" borderId="38">
      <alignment wrapText="1"/>
    </xf>
    <xf numFmtId="183" fontId="24" fillId="73" borderId="38">
      <alignment wrapText="1"/>
    </xf>
    <xf numFmtId="183" fontId="24" fillId="73" borderId="38">
      <alignment wrapText="1"/>
    </xf>
    <xf numFmtId="183" fontId="24" fillId="73" borderId="38">
      <alignment wrapText="1"/>
    </xf>
    <xf numFmtId="183" fontId="24" fillId="73" borderId="38">
      <alignment wrapText="1"/>
    </xf>
    <xf numFmtId="184" fontId="24" fillId="73" borderId="38">
      <alignment wrapText="1"/>
    </xf>
    <xf numFmtId="184" fontId="24" fillId="73" borderId="38">
      <alignment wrapText="1"/>
    </xf>
    <xf numFmtId="184" fontId="24" fillId="73" borderId="38">
      <alignment wrapText="1"/>
    </xf>
    <xf numFmtId="0" fontId="104" fillId="0" borderId="39">
      <alignment horizontal="right"/>
    </xf>
    <xf numFmtId="0" fontId="104" fillId="0" borderId="39">
      <alignment horizontal="right"/>
    </xf>
    <xf numFmtId="0" fontId="104" fillId="0" borderId="39">
      <alignment horizontal="right"/>
    </xf>
    <xf numFmtId="0" fontId="104" fillId="0" borderId="39">
      <alignment horizontal="right"/>
    </xf>
    <xf numFmtId="40" fontId="102" fillId="0" borderId="0"/>
    <xf numFmtId="0" fontId="108" fillId="0" borderId="0" applyNumberFormat="0" applyFill="0" applyBorder="0" applyAlignment="0" applyProtection="0"/>
    <xf numFmtId="0" fontId="109" fillId="0" borderId="0" applyNumberFormat="0" applyFill="0" applyBorder="0" applyAlignment="0" applyProtection="0"/>
    <xf numFmtId="0" fontId="53" fillId="0" borderId="0" applyNumberFormat="0" applyFill="0" applyBorder="0" applyProtection="0">
      <alignment horizontal="left" vertical="center" indent="10"/>
    </xf>
    <xf numFmtId="0" fontId="17" fillId="0" borderId="9" applyNumberFormat="0" applyFill="0" applyAlignment="0" applyProtection="0"/>
    <xf numFmtId="0" fontId="110" fillId="0" borderId="40" applyNumberFormat="0" applyFill="0" applyAlignment="0" applyProtection="0"/>
    <xf numFmtId="0" fontId="15" fillId="0" borderId="0" applyNumberFormat="0" applyFill="0" applyBorder="0" applyAlignment="0" applyProtection="0"/>
    <xf numFmtId="0" fontId="79" fillId="0" borderId="0" applyNumberFormat="0" applyFill="0" applyBorder="0" applyAlignment="0" applyProtection="0"/>
    <xf numFmtId="0" fontId="22" fillId="0" borderId="0"/>
    <xf numFmtId="0" fontId="111" fillId="0" borderId="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2" fillId="0" borderId="0"/>
    <xf numFmtId="0" fontId="2" fillId="0" borderId="0"/>
    <xf numFmtId="0" fontId="112" fillId="0" borderId="0" applyNumberFormat="0" applyFill="0" applyBorder="0" applyAlignment="0" applyProtection="0"/>
    <xf numFmtId="9" fontId="2" fillId="0" borderId="0" applyFont="0" applyFill="0" applyBorder="0" applyAlignment="0" applyProtection="0"/>
    <xf numFmtId="0" fontId="19" fillId="0" borderId="0"/>
    <xf numFmtId="0" fontId="19" fillId="0" borderId="0"/>
    <xf numFmtId="0" fontId="19" fillId="0" borderId="0"/>
    <xf numFmtId="0" fontId="19" fillId="0" borderId="0"/>
    <xf numFmtId="164" fontId="19" fillId="0" borderId="0" applyFont="0" applyFill="0" applyBorder="0" applyProtection="0">
      <alignment horizontal="right"/>
    </xf>
    <xf numFmtId="164" fontId="19" fillId="0" borderId="0" applyFont="0" applyFill="0" applyBorder="0" applyProtection="0">
      <alignment horizontal="right"/>
    </xf>
    <xf numFmtId="0" fontId="51" fillId="81" borderId="0" applyNumberFormat="0" applyBorder="0" applyAlignment="0" applyProtection="0"/>
    <xf numFmtId="0" fontId="51" fillId="47" borderId="0" applyNumberFormat="0" applyBorder="0" applyAlignment="0" applyProtection="0"/>
    <xf numFmtId="0" fontId="51" fillId="82" borderId="0" applyNumberFormat="0" applyBorder="0" applyAlignment="0" applyProtection="0"/>
    <xf numFmtId="0" fontId="51" fillId="54" borderId="0" applyNumberFormat="0" applyBorder="0" applyAlignment="0" applyProtection="0"/>
    <xf numFmtId="0" fontId="51" fillId="45" borderId="0" applyNumberFormat="0" applyBorder="0" applyAlignment="0" applyProtection="0"/>
    <xf numFmtId="0" fontId="51" fillId="44" borderId="0" applyNumberFormat="0" applyBorder="0" applyAlignment="0" applyProtection="0"/>
    <xf numFmtId="167" fontId="19" fillId="0" borderId="0" applyFont="0" applyFill="0" applyBorder="0" applyProtection="0">
      <alignment horizontal="right"/>
    </xf>
    <xf numFmtId="167" fontId="19" fillId="0" borderId="0" applyFont="0" applyFill="0" applyBorder="0" applyProtection="0">
      <alignment horizontal="right"/>
    </xf>
    <xf numFmtId="0" fontId="51" fillId="41" borderId="0" applyNumberFormat="0" applyBorder="0" applyAlignment="0" applyProtection="0"/>
    <xf numFmtId="0" fontId="51" fillId="42" borderId="0" applyNumberFormat="0" applyBorder="0" applyAlignment="0" applyProtection="0"/>
    <xf numFmtId="0" fontId="51" fillId="83" borderId="0" applyNumberFormat="0" applyBorder="0" applyAlignment="0" applyProtection="0"/>
    <xf numFmtId="0" fontId="51" fillId="54" borderId="0" applyNumberFormat="0" applyBorder="0" applyAlignment="0" applyProtection="0"/>
    <xf numFmtId="0" fontId="51" fillId="41" borderId="0" applyNumberFormat="0" applyBorder="0" applyAlignment="0" applyProtection="0"/>
    <xf numFmtId="0" fontId="51" fillId="49" borderId="0" applyNumberFormat="0" applyBorder="0" applyAlignment="0" applyProtection="0"/>
    <xf numFmtId="168" fontId="19" fillId="0" borderId="0" applyFont="0" applyFill="0" applyBorder="0" applyProtection="0">
      <alignment horizontal="right"/>
    </xf>
    <xf numFmtId="168" fontId="19" fillId="0" borderId="0" applyFont="0" applyFill="0" applyBorder="0" applyProtection="0">
      <alignment horizontal="right"/>
    </xf>
    <xf numFmtId="0" fontId="52" fillId="84" borderId="0" applyNumberFormat="0" applyBorder="0" applyAlignment="0" applyProtection="0"/>
    <xf numFmtId="0" fontId="52" fillId="42" borderId="0" applyNumberFormat="0" applyBorder="0" applyAlignment="0" applyProtection="0"/>
    <xf numFmtId="0" fontId="52" fillId="83" borderId="0" applyNumberFormat="0" applyBorder="0" applyAlignment="0" applyProtection="0"/>
    <xf numFmtId="0" fontId="52" fillId="85" borderId="0" applyNumberFormat="0" applyBorder="0" applyAlignment="0" applyProtection="0"/>
    <xf numFmtId="0" fontId="52" fillId="52" borderId="0" applyNumberFormat="0" applyBorder="0" applyAlignment="0" applyProtection="0"/>
    <xf numFmtId="0" fontId="52" fillId="86" borderId="0" applyNumberFormat="0" applyBorder="0" applyAlignment="0" applyProtection="0"/>
    <xf numFmtId="0" fontId="52" fillId="87" borderId="0" applyNumberFormat="0" applyBorder="0" applyAlignment="0" applyProtection="0"/>
    <xf numFmtId="0" fontId="52" fillId="53" borderId="0" applyNumberFormat="0" applyBorder="0" applyAlignment="0" applyProtection="0"/>
    <xf numFmtId="0" fontId="52" fillId="88" borderId="0" applyNumberFormat="0" applyBorder="0" applyAlignment="0" applyProtection="0"/>
    <xf numFmtId="0" fontId="52" fillId="85" borderId="0" applyNumberFormat="0" applyBorder="0" applyAlignment="0" applyProtection="0"/>
    <xf numFmtId="0" fontId="52" fillId="52" borderId="0" applyNumberFormat="0" applyBorder="0" applyAlignment="0" applyProtection="0"/>
    <xf numFmtId="0" fontId="52" fillId="48" borderId="0" applyNumberFormat="0" applyBorder="0" applyAlignment="0" applyProtection="0"/>
    <xf numFmtId="0" fontId="54" fillId="47" borderId="0" applyNumberFormat="0" applyBorder="0" applyAlignment="0" applyProtection="0"/>
    <xf numFmtId="169" fontId="19" fillId="0" borderId="0" applyBorder="0"/>
    <xf numFmtId="0" fontId="144" fillId="89" borderId="24" applyNumberFormat="0" applyAlignment="0" applyProtection="0"/>
    <xf numFmtId="0" fontId="56" fillId="56" borderId="27"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3" fontId="19" fillId="0" borderId="0" applyFont="0" applyFill="0" applyBorder="0" applyAlignment="0" applyProtection="0"/>
    <xf numFmtId="0" fontId="59" fillId="0" borderId="0" applyNumberFormat="0" applyFill="0" applyBorder="0" applyAlignment="0" applyProtection="0"/>
    <xf numFmtId="0" fontId="19" fillId="0" borderId="0" applyFont="0" applyFill="0" applyBorder="0" applyProtection="0">
      <alignment horizontal="right"/>
    </xf>
    <xf numFmtId="0" fontId="19" fillId="0" borderId="0" applyFont="0" applyFill="0" applyBorder="0" applyProtection="0">
      <alignment horizontal="right"/>
    </xf>
    <xf numFmtId="0" fontId="63" fillId="82" borderId="0" applyNumberFormat="0" applyBorder="0" applyAlignment="0" applyProtection="0"/>
    <xf numFmtId="0" fontId="145" fillId="0" borderId="44" applyNumberFormat="0" applyFill="0" applyAlignment="0" applyProtection="0"/>
    <xf numFmtId="0" fontId="67" fillId="0" borderId="0">
      <alignment vertical="top" wrapText="1"/>
    </xf>
    <xf numFmtId="0" fontId="146" fillId="0" borderId="45" applyNumberFormat="0" applyFill="0" applyAlignment="0" applyProtection="0"/>
    <xf numFmtId="174" fontId="150" fillId="0" borderId="0" applyNumberFormat="0" applyFill="0" applyAlignment="0" applyProtection="0"/>
    <xf numFmtId="0" fontId="147" fillId="0" borderId="46" applyNumberFormat="0" applyFill="0" applyAlignment="0" applyProtection="0"/>
    <xf numFmtId="174" fontId="151" fillId="0" borderId="0" applyNumberFormat="0" applyFill="0" applyAlignment="0" applyProtection="0"/>
    <xf numFmtId="0" fontId="147" fillId="0" borderId="0" applyNumberFormat="0" applyFill="0" applyBorder="0" applyAlignment="0" applyProtection="0"/>
    <xf numFmtId="174" fontId="23" fillId="0" borderId="0" applyNumberFormat="0" applyFill="0" applyAlignment="0" applyProtection="0"/>
    <xf numFmtId="0" fontId="152" fillId="0" borderId="0" applyNumberFormat="0" applyFill="0" applyBorder="0" applyAlignment="0" applyProtection="0">
      <alignment vertical="top"/>
      <protection locked="0"/>
    </xf>
    <xf numFmtId="0" fontId="78" fillId="44" borderId="24" applyNumberFormat="0" applyAlignment="0" applyProtection="0"/>
    <xf numFmtId="0" fontId="78" fillId="44" borderId="24" applyNumberFormat="0" applyAlignment="0" applyProtection="0"/>
    <xf numFmtId="0" fontId="148" fillId="0" borderId="47" applyNumberFormat="0" applyFill="0" applyAlignment="0" applyProtection="0"/>
    <xf numFmtId="0" fontId="19" fillId="0" borderId="0"/>
    <xf numFmtId="0" fontId="19" fillId="0" borderId="0"/>
    <xf numFmtId="1" fontId="19" fillId="0" borderId="0" applyFont="0" applyFill="0" applyBorder="0" applyProtection="0">
      <alignment horizontal="right"/>
    </xf>
    <xf numFmtId="1" fontId="19" fillId="0" borderId="0" applyFont="0" applyFill="0" applyBorder="0" applyProtection="0">
      <alignment horizontal="right"/>
    </xf>
    <xf numFmtId="0" fontId="149" fillId="46" borderId="0" applyNumberFormat="0" applyBorder="0" applyAlignment="0" applyProtection="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xf numFmtId="0" fontId="51" fillId="0" borderId="0"/>
    <xf numFmtId="0" fontId="19" fillId="0" borderId="0">
      <alignment vertical="top"/>
    </xf>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43" borderId="35" applyNumberFormat="0" applyFont="0" applyAlignment="0" applyProtection="0"/>
    <xf numFmtId="0" fontId="85" fillId="89" borderId="36" applyNumberFormat="0" applyAlignment="0" applyProtection="0"/>
    <xf numFmtId="176" fontId="19" fillId="0" borderId="0" applyFont="0" applyFill="0" applyBorder="0" applyProtection="0">
      <alignment horizontal="right"/>
    </xf>
    <xf numFmtId="176" fontId="19" fillId="0" borderId="0" applyFont="0" applyFill="0" applyBorder="0" applyProtection="0">
      <alignment horizontal="right"/>
    </xf>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19" fillId="0" borderId="0"/>
    <xf numFmtId="0" fontId="19" fillId="61" borderId="36" applyNumberFormat="0" applyProtection="0">
      <alignment horizontal="left" vertical="center" indent="1"/>
    </xf>
    <xf numFmtId="0" fontId="19" fillId="61" borderId="36" applyNumberFormat="0" applyProtection="0">
      <alignment horizontal="left" vertical="center" indent="1"/>
    </xf>
    <xf numFmtId="0" fontId="19" fillId="72" borderId="36" applyNumberFormat="0" applyProtection="0">
      <alignment horizontal="left" vertical="center" indent="1"/>
    </xf>
    <xf numFmtId="0" fontId="19" fillId="72" borderId="36" applyNumberFormat="0" applyProtection="0">
      <alignment horizontal="left" vertical="center" indent="1"/>
    </xf>
    <xf numFmtId="0" fontId="19" fillId="38" borderId="36" applyNumberFormat="0" applyProtection="0">
      <alignment horizontal="left" vertical="center" indent="1"/>
    </xf>
    <xf numFmtId="0" fontId="19" fillId="38" borderId="36" applyNumberFormat="0" applyProtection="0">
      <alignment horizontal="left" vertical="center" indent="1"/>
    </xf>
    <xf numFmtId="0" fontId="19" fillId="34" borderId="36" applyNumberFormat="0" applyProtection="0">
      <alignment horizontal="left" vertical="center" indent="1"/>
    </xf>
    <xf numFmtId="0" fontId="19" fillId="34" borderId="36" applyNumberFormat="0" applyProtection="0">
      <alignment horizontal="left" vertical="center" indent="1"/>
    </xf>
    <xf numFmtId="0" fontId="19" fillId="61" borderId="36" applyNumberFormat="0" applyProtection="0">
      <alignment horizontal="left" vertical="center" indent="1"/>
    </xf>
    <xf numFmtId="0" fontId="19" fillId="61" borderId="36" applyNumberFormat="0" applyProtection="0">
      <alignment horizontal="left" vertical="center" indent="1"/>
    </xf>
    <xf numFmtId="0" fontId="19" fillId="61" borderId="36" applyNumberFormat="0" applyProtection="0">
      <alignment horizontal="left" vertical="center" indent="1"/>
    </xf>
    <xf numFmtId="0" fontId="19" fillId="61" borderId="36" applyNumberFormat="0" applyProtection="0">
      <alignment horizontal="left" vertical="center" indent="1"/>
    </xf>
    <xf numFmtId="0" fontId="19" fillId="0" borderId="0"/>
    <xf numFmtId="0" fontId="99" fillId="33" borderId="43">
      <alignment horizontal="center"/>
    </xf>
    <xf numFmtId="3" fontId="99" fillId="33" borderId="0"/>
    <xf numFmtId="0" fontId="53" fillId="0" borderId="0" applyNumberFormat="0" applyFill="0" applyBorder="0" applyProtection="0">
      <alignment horizontal="left" vertical="center" indent="10"/>
    </xf>
    <xf numFmtId="0" fontId="110" fillId="0" borderId="48" applyNumberFormat="0" applyFill="0" applyAlignment="0" applyProtection="0"/>
    <xf numFmtId="0" fontId="79" fillId="0" borderId="0" applyNumberForma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cellStyleXfs>
  <cellXfs count="571">
    <xf numFmtId="0" fontId="0" fillId="0" borderId="0" xfId="0"/>
    <xf numFmtId="0" fontId="0" fillId="0" borderId="0" xfId="0"/>
    <xf numFmtId="165" fontId="0" fillId="0" borderId="0" xfId="0" applyNumberFormat="1"/>
    <xf numFmtId="0" fontId="17" fillId="0" borderId="0" xfId="0" applyFont="1"/>
    <xf numFmtId="166" fontId="0" fillId="0" borderId="0" xfId="0" applyNumberFormat="1"/>
    <xf numFmtId="1" fontId="0" fillId="0" borderId="0" xfId="1" applyNumberFormat="1" applyFont="1"/>
    <xf numFmtId="10" fontId="0" fillId="0" borderId="0" xfId="0" applyNumberFormat="1"/>
    <xf numFmtId="0" fontId="0" fillId="0" borderId="0" xfId="0" applyFont="1"/>
    <xf numFmtId="0" fontId="100" fillId="0" borderId="0" xfId="0" applyFont="1"/>
    <xf numFmtId="0" fontId="113" fillId="0" borderId="0" xfId="0" applyFont="1"/>
    <xf numFmtId="0" fontId="114" fillId="0" borderId="0" xfId="0" applyFont="1"/>
    <xf numFmtId="0" fontId="0" fillId="0" borderId="0" xfId="0" applyBorder="1"/>
    <xf numFmtId="0" fontId="0" fillId="0" borderId="0" xfId="0" applyAlignment="1">
      <alignment horizontal="left"/>
    </xf>
    <xf numFmtId="0" fontId="0" fillId="74" borderId="0" xfId="0" applyFill="1" applyBorder="1"/>
    <xf numFmtId="0" fontId="0" fillId="0" borderId="16" xfId="0" applyBorder="1"/>
    <xf numFmtId="0" fontId="0" fillId="0" borderId="13" xfId="0" applyBorder="1"/>
    <xf numFmtId="165" fontId="0" fillId="0" borderId="0" xfId="1" applyNumberFormat="1" applyFont="1" applyBorder="1"/>
    <xf numFmtId="165" fontId="0" fillId="0" borderId="14" xfId="1" applyNumberFormat="1" applyFont="1" applyBorder="1"/>
    <xf numFmtId="0" fontId="0" fillId="0" borderId="10" xfId="0" applyBorder="1"/>
    <xf numFmtId="165" fontId="0" fillId="0" borderId="11" xfId="1" applyNumberFormat="1" applyFont="1" applyBorder="1"/>
    <xf numFmtId="165" fontId="0" fillId="0" borderId="12" xfId="1" applyNumberFormat="1" applyFont="1" applyBorder="1"/>
    <xf numFmtId="0" fontId="17" fillId="0" borderId="20" xfId="0" applyFont="1" applyBorder="1" applyAlignment="1">
      <alignment horizontal="right"/>
    </xf>
    <xf numFmtId="0" fontId="17" fillId="0" borderId="22" xfId="0" applyFont="1" applyBorder="1" applyAlignment="1">
      <alignment horizontal="right"/>
    </xf>
    <xf numFmtId="0" fontId="17" fillId="0" borderId="15" xfId="0" applyFont="1" applyBorder="1"/>
    <xf numFmtId="0" fontId="0" fillId="0" borderId="0" xfId="0" applyFill="1" applyBorder="1"/>
    <xf numFmtId="0" fontId="0" fillId="0" borderId="0" xfId="0" applyAlignment="1">
      <alignment horizontal="center" vertical="center" wrapText="1"/>
    </xf>
    <xf numFmtId="0" fontId="17" fillId="0" borderId="19" xfId="0" applyFont="1" applyBorder="1" applyAlignment="1">
      <alignment horizontal="center" vertical="center" wrapText="1"/>
    </xf>
    <xf numFmtId="0" fontId="17" fillId="0" borderId="22" xfId="0" applyFont="1" applyBorder="1" applyAlignment="1">
      <alignment horizontal="center" vertical="center" wrapText="1"/>
    </xf>
    <xf numFmtId="0" fontId="115" fillId="0" borderId="14" xfId="0" applyFont="1" applyBorder="1"/>
    <xf numFmtId="0" fontId="115" fillId="0" borderId="19" xfId="0" applyFont="1" applyBorder="1" applyAlignment="1">
      <alignment horizontal="center" vertical="center" wrapText="1"/>
    </xf>
    <xf numFmtId="0" fontId="115" fillId="0" borderId="22" xfId="0" applyFont="1" applyBorder="1" applyAlignment="1">
      <alignment horizontal="center" vertical="center" wrapText="1"/>
    </xf>
    <xf numFmtId="0" fontId="17" fillId="0" borderId="0" xfId="0" applyFont="1" applyAlignment="1">
      <alignment horizontal="center" vertical="center"/>
    </xf>
    <xf numFmtId="3" fontId="0" fillId="0" borderId="0" xfId="0" applyNumberFormat="1" applyBorder="1"/>
    <xf numFmtId="3" fontId="115" fillId="0" borderId="0" xfId="0" applyNumberFormat="1" applyFont="1" applyBorder="1"/>
    <xf numFmtId="0" fontId="0" fillId="0" borderId="19" xfId="0" applyFill="1" applyBorder="1"/>
    <xf numFmtId="166" fontId="0" fillId="0" borderId="0" xfId="0" applyNumberFormat="1" applyBorder="1"/>
    <xf numFmtId="0" fontId="0" fillId="0" borderId="13" xfId="0" applyBorder="1" applyAlignment="1">
      <alignment horizontal="center"/>
    </xf>
    <xf numFmtId="0" fontId="0" fillId="0" borderId="10" xfId="0" applyBorder="1" applyAlignment="1">
      <alignment horizontal="center"/>
    </xf>
    <xf numFmtId="0" fontId="17" fillId="0" borderId="17" xfId="0" applyFont="1" applyBorder="1" applyAlignment="1">
      <alignment horizontal="center"/>
    </xf>
    <xf numFmtId="0" fontId="17" fillId="0" borderId="0" xfId="0" applyFont="1" applyFill="1" applyBorder="1" applyAlignment="1">
      <alignment horizontal="center" vertical="center"/>
    </xf>
    <xf numFmtId="0" fontId="17" fillId="0" borderId="0" xfId="0" applyFont="1" applyBorder="1" applyAlignment="1">
      <alignment horizontal="center"/>
    </xf>
    <xf numFmtId="0" fontId="116" fillId="0" borderId="0" xfId="0" applyFont="1"/>
    <xf numFmtId="0" fontId="117" fillId="0" borderId="0" xfId="0" applyFont="1"/>
    <xf numFmtId="0" fontId="115" fillId="0" borderId="0" xfId="0" applyFont="1"/>
    <xf numFmtId="0" fontId="119" fillId="0" borderId="0" xfId="0" applyFont="1"/>
    <xf numFmtId="0" fontId="118" fillId="0" borderId="0" xfId="0" applyFont="1" applyFill="1" applyBorder="1" applyAlignment="1">
      <alignment horizontal="left" vertical="center" wrapText="1"/>
    </xf>
    <xf numFmtId="0" fontId="32" fillId="0" borderId="0" xfId="0" applyFont="1"/>
    <xf numFmtId="0" fontId="20" fillId="0" borderId="0" xfId="0" applyFont="1"/>
    <xf numFmtId="0" fontId="20" fillId="0" borderId="0" xfId="0" applyFont="1" applyBorder="1" applyAlignment="1">
      <alignment horizontal="center"/>
    </xf>
    <xf numFmtId="0" fontId="20" fillId="0" borderId="0" xfId="0" applyFont="1" applyFill="1" applyBorder="1" applyAlignment="1">
      <alignment vertical="center"/>
    </xf>
    <xf numFmtId="0" fontId="20" fillId="0" borderId="0" xfId="0" applyFont="1" applyFill="1" applyBorder="1" applyAlignment="1">
      <alignment horizontal="left" vertical="center"/>
    </xf>
    <xf numFmtId="0" fontId="120" fillId="0" borderId="0" xfId="0" applyFont="1" applyFill="1" applyBorder="1" applyAlignment="1">
      <alignment horizontal="center" vertical="center"/>
    </xf>
    <xf numFmtId="0" fontId="32" fillId="0" borderId="0" xfId="0" applyFont="1" applyFill="1" applyBorder="1" applyAlignment="1">
      <alignment vertical="center"/>
    </xf>
    <xf numFmtId="0" fontId="20" fillId="0" borderId="0" xfId="0" applyFont="1" applyFill="1" applyBorder="1" applyAlignment="1">
      <alignment horizontal="center" vertical="center"/>
    </xf>
    <xf numFmtId="0" fontId="122" fillId="0" borderId="0" xfId="0" applyFont="1" applyBorder="1" applyAlignment="1">
      <alignment horizontal="left" vertical="center"/>
    </xf>
    <xf numFmtId="0" fontId="20" fillId="0" borderId="0" xfId="0" applyFont="1" applyBorder="1" applyAlignment="1">
      <alignment horizontal="center" vertical="center"/>
    </xf>
    <xf numFmtId="0" fontId="32" fillId="0" borderId="0" xfId="0" applyFont="1" applyBorder="1"/>
    <xf numFmtId="0" fontId="20" fillId="0" borderId="0" xfId="0" applyFont="1" applyBorder="1"/>
    <xf numFmtId="0" fontId="20" fillId="0" borderId="0" xfId="0" applyFont="1" applyFill="1"/>
    <xf numFmtId="9" fontId="20" fillId="0" borderId="0" xfId="0" applyNumberFormat="1" applyFont="1" applyFill="1"/>
    <xf numFmtId="9" fontId="32" fillId="0" borderId="0" xfId="0" applyNumberFormat="1" applyFont="1" applyFill="1" applyAlignment="1">
      <alignment horizontal="center"/>
    </xf>
    <xf numFmtId="10" fontId="20" fillId="0" borderId="0" xfId="0" applyNumberFormat="1" applyFont="1"/>
    <xf numFmtId="10" fontId="20" fillId="0" borderId="0" xfId="0" applyNumberFormat="1" applyFont="1" applyAlignment="1">
      <alignment wrapText="1"/>
    </xf>
    <xf numFmtId="0" fontId="32" fillId="77" borderId="19" xfId="0" applyFont="1" applyFill="1" applyBorder="1" applyAlignment="1">
      <alignment horizontal="center" vertical="center"/>
    </xf>
    <xf numFmtId="0" fontId="32" fillId="77" borderId="19" xfId="0" applyFont="1" applyFill="1" applyBorder="1" applyAlignment="1">
      <alignment vertical="center"/>
    </xf>
    <xf numFmtId="0" fontId="20" fillId="77" borderId="13" xfId="0" applyFont="1" applyFill="1" applyBorder="1" applyAlignment="1">
      <alignment horizontal="left" vertical="center"/>
    </xf>
    <xf numFmtId="0" fontId="20" fillId="77" borderId="13" xfId="0" applyFont="1" applyFill="1" applyBorder="1" applyAlignment="1">
      <alignment vertical="center"/>
    </xf>
    <xf numFmtId="0" fontId="20" fillId="77" borderId="10" xfId="0" applyFont="1" applyFill="1" applyBorder="1" applyAlignment="1">
      <alignment vertical="center"/>
    </xf>
    <xf numFmtId="0" fontId="32" fillId="77" borderId="20" xfId="0" applyFont="1" applyFill="1" applyBorder="1" applyAlignment="1">
      <alignment vertical="center"/>
    </xf>
    <xf numFmtId="0" fontId="121" fillId="77" borderId="20" xfId="0" applyFont="1" applyFill="1" applyBorder="1" applyAlignment="1">
      <alignment vertical="center"/>
    </xf>
    <xf numFmtId="0" fontId="20" fillId="77" borderId="22" xfId="0" applyFont="1" applyFill="1" applyBorder="1"/>
    <xf numFmtId="0" fontId="32" fillId="77" borderId="20" xfId="0" applyFont="1" applyFill="1" applyBorder="1" applyAlignment="1">
      <alignment horizontal="center" vertical="center"/>
    </xf>
    <xf numFmtId="0" fontId="32" fillId="77" borderId="20" xfId="0" applyFont="1" applyFill="1" applyBorder="1" applyAlignment="1">
      <alignment horizontal="center" vertical="center" wrapText="1"/>
    </xf>
    <xf numFmtId="0" fontId="123" fillId="0" borderId="0" xfId="0" applyFont="1" applyAlignment="1">
      <alignment horizontal="left" vertical="top"/>
    </xf>
    <xf numFmtId="0" fontId="20" fillId="76" borderId="19" xfId="0" applyFont="1" applyFill="1" applyBorder="1" applyAlignment="1">
      <alignment vertical="center"/>
    </xf>
    <xf numFmtId="0" fontId="20" fillId="76" borderId="20" xfId="0" applyFont="1" applyFill="1" applyBorder="1" applyAlignment="1">
      <alignment vertical="center"/>
    </xf>
    <xf numFmtId="0" fontId="20" fillId="0" borderId="0" xfId="0" applyFont="1" applyAlignment="1">
      <alignment horizontal="center"/>
    </xf>
    <xf numFmtId="0" fontId="32" fillId="77" borderId="19" xfId="0" applyFont="1" applyFill="1" applyBorder="1" applyAlignment="1">
      <alignment horizontal="left" vertical="center"/>
    </xf>
    <xf numFmtId="0" fontId="32" fillId="77" borderId="20" xfId="0" applyFont="1" applyFill="1" applyBorder="1" applyAlignment="1">
      <alignment horizontal="left" vertical="center"/>
    </xf>
    <xf numFmtId="0" fontId="118" fillId="0" borderId="0" xfId="0" applyFont="1" applyFill="1" applyBorder="1" applyAlignment="1">
      <alignment vertical="center" wrapText="1"/>
    </xf>
    <xf numFmtId="0" fontId="124" fillId="0" borderId="0" xfId="0" applyFont="1" applyFill="1" applyBorder="1" applyAlignment="1">
      <alignment horizontal="left" vertical="center" wrapText="1"/>
    </xf>
    <xf numFmtId="0" fontId="32" fillId="39" borderId="0" xfId="0" applyFont="1" applyFill="1"/>
    <xf numFmtId="0" fontId="20" fillId="39" borderId="0" xfId="0" applyFont="1" applyFill="1"/>
    <xf numFmtId="165" fontId="20" fillId="39" borderId="0" xfId="1" applyNumberFormat="1" applyFont="1" applyFill="1"/>
    <xf numFmtId="10" fontId="20" fillId="39" borderId="0" xfId="0" applyNumberFormat="1" applyFont="1" applyFill="1"/>
    <xf numFmtId="0" fontId="32" fillId="79" borderId="0" xfId="0" applyFont="1" applyFill="1"/>
    <xf numFmtId="0" fontId="20" fillId="79" borderId="0" xfId="0" applyFont="1" applyFill="1"/>
    <xf numFmtId="0" fontId="20" fillId="79" borderId="0" xfId="0" applyFont="1" applyFill="1" applyBorder="1" applyAlignment="1">
      <alignment horizontal="center" vertical="center"/>
    </xf>
    <xf numFmtId="165" fontId="20" fillId="79" borderId="0" xfId="1" applyNumberFormat="1" applyFont="1" applyFill="1"/>
    <xf numFmtId="10" fontId="20" fillId="79" borderId="0" xfId="0" applyNumberFormat="1" applyFont="1" applyFill="1"/>
    <xf numFmtId="0" fontId="20" fillId="77" borderId="13" xfId="0" applyFont="1" applyFill="1" applyBorder="1" applyAlignment="1">
      <alignment vertical="center" wrapText="1"/>
    </xf>
    <xf numFmtId="0" fontId="20" fillId="77" borderId="0" xfId="0" applyFont="1" applyFill="1" applyBorder="1" applyAlignment="1">
      <alignment horizontal="center" vertical="center"/>
    </xf>
    <xf numFmtId="0" fontId="20" fillId="77" borderId="20" xfId="0" applyFont="1" applyFill="1" applyBorder="1" applyAlignment="1">
      <alignment horizontal="left" vertical="center"/>
    </xf>
    <xf numFmtId="0" fontId="20" fillId="77" borderId="20" xfId="0" applyFont="1" applyFill="1" applyBorder="1" applyAlignment="1">
      <alignment horizontal="center" vertical="center"/>
    </xf>
    <xf numFmtId="0" fontId="20" fillId="77" borderId="11" xfId="0" applyFont="1" applyFill="1" applyBorder="1" applyAlignment="1">
      <alignment horizontal="center" vertical="center"/>
    </xf>
    <xf numFmtId="0" fontId="125" fillId="0" borderId="0" xfId="0" applyFont="1"/>
    <xf numFmtId="0" fontId="32" fillId="80" borderId="19" xfId="0" applyFont="1" applyFill="1" applyBorder="1" applyAlignment="1">
      <alignment vertical="center"/>
    </xf>
    <xf numFmtId="0" fontId="32" fillId="80" borderId="20" xfId="0" applyFont="1" applyFill="1" applyBorder="1" applyAlignment="1">
      <alignment vertical="center"/>
    </xf>
    <xf numFmtId="0" fontId="20" fillId="80" borderId="20" xfId="0" applyFont="1" applyFill="1" applyBorder="1"/>
    <xf numFmtId="0" fontId="20" fillId="80" borderId="13" xfId="0" applyFont="1" applyFill="1" applyBorder="1" applyAlignment="1">
      <alignment horizontal="left" vertical="center"/>
    </xf>
    <xf numFmtId="0" fontId="20" fillId="80" borderId="0" xfId="0" applyFont="1" applyFill="1" applyBorder="1" applyAlignment="1">
      <alignment horizontal="center" vertical="center"/>
    </xf>
    <xf numFmtId="0" fontId="20" fillId="80" borderId="20" xfId="0" applyFont="1" applyFill="1" applyBorder="1" applyAlignment="1">
      <alignment horizontal="center" vertical="center"/>
    </xf>
    <xf numFmtId="0" fontId="121" fillId="80" borderId="20" xfId="0" applyFont="1" applyFill="1" applyBorder="1" applyAlignment="1">
      <alignment vertical="center"/>
    </xf>
    <xf numFmtId="0" fontId="20" fillId="80" borderId="22" xfId="0" applyFont="1" applyFill="1" applyBorder="1"/>
    <xf numFmtId="0" fontId="20" fillId="80" borderId="13" xfId="0" applyFont="1" applyFill="1" applyBorder="1" applyAlignment="1">
      <alignment vertical="center"/>
    </xf>
    <xf numFmtId="0" fontId="20" fillId="80" borderId="13" xfId="0" applyFont="1" applyFill="1" applyBorder="1" applyAlignment="1">
      <alignment vertical="center" wrapText="1"/>
    </xf>
    <xf numFmtId="0" fontId="20" fillId="80" borderId="10" xfId="0" applyFont="1" applyFill="1" applyBorder="1" applyAlignment="1">
      <alignment vertical="center"/>
    </xf>
    <xf numFmtId="0" fontId="20" fillId="80" borderId="11" xfId="0" applyFont="1" applyFill="1" applyBorder="1" applyAlignment="1">
      <alignment horizontal="center" vertical="center"/>
    </xf>
    <xf numFmtId="165" fontId="20" fillId="0" borderId="0" xfId="0" applyNumberFormat="1" applyFont="1"/>
    <xf numFmtId="0" fontId="118" fillId="0" borderId="0" xfId="0" applyFont="1" applyFill="1" applyBorder="1" applyAlignment="1">
      <alignment horizontal="left" vertical="center" wrapText="1"/>
    </xf>
    <xf numFmtId="0" fontId="32" fillId="77" borderId="20" xfId="0" applyFont="1" applyFill="1" applyBorder="1" applyAlignment="1">
      <alignment horizontal="center" vertical="center"/>
    </xf>
    <xf numFmtId="0" fontId="15" fillId="0" borderId="0" xfId="0" applyFont="1"/>
    <xf numFmtId="0" fontId="20" fillId="39" borderId="0" xfId="0" applyFont="1" applyFill="1" applyBorder="1"/>
    <xf numFmtId="0" fontId="32" fillId="39" borderId="0" xfId="0" applyFont="1" applyFill="1" applyBorder="1" applyAlignment="1">
      <alignment horizontal="center"/>
    </xf>
    <xf numFmtId="165" fontId="20" fillId="39" borderId="0" xfId="1" applyNumberFormat="1" applyFont="1" applyFill="1" applyBorder="1"/>
    <xf numFmtId="0" fontId="32" fillId="39" borderId="0" xfId="0" applyFont="1" applyFill="1" applyAlignment="1">
      <alignment horizontal="center"/>
    </xf>
    <xf numFmtId="9" fontId="20" fillId="39" borderId="0" xfId="0" applyNumberFormat="1" applyFont="1" applyFill="1"/>
    <xf numFmtId="0" fontId="32" fillId="39" borderId="0" xfId="0" applyFont="1" applyFill="1" applyAlignment="1"/>
    <xf numFmtId="0" fontId="20" fillId="39" borderId="0" xfId="0" applyFont="1" applyFill="1" applyBorder="1" applyAlignment="1"/>
    <xf numFmtId="165" fontId="20" fillId="39" borderId="0" xfId="1" applyNumberFormat="1" applyFont="1" applyFill="1" applyBorder="1" applyAlignment="1"/>
    <xf numFmtId="0" fontId="126" fillId="0" borderId="0" xfId="0" applyFont="1" applyAlignment="1">
      <alignment horizontal="center" vertical="center"/>
    </xf>
    <xf numFmtId="0" fontId="20" fillId="0" borderId="0" xfId="0" applyFont="1" applyFill="1" applyBorder="1" applyAlignment="1">
      <alignment vertical="center" wrapText="1"/>
    </xf>
    <xf numFmtId="0" fontId="20" fillId="77" borderId="13" xfId="0" applyFont="1" applyFill="1" applyBorder="1" applyAlignment="1">
      <alignment wrapText="1"/>
    </xf>
    <xf numFmtId="0" fontId="20" fillId="80" borderId="15" xfId="0" applyFont="1" applyFill="1" applyBorder="1"/>
    <xf numFmtId="0" fontId="32" fillId="80" borderId="16" xfId="0" applyFont="1" applyFill="1" applyBorder="1" applyAlignment="1">
      <alignment horizontal="center" vertical="center"/>
    </xf>
    <xf numFmtId="0" fontId="32" fillId="80" borderId="17" xfId="0" applyFont="1" applyFill="1" applyBorder="1" applyAlignment="1">
      <alignment horizontal="center" vertical="center"/>
    </xf>
    <xf numFmtId="0" fontId="20" fillId="80" borderId="13" xfId="0" applyFont="1" applyFill="1" applyBorder="1" applyAlignment="1">
      <alignment wrapText="1"/>
    </xf>
    <xf numFmtId="0" fontId="20" fillId="77" borderId="10" xfId="0" applyFont="1" applyFill="1" applyBorder="1" applyAlignment="1">
      <alignment wrapText="1"/>
    </xf>
    <xf numFmtId="9" fontId="20" fillId="80" borderId="0" xfId="0" applyNumberFormat="1" applyFont="1" applyFill="1" applyBorder="1" applyAlignment="1">
      <alignment horizontal="right" vertical="center"/>
    </xf>
    <xf numFmtId="9" fontId="20" fillId="80" borderId="14" xfId="0" applyNumberFormat="1" applyFont="1" applyFill="1" applyBorder="1" applyAlignment="1">
      <alignment horizontal="right" vertical="center"/>
    </xf>
    <xf numFmtId="166" fontId="20" fillId="80" borderId="0" xfId="0" applyNumberFormat="1" applyFont="1" applyFill="1" applyBorder="1" applyAlignment="1">
      <alignment horizontal="right" vertical="center"/>
    </xf>
    <xf numFmtId="166" fontId="20" fillId="80" borderId="14" xfId="0" applyNumberFormat="1" applyFont="1" applyFill="1" applyBorder="1" applyAlignment="1">
      <alignment horizontal="right" vertical="center"/>
    </xf>
    <xf numFmtId="0" fontId="20" fillId="77" borderId="0" xfId="0" applyFont="1" applyFill="1" applyBorder="1" applyAlignment="1">
      <alignment horizontal="right" vertical="center"/>
    </xf>
    <xf numFmtId="0" fontId="20" fillId="77" borderId="14" xfId="0" applyFont="1" applyFill="1" applyBorder="1" applyAlignment="1">
      <alignment horizontal="right" vertical="center"/>
    </xf>
    <xf numFmtId="9" fontId="20" fillId="77" borderId="0" xfId="0" applyNumberFormat="1" applyFont="1" applyFill="1" applyBorder="1" applyAlignment="1">
      <alignment horizontal="right" vertical="center"/>
    </xf>
    <xf numFmtId="9" fontId="20" fillId="77" borderId="14" xfId="0" applyNumberFormat="1" applyFont="1" applyFill="1" applyBorder="1" applyAlignment="1">
      <alignment horizontal="right" vertical="center"/>
    </xf>
    <xf numFmtId="9" fontId="20" fillId="77" borderId="11" xfId="0" applyNumberFormat="1" applyFont="1" applyFill="1" applyBorder="1" applyAlignment="1">
      <alignment horizontal="right" vertical="center"/>
    </xf>
    <xf numFmtId="9" fontId="20" fillId="77" borderId="12" xfId="0" applyNumberFormat="1" applyFont="1" applyFill="1" applyBorder="1" applyAlignment="1">
      <alignment horizontal="right" vertical="center"/>
    </xf>
    <xf numFmtId="0" fontId="17" fillId="75" borderId="19" xfId="0" applyFont="1" applyFill="1" applyBorder="1"/>
    <xf numFmtId="0" fontId="127" fillId="75" borderId="19" xfId="0" applyFont="1" applyFill="1" applyBorder="1" applyAlignment="1">
      <alignment horizontal="center" vertical="center"/>
    </xf>
    <xf numFmtId="0" fontId="127" fillId="75" borderId="22" xfId="0" applyFont="1" applyFill="1" applyBorder="1" applyAlignment="1">
      <alignment horizontal="center" vertical="center"/>
    </xf>
    <xf numFmtId="0" fontId="116" fillId="75" borderId="13" xfId="0" applyFont="1" applyFill="1" applyBorder="1"/>
    <xf numFmtId="0" fontId="116" fillId="75" borderId="10" xfId="0" applyFont="1" applyFill="1" applyBorder="1"/>
    <xf numFmtId="0" fontId="123" fillId="0" borderId="0" xfId="0" applyFont="1"/>
    <xf numFmtId="0" fontId="0" fillId="78" borderId="0" xfId="0" applyFill="1"/>
    <xf numFmtId="0" fontId="0" fillId="78" borderId="10" xfId="0" applyFill="1" applyBorder="1"/>
    <xf numFmtId="0" fontId="20" fillId="0" borderId="0" xfId="0" applyFont="1" applyFill="1" applyBorder="1" applyAlignment="1">
      <alignment horizontal="center" vertical="center" wrapText="1"/>
    </xf>
    <xf numFmtId="0" fontId="0" fillId="0" borderId="17" xfId="0" applyBorder="1"/>
    <xf numFmtId="0" fontId="0" fillId="0" borderId="14" xfId="0" applyBorder="1"/>
    <xf numFmtId="0" fontId="0" fillId="0" borderId="0" xfId="0" applyAlignment="1">
      <alignment horizontal="left" vertical="center"/>
    </xf>
    <xf numFmtId="0" fontId="0" fillId="79" borderId="15" xfId="0" applyFill="1" applyBorder="1" applyAlignment="1">
      <alignment horizontal="left" vertical="center" wrapText="1"/>
    </xf>
    <xf numFmtId="0" fontId="0" fillId="79" borderId="16" xfId="0" applyFill="1" applyBorder="1" applyAlignment="1">
      <alignment horizontal="left" vertical="center" wrapText="1"/>
    </xf>
    <xf numFmtId="0" fontId="0" fillId="79" borderId="13" xfId="0" applyFill="1" applyBorder="1" applyAlignment="1">
      <alignment horizontal="left" vertical="center"/>
    </xf>
    <xf numFmtId="0" fontId="0" fillId="79" borderId="0" xfId="0" applyFill="1" applyBorder="1" applyAlignment="1">
      <alignment horizontal="left" vertical="center" wrapText="1"/>
    </xf>
    <xf numFmtId="0" fontId="0" fillId="79" borderId="0" xfId="0" applyFont="1" applyFill="1" applyBorder="1" applyAlignment="1">
      <alignment horizontal="left" vertical="center" wrapText="1"/>
    </xf>
    <xf numFmtId="0" fontId="0" fillId="79" borderId="10" xfId="0" applyFill="1" applyBorder="1" applyAlignment="1">
      <alignment horizontal="left" vertical="center"/>
    </xf>
    <xf numFmtId="0" fontId="0" fillId="79" borderId="11" xfId="0" applyFill="1" applyBorder="1" applyAlignment="1">
      <alignment horizontal="left" vertical="center" wrapText="1"/>
    </xf>
    <xf numFmtId="0" fontId="0" fillId="79" borderId="11" xfId="0" applyFont="1" applyFill="1" applyBorder="1" applyAlignment="1">
      <alignment horizontal="left" vertical="center" wrapText="1"/>
    </xf>
    <xf numFmtId="0" fontId="0" fillId="79" borderId="0" xfId="0" applyFill="1" applyBorder="1" applyAlignment="1">
      <alignment horizontal="left" vertical="center"/>
    </xf>
    <xf numFmtId="0" fontId="0" fillId="77" borderId="16" xfId="0" applyFont="1" applyFill="1" applyBorder="1" applyAlignment="1">
      <alignment horizontal="left" vertical="center" wrapText="1"/>
    </xf>
    <xf numFmtId="0" fontId="0" fillId="77" borderId="0" xfId="0" applyFont="1" applyFill="1" applyBorder="1" applyAlignment="1">
      <alignment horizontal="left" vertical="center" wrapText="1"/>
    </xf>
    <xf numFmtId="0" fontId="113" fillId="77" borderId="19" xfId="0" applyFont="1" applyFill="1" applyBorder="1"/>
    <xf numFmtId="0" fontId="113" fillId="77" borderId="20" xfId="0" applyFont="1" applyFill="1" applyBorder="1"/>
    <xf numFmtId="0" fontId="113" fillId="0" borderId="15" xfId="0" applyFont="1" applyBorder="1"/>
    <xf numFmtId="165" fontId="0" fillId="0" borderId="16" xfId="0" applyNumberFormat="1" applyBorder="1"/>
    <xf numFmtId="165" fontId="0" fillId="0" borderId="17" xfId="0" applyNumberFormat="1" applyBorder="1"/>
    <xf numFmtId="9" fontId="0" fillId="0" borderId="0" xfId="0" applyNumberFormat="1" applyBorder="1"/>
    <xf numFmtId="9" fontId="0" fillId="0" borderId="14" xfId="0" applyNumberFormat="1" applyBorder="1"/>
    <xf numFmtId="1" fontId="0" fillId="0" borderId="0" xfId="1" applyNumberFormat="1" applyFont="1" applyBorder="1"/>
    <xf numFmtId="1" fontId="0" fillId="0" borderId="14" xfId="1" applyNumberFormat="1" applyFont="1" applyBorder="1"/>
    <xf numFmtId="165" fontId="0" fillId="0" borderId="0" xfId="0" applyNumberFormat="1" applyBorder="1"/>
    <xf numFmtId="165" fontId="0" fillId="0" borderId="14" xfId="0" applyNumberFormat="1" applyBorder="1"/>
    <xf numFmtId="0" fontId="113" fillId="0" borderId="15" xfId="0" applyFont="1" applyFill="1" applyBorder="1" applyAlignment="1">
      <alignment horizontal="left" vertical="center" wrapText="1"/>
    </xf>
    <xf numFmtId="0" fontId="20" fillId="0" borderId="16" xfId="0" applyFont="1" applyFill="1" applyBorder="1" applyAlignment="1">
      <alignment horizontal="center" vertical="center" wrapText="1"/>
    </xf>
    <xf numFmtId="0" fontId="20" fillId="0" borderId="17" xfId="0" applyFont="1" applyFill="1" applyBorder="1" applyAlignment="1">
      <alignment horizontal="center" vertical="center" wrapText="1"/>
    </xf>
    <xf numFmtId="0" fontId="0" fillId="0" borderId="0" xfId="0" applyBorder="1" applyAlignment="1">
      <alignment horizontal="center"/>
    </xf>
    <xf numFmtId="0" fontId="0" fillId="0" borderId="14" xfId="0" applyBorder="1" applyAlignment="1">
      <alignment horizontal="center"/>
    </xf>
    <xf numFmtId="165" fontId="115" fillId="0" borderId="16" xfId="0" applyNumberFormat="1" applyFont="1" applyBorder="1"/>
    <xf numFmtId="0" fontId="0" fillId="0" borderId="0" xfId="0" applyFont="1" applyFill="1" applyBorder="1" applyAlignment="1">
      <alignment horizontal="left" vertical="center" wrapText="1"/>
    </xf>
    <xf numFmtId="0" fontId="0" fillId="0" borderId="0" xfId="0" applyFont="1" applyAlignment="1">
      <alignment vertical="center"/>
    </xf>
    <xf numFmtId="0" fontId="17" fillId="0" borderId="15" xfId="0" applyFont="1" applyBorder="1" applyAlignment="1">
      <alignment vertical="center"/>
    </xf>
    <xf numFmtId="0" fontId="17" fillId="0" borderId="16" xfId="0" applyFont="1" applyBorder="1" applyAlignment="1">
      <alignment vertical="center"/>
    </xf>
    <xf numFmtId="0" fontId="0" fillId="0" borderId="16" xfId="0" applyFont="1" applyBorder="1" applyAlignment="1">
      <alignment vertical="center"/>
    </xf>
    <xf numFmtId="0" fontId="0" fillId="0" borderId="17" xfId="0" applyFont="1" applyBorder="1" applyAlignment="1">
      <alignment vertical="center"/>
    </xf>
    <xf numFmtId="0" fontId="116" fillId="0" borderId="15" xfId="157" applyFont="1" applyBorder="1"/>
    <xf numFmtId="0" fontId="116" fillId="0" borderId="13" xfId="157" applyFont="1" applyBorder="1"/>
    <xf numFmtId="0" fontId="128" fillId="0" borderId="0" xfId="157" applyFont="1"/>
    <xf numFmtId="0" fontId="20" fillId="78" borderId="0" xfId="0" applyFont="1" applyFill="1" applyBorder="1" applyAlignment="1" applyProtection="1">
      <alignment horizontal="left" vertical="center" wrapText="1"/>
      <protection locked="0"/>
    </xf>
    <xf numFmtId="0" fontId="20" fillId="78" borderId="0" xfId="0" applyFont="1" applyFill="1" applyBorder="1" applyAlignment="1" applyProtection="1">
      <alignment horizontal="left" vertical="center"/>
      <protection locked="0"/>
    </xf>
    <xf numFmtId="0" fontId="20" fillId="78" borderId="11" xfId="0" applyFont="1" applyFill="1" applyBorder="1" applyAlignment="1" applyProtection="1">
      <alignment horizontal="left" vertical="center"/>
      <protection locked="0"/>
    </xf>
    <xf numFmtId="0" fontId="0" fillId="78" borderId="14" xfId="0" applyFill="1" applyBorder="1" applyProtection="1">
      <protection locked="0"/>
    </xf>
    <xf numFmtId="0" fontId="0" fillId="78" borderId="11" xfId="0" applyFill="1" applyBorder="1" applyProtection="1">
      <protection locked="0"/>
    </xf>
    <xf numFmtId="0" fontId="0" fillId="78" borderId="12" xfId="0" applyFill="1" applyBorder="1" applyProtection="1">
      <protection locked="0"/>
    </xf>
    <xf numFmtId="0" fontId="20" fillId="0" borderId="20" xfId="0" applyFont="1" applyFill="1" applyBorder="1" applyAlignment="1">
      <alignment horizontal="center" vertical="center" wrapText="1"/>
    </xf>
    <xf numFmtId="0" fontId="0" fillId="0" borderId="11" xfId="0" applyFont="1" applyBorder="1"/>
    <xf numFmtId="0" fontId="0" fillId="0" borderId="12" xfId="0" applyFont="1" applyBorder="1"/>
    <xf numFmtId="10" fontId="0" fillId="78" borderId="0" xfId="0" applyNumberFormat="1" applyFill="1" applyProtection="1">
      <protection locked="0"/>
    </xf>
    <xf numFmtId="185" fontId="0" fillId="78" borderId="0" xfId="0" applyNumberFormat="1" applyFill="1" applyProtection="1">
      <protection locked="0"/>
    </xf>
    <xf numFmtId="0" fontId="116" fillId="75" borderId="14" xfId="0" applyFont="1" applyFill="1" applyBorder="1" applyProtection="1">
      <protection locked="0"/>
    </xf>
    <xf numFmtId="0" fontId="116" fillId="75" borderId="12" xfId="0" applyFont="1" applyFill="1" applyBorder="1" applyProtection="1">
      <protection locked="0"/>
    </xf>
    <xf numFmtId="0" fontId="0" fillId="75" borderId="22" xfId="0" applyFill="1" applyBorder="1" applyProtection="1">
      <protection locked="0"/>
    </xf>
    <xf numFmtId="0" fontId="0" fillId="78" borderId="21" xfId="0" applyFill="1" applyBorder="1" applyAlignment="1" applyProtection="1">
      <alignment horizontal="center"/>
      <protection locked="0"/>
    </xf>
    <xf numFmtId="6" fontId="0" fillId="78" borderId="14" xfId="0" applyNumberFormat="1" applyFill="1" applyBorder="1" applyProtection="1">
      <protection locked="0"/>
    </xf>
    <xf numFmtId="6" fontId="0" fillId="78" borderId="12" xfId="0" applyNumberFormat="1" applyFill="1" applyBorder="1" applyProtection="1">
      <protection locked="0"/>
    </xf>
    <xf numFmtId="0" fontId="118" fillId="0" borderId="0" xfId="0" applyFont="1" applyFill="1" applyBorder="1" applyAlignment="1">
      <alignment horizontal="left" vertical="center" wrapText="1"/>
    </xf>
    <xf numFmtId="0" fontId="118" fillId="0" borderId="0" xfId="0" applyFont="1" applyFill="1" applyBorder="1" applyAlignment="1">
      <alignment horizontal="center" vertical="center" wrapText="1"/>
    </xf>
    <xf numFmtId="0" fontId="113" fillId="0" borderId="13" xfId="0" applyFont="1" applyFill="1" applyBorder="1" applyAlignment="1">
      <alignment horizontal="left" vertical="center" wrapText="1"/>
    </xf>
    <xf numFmtId="0" fontId="20" fillId="0" borderId="14" xfId="0" applyFont="1" applyFill="1" applyBorder="1" applyAlignment="1">
      <alignment horizontal="center" vertical="center" wrapText="1"/>
    </xf>
    <xf numFmtId="0" fontId="113" fillId="0" borderId="13" xfId="0" applyFont="1" applyBorder="1"/>
    <xf numFmtId="0" fontId="30" fillId="0" borderId="0" xfId="0" applyFont="1"/>
    <xf numFmtId="0" fontId="0" fillId="0" borderId="0" xfId="0" applyFont="1" applyAlignment="1">
      <alignment wrapText="1"/>
    </xf>
    <xf numFmtId="0" fontId="113" fillId="77" borderId="22" xfId="0" applyFont="1" applyFill="1" applyBorder="1" applyAlignment="1">
      <alignment wrapText="1"/>
    </xf>
    <xf numFmtId="0" fontId="49" fillId="0" borderId="0" xfId="157"/>
    <xf numFmtId="0" fontId="0" fillId="0" borderId="0" xfId="0" applyAlignment="1">
      <alignment wrapText="1"/>
    </xf>
    <xf numFmtId="0" fontId="115" fillId="0" borderId="17" xfId="0" applyFont="1" applyBorder="1"/>
    <xf numFmtId="9" fontId="0" fillId="78" borderId="11" xfId="0" applyNumberFormat="1" applyFill="1" applyBorder="1" applyProtection="1">
      <protection locked="0"/>
    </xf>
    <xf numFmtId="0" fontId="114" fillId="0" borderId="12" xfId="0" quotePrefix="1" applyFont="1" applyBorder="1"/>
    <xf numFmtId="0" fontId="100" fillId="0" borderId="15" xfId="0" applyFont="1" applyBorder="1"/>
    <xf numFmtId="0" fontId="100" fillId="0" borderId="15" xfId="0" applyFont="1" applyFill="1" applyBorder="1" applyAlignment="1">
      <alignment vertical="center"/>
    </xf>
    <xf numFmtId="0" fontId="113" fillId="77" borderId="20" xfId="0" applyFont="1" applyFill="1" applyBorder="1" applyAlignment="1">
      <alignment wrapText="1"/>
    </xf>
    <xf numFmtId="0" fontId="0" fillId="79" borderId="17" xfId="0" applyFill="1" applyBorder="1" applyAlignment="1">
      <alignment horizontal="left" vertical="center" wrapText="1"/>
    </xf>
    <xf numFmtId="0" fontId="0" fillId="79" borderId="14" xfId="0" applyFill="1" applyBorder="1" applyAlignment="1">
      <alignment horizontal="left" vertical="center" wrapText="1"/>
    </xf>
    <xf numFmtId="0" fontId="0" fillId="79" borderId="12" xfId="0" applyFont="1" applyFill="1" applyBorder="1" applyAlignment="1">
      <alignment vertical="center" wrapText="1"/>
    </xf>
    <xf numFmtId="0" fontId="0" fillId="79" borderId="15" xfId="0" applyFill="1" applyBorder="1" applyAlignment="1">
      <alignment horizontal="left" vertical="center"/>
    </xf>
    <xf numFmtId="0" fontId="0" fillId="79" borderId="16" xfId="0" applyFont="1" applyFill="1" applyBorder="1" applyAlignment="1">
      <alignment horizontal="left" vertical="center" wrapText="1"/>
    </xf>
    <xf numFmtId="0" fontId="0" fillId="79" borderId="12" xfId="0" applyFill="1" applyBorder="1" applyAlignment="1">
      <alignment horizontal="left" vertical="center" wrapText="1"/>
    </xf>
    <xf numFmtId="0" fontId="0" fillId="79" borderId="16" xfId="0" applyFill="1" applyBorder="1" applyAlignment="1">
      <alignment horizontal="left" vertical="center"/>
    </xf>
    <xf numFmtId="0" fontId="116" fillId="79" borderId="16" xfId="0" applyFont="1" applyFill="1" applyBorder="1" applyAlignment="1">
      <alignment horizontal="left" vertical="center" wrapText="1"/>
    </xf>
    <xf numFmtId="0" fontId="128" fillId="79" borderId="16" xfId="157" applyFont="1" applyFill="1" applyBorder="1" applyAlignment="1">
      <alignment horizontal="left" vertical="center" wrapText="1"/>
    </xf>
    <xf numFmtId="0" fontId="0" fillId="77" borderId="19" xfId="0" applyFill="1" applyBorder="1" applyAlignment="1">
      <alignment horizontal="left" vertical="center"/>
    </xf>
    <xf numFmtId="0" fontId="0" fillId="77" borderId="20" xfId="0" applyFont="1" applyFill="1" applyBorder="1" applyAlignment="1">
      <alignment horizontal="left" vertical="center" wrapText="1"/>
    </xf>
    <xf numFmtId="0" fontId="0" fillId="77" borderId="22" xfId="0" applyFill="1" applyBorder="1" applyAlignment="1">
      <alignment vertical="center" wrapText="1"/>
    </xf>
    <xf numFmtId="0" fontId="118" fillId="0" borderId="0" xfId="0" applyFont="1"/>
    <xf numFmtId="0" fontId="118" fillId="0" borderId="0" xfId="0" quotePrefix="1" applyFont="1"/>
    <xf numFmtId="0" fontId="124" fillId="0" borderId="0" xfId="0" applyFont="1"/>
    <xf numFmtId="164" fontId="0" fillId="0" borderId="0" xfId="0" applyNumberFormat="1" applyFont="1" applyAlignment="1">
      <alignment horizontal="left"/>
    </xf>
    <xf numFmtId="14" fontId="0" fillId="0" borderId="0" xfId="0" applyNumberFormat="1" applyFont="1"/>
    <xf numFmtId="0" fontId="130" fillId="0" borderId="0" xfId="0" quotePrefix="1" applyFont="1"/>
    <xf numFmtId="0" fontId="118" fillId="0" borderId="0" xfId="0" applyFont="1" applyFill="1" applyBorder="1" applyAlignment="1">
      <alignment horizontal="left" vertical="center" wrapText="1"/>
    </xf>
    <xf numFmtId="0" fontId="32" fillId="77" borderId="20" xfId="0" applyFont="1" applyFill="1" applyBorder="1" applyAlignment="1">
      <alignment horizontal="center" vertical="center"/>
    </xf>
    <xf numFmtId="0" fontId="32" fillId="39" borderId="0" xfId="0" applyFont="1" applyFill="1" applyAlignment="1">
      <alignment horizontal="center"/>
    </xf>
    <xf numFmtId="0" fontId="17" fillId="0" borderId="0" xfId="0" applyFont="1" applyAlignment="1">
      <alignment horizontal="center"/>
    </xf>
    <xf numFmtId="3" fontId="0" fillId="0" borderId="17" xfId="0" applyNumberFormat="1" applyFill="1" applyBorder="1"/>
    <xf numFmtId="3" fontId="0" fillId="0" borderId="14" xfId="0" applyNumberFormat="1" applyFill="1" applyBorder="1"/>
    <xf numFmtId="3" fontId="0" fillId="0" borderId="12" xfId="0" applyNumberFormat="1" applyFill="1" applyBorder="1"/>
    <xf numFmtId="3" fontId="132" fillId="0" borderId="22" xfId="0" applyNumberFormat="1" applyFont="1" applyFill="1" applyBorder="1" applyAlignment="1">
      <alignment horizontal="center"/>
    </xf>
    <xf numFmtId="0" fontId="0" fillId="0" borderId="0" xfId="0" applyFill="1"/>
    <xf numFmtId="0" fontId="132" fillId="0" borderId="19" xfId="0" applyFont="1" applyBorder="1"/>
    <xf numFmtId="0" fontId="132" fillId="0" borderId="20" xfId="0" applyFont="1" applyBorder="1"/>
    <xf numFmtId="0" fontId="133" fillId="0" borderId="15" xfId="0" applyFont="1" applyBorder="1"/>
    <xf numFmtId="0" fontId="133" fillId="0" borderId="16" xfId="0" applyFont="1" applyBorder="1"/>
    <xf numFmtId="0" fontId="133" fillId="0" borderId="13" xfId="0" applyFont="1" applyBorder="1"/>
    <xf numFmtId="0" fontId="133" fillId="0" borderId="0" xfId="0" applyFont="1" applyBorder="1"/>
    <xf numFmtId="0" fontId="133" fillId="0" borderId="10" xfId="0" applyFont="1" applyBorder="1"/>
    <xf numFmtId="0" fontId="133" fillId="0" borderId="11" xfId="0" applyFont="1" applyBorder="1"/>
    <xf numFmtId="0" fontId="133" fillId="0" borderId="13" xfId="0" applyFont="1" applyFill="1" applyBorder="1"/>
    <xf numFmtId="0" fontId="133" fillId="0" borderId="0" xfId="0" applyFont="1" applyFill="1" applyBorder="1"/>
    <xf numFmtId="0" fontId="132" fillId="0" borderId="15" xfId="0" applyFont="1" applyBorder="1"/>
    <xf numFmtId="6" fontId="133" fillId="0" borderId="0" xfId="0" applyNumberFormat="1" applyFont="1" applyBorder="1"/>
    <xf numFmtId="6" fontId="133" fillId="0" borderId="11" xfId="0" applyNumberFormat="1" applyFont="1" applyBorder="1"/>
    <xf numFmtId="0" fontId="133" fillId="0" borderId="0" xfId="0" applyFont="1"/>
    <xf numFmtId="166" fontId="133" fillId="0" borderId="0" xfId="0" applyNumberFormat="1" applyFont="1" applyBorder="1"/>
    <xf numFmtId="166" fontId="133" fillId="0" borderId="11" xfId="0" applyNumberFormat="1" applyFont="1" applyBorder="1"/>
    <xf numFmtId="10" fontId="133" fillId="0" borderId="0" xfId="0" applyNumberFormat="1" applyFont="1" applyFill="1"/>
    <xf numFmtId="10" fontId="134" fillId="0" borderId="0" xfId="0" applyNumberFormat="1" applyFont="1" applyFill="1"/>
    <xf numFmtId="0" fontId="136" fillId="0" borderId="0" xfId="0" applyFont="1" applyFill="1"/>
    <xf numFmtId="0" fontId="137" fillId="0" borderId="0" xfId="0" applyFont="1"/>
    <xf numFmtId="0" fontId="133" fillId="78" borderId="0" xfId="0" applyFont="1" applyFill="1"/>
    <xf numFmtId="9" fontId="133" fillId="0" borderId="0" xfId="0" applyNumberFormat="1" applyFont="1" applyFill="1" applyBorder="1"/>
    <xf numFmtId="165" fontId="133" fillId="0" borderId="16" xfId="1" applyNumberFormat="1" applyFont="1" applyFill="1" applyBorder="1"/>
    <xf numFmtId="165" fontId="133" fillId="0" borderId="17" xfId="1" applyNumberFormat="1" applyFont="1" applyFill="1" applyBorder="1"/>
    <xf numFmtId="165" fontId="133" fillId="0" borderId="0" xfId="1" applyNumberFormat="1" applyFont="1" applyFill="1" applyBorder="1"/>
    <xf numFmtId="165" fontId="133" fillId="0" borderId="14" xfId="1" applyNumberFormat="1" applyFont="1" applyFill="1" applyBorder="1"/>
    <xf numFmtId="0" fontId="133" fillId="78" borderId="15" xfId="0" applyFont="1" applyFill="1" applyBorder="1"/>
    <xf numFmtId="0" fontId="133" fillId="78" borderId="13" xfId="0" applyFont="1" applyFill="1" applyBorder="1"/>
    <xf numFmtId="0" fontId="133" fillId="78" borderId="10" xfId="0" applyFont="1" applyFill="1" applyBorder="1"/>
    <xf numFmtId="165" fontId="135" fillId="0" borderId="0" xfId="1" applyNumberFormat="1" applyFont="1" applyBorder="1"/>
    <xf numFmtId="165" fontId="135" fillId="0" borderId="14" xfId="1" applyNumberFormat="1" applyFont="1" applyBorder="1"/>
    <xf numFmtId="166" fontId="135" fillId="0" borderId="0" xfId="0" applyNumberFormat="1" applyFont="1" applyBorder="1"/>
    <xf numFmtId="166" fontId="135" fillId="0" borderId="14" xfId="0" applyNumberFormat="1" applyFont="1" applyBorder="1"/>
    <xf numFmtId="0" fontId="135" fillId="0" borderId="0" xfId="0" applyFont="1" applyBorder="1"/>
    <xf numFmtId="0" fontId="135" fillId="0" borderId="14" xfId="0" applyFont="1" applyBorder="1"/>
    <xf numFmtId="0" fontId="132" fillId="0" borderId="13" xfId="0" applyFont="1" applyBorder="1"/>
    <xf numFmtId="14" fontId="133" fillId="0" borderId="0" xfId="0" applyNumberFormat="1" applyFont="1"/>
    <xf numFmtId="0" fontId="133" fillId="0" borderId="0" xfId="0" applyFont="1" applyFill="1"/>
    <xf numFmtId="0" fontId="139" fillId="0" borderId="0" xfId="0" applyFont="1" applyFill="1"/>
    <xf numFmtId="166" fontId="135" fillId="0" borderId="11" xfId="0" applyNumberFormat="1" applyFont="1" applyBorder="1"/>
    <xf numFmtId="166" fontId="135" fillId="0" borderId="12" xfId="0" applyNumberFormat="1" applyFont="1" applyBorder="1"/>
    <xf numFmtId="165" fontId="135" fillId="0" borderId="16" xfId="1" applyNumberFormat="1" applyFont="1" applyBorder="1"/>
    <xf numFmtId="165" fontId="135" fillId="0" borderId="17" xfId="1" applyNumberFormat="1" applyFont="1" applyBorder="1"/>
    <xf numFmtId="165" fontId="15" fillId="0" borderId="0" xfId="0" applyNumberFormat="1" applyFont="1"/>
    <xf numFmtId="0" fontId="140" fillId="0" borderId="0" xfId="0" applyFont="1" applyAlignment="1">
      <alignment wrapText="1"/>
    </xf>
    <xf numFmtId="0" fontId="141" fillId="0" borderId="0" xfId="0" applyFont="1"/>
    <xf numFmtId="0" fontId="142" fillId="0" borderId="0" xfId="0" applyFont="1"/>
    <xf numFmtId="165" fontId="116" fillId="0" borderId="11" xfId="0" applyNumberFormat="1" applyFont="1" applyBorder="1"/>
    <xf numFmtId="165" fontId="116" fillId="0" borderId="12" xfId="0" applyNumberFormat="1" applyFont="1" applyBorder="1"/>
    <xf numFmtId="9" fontId="0" fillId="0" borderId="0" xfId="622" applyFont="1"/>
    <xf numFmtId="185" fontId="135" fillId="0" borderId="0" xfId="0" applyNumberFormat="1" applyFont="1" applyBorder="1"/>
    <xf numFmtId="0" fontId="32" fillId="77" borderId="20" xfId="0" applyFont="1" applyFill="1" applyBorder="1" applyAlignment="1">
      <alignment horizontal="left" vertical="center"/>
    </xf>
    <xf numFmtId="4" fontId="139" fillId="0" borderId="14" xfId="0" applyNumberFormat="1" applyFont="1" applyBorder="1" applyAlignment="1">
      <alignment horizontal="center"/>
    </xf>
    <xf numFmtId="0" fontId="116" fillId="0" borderId="16" xfId="0" applyFont="1" applyBorder="1"/>
    <xf numFmtId="0" fontId="116" fillId="0" borderId="0" xfId="0" applyFont="1" applyBorder="1"/>
    <xf numFmtId="0" fontId="116" fillId="0" borderId="11" xfId="0" applyFont="1" applyBorder="1"/>
    <xf numFmtId="0" fontId="0" fillId="0" borderId="0" xfId="0" quotePrefix="1"/>
    <xf numFmtId="186" fontId="20" fillId="79" borderId="0" xfId="0" applyNumberFormat="1" applyFont="1" applyFill="1"/>
    <xf numFmtId="10" fontId="0" fillId="0" borderId="0" xfId="622" applyNumberFormat="1" applyFont="1"/>
    <xf numFmtId="9" fontId="118" fillId="0" borderId="0" xfId="622" applyFont="1" applyFill="1" applyBorder="1" applyAlignment="1">
      <alignment horizontal="left" vertical="center" wrapText="1"/>
    </xf>
    <xf numFmtId="0" fontId="129" fillId="79" borderId="15" xfId="0" applyFont="1" applyFill="1" applyBorder="1" applyAlignment="1">
      <alignment horizontal="center" vertical="center" wrapText="1"/>
    </xf>
    <xf numFmtId="0" fontId="129" fillId="79" borderId="13" xfId="0" applyFont="1" applyFill="1" applyBorder="1" applyAlignment="1">
      <alignment horizontal="center" vertical="center" wrapText="1"/>
    </xf>
    <xf numFmtId="0" fontId="129" fillId="77" borderId="15" xfId="0" applyFont="1" applyFill="1" applyBorder="1" applyAlignment="1">
      <alignment horizontal="center" vertical="center" wrapText="1"/>
    </xf>
    <xf numFmtId="0" fontId="129" fillId="79" borderId="21" xfId="0" applyFont="1" applyFill="1" applyBorder="1" applyAlignment="1">
      <alignment horizontal="center" vertical="center" wrapText="1"/>
    </xf>
    <xf numFmtId="0" fontId="143" fillId="0" borderId="0" xfId="0" applyFont="1"/>
    <xf numFmtId="0" fontId="143" fillId="0" borderId="0" xfId="0" applyFont="1" applyBorder="1"/>
    <xf numFmtId="10" fontId="143" fillId="0" borderId="0" xfId="0" applyNumberFormat="1" applyFont="1" applyBorder="1"/>
    <xf numFmtId="0" fontId="0" fillId="0" borderId="0" xfId="0" applyNumberFormat="1" applyBorder="1"/>
    <xf numFmtId="9" fontId="0" fillId="0" borderId="0" xfId="622" applyFont="1" applyAlignment="1">
      <alignment horizontal="left"/>
    </xf>
    <xf numFmtId="43" fontId="0" fillId="0" borderId="0" xfId="0" applyNumberFormat="1" applyBorder="1"/>
    <xf numFmtId="0" fontId="0" fillId="0" borderId="0" xfId="0" applyAlignment="1">
      <alignment horizontal="center"/>
    </xf>
    <xf numFmtId="17" fontId="0" fillId="0" borderId="0" xfId="0" applyNumberFormat="1"/>
    <xf numFmtId="0" fontId="127" fillId="0" borderId="20" xfId="0" applyFont="1" applyBorder="1" applyAlignment="1">
      <alignment horizontal="right"/>
    </xf>
    <xf numFmtId="165" fontId="133" fillId="0" borderId="11" xfId="1" applyNumberFormat="1" applyFont="1" applyFill="1" applyBorder="1"/>
    <xf numFmtId="165" fontId="135" fillId="0" borderId="0" xfId="1" applyNumberFormat="1" applyFont="1" applyFill="1" applyBorder="1"/>
    <xf numFmtId="0" fontId="32" fillId="77" borderId="20" xfId="0" applyFont="1" applyFill="1" applyBorder="1" applyAlignment="1">
      <alignment horizontal="left" vertical="center"/>
    </xf>
    <xf numFmtId="0" fontId="0" fillId="0" borderId="0" xfId="0" applyAlignment="1">
      <alignment horizontal="center"/>
    </xf>
    <xf numFmtId="0" fontId="116" fillId="0" borderId="0" xfId="0" applyFont="1" applyAlignment="1">
      <alignment horizontal="center"/>
    </xf>
    <xf numFmtId="0" fontId="132" fillId="0" borderId="16" xfId="0" applyFont="1" applyBorder="1" applyAlignment="1">
      <alignment horizontal="center"/>
    </xf>
    <xf numFmtId="0" fontId="17" fillId="0" borderId="16" xfId="0" applyFont="1" applyBorder="1" applyAlignment="1">
      <alignment horizontal="center"/>
    </xf>
    <xf numFmtId="2" fontId="20" fillId="77" borderId="0" xfId="0" applyNumberFormat="1" applyFont="1" applyFill="1" applyBorder="1" applyAlignment="1">
      <alignment horizontal="right" vertical="center"/>
    </xf>
    <xf numFmtId="2" fontId="20" fillId="77" borderId="14" xfId="0" applyNumberFormat="1" applyFont="1" applyFill="1" applyBorder="1" applyAlignment="1">
      <alignment horizontal="right" vertical="center"/>
    </xf>
    <xf numFmtId="0" fontId="0" fillId="0" borderId="17" xfId="0" applyBorder="1" applyAlignment="1">
      <alignment horizontal="center"/>
    </xf>
    <xf numFmtId="165" fontId="0" fillId="0" borderId="0" xfId="0" applyNumberFormat="1" applyAlignment="1">
      <alignment horizontal="left"/>
    </xf>
    <xf numFmtId="165" fontId="116" fillId="0" borderId="11" xfId="1" applyNumberFormat="1" applyFont="1" applyBorder="1"/>
    <xf numFmtId="186" fontId="20" fillId="0" borderId="0" xfId="622" applyNumberFormat="1" applyFont="1"/>
    <xf numFmtId="165" fontId="135" fillId="0" borderId="12" xfId="1" applyNumberFormat="1" applyFont="1" applyBorder="1"/>
    <xf numFmtId="0" fontId="49" fillId="0" borderId="0" xfId="157" applyAlignment="1">
      <alignment vertical="center"/>
    </xf>
    <xf numFmtId="17" fontId="131" fillId="0" borderId="0" xfId="0" applyNumberFormat="1" applyFont="1" applyFill="1"/>
    <xf numFmtId="10" fontId="153" fillId="0" borderId="0" xfId="0" applyNumberFormat="1" applyFont="1" applyFill="1"/>
    <xf numFmtId="10" fontId="133" fillId="0" borderId="0" xfId="0" quotePrefix="1" applyNumberFormat="1" applyFont="1" applyFill="1"/>
    <xf numFmtId="10" fontId="133" fillId="0" borderId="0" xfId="622" applyNumberFormat="1" applyFont="1" applyFill="1"/>
    <xf numFmtId="9" fontId="20" fillId="39" borderId="0" xfId="0" applyNumberFormat="1" applyFont="1" applyFill="1" applyBorder="1" applyAlignment="1"/>
    <xf numFmtId="9" fontId="20" fillId="0" borderId="0" xfId="622" applyFont="1"/>
    <xf numFmtId="9" fontId="135" fillId="0" borderId="0" xfId="622" applyFont="1" applyFill="1" applyBorder="1"/>
    <xf numFmtId="165" fontId="133" fillId="0" borderId="12" xfId="1" applyNumberFormat="1" applyFont="1" applyFill="1" applyBorder="1"/>
    <xf numFmtId="0" fontId="139" fillId="0" borderId="15" xfId="0" applyFont="1" applyFill="1" applyBorder="1"/>
    <xf numFmtId="0" fontId="139" fillId="0" borderId="17" xfId="0" applyFont="1" applyFill="1" applyBorder="1"/>
    <xf numFmtId="0" fontId="139" fillId="0" borderId="13" xfId="0" applyFont="1" applyFill="1" applyBorder="1"/>
    <xf numFmtId="0" fontId="139" fillId="0" borderId="14" xfId="0" applyFont="1" applyFill="1" applyBorder="1"/>
    <xf numFmtId="3" fontId="139" fillId="0" borderId="13" xfId="0" applyNumberFormat="1" applyFont="1" applyFill="1" applyBorder="1"/>
    <xf numFmtId="3" fontId="139" fillId="0" borderId="14" xfId="0" applyNumberFormat="1" applyFont="1" applyFill="1" applyBorder="1"/>
    <xf numFmtId="3" fontId="139" fillId="0" borderId="10" xfId="0" applyNumberFormat="1" applyFont="1" applyFill="1" applyBorder="1"/>
    <xf numFmtId="3" fontId="139" fillId="0" borderId="12" xfId="0" applyNumberFormat="1" applyFont="1" applyFill="1" applyBorder="1"/>
    <xf numFmtId="10" fontId="0" fillId="0" borderId="0" xfId="0" applyNumberFormat="1" applyBorder="1"/>
    <xf numFmtId="2" fontId="0" fillId="0" borderId="0" xfId="622" applyNumberFormat="1" applyFont="1" applyBorder="1"/>
    <xf numFmtId="166" fontId="133" fillId="0" borderId="0" xfId="0" applyNumberFormat="1" applyFont="1"/>
    <xf numFmtId="0" fontId="0" fillId="0" borderId="16" xfId="0" applyBorder="1" applyAlignment="1">
      <alignment horizontal="center"/>
    </xf>
    <xf numFmtId="0" fontId="0" fillId="77" borderId="17" xfId="0" applyFill="1" applyBorder="1" applyAlignment="1">
      <alignment horizontal="left" vertical="center" wrapText="1"/>
    </xf>
    <xf numFmtId="0" fontId="0" fillId="77" borderId="14" xfId="0" applyFill="1" applyBorder="1" applyAlignment="1">
      <alignment horizontal="left" vertical="center" wrapText="1"/>
    </xf>
    <xf numFmtId="0" fontId="128" fillId="79" borderId="0" xfId="157" applyFont="1" applyFill="1" applyBorder="1" applyAlignment="1">
      <alignment horizontal="left" vertical="center" wrapText="1"/>
    </xf>
    <xf numFmtId="0" fontId="129" fillId="79" borderId="41" xfId="0" applyFont="1" applyFill="1" applyBorder="1" applyAlignment="1">
      <alignment vertical="center" wrapText="1"/>
    </xf>
    <xf numFmtId="0" fontId="129" fillId="77" borderId="22" xfId="0" applyFont="1" applyFill="1" applyBorder="1" applyAlignment="1">
      <alignment horizontal="center" vertical="center" wrapText="1"/>
    </xf>
    <xf numFmtId="0" fontId="129" fillId="77" borderId="0" xfId="0" applyFont="1" applyFill="1" applyBorder="1" applyAlignment="1">
      <alignment horizontal="center" vertical="center" wrapText="1"/>
    </xf>
    <xf numFmtId="164" fontId="133" fillId="0" borderId="0" xfId="622" applyNumberFormat="1" applyFont="1" applyFill="1" applyBorder="1"/>
    <xf numFmtId="0" fontId="49" fillId="79" borderId="11" xfId="157" applyFill="1" applyBorder="1" applyAlignment="1">
      <alignment horizontal="left" vertical="center" wrapText="1"/>
    </xf>
    <xf numFmtId="0" fontId="49" fillId="77" borderId="20" xfId="157" applyFill="1" applyBorder="1" applyAlignment="1">
      <alignment horizontal="left" vertical="center" wrapText="1"/>
    </xf>
    <xf numFmtId="0" fontId="49" fillId="77" borderId="16" xfId="157" applyFill="1" applyBorder="1" applyAlignment="1">
      <alignment horizontal="left" vertical="center" wrapText="1"/>
    </xf>
    <xf numFmtId="0" fontId="20" fillId="0" borderId="13" xfId="0" applyFont="1" applyFill="1" applyBorder="1" applyAlignment="1">
      <alignment vertical="center"/>
    </xf>
    <xf numFmtId="0" fontId="156" fillId="0" borderId="0" xfId="0" applyFont="1"/>
    <xf numFmtId="49" fontId="133" fillId="0" borderId="13" xfId="1" applyNumberFormat="1" applyFont="1" applyBorder="1" applyAlignment="1">
      <alignment horizontal="left" wrapText="1"/>
    </xf>
    <xf numFmtId="0" fontId="20" fillId="0" borderId="0" xfId="0" applyFont="1" applyFill="1" applyBorder="1" applyAlignment="1">
      <alignment horizontal="center"/>
    </xf>
    <xf numFmtId="0" fontId="17" fillId="0" borderId="0" xfId="0" applyFont="1" applyFill="1"/>
    <xf numFmtId="0" fontId="116" fillId="0" borderId="10" xfId="157" applyFont="1" applyBorder="1"/>
    <xf numFmtId="0" fontId="20" fillId="0" borderId="0" xfId="0" applyFont="1" applyFill="1" applyAlignment="1">
      <alignment horizontal="center"/>
    </xf>
    <xf numFmtId="0" fontId="138" fillId="0" borderId="0" xfId="0" applyFont="1" applyFill="1"/>
    <xf numFmtId="0" fontId="0" fillId="77" borderId="11" xfId="0" applyFont="1" applyFill="1" applyBorder="1" applyAlignment="1">
      <alignment horizontal="left" vertical="center" wrapText="1"/>
    </xf>
    <xf numFmtId="0" fontId="0" fillId="0" borderId="0" xfId="0" applyFont="1" applyFill="1" applyAlignment="1">
      <alignment wrapText="1"/>
    </xf>
    <xf numFmtId="0" fontId="0" fillId="0" borderId="0" xfId="0" applyFont="1" applyFill="1"/>
    <xf numFmtId="0" fontId="0" fillId="79" borderId="11" xfId="0" applyFill="1" applyBorder="1" applyAlignment="1">
      <alignment horizontal="left" vertical="center"/>
    </xf>
    <xf numFmtId="0" fontId="20" fillId="76" borderId="22" xfId="0" applyFont="1" applyFill="1" applyBorder="1" applyAlignment="1">
      <alignment vertical="center"/>
    </xf>
    <xf numFmtId="0" fontId="116" fillId="0" borderId="13" xfId="157" applyFont="1" applyFill="1" applyBorder="1" applyAlignment="1">
      <alignment vertical="top"/>
    </xf>
    <xf numFmtId="0" fontId="20" fillId="78" borderId="0" xfId="0" applyFont="1" applyFill="1" applyBorder="1" applyAlignment="1" applyProtection="1">
      <alignment horizontal="center" vertical="center" wrapText="1"/>
      <protection locked="0"/>
    </xf>
    <xf numFmtId="0" fontId="20" fillId="78" borderId="0" xfId="0" applyFont="1" applyFill="1" applyBorder="1" applyAlignment="1" applyProtection="1">
      <alignment horizontal="center" vertical="center"/>
      <protection locked="0"/>
    </xf>
    <xf numFmtId="0" fontId="20" fillId="78" borderId="11" xfId="0" applyFont="1" applyFill="1" applyBorder="1" applyAlignment="1" applyProtection="1">
      <alignment horizontal="center" vertical="center"/>
      <protection locked="0"/>
    </xf>
    <xf numFmtId="0" fontId="0" fillId="77" borderId="15" xfId="0" applyFill="1" applyBorder="1" applyAlignment="1">
      <alignment horizontal="left" vertical="center"/>
    </xf>
    <xf numFmtId="10" fontId="20" fillId="0" borderId="0" xfId="0" applyNumberFormat="1" applyFont="1" applyFill="1"/>
    <xf numFmtId="1" fontId="20" fillId="0" borderId="0" xfId="0" applyNumberFormat="1" applyFont="1" applyFill="1"/>
    <xf numFmtId="2" fontId="20" fillId="0" borderId="0" xfId="0" applyNumberFormat="1" applyFont="1" applyFill="1"/>
    <xf numFmtId="0" fontId="20" fillId="0" borderId="0" xfId="0" quotePrefix="1" applyFont="1" applyFill="1"/>
    <xf numFmtId="0" fontId="32" fillId="0" borderId="0" xfId="0" applyFont="1" applyFill="1"/>
    <xf numFmtId="10" fontId="20" fillId="0" borderId="0" xfId="0" applyNumberFormat="1" applyFont="1" applyFill="1" applyAlignment="1"/>
    <xf numFmtId="0" fontId="32" fillId="0" borderId="0" xfId="0" applyFont="1" applyFill="1" applyAlignment="1"/>
    <xf numFmtId="10" fontId="20" fillId="0" borderId="0" xfId="0" applyNumberFormat="1" applyFont="1" applyFill="1" applyAlignment="1">
      <alignment wrapText="1"/>
    </xf>
    <xf numFmtId="0" fontId="114" fillId="0" borderId="12" xfId="0" quotePrefix="1" applyFont="1" applyFill="1" applyBorder="1"/>
    <xf numFmtId="14" fontId="116" fillId="0" borderId="0" xfId="0" applyNumberFormat="1" applyFont="1" applyFill="1"/>
    <xf numFmtId="0" fontId="0" fillId="0" borderId="0" xfId="0" applyFill="1" applyAlignment="1">
      <alignment horizontal="left" vertical="center"/>
    </xf>
    <xf numFmtId="0" fontId="20" fillId="0" borderId="0" xfId="0" applyFont="1" applyFill="1" applyBorder="1"/>
    <xf numFmtId="0" fontId="20" fillId="0" borderId="11" xfId="0" applyFont="1" applyFill="1" applyBorder="1"/>
    <xf numFmtId="3" fontId="115" fillId="0" borderId="0" xfId="0" applyNumberFormat="1" applyFont="1" applyFill="1" applyBorder="1" applyAlignment="1">
      <alignment horizontal="right"/>
    </xf>
    <xf numFmtId="0" fontId="127" fillId="0" borderId="16" xfId="0" applyFont="1" applyBorder="1"/>
    <xf numFmtId="0" fontId="17" fillId="0" borderId="16" xfId="0" applyFont="1" applyBorder="1" applyAlignment="1">
      <alignment horizontal="right"/>
    </xf>
    <xf numFmtId="0" fontId="17" fillId="0" borderId="17" xfId="0" applyFont="1" applyBorder="1" applyAlignment="1">
      <alignment horizontal="right"/>
    </xf>
    <xf numFmtId="165" fontId="135" fillId="0" borderId="11" xfId="1" applyNumberFormat="1" applyFont="1" applyBorder="1"/>
    <xf numFmtId="0" fontId="116" fillId="0" borderId="15" xfId="0" applyFont="1" applyBorder="1"/>
    <xf numFmtId="0" fontId="116" fillId="0" borderId="13" xfId="0" applyFont="1" applyBorder="1"/>
    <xf numFmtId="0" fontId="116" fillId="0" borderId="10" xfId="0" applyFont="1" applyBorder="1"/>
    <xf numFmtId="0" fontId="116" fillId="0" borderId="15" xfId="0" applyFont="1" applyFill="1" applyBorder="1"/>
    <xf numFmtId="0" fontId="116" fillId="0" borderId="13" xfId="0" applyFont="1" applyFill="1" applyBorder="1"/>
    <xf numFmtId="0" fontId="116" fillId="0" borderId="10" xfId="0" applyFont="1" applyFill="1" applyBorder="1"/>
    <xf numFmtId="0" fontId="127" fillId="0" borderId="15" xfId="0" applyFont="1" applyBorder="1"/>
    <xf numFmtId="10" fontId="133" fillId="0" borderId="0" xfId="0" applyNumberFormat="1" applyFont="1"/>
    <xf numFmtId="43" fontId="0" fillId="0" borderId="0" xfId="0" applyNumberFormat="1"/>
    <xf numFmtId="43" fontId="0" fillId="0" borderId="16" xfId="0" applyNumberFormat="1" applyBorder="1"/>
    <xf numFmtId="43" fontId="0" fillId="0" borderId="17" xfId="0" applyNumberFormat="1" applyBorder="1"/>
    <xf numFmtId="43" fontId="0" fillId="0" borderId="14" xfId="0" applyNumberFormat="1" applyBorder="1"/>
    <xf numFmtId="43" fontId="0" fillId="0" borderId="11" xfId="0" applyNumberFormat="1" applyBorder="1"/>
    <xf numFmtId="43" fontId="0" fillId="0" borderId="12" xfId="0" applyNumberFormat="1" applyBorder="1"/>
    <xf numFmtId="0" fontId="49" fillId="0" borderId="0" xfId="157" applyFill="1"/>
    <xf numFmtId="0" fontId="49" fillId="79" borderId="16" xfId="157" applyFill="1" applyBorder="1" applyAlignment="1">
      <alignment horizontal="left" vertical="center" wrapText="1"/>
    </xf>
    <xf numFmtId="0" fontId="0" fillId="77" borderId="15" xfId="0" applyFill="1" applyBorder="1" applyAlignment="1">
      <alignment horizontal="left" wrapText="1"/>
    </xf>
    <xf numFmtId="0" fontId="0" fillId="77" borderId="16" xfId="0" applyFill="1" applyBorder="1" applyAlignment="1">
      <alignment horizontal="left" wrapText="1"/>
    </xf>
    <xf numFmtId="0" fontId="0" fillId="77" borderId="17" xfId="0" applyFill="1" applyBorder="1" applyAlignment="1">
      <alignment horizontal="left" wrapText="1"/>
    </xf>
    <xf numFmtId="0" fontId="0" fillId="77" borderId="13" xfId="0" applyFill="1" applyBorder="1" applyAlignment="1">
      <alignment horizontal="left" wrapText="1"/>
    </xf>
    <xf numFmtId="0" fontId="0" fillId="77" borderId="0" xfId="0" applyFill="1" applyBorder="1" applyAlignment="1">
      <alignment horizontal="left" wrapText="1"/>
    </xf>
    <xf numFmtId="0" fontId="0" fillId="77" borderId="14" xfId="0" applyFill="1" applyBorder="1" applyAlignment="1">
      <alignment horizontal="left" wrapText="1"/>
    </xf>
    <xf numFmtId="0" fontId="0" fillId="77" borderId="10" xfId="0" applyFill="1" applyBorder="1" applyAlignment="1">
      <alignment horizontal="left" wrapText="1"/>
    </xf>
    <xf numFmtId="0" fontId="0" fillId="77" borderId="11" xfId="0" applyFill="1" applyBorder="1" applyAlignment="1">
      <alignment horizontal="left" wrapText="1"/>
    </xf>
    <xf numFmtId="0" fontId="0" fillId="77" borderId="12" xfId="0" applyFill="1" applyBorder="1" applyAlignment="1">
      <alignment horizontal="left" wrapText="1"/>
    </xf>
    <xf numFmtId="0" fontId="116" fillId="77" borderId="15" xfId="0" applyFont="1" applyFill="1" applyBorder="1" applyAlignment="1">
      <alignment horizontal="left" vertical="top" wrapText="1"/>
    </xf>
    <xf numFmtId="0" fontId="116" fillId="77" borderId="16" xfId="0" applyFont="1" applyFill="1" applyBorder="1" applyAlignment="1">
      <alignment horizontal="left" vertical="top" wrapText="1"/>
    </xf>
    <xf numFmtId="0" fontId="116" fillId="77" borderId="17" xfId="0" applyFont="1" applyFill="1" applyBorder="1" applyAlignment="1">
      <alignment horizontal="left" vertical="top" wrapText="1"/>
    </xf>
    <xf numFmtId="0" fontId="116" fillId="77" borderId="13" xfId="0" applyFont="1" applyFill="1" applyBorder="1" applyAlignment="1">
      <alignment horizontal="left" vertical="top" wrapText="1"/>
    </xf>
    <xf numFmtId="0" fontId="116" fillId="77" borderId="0" xfId="0" applyFont="1" applyFill="1" applyBorder="1" applyAlignment="1">
      <alignment horizontal="left" vertical="top" wrapText="1"/>
    </xf>
    <xf numFmtId="0" fontId="116" fillId="77" borderId="14" xfId="0" applyFont="1" applyFill="1" applyBorder="1" applyAlignment="1">
      <alignment horizontal="left" vertical="top" wrapText="1"/>
    </xf>
    <xf numFmtId="0" fontId="116" fillId="77" borderId="10" xfId="0" applyFont="1" applyFill="1" applyBorder="1" applyAlignment="1">
      <alignment horizontal="left" vertical="top" wrapText="1"/>
    </xf>
    <xf numFmtId="0" fontId="116" fillId="77" borderId="11" xfId="0" applyFont="1" applyFill="1" applyBorder="1" applyAlignment="1">
      <alignment horizontal="left" vertical="top" wrapText="1"/>
    </xf>
    <xf numFmtId="0" fontId="116" fillId="77" borderId="12" xfId="0" applyFont="1" applyFill="1" applyBorder="1" applyAlignment="1">
      <alignment horizontal="left" vertical="top" wrapText="1"/>
    </xf>
    <xf numFmtId="0" fontId="0" fillId="0" borderId="0" xfId="0" applyFont="1" applyBorder="1" applyAlignment="1">
      <alignment wrapText="1"/>
    </xf>
    <xf numFmtId="0" fontId="0" fillId="0" borderId="14" xfId="0" applyFont="1" applyBorder="1" applyAlignment="1">
      <alignment wrapText="1"/>
    </xf>
    <xf numFmtId="0" fontId="0" fillId="77" borderId="15" xfId="0" quotePrefix="1" applyFill="1" applyBorder="1" applyAlignment="1">
      <alignment horizontal="left" vertical="center" wrapText="1"/>
    </xf>
    <xf numFmtId="0" fontId="0" fillId="77" borderId="16" xfId="0" applyFill="1" applyBorder="1" applyAlignment="1">
      <alignment horizontal="left" vertical="center" wrapText="1"/>
    </xf>
    <xf numFmtId="0" fontId="0" fillId="77" borderId="17" xfId="0" applyFill="1" applyBorder="1" applyAlignment="1">
      <alignment horizontal="left" vertical="center" wrapText="1"/>
    </xf>
    <xf numFmtId="0" fontId="0" fillId="77" borderId="13" xfId="0" applyFill="1" applyBorder="1" applyAlignment="1">
      <alignment horizontal="left" vertical="center" wrapText="1"/>
    </xf>
    <xf numFmtId="0" fontId="0" fillId="77" borderId="0" xfId="0" applyFill="1" applyBorder="1" applyAlignment="1">
      <alignment horizontal="left" vertical="center" wrapText="1"/>
    </xf>
    <xf numFmtId="0" fontId="0" fillId="77" borderId="14" xfId="0" applyFill="1" applyBorder="1" applyAlignment="1">
      <alignment horizontal="left" vertical="center" wrapText="1"/>
    </xf>
    <xf numFmtId="0" fontId="0" fillId="77" borderId="10" xfId="0" applyFill="1" applyBorder="1" applyAlignment="1">
      <alignment horizontal="left" vertical="center" wrapText="1"/>
    </xf>
    <xf numFmtId="0" fontId="0" fillId="77" borderId="11" xfId="0" applyFill="1" applyBorder="1" applyAlignment="1">
      <alignment horizontal="left" vertical="center" wrapText="1"/>
    </xf>
    <xf numFmtId="0" fontId="0" fillId="77" borderId="12" xfId="0" applyFill="1" applyBorder="1" applyAlignment="1">
      <alignment horizontal="left" vertical="center" wrapText="1"/>
    </xf>
    <xf numFmtId="0" fontId="0" fillId="0" borderId="0" xfId="0" applyFont="1" applyFill="1" applyBorder="1" applyAlignment="1">
      <alignment wrapText="1"/>
    </xf>
    <xf numFmtId="0" fontId="0" fillId="0" borderId="14" xfId="0" applyFont="1" applyFill="1" applyBorder="1" applyAlignment="1">
      <alignment wrapText="1"/>
    </xf>
    <xf numFmtId="0" fontId="0" fillId="0" borderId="16" xfId="0" applyFont="1" applyBorder="1" applyAlignment="1">
      <alignment wrapText="1"/>
    </xf>
    <xf numFmtId="0" fontId="0" fillId="0" borderId="17" xfId="0" applyFont="1" applyBorder="1" applyAlignment="1">
      <alignment wrapText="1"/>
    </xf>
    <xf numFmtId="0" fontId="118" fillId="0" borderId="0" xfId="0" quotePrefix="1" applyFont="1" applyAlignment="1">
      <alignment horizontal="left" vertical="center" wrapText="1"/>
    </xf>
    <xf numFmtId="0" fontId="118" fillId="76" borderId="15" xfId="0" applyFont="1" applyFill="1" applyBorder="1" applyAlignment="1">
      <alignment horizontal="center" vertical="center" wrapText="1"/>
    </xf>
    <xf numFmtId="0" fontId="118" fillId="76" borderId="16" xfId="0" applyFont="1" applyFill="1" applyBorder="1" applyAlignment="1">
      <alignment horizontal="center" vertical="center" wrapText="1"/>
    </xf>
    <xf numFmtId="0" fontId="118" fillId="76" borderId="17" xfId="0" applyFont="1" applyFill="1" applyBorder="1" applyAlignment="1">
      <alignment horizontal="center" vertical="center" wrapText="1"/>
    </xf>
    <xf numFmtId="0" fontId="118" fillId="76" borderId="10" xfId="0" applyFont="1" applyFill="1" applyBorder="1" applyAlignment="1">
      <alignment horizontal="center" vertical="center" wrapText="1"/>
    </xf>
    <xf numFmtId="0" fontId="118" fillId="76" borderId="11" xfId="0" applyFont="1" applyFill="1" applyBorder="1" applyAlignment="1">
      <alignment horizontal="center" vertical="center" wrapText="1"/>
    </xf>
    <xf numFmtId="0" fontId="118" fillId="76" borderId="12" xfId="0" applyFont="1" applyFill="1" applyBorder="1" applyAlignment="1">
      <alignment horizontal="center" vertical="center" wrapText="1"/>
    </xf>
    <xf numFmtId="0" fontId="118" fillId="0" borderId="0" xfId="0" applyFont="1" applyAlignment="1">
      <alignment horizontal="left" vertical="center" wrapText="1"/>
    </xf>
    <xf numFmtId="0" fontId="0" fillId="76" borderId="15" xfId="0" applyFill="1" applyBorder="1" applyAlignment="1">
      <alignment horizontal="center" wrapText="1"/>
    </xf>
    <xf numFmtId="0" fontId="0" fillId="76" borderId="16" xfId="0" applyFill="1" applyBorder="1" applyAlignment="1">
      <alignment horizontal="center" wrapText="1"/>
    </xf>
    <xf numFmtId="0" fontId="0" fillId="76" borderId="17" xfId="0" applyFill="1" applyBorder="1" applyAlignment="1">
      <alignment horizontal="center" wrapText="1"/>
    </xf>
    <xf numFmtId="0" fontId="0" fillId="76" borderId="10" xfId="0" applyFill="1" applyBorder="1" applyAlignment="1">
      <alignment horizontal="center" wrapText="1"/>
    </xf>
    <xf numFmtId="0" fontId="0" fillId="76" borderId="11" xfId="0" applyFill="1" applyBorder="1" applyAlignment="1">
      <alignment horizontal="center" wrapText="1"/>
    </xf>
    <xf numFmtId="0" fontId="0" fillId="76" borderId="12" xfId="0" applyFill="1" applyBorder="1" applyAlignment="1">
      <alignment horizontal="center" wrapText="1"/>
    </xf>
    <xf numFmtId="0" fontId="113" fillId="79" borderId="15" xfId="0" applyFont="1" applyFill="1" applyBorder="1" applyAlignment="1">
      <alignment horizontal="center" vertical="center"/>
    </xf>
    <xf numFmtId="0" fontId="113" fillId="79" borderId="16" xfId="0" applyFont="1" applyFill="1" applyBorder="1" applyAlignment="1">
      <alignment horizontal="center" vertical="center"/>
    </xf>
    <xf numFmtId="0" fontId="113" fillId="79" borderId="17" xfId="0" applyFont="1" applyFill="1" applyBorder="1" applyAlignment="1">
      <alignment horizontal="center" vertical="center"/>
    </xf>
    <xf numFmtId="0" fontId="113" fillId="77" borderId="15" xfId="0" applyFont="1" applyFill="1" applyBorder="1" applyAlignment="1">
      <alignment horizontal="center" vertical="center"/>
    </xf>
    <xf numFmtId="0" fontId="113" fillId="77" borderId="16" xfId="0" applyFont="1" applyFill="1" applyBorder="1" applyAlignment="1">
      <alignment horizontal="center" vertical="center"/>
    </xf>
    <xf numFmtId="0" fontId="113" fillId="77" borderId="17" xfId="0" applyFont="1" applyFill="1" applyBorder="1" applyAlignment="1">
      <alignment horizontal="center" vertical="center"/>
    </xf>
    <xf numFmtId="0" fontId="129" fillId="79" borderId="18" xfId="0" applyFont="1" applyFill="1" applyBorder="1" applyAlignment="1">
      <alignment horizontal="center" vertical="center" wrapText="1"/>
    </xf>
    <xf numFmtId="0" fontId="129" fillId="79" borderId="42" xfId="0" applyFont="1" applyFill="1" applyBorder="1" applyAlignment="1">
      <alignment horizontal="center" vertical="center" wrapText="1"/>
    </xf>
    <xf numFmtId="0" fontId="129" fillId="79" borderId="41" xfId="0" applyFont="1" applyFill="1" applyBorder="1" applyAlignment="1">
      <alignment horizontal="center" vertical="center" wrapText="1"/>
    </xf>
    <xf numFmtId="0" fontId="0" fillId="77" borderId="16" xfId="0" applyFont="1" applyFill="1" applyBorder="1" applyAlignment="1">
      <alignment horizontal="left" vertical="center" wrapText="1"/>
    </xf>
    <xf numFmtId="0" fontId="0" fillId="77" borderId="11" xfId="0" applyFont="1" applyFill="1" applyBorder="1" applyAlignment="1">
      <alignment horizontal="left" vertical="center" wrapText="1"/>
    </xf>
    <xf numFmtId="0" fontId="0" fillId="77" borderId="16" xfId="0" applyFill="1" applyBorder="1" applyAlignment="1">
      <alignment horizontal="left" vertical="center"/>
    </xf>
    <xf numFmtId="0" fontId="0" fillId="77" borderId="11" xfId="0" applyFill="1" applyBorder="1" applyAlignment="1">
      <alignment horizontal="left" vertical="center"/>
    </xf>
    <xf numFmtId="0" fontId="129" fillId="79" borderId="14" xfId="0" applyFont="1" applyFill="1" applyBorder="1" applyAlignment="1">
      <alignment horizontal="center" vertical="center" wrapText="1"/>
    </xf>
    <xf numFmtId="0" fontId="129" fillId="79" borderId="12" xfId="0" applyFont="1" applyFill="1" applyBorder="1" applyAlignment="1">
      <alignment horizontal="center" vertical="center" wrapText="1"/>
    </xf>
    <xf numFmtId="0" fontId="129" fillId="79" borderId="41" xfId="0" applyFont="1" applyFill="1" applyBorder="1" applyAlignment="1">
      <alignment horizontal="left" vertical="center" wrapText="1"/>
    </xf>
    <xf numFmtId="0" fontId="129" fillId="79" borderId="13" xfId="0" applyFont="1" applyFill="1" applyBorder="1" applyAlignment="1">
      <alignment horizontal="left" vertical="center" wrapText="1"/>
    </xf>
    <xf numFmtId="0" fontId="129" fillId="79" borderId="18" xfId="0" applyFont="1" applyFill="1" applyBorder="1" applyAlignment="1">
      <alignment horizontal="left" vertical="center" wrapText="1"/>
    </xf>
    <xf numFmtId="0" fontId="129" fillId="77" borderId="17" xfId="0" applyFont="1" applyFill="1" applyBorder="1" applyAlignment="1">
      <alignment horizontal="center" vertical="center" wrapText="1"/>
    </xf>
    <xf numFmtId="0" fontId="129" fillId="77" borderId="14" xfId="0" applyFont="1" applyFill="1" applyBorder="1" applyAlignment="1">
      <alignment horizontal="center" vertical="center" wrapText="1"/>
    </xf>
    <xf numFmtId="0" fontId="129" fillId="77" borderId="12" xfId="0" applyFont="1" applyFill="1" applyBorder="1" applyAlignment="1">
      <alignment horizontal="center" vertical="center" wrapText="1"/>
    </xf>
    <xf numFmtId="0" fontId="113" fillId="77" borderId="19" xfId="0" applyFont="1" applyFill="1" applyBorder="1" applyAlignment="1">
      <alignment horizontal="center" vertical="center"/>
    </xf>
    <xf numFmtId="0" fontId="113" fillId="77" borderId="20" xfId="0" applyFont="1" applyFill="1" applyBorder="1" applyAlignment="1">
      <alignment horizontal="center" vertical="center"/>
    </xf>
    <xf numFmtId="0" fontId="113" fillId="77" borderId="22" xfId="0" applyFont="1" applyFill="1" applyBorder="1" applyAlignment="1">
      <alignment horizontal="center" vertical="center"/>
    </xf>
    <xf numFmtId="0" fontId="129" fillId="77" borderId="41" xfId="0" applyFont="1" applyFill="1" applyBorder="1" applyAlignment="1">
      <alignment horizontal="center" vertical="center" wrapText="1"/>
    </xf>
    <xf numFmtId="0" fontId="129" fillId="77" borderId="42" xfId="0" applyFont="1" applyFill="1" applyBorder="1" applyAlignment="1">
      <alignment horizontal="center" vertical="center" wrapText="1"/>
    </xf>
    <xf numFmtId="0" fontId="0" fillId="77" borderId="17" xfId="0" applyFill="1" applyBorder="1" applyAlignment="1">
      <alignment horizontal="center" vertical="center" wrapText="1"/>
    </xf>
    <xf numFmtId="0" fontId="0" fillId="77" borderId="12" xfId="0" applyFill="1" applyBorder="1" applyAlignment="1">
      <alignment horizontal="center" vertical="center" wrapText="1"/>
    </xf>
    <xf numFmtId="0" fontId="123" fillId="0" borderId="11" xfId="0" applyFont="1" applyBorder="1" applyAlignment="1">
      <alignment horizontal="right" vertical="top"/>
    </xf>
    <xf numFmtId="0" fontId="120" fillId="77" borderId="20" xfId="0" applyFont="1" applyFill="1" applyBorder="1" applyAlignment="1">
      <alignment horizontal="center" vertical="center"/>
    </xf>
    <xf numFmtId="0" fontId="120" fillId="77" borderId="22" xfId="0" applyFont="1" applyFill="1" applyBorder="1" applyAlignment="1">
      <alignment horizontal="center" vertical="center"/>
    </xf>
    <xf numFmtId="0" fontId="118" fillId="0" borderId="0" xfId="0" applyFont="1" applyFill="1" applyBorder="1" applyAlignment="1">
      <alignment horizontal="left" vertical="center" wrapText="1"/>
    </xf>
    <xf numFmtId="0" fontId="120" fillId="80" borderId="14" xfId="0" applyFont="1" applyFill="1" applyBorder="1" applyAlignment="1">
      <alignment horizontal="center" vertical="center"/>
    </xf>
    <xf numFmtId="0" fontId="120" fillId="80" borderId="12" xfId="0" applyFont="1" applyFill="1" applyBorder="1" applyAlignment="1">
      <alignment horizontal="center" vertical="center"/>
    </xf>
    <xf numFmtId="0" fontId="120" fillId="77" borderId="0" xfId="0" applyFont="1" applyFill="1" applyBorder="1" applyAlignment="1">
      <alignment horizontal="center" vertical="center"/>
    </xf>
    <xf numFmtId="0" fontId="120" fillId="77" borderId="14" xfId="0" applyFont="1" applyFill="1" applyBorder="1" applyAlignment="1">
      <alignment horizontal="center" vertical="center"/>
    </xf>
    <xf numFmtId="0" fontId="120" fillId="77" borderId="11" xfId="0" applyFont="1" applyFill="1" applyBorder="1" applyAlignment="1">
      <alignment horizontal="center" vertical="center"/>
    </xf>
    <xf numFmtId="0" fontId="120" fillId="77" borderId="12" xfId="0" applyFont="1" applyFill="1" applyBorder="1" applyAlignment="1">
      <alignment horizontal="center" vertical="center"/>
    </xf>
    <xf numFmtId="0" fontId="32" fillId="77" borderId="20" xfId="0" applyFont="1" applyFill="1" applyBorder="1" applyAlignment="1">
      <alignment horizontal="center" vertical="center"/>
    </xf>
    <xf numFmtId="0" fontId="32" fillId="77" borderId="22" xfId="0" applyFont="1" applyFill="1" applyBorder="1" applyAlignment="1">
      <alignment horizontal="center" vertical="center"/>
    </xf>
    <xf numFmtId="0" fontId="32" fillId="80" borderId="20" xfId="0" applyFont="1" applyFill="1" applyBorder="1" applyAlignment="1">
      <alignment horizontal="center" vertical="center"/>
    </xf>
    <xf numFmtId="0" fontId="32" fillId="80" borderId="22" xfId="0" applyFont="1" applyFill="1" applyBorder="1" applyAlignment="1">
      <alignment horizontal="center" vertical="center"/>
    </xf>
    <xf numFmtId="0" fontId="120" fillId="80" borderId="0" xfId="0" applyFont="1" applyFill="1" applyBorder="1" applyAlignment="1">
      <alignment horizontal="center" vertical="center"/>
    </xf>
    <xf numFmtId="9" fontId="32" fillId="39" borderId="0" xfId="0" applyNumberFormat="1" applyFont="1" applyFill="1" applyAlignment="1">
      <alignment horizontal="center"/>
    </xf>
    <xf numFmtId="0" fontId="20" fillId="80" borderId="41" xfId="0" applyFont="1" applyFill="1" applyBorder="1" applyAlignment="1">
      <alignment horizontal="center" vertical="center" wrapText="1"/>
    </xf>
    <xf numFmtId="0" fontId="20" fillId="80" borderId="18" xfId="0" applyFont="1" applyFill="1" applyBorder="1" applyAlignment="1">
      <alignment horizontal="center" vertical="center" wrapText="1"/>
    </xf>
    <xf numFmtId="0" fontId="20" fillId="80" borderId="42" xfId="0" applyFont="1" applyFill="1" applyBorder="1" applyAlignment="1">
      <alignment horizontal="center" vertical="center" wrapText="1"/>
    </xf>
    <xf numFmtId="0" fontId="20" fillId="77" borderId="41" xfId="0" applyFont="1" applyFill="1" applyBorder="1" applyAlignment="1">
      <alignment horizontal="center" vertical="center" wrapText="1"/>
    </xf>
    <xf numFmtId="0" fontId="20" fillId="77" borderId="18" xfId="0" applyFont="1" applyFill="1" applyBorder="1" applyAlignment="1">
      <alignment horizontal="center" vertical="center" wrapText="1"/>
    </xf>
    <xf numFmtId="0" fontId="20" fillId="77" borderId="42" xfId="0" applyFont="1" applyFill="1" applyBorder="1" applyAlignment="1">
      <alignment horizontal="center" vertical="center" wrapText="1"/>
    </xf>
    <xf numFmtId="0" fontId="32" fillId="77" borderId="20" xfId="0" applyFont="1" applyFill="1" applyBorder="1" applyAlignment="1">
      <alignment horizontal="left" vertical="center"/>
    </xf>
    <xf numFmtId="0" fontId="32" fillId="77" borderId="22" xfId="0" applyFont="1" applyFill="1" applyBorder="1" applyAlignment="1">
      <alignment horizontal="left" vertical="center"/>
    </xf>
    <xf numFmtId="0" fontId="120" fillId="77" borderId="16" xfId="0" applyFont="1" applyFill="1" applyBorder="1" applyAlignment="1">
      <alignment horizontal="center" vertical="center"/>
    </xf>
    <xf numFmtId="0" fontId="120" fillId="77" borderId="17" xfId="0" applyFont="1" applyFill="1" applyBorder="1" applyAlignment="1">
      <alignment horizontal="center" vertical="center"/>
    </xf>
    <xf numFmtId="0" fontId="32" fillId="39" borderId="0" xfId="0" applyFont="1" applyFill="1" applyAlignment="1">
      <alignment horizontal="center"/>
    </xf>
    <xf numFmtId="0" fontId="20" fillId="76" borderId="19" xfId="0" applyFont="1" applyFill="1" applyBorder="1" applyAlignment="1">
      <alignment horizontal="center" vertical="center" wrapText="1"/>
    </xf>
    <xf numFmtId="0" fontId="20" fillId="76" borderId="20" xfId="0" applyFont="1" applyFill="1" applyBorder="1" applyAlignment="1">
      <alignment horizontal="center" vertical="center" wrapText="1"/>
    </xf>
    <xf numFmtId="0" fontId="20" fillId="76" borderId="22" xfId="0" applyFont="1" applyFill="1" applyBorder="1" applyAlignment="1">
      <alignment horizontal="center" vertical="center" wrapText="1"/>
    </xf>
    <xf numFmtId="0" fontId="20" fillId="39" borderId="0" xfId="0" applyFont="1" applyFill="1" applyAlignment="1">
      <alignment horizontal="center"/>
    </xf>
    <xf numFmtId="0" fontId="20" fillId="76" borderId="19" xfId="0" applyFont="1" applyFill="1" applyBorder="1" applyAlignment="1">
      <alignment horizontal="center" vertical="center"/>
    </xf>
    <xf numFmtId="0" fontId="20" fillId="76" borderId="20" xfId="0" applyFont="1" applyFill="1" applyBorder="1" applyAlignment="1">
      <alignment horizontal="center" vertical="center"/>
    </xf>
    <xf numFmtId="0" fontId="20" fillId="76" borderId="22" xfId="0" applyFont="1" applyFill="1" applyBorder="1" applyAlignment="1">
      <alignment horizontal="center" vertical="center"/>
    </xf>
    <xf numFmtId="0" fontId="20" fillId="76" borderId="15" xfId="0" applyFont="1" applyFill="1" applyBorder="1" applyAlignment="1">
      <alignment horizontal="center" vertical="center" wrapText="1"/>
    </xf>
    <xf numFmtId="0" fontId="20" fillId="76" borderId="16" xfId="0" applyFont="1" applyFill="1" applyBorder="1" applyAlignment="1">
      <alignment horizontal="center" vertical="center" wrapText="1"/>
    </xf>
    <xf numFmtId="0" fontId="20" fillId="76" borderId="17" xfId="0" applyFont="1" applyFill="1" applyBorder="1" applyAlignment="1">
      <alignment horizontal="center" vertical="center" wrapText="1"/>
    </xf>
    <xf numFmtId="0" fontId="20" fillId="76" borderId="13" xfId="0" applyFont="1" applyFill="1" applyBorder="1" applyAlignment="1">
      <alignment horizontal="center" vertical="center" wrapText="1"/>
    </xf>
    <xf numFmtId="0" fontId="20" fillId="76" borderId="0" xfId="0" applyFont="1" applyFill="1" applyBorder="1" applyAlignment="1">
      <alignment horizontal="center" vertical="center" wrapText="1"/>
    </xf>
    <xf numFmtId="0" fontId="20" fillId="76" borderId="14" xfId="0" applyFont="1" applyFill="1" applyBorder="1" applyAlignment="1">
      <alignment horizontal="center" vertical="center" wrapText="1"/>
    </xf>
    <xf numFmtId="0" fontId="20" fillId="76" borderId="10" xfId="0" applyFont="1" applyFill="1" applyBorder="1" applyAlignment="1">
      <alignment horizontal="center" vertical="center" wrapText="1"/>
    </xf>
    <xf numFmtId="0" fontId="20" fillId="76" borderId="11" xfId="0" applyFont="1" applyFill="1" applyBorder="1" applyAlignment="1">
      <alignment horizontal="center" vertical="center" wrapText="1"/>
    </xf>
    <xf numFmtId="0" fontId="20" fillId="76" borderId="12" xfId="0" applyFont="1" applyFill="1" applyBorder="1" applyAlignment="1">
      <alignment horizontal="center" vertical="center" wrapText="1"/>
    </xf>
    <xf numFmtId="0" fontId="116" fillId="0" borderId="0" xfId="0" applyFont="1" applyFill="1" applyBorder="1" applyAlignment="1">
      <alignment horizontal="left" wrapText="1"/>
    </xf>
    <xf numFmtId="0" fontId="0" fillId="76" borderId="15" xfId="0" applyFill="1" applyBorder="1" applyAlignment="1">
      <alignment horizontal="center" vertical="center" wrapText="1"/>
    </xf>
    <xf numFmtId="0" fontId="0" fillId="76" borderId="16" xfId="0" applyFill="1" applyBorder="1" applyAlignment="1">
      <alignment horizontal="center" vertical="center" wrapText="1"/>
    </xf>
    <xf numFmtId="0" fontId="0" fillId="76" borderId="17" xfId="0" applyFill="1" applyBorder="1" applyAlignment="1">
      <alignment horizontal="center" vertical="center" wrapText="1"/>
    </xf>
    <xf numFmtId="0" fontId="0" fillId="76" borderId="13" xfId="0" applyFill="1" applyBorder="1" applyAlignment="1">
      <alignment horizontal="center" vertical="center" wrapText="1"/>
    </xf>
    <xf numFmtId="0" fontId="0" fillId="76" borderId="0" xfId="0" applyFill="1" applyBorder="1" applyAlignment="1">
      <alignment horizontal="center" vertical="center" wrapText="1"/>
    </xf>
    <xf numFmtId="0" fontId="0" fillId="76" borderId="14" xfId="0" applyFill="1" applyBorder="1" applyAlignment="1">
      <alignment horizontal="center" vertical="center" wrapText="1"/>
    </xf>
    <xf numFmtId="0" fontId="0" fillId="76" borderId="10" xfId="0" applyFill="1" applyBorder="1" applyAlignment="1">
      <alignment horizontal="center" vertical="center" wrapText="1"/>
    </xf>
    <xf numFmtId="0" fontId="0" fillId="76" borderId="11" xfId="0" applyFill="1" applyBorder="1" applyAlignment="1">
      <alignment horizontal="center" vertical="center" wrapText="1"/>
    </xf>
    <xf numFmtId="0" fontId="0" fillId="76" borderId="12" xfId="0" applyFill="1" applyBorder="1" applyAlignment="1">
      <alignment horizontal="center" vertical="center" wrapText="1"/>
    </xf>
    <xf numFmtId="0" fontId="133" fillId="80" borderId="15" xfId="0" applyFont="1" applyFill="1" applyBorder="1" applyAlignment="1">
      <alignment horizontal="center" vertical="center" wrapText="1"/>
    </xf>
    <xf numFmtId="0" fontId="133" fillId="80" borderId="13" xfId="0" applyFont="1" applyFill="1" applyBorder="1" applyAlignment="1">
      <alignment horizontal="center" vertical="center" wrapText="1"/>
    </xf>
    <xf numFmtId="0" fontId="133" fillId="80" borderId="10" xfId="0" applyFont="1" applyFill="1" applyBorder="1" applyAlignment="1">
      <alignment horizontal="center" vertical="center" wrapText="1"/>
    </xf>
    <xf numFmtId="0" fontId="133" fillId="77" borderId="15" xfId="0" applyFont="1" applyFill="1" applyBorder="1" applyAlignment="1">
      <alignment horizontal="center" vertical="center" wrapText="1"/>
    </xf>
    <xf numFmtId="0" fontId="133" fillId="77" borderId="13" xfId="0" applyFont="1" applyFill="1" applyBorder="1" applyAlignment="1">
      <alignment horizontal="center" vertical="center" wrapText="1"/>
    </xf>
    <xf numFmtId="0" fontId="133" fillId="77" borderId="10" xfId="0" applyFont="1" applyFill="1" applyBorder="1" applyAlignment="1">
      <alignment horizontal="center" vertical="center" wrapText="1"/>
    </xf>
    <xf numFmtId="0" fontId="0" fillId="76" borderId="15" xfId="0" applyFill="1" applyBorder="1" applyAlignment="1">
      <alignment horizontal="left" vertical="center" wrapText="1"/>
    </xf>
    <xf numFmtId="0" fontId="0" fillId="76" borderId="16" xfId="0" applyFill="1" applyBorder="1" applyAlignment="1">
      <alignment horizontal="left" vertical="center" wrapText="1"/>
    </xf>
    <xf numFmtId="0" fontId="0" fillId="76" borderId="17" xfId="0" applyFill="1" applyBorder="1" applyAlignment="1">
      <alignment horizontal="left" vertical="center" wrapText="1"/>
    </xf>
    <xf numFmtId="0" fontId="0" fillId="76" borderId="13" xfId="0" applyFill="1" applyBorder="1" applyAlignment="1">
      <alignment horizontal="left" vertical="center" wrapText="1"/>
    </xf>
    <xf numFmtId="0" fontId="0" fillId="76" borderId="0" xfId="0" applyFill="1" applyBorder="1" applyAlignment="1">
      <alignment horizontal="left" vertical="center" wrapText="1"/>
    </xf>
    <xf numFmtId="0" fontId="0" fillId="76" borderId="14" xfId="0" applyFill="1" applyBorder="1" applyAlignment="1">
      <alignment horizontal="left" vertical="center" wrapText="1"/>
    </xf>
    <xf numFmtId="0" fontId="0" fillId="76" borderId="10" xfId="0" applyFill="1" applyBorder="1" applyAlignment="1">
      <alignment horizontal="left" vertical="center" wrapText="1"/>
    </xf>
    <xf numFmtId="0" fontId="0" fillId="76" borderId="11" xfId="0" applyFill="1" applyBorder="1" applyAlignment="1">
      <alignment horizontal="left" vertical="center" wrapText="1"/>
    </xf>
    <xf numFmtId="0" fontId="0" fillId="76" borderId="12" xfId="0" applyFill="1" applyBorder="1" applyAlignment="1">
      <alignment horizontal="left" vertical="center" wrapText="1"/>
    </xf>
    <xf numFmtId="0" fontId="0" fillId="0" borderId="0" xfId="0" applyAlignment="1">
      <alignment horizont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2" xfId="0" applyBorder="1" applyAlignment="1">
      <alignment horizontal="center" vertical="center"/>
    </xf>
    <xf numFmtId="0" fontId="17" fillId="0" borderId="19" xfId="0" applyFont="1" applyFill="1" applyBorder="1" applyAlignment="1">
      <alignment horizontal="center" vertical="center"/>
    </xf>
    <xf numFmtId="0" fontId="17" fillId="0" borderId="20" xfId="0" applyFont="1" applyFill="1" applyBorder="1" applyAlignment="1">
      <alignment horizontal="center" vertical="center"/>
    </xf>
    <xf numFmtId="0" fontId="17" fillId="0" borderId="22" xfId="0" applyFont="1" applyFill="1" applyBorder="1" applyAlignment="1">
      <alignment horizontal="center" vertical="center"/>
    </xf>
    <xf numFmtId="0" fontId="15" fillId="0" borderId="0" xfId="0" applyFont="1" applyFill="1" applyAlignment="1">
      <alignment horizontal="center" wrapText="1"/>
    </xf>
    <xf numFmtId="0" fontId="133" fillId="0" borderId="19" xfId="0" applyFont="1" applyBorder="1" applyAlignment="1">
      <alignment horizontal="center" vertical="center"/>
    </xf>
    <xf numFmtId="0" fontId="133" fillId="0" borderId="20" xfId="0" applyFont="1" applyBorder="1" applyAlignment="1">
      <alignment horizontal="center" vertical="center"/>
    </xf>
    <xf numFmtId="0" fontId="133" fillId="0" borderId="22" xfId="0" applyFont="1" applyBorder="1" applyAlignment="1">
      <alignment horizontal="center" vertical="center"/>
    </xf>
  </cellXfs>
  <cellStyles count="793">
    <cellStyle name="%" xfId="160"/>
    <cellStyle name="% 2" xfId="161"/>
    <cellStyle name="% 2 2" xfId="624"/>
    <cellStyle name="% 3" xfId="162"/>
    <cellStyle name="% 4" xfId="623"/>
    <cellStyle name="%_PEF FSBR2011" xfId="163"/>
    <cellStyle name="%_PEF FSBR2011 2" xfId="625"/>
    <cellStyle name="]_x000d__x000a_Zoomed=1_x000d__x000a_Row=0_x000d__x000a_Column=0_x000d__x000a_Height=0_x000d__x000a_Width=0_x000d__x000a_FontName=FoxFont_x000d__x000a_FontStyle=0_x000d__x000a_FontSize=9_x000d__x000a_PrtFontName=FoxPrin" xfId="164"/>
    <cellStyle name="]_x000d__x000a_Zoomed=1_x000d__x000a_Row=0_x000d__x000a_Column=0_x000d__x000a_Height=0_x000d__x000a_Width=0_x000d__x000a_FontName=FoxFont_x000d__x000a_FontStyle=0_x000d__x000a_FontSize=9_x000d__x000a_PrtFontName=FoxPrin 2" xfId="626"/>
    <cellStyle name="_TableHead" xfId="165"/>
    <cellStyle name="1dp" xfId="166"/>
    <cellStyle name="1dp 2" xfId="167"/>
    <cellStyle name="1dp 2 2" xfId="628"/>
    <cellStyle name="1dp 3" xfId="627"/>
    <cellStyle name="20% - Accent1 2" xfId="130"/>
    <cellStyle name="20% - Accent1 2 2" xfId="168"/>
    <cellStyle name="20% - Accent1 2 3" xfId="629"/>
    <cellStyle name="20% - Accent1 3" xfId="169"/>
    <cellStyle name="20% - Accent1 4" xfId="81"/>
    <cellStyle name="20% - Accent1 5" xfId="34"/>
    <cellStyle name="20% - Accent2 2" xfId="134"/>
    <cellStyle name="20% - Accent2 2 2" xfId="170"/>
    <cellStyle name="20% - Accent2 2 3" xfId="630"/>
    <cellStyle name="20% - Accent2 3" xfId="171"/>
    <cellStyle name="20% - Accent2 4" xfId="85"/>
    <cellStyle name="20% - Accent2 5" xfId="38"/>
    <cellStyle name="20% - Accent3 2" xfId="138"/>
    <cellStyle name="20% - Accent3 2 2" xfId="172"/>
    <cellStyle name="20% - Accent3 2 3" xfId="631"/>
    <cellStyle name="20% - Accent3 3" xfId="173"/>
    <cellStyle name="20% - Accent3 4" xfId="89"/>
    <cellStyle name="20% - Accent3 5" xfId="42"/>
    <cellStyle name="20% - Accent4 2" xfId="142"/>
    <cellStyle name="20% - Accent4 2 2" xfId="174"/>
    <cellStyle name="20% - Accent4 2 3" xfId="632"/>
    <cellStyle name="20% - Accent4 3" xfId="175"/>
    <cellStyle name="20% - Accent4 4" xfId="93"/>
    <cellStyle name="20% - Accent4 5" xfId="46"/>
    <cellStyle name="20% - Accent5 2" xfId="146"/>
    <cellStyle name="20% - Accent5 2 2" xfId="176"/>
    <cellStyle name="20% - Accent5 2 3" xfId="633"/>
    <cellStyle name="20% - Accent5 3" xfId="177"/>
    <cellStyle name="20% - Accent5 4" xfId="97"/>
    <cellStyle name="20% - Accent5 5" xfId="50"/>
    <cellStyle name="20% - Accent6 2" xfId="150"/>
    <cellStyle name="20% - Accent6 2 2" xfId="178"/>
    <cellStyle name="20% - Accent6 2 3" xfId="634"/>
    <cellStyle name="20% - Accent6 3" xfId="179"/>
    <cellStyle name="20% - Accent6 4" xfId="101"/>
    <cellStyle name="20% - Accent6 5" xfId="54"/>
    <cellStyle name="3dp" xfId="180"/>
    <cellStyle name="3dp 2" xfId="181"/>
    <cellStyle name="3dp 2 2" xfId="636"/>
    <cellStyle name="3dp 3" xfId="635"/>
    <cellStyle name="40% - Accent1 2" xfId="131"/>
    <cellStyle name="40% - Accent1 2 2" xfId="182"/>
    <cellStyle name="40% - Accent1 2 3" xfId="637"/>
    <cellStyle name="40% - Accent1 3" xfId="183"/>
    <cellStyle name="40% - Accent1 4" xfId="82"/>
    <cellStyle name="40% - Accent1 5" xfId="35"/>
    <cellStyle name="40% - Accent2 2" xfId="135"/>
    <cellStyle name="40% - Accent2 2 2" xfId="184"/>
    <cellStyle name="40% - Accent2 2 3" xfId="638"/>
    <cellStyle name="40% - Accent2 3" xfId="185"/>
    <cellStyle name="40% - Accent2 4" xfId="86"/>
    <cellStyle name="40% - Accent2 5" xfId="39"/>
    <cellStyle name="40% - Accent3 2" xfId="139"/>
    <cellStyle name="40% - Accent3 2 2" xfId="186"/>
    <cellStyle name="40% - Accent3 2 3" xfId="639"/>
    <cellStyle name="40% - Accent3 3" xfId="187"/>
    <cellStyle name="40% - Accent3 4" xfId="90"/>
    <cellStyle name="40% - Accent3 5" xfId="43"/>
    <cellStyle name="40% - Accent4 2" xfId="143"/>
    <cellStyle name="40% - Accent4 2 2" xfId="188"/>
    <cellStyle name="40% - Accent4 2 3" xfId="640"/>
    <cellStyle name="40% - Accent4 3" xfId="189"/>
    <cellStyle name="40% - Accent4 4" xfId="94"/>
    <cellStyle name="40% - Accent4 5" xfId="47"/>
    <cellStyle name="40% - Accent5 2" xfId="147"/>
    <cellStyle name="40% - Accent5 2 2" xfId="190"/>
    <cellStyle name="40% - Accent5 2 3" xfId="641"/>
    <cellStyle name="40% - Accent5 3" xfId="191"/>
    <cellStyle name="40% - Accent5 4" xfId="98"/>
    <cellStyle name="40% - Accent5 5" xfId="51"/>
    <cellStyle name="40% - Accent6 2" xfId="151"/>
    <cellStyle name="40% - Accent6 2 2" xfId="192"/>
    <cellStyle name="40% - Accent6 2 3" xfId="642"/>
    <cellStyle name="40% - Accent6 3" xfId="193"/>
    <cellStyle name="40% - Accent6 4" xfId="102"/>
    <cellStyle name="40% - Accent6 5" xfId="55"/>
    <cellStyle name="4dp" xfId="194"/>
    <cellStyle name="4dp 2" xfId="195"/>
    <cellStyle name="4dp 2 2" xfId="644"/>
    <cellStyle name="4dp 3" xfId="643"/>
    <cellStyle name="60% - Accent1 2" xfId="132"/>
    <cellStyle name="60% - Accent1 2 2" xfId="196"/>
    <cellStyle name="60% - Accent1 2 3" xfId="645"/>
    <cellStyle name="60% - Accent1 3" xfId="197"/>
    <cellStyle name="60% - Accent1 4" xfId="83"/>
    <cellStyle name="60% - Accent1 5" xfId="36"/>
    <cellStyle name="60% - Accent2 2" xfId="136"/>
    <cellStyle name="60% - Accent2 2 2" xfId="198"/>
    <cellStyle name="60% - Accent2 2 3" xfId="646"/>
    <cellStyle name="60% - Accent2 3" xfId="199"/>
    <cellStyle name="60% - Accent2 4" xfId="87"/>
    <cellStyle name="60% - Accent2 5" xfId="40"/>
    <cellStyle name="60% - Accent3 2" xfId="140"/>
    <cellStyle name="60% - Accent3 2 2" xfId="200"/>
    <cellStyle name="60% - Accent3 2 3" xfId="647"/>
    <cellStyle name="60% - Accent3 3" xfId="201"/>
    <cellStyle name="60% - Accent3 4" xfId="91"/>
    <cellStyle name="60% - Accent3 5" xfId="44"/>
    <cellStyle name="60% - Accent4 2" xfId="144"/>
    <cellStyle name="60% - Accent4 2 2" xfId="202"/>
    <cellStyle name="60% - Accent4 2 3" xfId="648"/>
    <cellStyle name="60% - Accent4 3" xfId="203"/>
    <cellStyle name="60% - Accent4 4" xfId="95"/>
    <cellStyle name="60% - Accent4 5" xfId="48"/>
    <cellStyle name="60% - Accent5 2" xfId="148"/>
    <cellStyle name="60% - Accent5 2 2" xfId="204"/>
    <cellStyle name="60% - Accent5 2 3" xfId="649"/>
    <cellStyle name="60% - Accent5 3" xfId="205"/>
    <cellStyle name="60% - Accent5 4" xfId="99"/>
    <cellStyle name="60% - Accent5 5" xfId="52"/>
    <cellStyle name="60% - Accent6 2" xfId="152"/>
    <cellStyle name="60% - Accent6 2 2" xfId="206"/>
    <cellStyle name="60% - Accent6 2 3" xfId="650"/>
    <cellStyle name="60% - Accent6 3" xfId="207"/>
    <cellStyle name="60% - Accent6 4" xfId="103"/>
    <cellStyle name="60% - Accent6 5" xfId="56"/>
    <cellStyle name="Accent1 2" xfId="129"/>
    <cellStyle name="Accent1 2 2" xfId="208"/>
    <cellStyle name="Accent1 2 3" xfId="651"/>
    <cellStyle name="Accent1 3" xfId="209"/>
    <cellStyle name="Accent1 4" xfId="80"/>
    <cellStyle name="Accent1 5" xfId="33"/>
    <cellStyle name="Accent2 2" xfId="133"/>
    <cellStyle name="Accent2 2 2" xfId="210"/>
    <cellStyle name="Accent2 2 3" xfId="652"/>
    <cellStyle name="Accent2 3" xfId="211"/>
    <cellStyle name="Accent2 4" xfId="84"/>
    <cellStyle name="Accent2 5" xfId="37"/>
    <cellStyle name="Accent3 2" xfId="137"/>
    <cellStyle name="Accent3 2 2" xfId="212"/>
    <cellStyle name="Accent3 2 3" xfId="653"/>
    <cellStyle name="Accent3 3" xfId="213"/>
    <cellStyle name="Accent3 4" xfId="88"/>
    <cellStyle name="Accent3 5" xfId="41"/>
    <cellStyle name="Accent4 2" xfId="141"/>
    <cellStyle name="Accent4 2 2" xfId="214"/>
    <cellStyle name="Accent4 2 3" xfId="654"/>
    <cellStyle name="Accent4 3" xfId="215"/>
    <cellStyle name="Accent4 4" xfId="92"/>
    <cellStyle name="Accent4 5" xfId="45"/>
    <cellStyle name="Accent5 2" xfId="145"/>
    <cellStyle name="Accent5 2 2" xfId="216"/>
    <cellStyle name="Accent5 2 3" xfId="655"/>
    <cellStyle name="Accent5 3" xfId="217"/>
    <cellStyle name="Accent5 4" xfId="96"/>
    <cellStyle name="Accent5 5" xfId="49"/>
    <cellStyle name="Accent6 2" xfId="149"/>
    <cellStyle name="Accent6 2 2" xfId="218"/>
    <cellStyle name="Accent6 2 3" xfId="656"/>
    <cellStyle name="Accent6 3" xfId="219"/>
    <cellStyle name="Accent6 4" xfId="100"/>
    <cellStyle name="Accent6 5" xfId="53"/>
    <cellStyle name="ANCLAS,REZONES Y SUS PARTES,DE FUNDICION,DE HIERRO O DE ACERO" xfId="220"/>
    <cellStyle name="avt31l" xfId="221"/>
    <cellStyle name="Bad 2" xfId="119"/>
    <cellStyle name="Bad 2 2" xfId="222"/>
    <cellStyle name="Bad 2 3" xfId="657"/>
    <cellStyle name="Bad 3" xfId="223"/>
    <cellStyle name="Bad 4" xfId="69"/>
    <cellStyle name="Bad 5" xfId="23"/>
    <cellStyle name="Bid £m format" xfId="224"/>
    <cellStyle name="Bid £m format 2" xfId="658"/>
    <cellStyle name="Calculation 2" xfId="123"/>
    <cellStyle name="Calculation 2 2" xfId="225"/>
    <cellStyle name="Calculation 2 3" xfId="659"/>
    <cellStyle name="Calculation 3" xfId="226"/>
    <cellStyle name="Calculation 4" xfId="73"/>
    <cellStyle name="Calculation 5" xfId="27"/>
    <cellStyle name="CellBACode" xfId="227"/>
    <cellStyle name="CellBAName" xfId="228"/>
    <cellStyle name="CellBAValue" xfId="229"/>
    <cellStyle name="CellBAValue 2" xfId="230"/>
    <cellStyle name="CellMCCode" xfId="231"/>
    <cellStyle name="CellMCName" xfId="232"/>
    <cellStyle name="CellMCValue" xfId="233"/>
    <cellStyle name="CellNationCode" xfId="234"/>
    <cellStyle name="CellNationName" xfId="235"/>
    <cellStyle name="CellNationSubCode" xfId="236"/>
    <cellStyle name="CellNationSubName" xfId="237"/>
    <cellStyle name="CellNationSubValue" xfId="238"/>
    <cellStyle name="CellNationValue" xfId="239"/>
    <cellStyle name="CellNormal" xfId="240"/>
    <cellStyle name="CellRegionCode" xfId="241"/>
    <cellStyle name="CellRegionName" xfId="242"/>
    <cellStyle name="CellRegionValue" xfId="243"/>
    <cellStyle name="CellUACode" xfId="244"/>
    <cellStyle name="CellUAName" xfId="245"/>
    <cellStyle name="CellUAValue" xfId="246"/>
    <cellStyle name="CellUAValue 2" xfId="247"/>
    <cellStyle name="Check Cell 2" xfId="125"/>
    <cellStyle name="Check Cell 2 2" xfId="248"/>
    <cellStyle name="Check Cell 2 3" xfId="660"/>
    <cellStyle name="Check Cell 3" xfId="249"/>
    <cellStyle name="Check Cell 4" xfId="75"/>
    <cellStyle name="Check Cell 5" xfId="29"/>
    <cellStyle name="CIL" xfId="250"/>
    <cellStyle name="CIU" xfId="251"/>
    <cellStyle name="Comma" xfId="1" builtinId="3"/>
    <cellStyle name="Comma 10" xfId="252"/>
    <cellStyle name="Comma 11" xfId="253"/>
    <cellStyle name="Comma 11 2" xfId="254"/>
    <cellStyle name="Comma 11 3" xfId="255"/>
    <cellStyle name="Comma 12" xfId="256"/>
    <cellStyle name="Comma 12 2" xfId="257"/>
    <cellStyle name="Comma 13" xfId="258"/>
    <cellStyle name="Comma 14" xfId="259"/>
    <cellStyle name="Comma 15" xfId="260"/>
    <cellStyle name="Comma 16" xfId="261"/>
    <cellStyle name="Comma 17" xfId="262"/>
    <cellStyle name="Comma 18" xfId="263"/>
    <cellStyle name="Comma 19" xfId="264"/>
    <cellStyle name="Comma 2" xfId="105"/>
    <cellStyle name="Comma 2 2" xfId="266"/>
    <cellStyle name="Comma 2 2 2" xfId="662"/>
    <cellStyle name="Comma 2 3" xfId="267"/>
    <cellStyle name="Comma 2 3 2" xfId="268"/>
    <cellStyle name="Comma 2 3 3" xfId="788"/>
    <cellStyle name="Comma 2 4" xfId="269"/>
    <cellStyle name="Comma 2 5" xfId="265"/>
    <cellStyle name="Comma 2 6" xfId="661"/>
    <cellStyle name="Comma 20" xfId="270"/>
    <cellStyle name="Comma 21" xfId="271"/>
    <cellStyle name="Comma 22" xfId="62"/>
    <cellStyle name="Comma 23" xfId="4"/>
    <cellStyle name="Comma 3" xfId="272"/>
    <cellStyle name="Comma 3 2" xfId="273"/>
    <cellStyle name="Comma 3 2 2" xfId="665"/>
    <cellStyle name="Comma 3 2 3" xfId="790"/>
    <cellStyle name="Comma 3 2 4" xfId="664"/>
    <cellStyle name="Comma 3 3" xfId="274"/>
    <cellStyle name="Comma 3 3 2" xfId="666"/>
    <cellStyle name="Comma 3 4" xfId="789"/>
    <cellStyle name="Comma 3 5" xfId="663"/>
    <cellStyle name="Comma 4" xfId="275"/>
    <cellStyle name="Comma 4 2" xfId="276"/>
    <cellStyle name="Comma 4 2 2" xfId="668"/>
    <cellStyle name="Comma 4 3" xfId="791"/>
    <cellStyle name="Comma 4 4" xfId="667"/>
    <cellStyle name="Comma 5" xfId="277"/>
    <cellStyle name="Comma 5 2" xfId="669"/>
    <cellStyle name="Comma 6" xfId="278"/>
    <cellStyle name="Comma 7" xfId="279"/>
    <cellStyle name="Comma 8" xfId="280"/>
    <cellStyle name="Comma 9" xfId="281"/>
    <cellStyle name="Currency 2" xfId="12"/>
    <cellStyle name="Currency 2 2" xfId="283"/>
    <cellStyle name="Currency 2 2 2" xfId="671"/>
    <cellStyle name="Currency 2 3" xfId="282"/>
    <cellStyle name="Currency 2 3 2" xfId="792"/>
    <cellStyle name="Currency 2 4" xfId="111"/>
    <cellStyle name="Currency 2 5" xfId="670"/>
    <cellStyle name="Currency 3" xfId="106"/>
    <cellStyle name="Currency 3 2" xfId="285"/>
    <cellStyle name="Currency 3 3" xfId="284"/>
    <cellStyle name="Currency 4" xfId="286"/>
    <cellStyle name="Currency 5" xfId="5"/>
    <cellStyle name="Description" xfId="287"/>
    <cellStyle name="Euro" xfId="288"/>
    <cellStyle name="Euro 2" xfId="672"/>
    <cellStyle name="Explanatory Text 2" xfId="127"/>
    <cellStyle name="Explanatory Text 2 2" xfId="289"/>
    <cellStyle name="Explanatory Text 2 3" xfId="673"/>
    <cellStyle name="Explanatory Text 3" xfId="290"/>
    <cellStyle name="Explanatory Text 4" xfId="78"/>
    <cellStyle name="Explanatory Text 5" xfId="31"/>
    <cellStyle name="Flash" xfId="291"/>
    <cellStyle name="footnote ref" xfId="292"/>
    <cellStyle name="footnote text" xfId="293"/>
    <cellStyle name="General" xfId="294"/>
    <cellStyle name="General 2" xfId="295"/>
    <cellStyle name="General 2 2" xfId="675"/>
    <cellStyle name="General 3" xfId="674"/>
    <cellStyle name="Good 2" xfId="118"/>
    <cellStyle name="Good 2 2" xfId="296"/>
    <cellStyle name="Good 2 3" xfId="676"/>
    <cellStyle name="Good 3" xfId="297"/>
    <cellStyle name="Good 4" xfId="68"/>
    <cellStyle name="Good 5" xfId="22"/>
    <cellStyle name="Grey" xfId="298"/>
    <cellStyle name="HeaderLabel" xfId="299"/>
    <cellStyle name="Headers" xfId="300"/>
    <cellStyle name="HeaderText" xfId="301"/>
    <cellStyle name="Heading 1 2" xfId="114"/>
    <cellStyle name="Heading 1 2 2" xfId="303"/>
    <cellStyle name="Heading 1 2 3" xfId="302"/>
    <cellStyle name="Heading 1 2 4" xfId="677"/>
    <cellStyle name="Heading 1 2_asset sales" xfId="304"/>
    <cellStyle name="Heading 1 3" xfId="305"/>
    <cellStyle name="Heading 1 3 2" xfId="678"/>
    <cellStyle name="Heading 1 4" xfId="306"/>
    <cellStyle name="Heading 1 5" xfId="64"/>
    <cellStyle name="Heading 1 6" xfId="18"/>
    <cellStyle name="Heading 2 2" xfId="115"/>
    <cellStyle name="Heading 2 2 2" xfId="307"/>
    <cellStyle name="Heading 2 2 3" xfId="679"/>
    <cellStyle name="Heading 2 3" xfId="308"/>
    <cellStyle name="Heading 2 3 2" xfId="680"/>
    <cellStyle name="Heading 2 4" xfId="65"/>
    <cellStyle name="Heading 2 5" xfId="19"/>
    <cellStyle name="Heading 3 2" xfId="116"/>
    <cellStyle name="Heading 3 2 2" xfId="309"/>
    <cellStyle name="Heading 3 2 3" xfId="681"/>
    <cellStyle name="Heading 3 3" xfId="310"/>
    <cellStyle name="Heading 3 3 2" xfId="682"/>
    <cellStyle name="Heading 3 4" xfId="66"/>
    <cellStyle name="Heading 3 5" xfId="20"/>
    <cellStyle name="Heading 4 2" xfId="117"/>
    <cellStyle name="Heading 4 2 2" xfId="311"/>
    <cellStyle name="Heading 4 2 3" xfId="683"/>
    <cellStyle name="Heading 4 3" xfId="312"/>
    <cellStyle name="Heading 4 3 2" xfId="684"/>
    <cellStyle name="Heading 4 4" xfId="67"/>
    <cellStyle name="Heading 4 5" xfId="21"/>
    <cellStyle name="Heading 5" xfId="313"/>
    <cellStyle name="Heading 6" xfId="314"/>
    <cellStyle name="Heading 7" xfId="315"/>
    <cellStyle name="Heading 8" xfId="316"/>
    <cellStyle name="Hyperlink" xfId="157"/>
    <cellStyle name="Hyperlink 10" xfId="685"/>
    <cellStyle name="Hyperlink 2" xfId="317"/>
    <cellStyle name="Hyperlink 2 2" xfId="318"/>
    <cellStyle name="Hyperlink 3" xfId="319"/>
    <cellStyle name="Hyperlink 4" xfId="320"/>
    <cellStyle name="Hyperlink 4 2" xfId="321"/>
    <cellStyle name="Hyperlink 4 3" xfId="322"/>
    <cellStyle name="Hyperlink 5" xfId="323"/>
    <cellStyle name="Hyperlink 6" xfId="324"/>
    <cellStyle name="Hyperlink 7" xfId="325"/>
    <cellStyle name="Hyperlink 8" xfId="326"/>
    <cellStyle name="Hyperlink 9" xfId="621"/>
    <cellStyle name="Hyperlink_Table 1.1" xfId="327"/>
    <cellStyle name="Information" xfId="328"/>
    <cellStyle name="Input [yellow]" xfId="329"/>
    <cellStyle name="Input 10" xfId="330"/>
    <cellStyle name="Input 11" xfId="331"/>
    <cellStyle name="Input 12" xfId="332"/>
    <cellStyle name="Input 13" xfId="333"/>
    <cellStyle name="Input 14" xfId="334"/>
    <cellStyle name="Input 15" xfId="335"/>
    <cellStyle name="Input 16" xfId="336"/>
    <cellStyle name="Input 17" xfId="337"/>
    <cellStyle name="Input 18" xfId="338"/>
    <cellStyle name="Input 19" xfId="339"/>
    <cellStyle name="Input 2" xfId="121"/>
    <cellStyle name="Input 2 2" xfId="340"/>
    <cellStyle name="Input 2 3" xfId="686"/>
    <cellStyle name="Input 20" xfId="71"/>
    <cellStyle name="Input 21" xfId="616"/>
    <cellStyle name="Input 22" xfId="618"/>
    <cellStyle name="Input 23" xfId="617"/>
    <cellStyle name="Input 24" xfId="25"/>
    <cellStyle name="Input 3" xfId="341"/>
    <cellStyle name="Input 3 2" xfId="687"/>
    <cellStyle name="Input 4" xfId="342"/>
    <cellStyle name="Input 5" xfId="343"/>
    <cellStyle name="Input 6" xfId="344"/>
    <cellStyle name="Input 7" xfId="345"/>
    <cellStyle name="Input 8" xfId="346"/>
    <cellStyle name="Input 9" xfId="347"/>
    <cellStyle name="LabelIntersect" xfId="348"/>
    <cellStyle name="LabelLeft" xfId="349"/>
    <cellStyle name="LabelTop" xfId="350"/>
    <cellStyle name="Linked Cell 2" xfId="124"/>
    <cellStyle name="Linked Cell 2 2" xfId="351"/>
    <cellStyle name="Linked Cell 2 3" xfId="688"/>
    <cellStyle name="Linked Cell 3" xfId="352"/>
    <cellStyle name="Linked Cell 4" xfId="74"/>
    <cellStyle name="Linked Cell 5" xfId="28"/>
    <cellStyle name="Mik" xfId="353"/>
    <cellStyle name="Mik 2" xfId="354"/>
    <cellStyle name="Mik 2 2" xfId="690"/>
    <cellStyle name="Mik 3" xfId="689"/>
    <cellStyle name="Mik_For fiscal tables" xfId="355"/>
    <cellStyle name="N" xfId="356"/>
    <cellStyle name="N 2" xfId="357"/>
    <cellStyle name="N 2 2" xfId="692"/>
    <cellStyle name="N 3" xfId="691"/>
    <cellStyle name="Neutral 2" xfId="120"/>
    <cellStyle name="Neutral 2 2" xfId="358"/>
    <cellStyle name="Neutral 2 3" xfId="693"/>
    <cellStyle name="Neutral 3" xfId="359"/>
    <cellStyle name="Neutral 4" xfId="70"/>
    <cellStyle name="Neutral 5" xfId="24"/>
    <cellStyle name="Normal" xfId="0" builtinId="0"/>
    <cellStyle name="Normal - Style1" xfId="360"/>
    <cellStyle name="Normal - Style2" xfId="361"/>
    <cellStyle name="Normal - Style3" xfId="362"/>
    <cellStyle name="Normal - Style4" xfId="363"/>
    <cellStyle name="Normal - Style5" xfId="364"/>
    <cellStyle name="Normal 10" xfId="365"/>
    <cellStyle name="Normal 10 2" xfId="694"/>
    <cellStyle name="Normal 100" xfId="366"/>
    <cellStyle name="Normal 101" xfId="367"/>
    <cellStyle name="Normal 102" xfId="368"/>
    <cellStyle name="Normal 103" xfId="369"/>
    <cellStyle name="Normal 104" xfId="370"/>
    <cellStyle name="Normal 105" xfId="371"/>
    <cellStyle name="Normal 106" xfId="372"/>
    <cellStyle name="Normal 107" xfId="373"/>
    <cellStyle name="Normal 108" xfId="374"/>
    <cellStyle name="Normal 11" xfId="375"/>
    <cellStyle name="Normal 11 2" xfId="695"/>
    <cellStyle name="Normal 12" xfId="376"/>
    <cellStyle name="Normal 12 2" xfId="696"/>
    <cellStyle name="Normal 13" xfId="377"/>
    <cellStyle name="Normal 13 2" xfId="378"/>
    <cellStyle name="Normal 13 3" xfId="697"/>
    <cellStyle name="Normal 14" xfId="379"/>
    <cellStyle name="Normal 14 2" xfId="698"/>
    <cellStyle name="Normal 15" xfId="380"/>
    <cellStyle name="Normal 15 2" xfId="381"/>
    <cellStyle name="Normal 15 3" xfId="699"/>
    <cellStyle name="Normal 16" xfId="382"/>
    <cellStyle name="Normal 16 2" xfId="700"/>
    <cellStyle name="Normal 17" xfId="383"/>
    <cellStyle name="Normal 17 2" xfId="701"/>
    <cellStyle name="Normal 18" xfId="384"/>
    <cellStyle name="Normal 18 2" xfId="385"/>
    <cellStyle name="Normal 18 3" xfId="702"/>
    <cellStyle name="Normal 19" xfId="386"/>
    <cellStyle name="Normal 19 2" xfId="703"/>
    <cellStyle name="Normal 2" xfId="6"/>
    <cellStyle name="Normal 2 10" xfId="704"/>
    <cellStyle name="Normal 2 2" xfId="15"/>
    <cellStyle name="Normal 2 2 2" xfId="389"/>
    <cellStyle name="Normal 2 2 3" xfId="390"/>
    <cellStyle name="Normal 2 2 4" xfId="391"/>
    <cellStyle name="Normal 2 2 5" xfId="388"/>
    <cellStyle name="Normal 2 2 6" xfId="113"/>
    <cellStyle name="Normal 2 2 7" xfId="705"/>
    <cellStyle name="Normal 2 3" xfId="59"/>
    <cellStyle name="Normal 2 3 2" xfId="392"/>
    <cellStyle name="Normal 2 3 3" xfId="155"/>
    <cellStyle name="Normal 2 4" xfId="393"/>
    <cellStyle name="Normal 2 5" xfId="394"/>
    <cellStyle name="Normal 2 6" xfId="158"/>
    <cellStyle name="Normal 2 7" xfId="395"/>
    <cellStyle name="Normal 2 8" xfId="396"/>
    <cellStyle name="Normal 2 9" xfId="387"/>
    <cellStyle name="Normal 20" xfId="397"/>
    <cellStyle name="Normal 20 2" xfId="706"/>
    <cellStyle name="Normal 21" xfId="398"/>
    <cellStyle name="Normal 21 2" xfId="399"/>
    <cellStyle name="Normal 21 2 2" xfId="708"/>
    <cellStyle name="Normal 21 3" xfId="707"/>
    <cellStyle name="Normal 21_Copy of Fiscal Tables" xfId="400"/>
    <cellStyle name="Normal 22" xfId="401"/>
    <cellStyle name="Normal 22 2" xfId="402"/>
    <cellStyle name="Normal 22 2 2" xfId="710"/>
    <cellStyle name="Normal 22 3" xfId="709"/>
    <cellStyle name="Normal 22_Copy of Fiscal Tables" xfId="403"/>
    <cellStyle name="Normal 23" xfId="404"/>
    <cellStyle name="Normal 23 2" xfId="711"/>
    <cellStyle name="Normal 24" xfId="405"/>
    <cellStyle name="Normal 24 2" xfId="713"/>
    <cellStyle name="Normal 24 3" xfId="712"/>
    <cellStyle name="Normal 25" xfId="406"/>
    <cellStyle name="Normal 25 2" xfId="715"/>
    <cellStyle name="Normal 25 3" xfId="714"/>
    <cellStyle name="Normal 26" xfId="407"/>
    <cellStyle name="Normal 26 2" xfId="717"/>
    <cellStyle name="Normal 26 3" xfId="716"/>
    <cellStyle name="Normal 27" xfId="408"/>
    <cellStyle name="Normal 27 2" xfId="719"/>
    <cellStyle name="Normal 27 3" xfId="718"/>
    <cellStyle name="Normal 28" xfId="409"/>
    <cellStyle name="Normal 28 2" xfId="721"/>
    <cellStyle name="Normal 28 3" xfId="720"/>
    <cellStyle name="Normal 29" xfId="410"/>
    <cellStyle name="Normal 29 2" xfId="723"/>
    <cellStyle name="Normal 29 3" xfId="722"/>
    <cellStyle name="Normal 3" xfId="7"/>
    <cellStyle name="Normal 3 10" xfId="107"/>
    <cellStyle name="Normal 3 11" xfId="724"/>
    <cellStyle name="Normal 3 2" xfId="14"/>
    <cellStyle name="Normal 3 2 2" xfId="16"/>
    <cellStyle name="Normal 3 2 3" xfId="725"/>
    <cellStyle name="Normal 3 3" xfId="412"/>
    <cellStyle name="Normal 3 3 2" xfId="413"/>
    <cellStyle name="Normal 3 4" xfId="414"/>
    <cellStyle name="Normal 3 5" xfId="415"/>
    <cellStyle name="Normal 3 6" xfId="416"/>
    <cellStyle name="Normal 3 7" xfId="417"/>
    <cellStyle name="Normal 3 8" xfId="418"/>
    <cellStyle name="Normal 3 9" xfId="411"/>
    <cellStyle name="Normal 3_asset sales" xfId="419"/>
    <cellStyle name="Normal 30" xfId="420"/>
    <cellStyle name="Normal 30 2" xfId="727"/>
    <cellStyle name="Normal 30 3" xfId="726"/>
    <cellStyle name="Normal 31" xfId="421"/>
    <cellStyle name="Normal 31 2" xfId="729"/>
    <cellStyle name="Normal 31 3" xfId="728"/>
    <cellStyle name="Normal 32" xfId="422"/>
    <cellStyle name="Normal 32 2" xfId="731"/>
    <cellStyle name="Normal 32 3" xfId="730"/>
    <cellStyle name="Normal 33" xfId="423"/>
    <cellStyle name="Normal 33 2" xfId="733"/>
    <cellStyle name="Normal 33 3" xfId="732"/>
    <cellStyle name="Normal 34" xfId="424"/>
    <cellStyle name="Normal 34 2" xfId="735"/>
    <cellStyle name="Normal 34 3" xfId="734"/>
    <cellStyle name="Normal 35" xfId="425"/>
    <cellStyle name="Normal 35 2" xfId="737"/>
    <cellStyle name="Normal 35 3" xfId="736"/>
    <cellStyle name="Normal 36" xfId="426"/>
    <cellStyle name="Normal 36 2" xfId="738"/>
    <cellStyle name="Normal 37" xfId="427"/>
    <cellStyle name="Normal 37 2" xfId="739"/>
    <cellStyle name="Normal 38" xfId="428"/>
    <cellStyle name="Normal 38 2" xfId="740"/>
    <cellStyle name="Normal 39" xfId="429"/>
    <cellStyle name="Normal 39 2" xfId="741"/>
    <cellStyle name="Normal 4" xfId="11"/>
    <cellStyle name="Normal 4 2" xfId="430"/>
    <cellStyle name="Normal 4 3" xfId="110"/>
    <cellStyle name="Normal 4 4" xfId="742"/>
    <cellStyle name="Normal 40" xfId="431"/>
    <cellStyle name="Normal 40 2" xfId="743"/>
    <cellStyle name="Normal 41" xfId="432"/>
    <cellStyle name="Normal 41 2" xfId="744"/>
    <cellStyle name="Normal 42" xfId="433"/>
    <cellStyle name="Normal 42 2" xfId="745"/>
    <cellStyle name="Normal 43" xfId="434"/>
    <cellStyle name="Normal 43 2" xfId="746"/>
    <cellStyle name="Normal 44" xfId="435"/>
    <cellStyle name="Normal 44 2" xfId="747"/>
    <cellStyle name="Normal 45" xfId="436"/>
    <cellStyle name="Normal 45 2" xfId="748"/>
    <cellStyle name="Normal 46" xfId="437"/>
    <cellStyle name="Normal 46 2" xfId="749"/>
    <cellStyle name="Normal 47" xfId="438"/>
    <cellStyle name="Normal 47 2" xfId="750"/>
    <cellStyle name="Normal 48" xfId="439"/>
    <cellStyle name="Normal 49" xfId="440"/>
    <cellStyle name="Normal 5" xfId="13"/>
    <cellStyle name="Normal 5 2" xfId="442"/>
    <cellStyle name="Normal 5 3" xfId="441"/>
    <cellStyle name="Normal 5 4" xfId="112"/>
    <cellStyle name="Normal 5 5" xfId="751"/>
    <cellStyle name="Normal 50" xfId="443"/>
    <cellStyle name="Normal 51" xfId="444"/>
    <cellStyle name="Normal 52" xfId="445"/>
    <cellStyle name="Normal 53" xfId="446"/>
    <cellStyle name="Normal 54" xfId="447"/>
    <cellStyle name="Normal 55" xfId="448"/>
    <cellStyle name="Normal 56" xfId="449"/>
    <cellStyle name="Normal 57" xfId="450"/>
    <cellStyle name="Normal 58" xfId="451"/>
    <cellStyle name="Normal 59" xfId="452"/>
    <cellStyle name="Normal 6" xfId="17"/>
    <cellStyle name="Normal 6 2" xfId="454"/>
    <cellStyle name="Normal 6 3" xfId="453"/>
    <cellStyle name="Normal 6 4" xfId="752"/>
    <cellStyle name="Normal 60" xfId="455"/>
    <cellStyle name="Normal 61" xfId="456"/>
    <cellStyle name="Normal 62" xfId="457"/>
    <cellStyle name="Normal 63" xfId="458"/>
    <cellStyle name="Normal 64" xfId="459"/>
    <cellStyle name="Normal 65" xfId="460"/>
    <cellStyle name="Normal 66" xfId="615"/>
    <cellStyle name="Normal 67" xfId="61"/>
    <cellStyle name="Normal 68" xfId="63"/>
    <cellStyle name="Normal 69" xfId="619"/>
    <cellStyle name="Normal 7" xfId="57"/>
    <cellStyle name="Normal 7 2" xfId="462"/>
    <cellStyle name="Normal 7 3" xfId="461"/>
    <cellStyle name="Normal 7 4" xfId="153"/>
    <cellStyle name="Normal 7 5" xfId="753"/>
    <cellStyle name="Normal 70" xfId="620"/>
    <cellStyle name="Normal 71" xfId="3"/>
    <cellStyle name="Normal 8" xfId="58"/>
    <cellStyle name="Normal 8 2" xfId="463"/>
    <cellStyle name="Normal 8 3" xfId="154"/>
    <cellStyle name="Normal 8 4" xfId="754"/>
    <cellStyle name="Normal 9" xfId="104"/>
    <cellStyle name="Normal 9 2" xfId="464"/>
    <cellStyle name="Normal 9 3" xfId="755"/>
    <cellStyle name="Normal10" xfId="8"/>
    <cellStyle name="Note 2" xfId="60"/>
    <cellStyle name="Note 2 2" xfId="465"/>
    <cellStyle name="Note 2 3" xfId="156"/>
    <cellStyle name="Note 2 4" xfId="756"/>
    <cellStyle name="Note 3" xfId="466"/>
    <cellStyle name="Note 4" xfId="77"/>
    <cellStyle name="Output 2" xfId="122"/>
    <cellStyle name="Output 2 2" xfId="467"/>
    <cellStyle name="Output 2 3" xfId="757"/>
    <cellStyle name="Output 3" xfId="468"/>
    <cellStyle name="Output 4" xfId="72"/>
    <cellStyle name="Output 5" xfId="26"/>
    <cellStyle name="Output Amounts" xfId="469"/>
    <cellStyle name="Output Column Headings" xfId="470"/>
    <cellStyle name="Output Line Items" xfId="471"/>
    <cellStyle name="Output Report Heading" xfId="472"/>
    <cellStyle name="Output Report Title" xfId="473"/>
    <cellStyle name="P" xfId="474"/>
    <cellStyle name="P 2" xfId="475"/>
    <cellStyle name="P 2 2" xfId="759"/>
    <cellStyle name="P 3" xfId="758"/>
    <cellStyle name="Percent" xfId="622" builtinId="5"/>
    <cellStyle name="Percent [2]" xfId="476"/>
    <cellStyle name="Percent [2] 2" xfId="760"/>
    <cellStyle name="Percent 10" xfId="477"/>
    <cellStyle name="Percent 11" xfId="9"/>
    <cellStyle name="Percent 2" xfId="10"/>
    <cellStyle name="Percent 2 2" xfId="478"/>
    <cellStyle name="Percent 2 3" xfId="479"/>
    <cellStyle name="Percent 2 4" xfId="480"/>
    <cellStyle name="Percent 2 5" xfId="159"/>
    <cellStyle name="Percent 2 6" xfId="109"/>
    <cellStyle name="Percent 2 7" xfId="761"/>
    <cellStyle name="Percent 3" xfId="108"/>
    <cellStyle name="Percent 3 2" xfId="482"/>
    <cellStyle name="Percent 3 2 2" xfId="763"/>
    <cellStyle name="Percent 3 3" xfId="481"/>
    <cellStyle name="Percent 3 4" xfId="762"/>
    <cellStyle name="Percent 4" xfId="483"/>
    <cellStyle name="Percent 4 2" xfId="484"/>
    <cellStyle name="Percent 4 2 2" xfId="765"/>
    <cellStyle name="Percent 4 3" xfId="764"/>
    <cellStyle name="Percent 5" xfId="485"/>
    <cellStyle name="Percent 5 2" xfId="486"/>
    <cellStyle name="Percent 5 3" xfId="487"/>
    <cellStyle name="Percent 5 4" xfId="766"/>
    <cellStyle name="Percent 6" xfId="488"/>
    <cellStyle name="Percent 6 2" xfId="767"/>
    <cellStyle name="Percent 7" xfId="489"/>
    <cellStyle name="Percent 7 2" xfId="490"/>
    <cellStyle name="Percent 7 3" xfId="768"/>
    <cellStyle name="Percent 8" xfId="491"/>
    <cellStyle name="Percent 9" xfId="492"/>
    <cellStyle name="Refdb standard" xfId="493"/>
    <cellStyle name="Refdb standard 2" xfId="769"/>
    <cellStyle name="ReportData" xfId="494"/>
    <cellStyle name="ReportElements" xfId="495"/>
    <cellStyle name="ReportHeader" xfId="496"/>
    <cellStyle name="Row_Headings" xfId="497"/>
    <cellStyle name="SAPBEXaggData" xfId="498"/>
    <cellStyle name="SAPBEXaggDataEmph" xfId="499"/>
    <cellStyle name="SAPBEXaggItem" xfId="500"/>
    <cellStyle name="SAPBEXaggItemX" xfId="501"/>
    <cellStyle name="SAPBEXchaText" xfId="502"/>
    <cellStyle name="SAPBEXchaText 2" xfId="770"/>
    <cellStyle name="SAPBEXexcBad7" xfId="503"/>
    <cellStyle name="SAPBEXexcBad8" xfId="504"/>
    <cellStyle name="SAPBEXexcBad9" xfId="505"/>
    <cellStyle name="SAPBEXexcCritical4" xfId="506"/>
    <cellStyle name="SAPBEXexcCritical5" xfId="507"/>
    <cellStyle name="SAPBEXexcCritical6" xfId="508"/>
    <cellStyle name="SAPBEXexcGood1" xfId="509"/>
    <cellStyle name="SAPBEXexcGood2" xfId="510"/>
    <cellStyle name="SAPBEXexcGood3" xfId="511"/>
    <cellStyle name="SAPBEXfilterDrill" xfId="512"/>
    <cellStyle name="SAPBEXfilterItem" xfId="513"/>
    <cellStyle name="SAPBEXfilterText" xfId="514"/>
    <cellStyle name="SAPBEXformats" xfId="515"/>
    <cellStyle name="SAPBEXformats 2" xfId="771"/>
    <cellStyle name="SAPBEXheaderItem" xfId="516"/>
    <cellStyle name="SAPBEXheaderText" xfId="517"/>
    <cellStyle name="SAPBEXHLevel0" xfId="518"/>
    <cellStyle name="SAPBEXHLevel0 2" xfId="772"/>
    <cellStyle name="SAPBEXHLevel0X" xfId="519"/>
    <cellStyle name="SAPBEXHLevel0X 2" xfId="773"/>
    <cellStyle name="SAPBEXHLevel1" xfId="520"/>
    <cellStyle name="SAPBEXHLevel1 2" xfId="774"/>
    <cellStyle name="SAPBEXHLevel1X" xfId="521"/>
    <cellStyle name="SAPBEXHLevel1X 2" xfId="775"/>
    <cellStyle name="SAPBEXHLevel2" xfId="522"/>
    <cellStyle name="SAPBEXHLevel2 2" xfId="776"/>
    <cellStyle name="SAPBEXHLevel2X" xfId="523"/>
    <cellStyle name="SAPBEXHLevel2X 2" xfId="777"/>
    <cellStyle name="SAPBEXHLevel3" xfId="524"/>
    <cellStyle name="SAPBEXHLevel3 2" xfId="778"/>
    <cellStyle name="SAPBEXHLevel3X" xfId="525"/>
    <cellStyle name="SAPBEXHLevel3X 2" xfId="779"/>
    <cellStyle name="SAPBEXresData" xfId="526"/>
    <cellStyle name="SAPBEXresDataEmph" xfId="527"/>
    <cellStyle name="SAPBEXresItem" xfId="528"/>
    <cellStyle name="SAPBEXresItemX" xfId="529"/>
    <cellStyle name="SAPBEXstdData" xfId="530"/>
    <cellStyle name="SAPBEXstdDataEmph" xfId="531"/>
    <cellStyle name="SAPBEXstdItem" xfId="532"/>
    <cellStyle name="SAPBEXstdItem 2" xfId="780"/>
    <cellStyle name="SAPBEXstdItemX" xfId="533"/>
    <cellStyle name="SAPBEXstdItemX 2" xfId="781"/>
    <cellStyle name="SAPBEXtitle" xfId="534"/>
    <cellStyle name="SAPBEXundefined" xfId="535"/>
    <cellStyle name="Style 1" xfId="536"/>
    <cellStyle name="Style 1 2" xfId="782"/>
    <cellStyle name="Style1" xfId="537"/>
    <cellStyle name="Style1 2" xfId="538"/>
    <cellStyle name="Style1 3" xfId="783"/>
    <cellStyle name="Style2" xfId="539"/>
    <cellStyle name="Style3" xfId="540"/>
    <cellStyle name="Style3 2" xfId="784"/>
    <cellStyle name="Style4" xfId="541"/>
    <cellStyle name="Style5" xfId="542"/>
    <cellStyle name="Style6" xfId="543"/>
    <cellStyle name="Sub-headers" xfId="544"/>
    <cellStyle name="Table Cells" xfId="545"/>
    <cellStyle name="Table Cells 2" xfId="546"/>
    <cellStyle name="Table Column Headings" xfId="547"/>
    <cellStyle name="Table Footnote" xfId="548"/>
    <cellStyle name="Table Footnote 2" xfId="549"/>
    <cellStyle name="Table Footnote 2 2" xfId="550"/>
    <cellStyle name="Table Footnote_Table 5.6 sales of assets 23Feb2010" xfId="551"/>
    <cellStyle name="Table Header" xfId="552"/>
    <cellStyle name="Table Header 2" xfId="553"/>
    <cellStyle name="Table Header 2 2" xfId="554"/>
    <cellStyle name="Table Header_Table 5.6 sales of assets 23Feb2010" xfId="555"/>
    <cellStyle name="Table Heading 1" xfId="556"/>
    <cellStyle name="Table Heading 1 2" xfId="557"/>
    <cellStyle name="Table Heading 1 2 2" xfId="558"/>
    <cellStyle name="Table Heading 1_Table 5.6 sales of assets 23Feb2010" xfId="559"/>
    <cellStyle name="Table Heading 2" xfId="560"/>
    <cellStyle name="Table Heading 2 2" xfId="561"/>
    <cellStyle name="Table Heading 2_Table 5.6 sales of assets 23Feb2010" xfId="562"/>
    <cellStyle name="Table Number" xfId="563"/>
    <cellStyle name="Table Of Which" xfId="564"/>
    <cellStyle name="Table Of Which 2" xfId="565"/>
    <cellStyle name="Table Of Which_Table 5.6 sales of assets 23Feb2010" xfId="566"/>
    <cellStyle name="Table Row Billions" xfId="567"/>
    <cellStyle name="Table Row Billions 2" xfId="568"/>
    <cellStyle name="Table Row Billions Check" xfId="569"/>
    <cellStyle name="Table Row Billions Check 2" xfId="570"/>
    <cellStyle name="Table Row Billions Check 3" xfId="571"/>
    <cellStyle name="Table Row Billions Check_asset sales" xfId="572"/>
    <cellStyle name="Table Row Billions_Table 5.6 sales of assets 23Feb2010" xfId="573"/>
    <cellStyle name="Table Row Headings" xfId="574"/>
    <cellStyle name="Table Row Millions" xfId="575"/>
    <cellStyle name="Table Row Millions 2" xfId="576"/>
    <cellStyle name="Table Row Millions 2 2" xfId="577"/>
    <cellStyle name="Table Row Millions Check" xfId="578"/>
    <cellStyle name="Table Row Millions Check 2" xfId="579"/>
    <cellStyle name="Table Row Millions Check 3" xfId="580"/>
    <cellStyle name="Table Row Millions Check 4" xfId="581"/>
    <cellStyle name="Table Row Millions Check_asset sales" xfId="582"/>
    <cellStyle name="Table Row Millions_Table 5.6 sales of assets 23Feb2010" xfId="583"/>
    <cellStyle name="Table Row Percentage" xfId="584"/>
    <cellStyle name="Table Row Percentage 2" xfId="585"/>
    <cellStyle name="Table Row Percentage Check" xfId="586"/>
    <cellStyle name="Table Row Percentage Check 2" xfId="587"/>
    <cellStyle name="Table Row Percentage Check 3" xfId="588"/>
    <cellStyle name="Table Row Percentage Check_asset sales" xfId="589"/>
    <cellStyle name="Table Row Percentage_Table 5.6 sales of assets 23Feb2010" xfId="590"/>
    <cellStyle name="Table Title" xfId="591"/>
    <cellStyle name="Table Total Billions" xfId="592"/>
    <cellStyle name="Table Total Billions 2" xfId="593"/>
    <cellStyle name="Table Total Billions_Table 5.6 sales of assets 23Feb2010" xfId="594"/>
    <cellStyle name="Table Total Millions" xfId="595"/>
    <cellStyle name="Table Total Millions 2" xfId="596"/>
    <cellStyle name="Table Total Millions 2 2" xfId="597"/>
    <cellStyle name="Table Total Millions_Table 5.6 sales of assets 23Feb2010" xfId="598"/>
    <cellStyle name="Table Total Percentage" xfId="599"/>
    <cellStyle name="Table Total Percentage 2" xfId="600"/>
    <cellStyle name="Table Total Percentage_Table 5.6 sales of assets 23Feb2010" xfId="601"/>
    <cellStyle name="Table Units" xfId="602"/>
    <cellStyle name="Table Units 2" xfId="603"/>
    <cellStyle name="Table Units 2 2" xfId="604"/>
    <cellStyle name="Table Units_Table 5.6 sales of assets 23Feb2010" xfId="605"/>
    <cellStyle name="Times New Roman" xfId="606"/>
    <cellStyle name="Title" xfId="2" builtinId="15" customBuiltin="1"/>
    <cellStyle name="Title 2" xfId="607"/>
    <cellStyle name="Title 3" xfId="608"/>
    <cellStyle name="Title 3 2" xfId="785"/>
    <cellStyle name="Title 4" xfId="609"/>
    <cellStyle name="Total 2" xfId="128"/>
    <cellStyle name="Total 2 2" xfId="610"/>
    <cellStyle name="Total 2 3" xfId="786"/>
    <cellStyle name="Total 3" xfId="611"/>
    <cellStyle name="Total 4" xfId="79"/>
    <cellStyle name="Total 5" xfId="32"/>
    <cellStyle name="Warning Text 2" xfId="126"/>
    <cellStyle name="Warning Text 2 2" xfId="612"/>
    <cellStyle name="Warning Text 2 3" xfId="787"/>
    <cellStyle name="Warning Text 3" xfId="613"/>
    <cellStyle name="Warning Text 4" xfId="76"/>
    <cellStyle name="Warning Text 5" xfId="30"/>
    <cellStyle name="whole number" xfId="614"/>
  </cellStyles>
  <dxfs count="28">
    <dxf>
      <fill>
        <patternFill>
          <bgColor theme="5" tint="0.59996337778862885"/>
        </patternFill>
      </fill>
    </dxf>
    <dxf>
      <fill>
        <patternFill>
          <bgColor theme="5"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6" tint="0.59996337778862885"/>
        </patternFill>
      </fill>
    </dxf>
  </dxfs>
  <tableStyles count="0" defaultTableStyle="TableStyleMedium2" defaultPivotStyle="PivotStyleLight16"/>
  <colors>
    <mruColors>
      <color rgb="FFFF66FF"/>
      <color rgb="FFFBB7C6"/>
      <color rgb="FF2E75B6"/>
      <color rgb="FF9DC3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800" b="1" i="0" baseline="0">
                <a:effectLst/>
              </a:rPr>
              <a:t>Angen Blynyddol o ran Rhaniad Deiliadaeth Tai - Rhagdybiaethau Defnyddwyr (Cymru)</a:t>
            </a:r>
            <a:endParaRPr lang="en-GB" sz="1400">
              <a:effectLst/>
            </a:endParaRPr>
          </a:p>
        </c:rich>
      </c:tx>
      <c:overlay val="0"/>
    </c:title>
    <c:autoTitleDeleted val="0"/>
    <c:plotArea>
      <c:layout/>
      <c:barChart>
        <c:barDir val="col"/>
        <c:grouping val="stacked"/>
        <c:varyColors val="0"/>
        <c:ser>
          <c:idx val="0"/>
          <c:order val="0"/>
          <c:tx>
            <c:strRef>
              <c:f>'Rhaniad y Ddeiliadaeth (Cymru)'!$B$93</c:f>
              <c:strCache>
                <c:ptCount val="1"/>
              </c:strCache>
            </c:strRef>
          </c:tx>
          <c:spPr>
            <a:solidFill>
              <a:schemeClr val="tx2">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'Rhaniad y Ddeiliadaeth (Cymru)'!$C$92:$G$92</c:f>
            </c:multiLvlStrRef>
          </c:cat>
          <c:val>
            <c:numRef>
              <c:f>'Rhaniad y Ddeiliadaeth (Cymru)'!$C$93:$G$93</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0-C38B-4CEE-91F9-245E13712A54}"/>
            </c:ext>
          </c:extLst>
        </c:ser>
        <c:ser>
          <c:idx val="1"/>
          <c:order val="1"/>
          <c:tx>
            <c:strRef>
              <c:f>'Rhaniad y Ddeiliadaeth (Cymru)'!$B$94</c:f>
              <c:strCache>
                <c:ptCount val="1"/>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'Rhaniad y Ddeiliadaeth (Cymru)'!$C$92:$G$92</c:f>
            </c:multiLvlStrRef>
          </c:cat>
          <c:val>
            <c:numRef>
              <c:f>'Rhaniad y Ddeiliadaeth (Cymru)'!$C$94:$G$94</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1-C38B-4CEE-91F9-245E13712A54}"/>
            </c:ext>
          </c:extLst>
        </c:ser>
        <c:ser>
          <c:idx val="2"/>
          <c:order val="2"/>
          <c:tx>
            <c:strRef>
              <c:f>'Rhaniad y Ddeiliadaeth (Cymru)'!$B$95</c:f>
              <c:strCache>
                <c:ptCount val="1"/>
                <c:pt idx="0">
                  <c:v>  </c:v>
                </c:pt>
              </c:strCache>
            </c:strRef>
          </c:tx>
          <c:spPr>
            <a:solidFill>
              <a:schemeClr val="accent1">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'Rhaniad y Ddeiliadaeth (Cymru)'!$C$92:$G$92</c:f>
            </c:multiLvlStrRef>
          </c:cat>
          <c:val>
            <c:numRef>
              <c:f>'Rhaniad y Ddeiliadaeth (Cymru)'!$C$95:$G$95</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2-C38B-4CEE-91F9-245E13712A54}"/>
            </c:ext>
          </c:extLst>
        </c:ser>
        <c:ser>
          <c:idx val="3"/>
          <c:order val="3"/>
          <c:tx>
            <c:strRef>
              <c:f>'Rhaniad y Ddeiliadaeth (Cymru)'!$B$96</c:f>
              <c:strCache>
                <c:ptCount val="1"/>
                <c:pt idx="0">
                  <c:v>  </c:v>
                </c:pt>
              </c:strCache>
            </c:strRef>
          </c:tx>
          <c:spPr>
            <a:solidFill>
              <a:schemeClr val="accent1">
                <a:lumMod val="20000"/>
                <a:lumOff val="80000"/>
              </a:schemeClr>
            </a:solidFill>
          </c:spPr>
          <c:invertIfNegative val="0"/>
          <c:dLbls>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8B-4CEE-91F9-245E13712A5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'Rhaniad y Ddeiliadaeth (Cymru)'!$C$92:$G$92</c:f>
            </c:multiLvlStrRef>
          </c:cat>
          <c:val>
            <c:numRef>
              <c:f>'Rhaniad y Ddeiliadaeth (Cymru)'!$C$96:$G$96</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4-C38B-4CEE-91F9-245E13712A54}"/>
            </c:ext>
          </c:extLst>
        </c:ser>
        <c:dLbls>
          <c:showLegendKey val="0"/>
          <c:showVal val="0"/>
          <c:showCatName val="0"/>
          <c:showSerName val="0"/>
          <c:showPercent val="0"/>
          <c:showBubbleSize val="0"/>
        </c:dLbls>
        <c:gapWidth val="163"/>
        <c:overlap val="100"/>
        <c:axId val="332474240"/>
        <c:axId val="339084416"/>
      </c:barChart>
      <c:catAx>
        <c:axId val="332474240"/>
        <c:scaling>
          <c:orientation val="minMax"/>
        </c:scaling>
        <c:delete val="0"/>
        <c:axPos val="b"/>
        <c:numFmt formatCode="General" sourceLinked="1"/>
        <c:majorTickMark val="out"/>
        <c:minorTickMark val="none"/>
        <c:tickLblPos val="nextTo"/>
        <c:crossAx val="339084416"/>
        <c:crosses val="autoZero"/>
        <c:auto val="1"/>
        <c:lblAlgn val="ctr"/>
        <c:lblOffset val="100"/>
        <c:noMultiLvlLbl val="0"/>
      </c:catAx>
      <c:valAx>
        <c:axId val="339084416"/>
        <c:scaling>
          <c:orientation val="minMax"/>
          <c:max val="10000"/>
          <c:min val="0"/>
        </c:scaling>
        <c:delete val="0"/>
        <c:axPos val="l"/>
        <c:numFmt formatCode="#,##0" sourceLinked="0"/>
        <c:majorTickMark val="out"/>
        <c:minorTickMark val="none"/>
        <c:tickLblPos val="nextTo"/>
        <c:crossAx val="332474240"/>
        <c:crosses val="autoZero"/>
        <c:crossBetween val="between"/>
        <c:majorUnit val="2000"/>
      </c:valAx>
    </c:plotArea>
    <c:legend>
      <c:legendPos val="b"/>
      <c:overlay val="0"/>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a:t>Housing Need: 5 Year Tenure Split </a:t>
            </a:r>
          </a:p>
          <a:p>
            <a:pPr>
              <a:defRPr sz="1400"/>
            </a:pPr>
            <a:r>
              <a:rPr lang="en-GB" sz="1400"/>
              <a:t>User Assumptions (Mid and South West Wales)</a:t>
            </a:r>
          </a:p>
        </c:rich>
      </c:tx>
      <c:overlay val="0"/>
    </c:title>
    <c:autoTitleDeleted val="0"/>
    <c:plotArea>
      <c:layout/>
      <c:pieChart>
        <c:varyColors val="1"/>
        <c:ser>
          <c:idx val="0"/>
          <c:order val="0"/>
          <c:dPt>
            <c:idx val="0"/>
            <c:bubble3D val="0"/>
            <c:spPr>
              <a:solidFill>
                <a:schemeClr val="tx2">
                  <a:lumMod val="75000"/>
                </a:schemeClr>
              </a:solidFill>
            </c:spPr>
            <c:extLst>
              <c:ext xmlns:c16="http://schemas.microsoft.com/office/drawing/2014/chart" uri="{C3380CC4-5D6E-409C-BE32-E72D297353CC}">
                <c16:uniqueId val="{00000001-0338-452E-89CA-179103A182B0}"/>
              </c:ext>
            </c:extLst>
          </c:dPt>
          <c:dPt>
            <c:idx val="1"/>
            <c:bubble3D val="0"/>
            <c:spPr>
              <a:solidFill>
                <a:schemeClr val="tx2">
                  <a:lumMod val="60000"/>
                  <a:lumOff val="40000"/>
                </a:schemeClr>
              </a:solidFill>
            </c:spPr>
            <c:extLst>
              <c:ext xmlns:c16="http://schemas.microsoft.com/office/drawing/2014/chart" uri="{C3380CC4-5D6E-409C-BE32-E72D297353CC}">
                <c16:uniqueId val="{00000003-0338-452E-89CA-179103A182B0}"/>
              </c:ext>
            </c:extLst>
          </c:dPt>
          <c:dPt>
            <c:idx val="2"/>
            <c:bubble3D val="0"/>
            <c:spPr>
              <a:solidFill>
                <a:schemeClr val="accent1">
                  <a:lumMod val="40000"/>
                  <a:lumOff val="60000"/>
                </a:schemeClr>
              </a:solidFill>
            </c:spPr>
            <c:extLst>
              <c:ext xmlns:c16="http://schemas.microsoft.com/office/drawing/2014/chart" uri="{C3380CC4-5D6E-409C-BE32-E72D297353CC}">
                <c16:uniqueId val="{00000005-0338-452E-89CA-179103A182B0}"/>
              </c:ext>
            </c:extLst>
          </c:dPt>
          <c:dPt>
            <c:idx val="3"/>
            <c:bubble3D val="0"/>
            <c:spPr>
              <a:solidFill>
                <a:schemeClr val="tx2">
                  <a:lumMod val="20000"/>
                  <a:lumOff val="80000"/>
                </a:schemeClr>
              </a:solidFill>
            </c:spPr>
            <c:extLst>
              <c:ext xmlns:c16="http://schemas.microsoft.com/office/drawing/2014/chart" uri="{C3380CC4-5D6E-409C-BE32-E72D297353CC}">
                <c16:uniqueId val="{00000007-0338-452E-89CA-179103A182B0}"/>
              </c:ext>
            </c:extLst>
          </c:dPt>
          <c:dLbls>
            <c:spPr>
              <a:noFill/>
              <a:ln>
                <a:noFill/>
              </a:ln>
              <a:effectLst/>
            </c:spPr>
            <c:dLblPos val="ctr"/>
            <c:showLegendKey val="0"/>
            <c:showVal val="1"/>
            <c:showCatName val="0"/>
            <c:showSerName val="0"/>
            <c:showPercent val="0"/>
            <c:showBubbleSize val="0"/>
            <c:showLeaderLines val="1"/>
            <c:extLst>
              <c:ext xmlns:c15="http://schemas.microsoft.com/office/drawing/2012/chart" uri="{CE6537A1-D6FC-4f65-9D91-7224C49458BB}"/>
            </c:extLst>
          </c:dLbls>
          <c:cat>
            <c:multiLvlStrRef>
              <c:f>'Rhaniad y Ddeiliadaeth (Canol)'!$B$101:$B$104</c:f>
            </c:multiLvlStrRef>
          </c:cat>
          <c:val>
            <c:numRef>
              <c:f>'Rhaniad y Ddeiliadaeth (Canol)'!$I$101:$I$104</c:f>
              <c:numCache>
                <c:formatCode>0%</c:formatCode>
                <c:ptCount val="4"/>
                <c:pt idx="0">
                  <c:v>0</c:v>
                </c:pt>
                <c:pt idx="1">
                  <c:v>0</c:v>
                </c:pt>
                <c:pt idx="2">
                  <c:v>0</c:v>
                </c:pt>
                <c:pt idx="3">
                  <c:v>0</c:v>
                </c:pt>
              </c:numCache>
            </c:numRef>
          </c:val>
          <c:extLst>
            <c:ext xmlns:c16="http://schemas.microsoft.com/office/drawing/2014/chart" uri="{C3380CC4-5D6E-409C-BE32-E72D297353CC}">
              <c16:uniqueId val="{00000008-0338-452E-89CA-179103A182B0}"/>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a:t>Annual Housing Need Tenure Split - User Assumptions</a:t>
            </a:r>
          </a:p>
          <a:p>
            <a:pPr>
              <a:defRPr sz="1400"/>
            </a:pPr>
            <a:r>
              <a:rPr lang="en-GB" sz="1400"/>
              <a:t>(Mid</a:t>
            </a:r>
            <a:r>
              <a:rPr lang="en-GB" sz="1400" baseline="0"/>
              <a:t> and South West</a:t>
            </a:r>
            <a:r>
              <a:rPr lang="en-GB" sz="1400"/>
              <a:t> Wales)</a:t>
            </a:r>
          </a:p>
        </c:rich>
      </c:tx>
      <c:overlay val="0"/>
    </c:title>
    <c:autoTitleDeleted val="0"/>
    <c:plotArea>
      <c:layout/>
      <c:barChart>
        <c:barDir val="col"/>
        <c:grouping val="stacked"/>
        <c:varyColors val="0"/>
        <c:ser>
          <c:idx val="0"/>
          <c:order val="0"/>
          <c:tx>
            <c:strRef>
              <c:f>'Rhaniad y Ddeiliadaeth (Canol)'!$B$57</c:f>
              <c:strCache>
                <c:ptCount val="1"/>
                <c:pt idx="0">
                  <c:v>Tai'r Farchnad</c:v>
                </c:pt>
              </c:strCache>
            </c:strRef>
          </c:tx>
          <c:spPr>
            <a:solidFill>
              <a:srgbClr val="2E75B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'Rhaniad y Ddeiliadaeth (Canol)'!$C$56:$G$56</c:f>
              <c:strCache>
                <c:ptCount val="5"/>
                <c:pt idx="0">
                  <c:v>2019/20</c:v>
                </c:pt>
                <c:pt idx="1">
                  <c:v>2020/21</c:v>
                </c:pt>
                <c:pt idx="2">
                  <c:v>2021/22</c:v>
                </c:pt>
                <c:pt idx="3">
                  <c:v>2022/23</c:v>
                </c:pt>
                <c:pt idx="4">
                  <c:v>2023/24</c:v>
                </c:pt>
              </c:strCache>
            </c:strRef>
          </c:cat>
          <c:val>
            <c:numRef>
              <c:f>'Rhaniad y Ddeiliadaeth (Canol)'!$C$57:$G$57</c:f>
              <c:numCache>
                <c:formatCode>_-* #,##0_-;\-* #,##0_-;_-* "-"??_-;_-@_-</c:formatCode>
                <c:ptCount val="5"/>
                <c:pt idx="0">
                  <c:v>15.576831054687501</c:v>
                </c:pt>
                <c:pt idx="1">
                  <c:v>35.113793945312501</c:v>
                </c:pt>
                <c:pt idx="2">
                  <c:v>54.46799217224121</c:v>
                </c:pt>
                <c:pt idx="3">
                  <c:v>67.388065452575688</c:v>
                </c:pt>
                <c:pt idx="4">
                  <c:v>89.515528507232673</c:v>
                </c:pt>
              </c:numCache>
            </c:numRef>
          </c:val>
          <c:extLst>
            <c:ext xmlns:c16="http://schemas.microsoft.com/office/drawing/2014/chart" uri="{C3380CC4-5D6E-409C-BE32-E72D297353CC}">
              <c16:uniqueId val="{00000000-417F-4507-804A-8326DA43E07E}"/>
            </c:ext>
          </c:extLst>
        </c:ser>
        <c:ser>
          <c:idx val="1"/>
          <c:order val="1"/>
          <c:tx>
            <c:strRef>
              <c:f>'Rhaniad y Ddeiliadaeth (Canol)'!$B$58</c:f>
              <c:strCache>
                <c:ptCount val="1"/>
                <c:pt idx="0">
                  <c:v>Tai fforddiadwy</c:v>
                </c:pt>
              </c:strCache>
            </c:strRef>
          </c:tx>
          <c:spPr>
            <a:solidFill>
              <a:srgbClr val="9DC3E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'Rhaniad y Ddeiliadaeth (Canol)'!$C$56:$G$56</c:f>
              <c:strCache>
                <c:ptCount val="5"/>
                <c:pt idx="0">
                  <c:v>2019/20</c:v>
                </c:pt>
                <c:pt idx="1">
                  <c:v>2020/21</c:v>
                </c:pt>
                <c:pt idx="2">
                  <c:v>2021/22</c:v>
                </c:pt>
                <c:pt idx="3">
                  <c:v>2022/23</c:v>
                </c:pt>
                <c:pt idx="4">
                  <c:v>2023/24</c:v>
                </c:pt>
              </c:strCache>
            </c:strRef>
          </c:cat>
          <c:val>
            <c:numRef>
              <c:f>'Rhaniad y Ddeiliadaeth (Canol)'!$C$58:$G$58</c:f>
              <c:numCache>
                <c:formatCode>_-* #,##0_-;\-* #,##0_-;_-* "-"??_-;_-@_-</c:formatCode>
                <c:ptCount val="5"/>
                <c:pt idx="0">
                  <c:v>58.961967468261719</c:v>
                </c:pt>
                <c:pt idx="1">
                  <c:v>69.951509094238276</c:v>
                </c:pt>
                <c:pt idx="2">
                  <c:v>82.189138259887685</c:v>
                </c:pt>
                <c:pt idx="3">
                  <c:v>89.777117805480941</c:v>
                </c:pt>
                <c:pt idx="4">
                  <c:v>102.77261198043821</c:v>
                </c:pt>
              </c:numCache>
            </c:numRef>
          </c:val>
          <c:extLst>
            <c:ext xmlns:c16="http://schemas.microsoft.com/office/drawing/2014/chart" uri="{C3380CC4-5D6E-409C-BE32-E72D297353CC}">
              <c16:uniqueId val="{00000001-417F-4507-804A-8326DA43E07E}"/>
            </c:ext>
          </c:extLst>
        </c:ser>
        <c:dLbls>
          <c:showLegendKey val="0"/>
          <c:showVal val="0"/>
          <c:showCatName val="0"/>
          <c:showSerName val="0"/>
          <c:showPercent val="0"/>
          <c:showBubbleSize val="0"/>
        </c:dLbls>
        <c:gapWidth val="163"/>
        <c:overlap val="100"/>
        <c:axId val="188945536"/>
        <c:axId val="188947072"/>
      </c:barChart>
      <c:catAx>
        <c:axId val="188945536"/>
        <c:scaling>
          <c:orientation val="minMax"/>
        </c:scaling>
        <c:delete val="0"/>
        <c:axPos val="b"/>
        <c:numFmt formatCode="General" sourceLinked="1"/>
        <c:majorTickMark val="out"/>
        <c:minorTickMark val="none"/>
        <c:tickLblPos val="nextTo"/>
        <c:crossAx val="188947072"/>
        <c:crosses val="autoZero"/>
        <c:auto val="1"/>
        <c:lblAlgn val="ctr"/>
        <c:lblOffset val="100"/>
        <c:noMultiLvlLbl val="0"/>
      </c:catAx>
      <c:valAx>
        <c:axId val="188947072"/>
        <c:scaling>
          <c:orientation val="minMax"/>
          <c:max val="3000"/>
        </c:scaling>
        <c:delete val="0"/>
        <c:axPos val="l"/>
        <c:numFmt formatCode="#,##0" sourceLinked="0"/>
        <c:majorTickMark val="out"/>
        <c:minorTickMark val="none"/>
        <c:tickLblPos val="nextTo"/>
        <c:crossAx val="188945536"/>
        <c:crosses val="autoZero"/>
        <c:crossBetween val="between"/>
        <c:majorUnit val="1000"/>
      </c:valAx>
    </c:plotArea>
    <c:legend>
      <c:legendPos val="b"/>
      <c:overlay val="0"/>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a:t>Housing Need: 5 Year Tenure Split </a:t>
            </a:r>
          </a:p>
          <a:p>
            <a:pPr>
              <a:defRPr sz="1400"/>
            </a:pPr>
            <a:r>
              <a:rPr lang="en-GB" sz="1400"/>
              <a:t>User Assumptions (Mid</a:t>
            </a:r>
            <a:r>
              <a:rPr lang="en-GB" sz="1400" baseline="0"/>
              <a:t> and South West</a:t>
            </a:r>
            <a:r>
              <a:rPr lang="en-GB" sz="1400"/>
              <a:t> Wales)</a:t>
            </a:r>
          </a:p>
        </c:rich>
      </c:tx>
      <c:overlay val="0"/>
    </c:title>
    <c:autoTitleDeleted val="0"/>
    <c:plotArea>
      <c:layout/>
      <c:pieChart>
        <c:varyColors val="1"/>
        <c:ser>
          <c:idx val="0"/>
          <c:order val="0"/>
          <c:dPt>
            <c:idx val="0"/>
            <c:bubble3D val="0"/>
            <c:spPr>
              <a:solidFill>
                <a:srgbClr val="2E75B6"/>
              </a:solidFill>
            </c:spPr>
            <c:extLst>
              <c:ext xmlns:c16="http://schemas.microsoft.com/office/drawing/2014/chart" uri="{C3380CC4-5D6E-409C-BE32-E72D297353CC}">
                <c16:uniqueId val="{00000001-1192-4196-B59F-BBF7FAF1DFB9}"/>
              </c:ext>
            </c:extLst>
          </c:dPt>
          <c:dPt>
            <c:idx val="1"/>
            <c:bubble3D val="0"/>
            <c:spPr>
              <a:solidFill>
                <a:srgbClr val="9DC3E6"/>
              </a:solidFill>
            </c:spPr>
            <c:extLst>
              <c:ext xmlns:c16="http://schemas.microsoft.com/office/drawing/2014/chart" uri="{C3380CC4-5D6E-409C-BE32-E72D297353CC}">
                <c16:uniqueId val="{00000003-1192-4196-B59F-BBF7FAF1DFB9}"/>
              </c:ext>
            </c:extLst>
          </c:dPt>
          <c:dPt>
            <c:idx val="2"/>
            <c:bubble3D val="0"/>
            <c:spPr>
              <a:solidFill>
                <a:schemeClr val="accent3">
                  <a:lumMod val="75000"/>
                </a:schemeClr>
              </a:solidFill>
            </c:spPr>
            <c:extLst>
              <c:ext xmlns:c16="http://schemas.microsoft.com/office/drawing/2014/chart" uri="{C3380CC4-5D6E-409C-BE32-E72D297353CC}">
                <c16:uniqueId val="{00000005-1192-4196-B59F-BBF7FAF1DFB9}"/>
              </c:ext>
            </c:extLst>
          </c:dPt>
          <c:dPt>
            <c:idx val="3"/>
            <c:bubble3D val="0"/>
            <c:spPr>
              <a:solidFill>
                <a:schemeClr val="accent3">
                  <a:lumMod val="60000"/>
                  <a:lumOff val="40000"/>
                </a:schemeClr>
              </a:solidFill>
            </c:spPr>
            <c:extLst>
              <c:ext xmlns:c16="http://schemas.microsoft.com/office/drawing/2014/chart" uri="{C3380CC4-5D6E-409C-BE32-E72D297353CC}">
                <c16:uniqueId val="{00000007-1192-4196-B59F-BBF7FAF1DFB9}"/>
              </c:ext>
            </c:extLst>
          </c:dPt>
          <c:dLbls>
            <c:spPr>
              <a:noFill/>
              <a:ln>
                <a:noFill/>
              </a:ln>
              <a:effectLst/>
            </c:spPr>
            <c:dLblPos val="ctr"/>
            <c:showLegendKey val="0"/>
            <c:showVal val="1"/>
            <c:showCatName val="0"/>
            <c:showSerName val="0"/>
            <c:showPercent val="0"/>
            <c:showBubbleSize val="0"/>
            <c:showLeaderLines val="1"/>
            <c:extLst>
              <c:ext xmlns:c15="http://schemas.microsoft.com/office/drawing/2012/chart" uri="{CE6537A1-D6FC-4f65-9D91-7224C49458BB}"/>
            </c:extLst>
          </c:dLbls>
          <c:cat>
            <c:strRef>
              <c:f>'Rhaniad y Ddeiliadaeth (Canol)'!$B$62:$B$63</c:f>
              <c:strCache>
                <c:ptCount val="2"/>
                <c:pt idx="0">
                  <c:v>Tai'r Farchnad</c:v>
                </c:pt>
                <c:pt idx="1">
                  <c:v>Tai fforddiadwy</c:v>
                </c:pt>
              </c:strCache>
            </c:strRef>
          </c:cat>
          <c:val>
            <c:numRef>
              <c:f>'Rhaniad y Ddeiliadaeth (Canol)'!$I$62:$I$63</c:f>
              <c:numCache>
                <c:formatCode>0%</c:formatCode>
                <c:ptCount val="2"/>
                <c:pt idx="0">
                  <c:v>0.39365552228402784</c:v>
                </c:pt>
                <c:pt idx="1">
                  <c:v>0.60634447771597211</c:v>
                </c:pt>
              </c:numCache>
            </c:numRef>
          </c:val>
          <c:extLst>
            <c:ext xmlns:c16="http://schemas.microsoft.com/office/drawing/2014/chart" uri="{C3380CC4-5D6E-409C-BE32-E72D297353CC}">
              <c16:uniqueId val="{00000008-1192-4196-B59F-BBF7FAF1DFB9}"/>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800" b="1" i="0" baseline="0">
                <a:effectLst/>
              </a:rPr>
              <a:t>Angen Blynyddol o ran Rhaniad Deiliadaeth Tai - Rhagdybiaethau Defnyddwyr (Canolbarth Cymru)</a:t>
            </a:r>
            <a:endParaRPr lang="en-GB" sz="1400">
              <a:effectLst/>
            </a:endParaRPr>
          </a:p>
        </c:rich>
      </c:tx>
      <c:overlay val="0"/>
    </c:title>
    <c:autoTitleDeleted val="0"/>
    <c:plotArea>
      <c:layout>
        <c:manualLayout>
          <c:layoutTarget val="inner"/>
          <c:xMode val="edge"/>
          <c:yMode val="edge"/>
          <c:x val="8.3693189320020803E-2"/>
          <c:y val="0.19509453229724741"/>
          <c:w val="0.89842612413670542"/>
          <c:h val="0.63008671162388963"/>
        </c:manualLayout>
      </c:layout>
      <c:barChart>
        <c:barDir val="col"/>
        <c:grouping val="stacked"/>
        <c:varyColors val="0"/>
        <c:ser>
          <c:idx val="0"/>
          <c:order val="0"/>
          <c:tx>
            <c:strRef>
              <c:f>'Rhaniad y Ddeiliadaeth (Canol)'!$B$93</c:f>
              <c:strCache>
                <c:ptCount val="1"/>
              </c:strCache>
            </c:strRef>
          </c:tx>
          <c:spPr>
            <a:solidFill>
              <a:schemeClr val="tx2">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'Rhaniad y Ddeiliadaeth (Canol)'!$C$92:$G$92</c:f>
            </c:multiLvlStrRef>
          </c:cat>
          <c:val>
            <c:numRef>
              <c:f>'Rhaniad y Ddeiliadaeth (Canol)'!$C$93:$G$93</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0-3237-476E-85BF-2856C544F47E}"/>
            </c:ext>
          </c:extLst>
        </c:ser>
        <c:ser>
          <c:idx val="1"/>
          <c:order val="1"/>
          <c:tx>
            <c:strRef>
              <c:f>'Rhaniad y Ddeiliadaeth (Canol)'!$B$94</c:f>
              <c:strCache>
                <c:ptCount val="1"/>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'Rhaniad y Ddeiliadaeth (Canol)'!$C$92:$G$92</c:f>
            </c:multiLvlStrRef>
          </c:cat>
          <c:val>
            <c:numRef>
              <c:f>'Rhaniad y Ddeiliadaeth (Canol)'!$C$94:$G$94</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1-3237-476E-85BF-2856C544F47E}"/>
            </c:ext>
          </c:extLst>
        </c:ser>
        <c:ser>
          <c:idx val="2"/>
          <c:order val="2"/>
          <c:tx>
            <c:strRef>
              <c:f>'Rhaniad y Ddeiliadaeth (Canol)'!$B$95</c:f>
              <c:strCache>
                <c:ptCount val="1"/>
                <c:pt idx="0">
                  <c:v>  </c:v>
                </c:pt>
              </c:strCache>
            </c:strRef>
          </c:tx>
          <c:spPr>
            <a:solidFill>
              <a:schemeClr val="accent1">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'Rhaniad y Ddeiliadaeth (Canol)'!$C$92:$G$92</c:f>
            </c:multiLvlStrRef>
          </c:cat>
          <c:val>
            <c:numRef>
              <c:f>'Rhaniad y Ddeiliadaeth (Canol)'!$C$95:$G$95</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2-3237-476E-85BF-2856C544F47E}"/>
            </c:ext>
          </c:extLst>
        </c:ser>
        <c:ser>
          <c:idx val="3"/>
          <c:order val="3"/>
          <c:tx>
            <c:strRef>
              <c:f>'Rhaniad y Ddeiliadaeth (Canol)'!$B$96</c:f>
              <c:strCache>
                <c:ptCount val="1"/>
                <c:pt idx="0">
                  <c:v>  </c:v>
                </c:pt>
              </c:strCache>
            </c:strRef>
          </c:tx>
          <c:spPr>
            <a:solidFill>
              <a:schemeClr val="accent1">
                <a:lumMod val="20000"/>
                <a:lumOff val="80000"/>
              </a:schemeClr>
            </a:solidFill>
          </c:spPr>
          <c:invertIfNegative val="0"/>
          <c:dLbls>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37-476E-85BF-2856C544F47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'Rhaniad y Ddeiliadaeth (Canol)'!$C$92:$G$92</c:f>
            </c:multiLvlStrRef>
          </c:cat>
          <c:val>
            <c:numRef>
              <c:f>'Rhaniad y Ddeiliadaeth (Canol)'!$C$96:$G$96</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4-3237-476E-85BF-2856C544F47E}"/>
            </c:ext>
          </c:extLst>
        </c:ser>
        <c:dLbls>
          <c:showLegendKey val="0"/>
          <c:showVal val="0"/>
          <c:showCatName val="0"/>
          <c:showSerName val="0"/>
          <c:showPercent val="0"/>
          <c:showBubbleSize val="0"/>
        </c:dLbls>
        <c:gapWidth val="163"/>
        <c:overlap val="100"/>
        <c:axId val="186873344"/>
        <c:axId val="186874880"/>
      </c:barChart>
      <c:catAx>
        <c:axId val="186873344"/>
        <c:scaling>
          <c:orientation val="minMax"/>
        </c:scaling>
        <c:delete val="0"/>
        <c:axPos val="b"/>
        <c:numFmt formatCode="General" sourceLinked="1"/>
        <c:majorTickMark val="out"/>
        <c:minorTickMark val="none"/>
        <c:tickLblPos val="nextTo"/>
        <c:crossAx val="186874880"/>
        <c:crosses val="autoZero"/>
        <c:auto val="1"/>
        <c:lblAlgn val="ctr"/>
        <c:lblOffset val="100"/>
        <c:noMultiLvlLbl val="0"/>
      </c:catAx>
      <c:valAx>
        <c:axId val="186874880"/>
        <c:scaling>
          <c:orientation val="minMax"/>
          <c:max val="3000"/>
          <c:min val="0"/>
        </c:scaling>
        <c:delete val="0"/>
        <c:axPos val="l"/>
        <c:numFmt formatCode="#,##0" sourceLinked="0"/>
        <c:majorTickMark val="out"/>
        <c:minorTickMark val="none"/>
        <c:tickLblPos val="nextTo"/>
        <c:crossAx val="186873344"/>
        <c:crosses val="autoZero"/>
        <c:crossBetween val="between"/>
        <c:majorUnit val="1000"/>
      </c:valAx>
    </c:plotArea>
    <c:legend>
      <c:legendPos val="b"/>
      <c:overlay val="0"/>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b="1" i="0" baseline="0">
                <a:effectLst/>
              </a:rPr>
              <a:t>Angen o ran Tai: Rhagdybiaethau Defnyddwyr ar gyfer Rhaniad Deiliadaeth 5 Mlynedd (Canolbarth Cymru</a:t>
            </a:r>
            <a:r>
              <a:rPr lang="en-GB" sz="1800" b="1" i="0" baseline="0">
                <a:effectLst/>
              </a:rPr>
              <a:t>) </a:t>
            </a:r>
            <a:endParaRPr lang="en-GB" sz="1400">
              <a:effectLst/>
            </a:endParaRPr>
          </a:p>
        </c:rich>
      </c:tx>
      <c:overlay val="0"/>
    </c:title>
    <c:autoTitleDeleted val="0"/>
    <c:plotArea>
      <c:layout/>
      <c:pieChart>
        <c:varyColors val="1"/>
        <c:ser>
          <c:idx val="0"/>
          <c:order val="0"/>
          <c:dPt>
            <c:idx val="0"/>
            <c:bubble3D val="0"/>
            <c:spPr>
              <a:solidFill>
                <a:schemeClr val="tx2">
                  <a:lumMod val="75000"/>
                </a:schemeClr>
              </a:solidFill>
            </c:spPr>
            <c:extLst>
              <c:ext xmlns:c16="http://schemas.microsoft.com/office/drawing/2014/chart" uri="{C3380CC4-5D6E-409C-BE32-E72D297353CC}">
                <c16:uniqueId val="{00000001-700A-4D0E-90A5-8F7241690E49}"/>
              </c:ext>
            </c:extLst>
          </c:dPt>
          <c:dPt>
            <c:idx val="1"/>
            <c:bubble3D val="0"/>
            <c:spPr>
              <a:solidFill>
                <a:schemeClr val="tx2">
                  <a:lumMod val="60000"/>
                  <a:lumOff val="40000"/>
                </a:schemeClr>
              </a:solidFill>
            </c:spPr>
            <c:extLst>
              <c:ext xmlns:c16="http://schemas.microsoft.com/office/drawing/2014/chart" uri="{C3380CC4-5D6E-409C-BE32-E72D297353CC}">
                <c16:uniqueId val="{00000003-700A-4D0E-90A5-8F7241690E49}"/>
              </c:ext>
            </c:extLst>
          </c:dPt>
          <c:dPt>
            <c:idx val="2"/>
            <c:bubble3D val="0"/>
            <c:spPr>
              <a:solidFill>
                <a:schemeClr val="accent1">
                  <a:lumMod val="40000"/>
                  <a:lumOff val="60000"/>
                </a:schemeClr>
              </a:solidFill>
            </c:spPr>
            <c:extLst>
              <c:ext xmlns:c16="http://schemas.microsoft.com/office/drawing/2014/chart" uri="{C3380CC4-5D6E-409C-BE32-E72D297353CC}">
                <c16:uniqueId val="{00000005-700A-4D0E-90A5-8F7241690E49}"/>
              </c:ext>
            </c:extLst>
          </c:dPt>
          <c:dPt>
            <c:idx val="3"/>
            <c:bubble3D val="0"/>
            <c:spPr>
              <a:solidFill>
                <a:schemeClr val="tx2">
                  <a:lumMod val="20000"/>
                  <a:lumOff val="80000"/>
                </a:schemeClr>
              </a:solidFill>
            </c:spPr>
            <c:extLst>
              <c:ext xmlns:c16="http://schemas.microsoft.com/office/drawing/2014/chart" uri="{C3380CC4-5D6E-409C-BE32-E72D297353CC}">
                <c16:uniqueId val="{00000007-700A-4D0E-90A5-8F7241690E49}"/>
              </c:ext>
            </c:extLst>
          </c:dPt>
          <c:dLbls>
            <c:spPr>
              <a:noFill/>
              <a:ln>
                <a:noFill/>
              </a:ln>
              <a:effectLst/>
            </c:spPr>
            <c:dLblPos val="ctr"/>
            <c:showLegendKey val="0"/>
            <c:showVal val="1"/>
            <c:showCatName val="0"/>
            <c:showSerName val="0"/>
            <c:showPercent val="0"/>
            <c:showBubbleSize val="0"/>
            <c:showLeaderLines val="1"/>
            <c:extLst>
              <c:ext xmlns:c15="http://schemas.microsoft.com/office/drawing/2012/chart" uri="{CE6537A1-D6FC-4f65-9D91-7224C49458BB}"/>
            </c:extLst>
          </c:dLbls>
          <c:cat>
            <c:multiLvlStrRef>
              <c:f>'Rhaniad y Ddeiliadaeth (Canol)'!$B$101:$B$104</c:f>
            </c:multiLvlStrRef>
          </c:cat>
          <c:val>
            <c:numRef>
              <c:f>'Rhaniad y Ddeiliadaeth (Canol)'!$I$101:$I$104</c:f>
              <c:numCache>
                <c:formatCode>0%</c:formatCode>
                <c:ptCount val="4"/>
                <c:pt idx="0">
                  <c:v>0</c:v>
                </c:pt>
                <c:pt idx="1">
                  <c:v>0</c:v>
                </c:pt>
                <c:pt idx="2">
                  <c:v>0</c:v>
                </c:pt>
                <c:pt idx="3">
                  <c:v>0</c:v>
                </c:pt>
              </c:numCache>
            </c:numRef>
          </c:val>
          <c:extLst>
            <c:ext xmlns:c16="http://schemas.microsoft.com/office/drawing/2014/chart" uri="{C3380CC4-5D6E-409C-BE32-E72D297353CC}">
              <c16:uniqueId val="{00000008-700A-4D0E-90A5-8F7241690E49}"/>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800" b="1" i="0" baseline="0">
                <a:effectLst/>
              </a:rPr>
              <a:t>Angen Blynyddol o ran Rhaniad Deiliadaeth Tai - Rhagdybiaethau Defnyddwyr (Canolbarth Cymru)</a:t>
            </a:r>
            <a:endParaRPr lang="en-GB" sz="1400">
              <a:effectLst/>
            </a:endParaRPr>
          </a:p>
        </c:rich>
      </c:tx>
      <c:overlay val="0"/>
    </c:title>
    <c:autoTitleDeleted val="0"/>
    <c:plotArea>
      <c:layout/>
      <c:barChart>
        <c:barDir val="col"/>
        <c:grouping val="stacked"/>
        <c:varyColors val="0"/>
        <c:ser>
          <c:idx val="0"/>
          <c:order val="0"/>
          <c:tx>
            <c:strRef>
              <c:f>'Rhaniad y Ddeiliadaeth (Canol)'!$B$57</c:f>
              <c:strCache>
                <c:ptCount val="1"/>
                <c:pt idx="0">
                  <c:v>Tai'r Farchnad</c:v>
                </c:pt>
              </c:strCache>
            </c:strRef>
          </c:tx>
          <c:spPr>
            <a:solidFill>
              <a:srgbClr val="2E75B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'Rhaniad y Ddeiliadaeth (Canol)'!$C$56:$G$56</c:f>
              <c:strCache>
                <c:ptCount val="5"/>
                <c:pt idx="0">
                  <c:v>2019/20</c:v>
                </c:pt>
                <c:pt idx="1">
                  <c:v>2020/21</c:v>
                </c:pt>
                <c:pt idx="2">
                  <c:v>2021/22</c:v>
                </c:pt>
                <c:pt idx="3">
                  <c:v>2022/23</c:v>
                </c:pt>
                <c:pt idx="4">
                  <c:v>2023/24</c:v>
                </c:pt>
              </c:strCache>
            </c:strRef>
          </c:cat>
          <c:val>
            <c:numRef>
              <c:f>'Rhaniad y Ddeiliadaeth (Canol)'!$C$57:$G$57</c:f>
              <c:numCache>
                <c:formatCode>_-* #,##0_-;\-* #,##0_-;_-* "-"??_-;_-@_-</c:formatCode>
                <c:ptCount val="5"/>
                <c:pt idx="0">
                  <c:v>15.576831054687501</c:v>
                </c:pt>
                <c:pt idx="1">
                  <c:v>35.113793945312501</c:v>
                </c:pt>
                <c:pt idx="2">
                  <c:v>54.46799217224121</c:v>
                </c:pt>
                <c:pt idx="3">
                  <c:v>67.388065452575688</c:v>
                </c:pt>
                <c:pt idx="4">
                  <c:v>89.515528507232673</c:v>
                </c:pt>
              </c:numCache>
            </c:numRef>
          </c:val>
          <c:extLst>
            <c:ext xmlns:c16="http://schemas.microsoft.com/office/drawing/2014/chart" uri="{C3380CC4-5D6E-409C-BE32-E72D297353CC}">
              <c16:uniqueId val="{00000000-9787-4CF8-A294-CC28EBBDB57B}"/>
            </c:ext>
          </c:extLst>
        </c:ser>
        <c:ser>
          <c:idx val="1"/>
          <c:order val="1"/>
          <c:tx>
            <c:strRef>
              <c:f>'Rhaniad y Ddeiliadaeth (Canol)'!$B$58</c:f>
              <c:strCache>
                <c:ptCount val="1"/>
                <c:pt idx="0">
                  <c:v>Tai fforddiadwy</c:v>
                </c:pt>
              </c:strCache>
            </c:strRef>
          </c:tx>
          <c:spPr>
            <a:solidFill>
              <a:srgbClr val="9DC3E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'Rhaniad y Ddeiliadaeth (Canol)'!$C$56:$G$56</c:f>
              <c:strCache>
                <c:ptCount val="5"/>
                <c:pt idx="0">
                  <c:v>2019/20</c:v>
                </c:pt>
                <c:pt idx="1">
                  <c:v>2020/21</c:v>
                </c:pt>
                <c:pt idx="2">
                  <c:v>2021/22</c:v>
                </c:pt>
                <c:pt idx="3">
                  <c:v>2022/23</c:v>
                </c:pt>
                <c:pt idx="4">
                  <c:v>2023/24</c:v>
                </c:pt>
              </c:strCache>
            </c:strRef>
          </c:cat>
          <c:val>
            <c:numRef>
              <c:f>'Rhaniad y Ddeiliadaeth (Canol)'!$C$58:$G$58</c:f>
              <c:numCache>
                <c:formatCode>_-* #,##0_-;\-* #,##0_-;_-* "-"??_-;_-@_-</c:formatCode>
                <c:ptCount val="5"/>
                <c:pt idx="0">
                  <c:v>58.961967468261719</c:v>
                </c:pt>
                <c:pt idx="1">
                  <c:v>69.951509094238276</c:v>
                </c:pt>
                <c:pt idx="2">
                  <c:v>82.189138259887685</c:v>
                </c:pt>
                <c:pt idx="3">
                  <c:v>89.777117805480941</c:v>
                </c:pt>
                <c:pt idx="4">
                  <c:v>102.77261198043821</c:v>
                </c:pt>
              </c:numCache>
            </c:numRef>
          </c:val>
          <c:extLst>
            <c:ext xmlns:c16="http://schemas.microsoft.com/office/drawing/2014/chart" uri="{C3380CC4-5D6E-409C-BE32-E72D297353CC}">
              <c16:uniqueId val="{00000001-9787-4CF8-A294-CC28EBBDB57B}"/>
            </c:ext>
          </c:extLst>
        </c:ser>
        <c:dLbls>
          <c:showLegendKey val="0"/>
          <c:showVal val="0"/>
          <c:showCatName val="0"/>
          <c:showSerName val="0"/>
          <c:showPercent val="0"/>
          <c:showBubbleSize val="0"/>
        </c:dLbls>
        <c:gapWidth val="163"/>
        <c:overlap val="100"/>
        <c:axId val="188945536"/>
        <c:axId val="188947072"/>
      </c:barChart>
      <c:catAx>
        <c:axId val="188945536"/>
        <c:scaling>
          <c:orientation val="minMax"/>
        </c:scaling>
        <c:delete val="0"/>
        <c:axPos val="b"/>
        <c:numFmt formatCode="General" sourceLinked="1"/>
        <c:majorTickMark val="out"/>
        <c:minorTickMark val="none"/>
        <c:tickLblPos val="nextTo"/>
        <c:crossAx val="188947072"/>
        <c:crosses val="autoZero"/>
        <c:auto val="1"/>
        <c:lblAlgn val="ctr"/>
        <c:lblOffset val="100"/>
        <c:noMultiLvlLbl val="0"/>
      </c:catAx>
      <c:valAx>
        <c:axId val="188947072"/>
        <c:scaling>
          <c:orientation val="minMax"/>
          <c:max val="3000"/>
        </c:scaling>
        <c:delete val="0"/>
        <c:axPos val="l"/>
        <c:numFmt formatCode="#,##0" sourceLinked="0"/>
        <c:majorTickMark val="out"/>
        <c:minorTickMark val="none"/>
        <c:tickLblPos val="nextTo"/>
        <c:crossAx val="188945536"/>
        <c:crosses val="autoZero"/>
        <c:crossBetween val="between"/>
        <c:majorUnit val="1000"/>
      </c:valAx>
    </c:plotArea>
    <c:legend>
      <c:legendPos val="b"/>
      <c:overlay val="0"/>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b="1" i="0" u="none" strike="noStrike" baseline="0">
                <a:effectLst/>
              </a:rPr>
              <a:t>Angen o ran Tai: Rhagdybiaethau Defnyddwyr ar gyfer Rhaniad Deiliadaeth 5 Mlynedd (Canolbarth Cymru)</a:t>
            </a:r>
            <a:endParaRPr lang="en-GB" sz="1400"/>
          </a:p>
        </c:rich>
      </c:tx>
      <c:overlay val="0"/>
    </c:title>
    <c:autoTitleDeleted val="0"/>
    <c:plotArea>
      <c:layout/>
      <c:pieChart>
        <c:varyColors val="1"/>
        <c:ser>
          <c:idx val="0"/>
          <c:order val="0"/>
          <c:dPt>
            <c:idx val="0"/>
            <c:bubble3D val="0"/>
            <c:spPr>
              <a:solidFill>
                <a:srgbClr val="2E75B6"/>
              </a:solidFill>
            </c:spPr>
            <c:extLst>
              <c:ext xmlns:c16="http://schemas.microsoft.com/office/drawing/2014/chart" uri="{C3380CC4-5D6E-409C-BE32-E72D297353CC}">
                <c16:uniqueId val="{00000001-5203-4B21-9E10-D9F749C9F532}"/>
              </c:ext>
            </c:extLst>
          </c:dPt>
          <c:dPt>
            <c:idx val="1"/>
            <c:bubble3D val="0"/>
            <c:spPr>
              <a:solidFill>
                <a:srgbClr val="9DC3E6"/>
              </a:solidFill>
            </c:spPr>
            <c:extLst>
              <c:ext xmlns:c16="http://schemas.microsoft.com/office/drawing/2014/chart" uri="{C3380CC4-5D6E-409C-BE32-E72D297353CC}">
                <c16:uniqueId val="{00000003-5203-4B21-9E10-D9F749C9F532}"/>
              </c:ext>
            </c:extLst>
          </c:dPt>
          <c:dPt>
            <c:idx val="2"/>
            <c:bubble3D val="0"/>
            <c:spPr>
              <a:solidFill>
                <a:schemeClr val="accent3">
                  <a:lumMod val="75000"/>
                </a:schemeClr>
              </a:solidFill>
            </c:spPr>
            <c:extLst>
              <c:ext xmlns:c16="http://schemas.microsoft.com/office/drawing/2014/chart" uri="{C3380CC4-5D6E-409C-BE32-E72D297353CC}">
                <c16:uniqueId val="{00000005-5203-4B21-9E10-D9F749C9F532}"/>
              </c:ext>
            </c:extLst>
          </c:dPt>
          <c:dPt>
            <c:idx val="3"/>
            <c:bubble3D val="0"/>
            <c:spPr>
              <a:solidFill>
                <a:schemeClr val="accent3">
                  <a:lumMod val="60000"/>
                  <a:lumOff val="40000"/>
                </a:schemeClr>
              </a:solidFill>
            </c:spPr>
            <c:extLst>
              <c:ext xmlns:c16="http://schemas.microsoft.com/office/drawing/2014/chart" uri="{C3380CC4-5D6E-409C-BE32-E72D297353CC}">
                <c16:uniqueId val="{00000007-5203-4B21-9E10-D9F749C9F532}"/>
              </c:ext>
            </c:extLst>
          </c:dPt>
          <c:dLbls>
            <c:spPr>
              <a:noFill/>
              <a:ln>
                <a:noFill/>
              </a:ln>
              <a:effectLst/>
            </c:spPr>
            <c:dLblPos val="ctr"/>
            <c:showLegendKey val="0"/>
            <c:showVal val="1"/>
            <c:showCatName val="0"/>
            <c:showSerName val="0"/>
            <c:showPercent val="0"/>
            <c:showBubbleSize val="0"/>
            <c:showLeaderLines val="1"/>
            <c:extLst>
              <c:ext xmlns:c15="http://schemas.microsoft.com/office/drawing/2012/chart" uri="{CE6537A1-D6FC-4f65-9D91-7224C49458BB}"/>
            </c:extLst>
          </c:dLbls>
          <c:cat>
            <c:strRef>
              <c:f>'Rhaniad y Ddeiliadaeth (Canol)'!$B$62:$B$63</c:f>
              <c:strCache>
                <c:ptCount val="2"/>
                <c:pt idx="0">
                  <c:v>Tai'r Farchnad</c:v>
                </c:pt>
                <c:pt idx="1">
                  <c:v>Tai fforddiadwy</c:v>
                </c:pt>
              </c:strCache>
            </c:strRef>
          </c:cat>
          <c:val>
            <c:numRef>
              <c:f>'Rhaniad y Ddeiliadaeth (Canol)'!$I$62:$I$63</c:f>
              <c:numCache>
                <c:formatCode>0%</c:formatCode>
                <c:ptCount val="2"/>
                <c:pt idx="0">
                  <c:v>0.39365552228402784</c:v>
                </c:pt>
                <c:pt idx="1">
                  <c:v>0.60634447771597211</c:v>
                </c:pt>
              </c:numCache>
            </c:numRef>
          </c:val>
          <c:extLst>
            <c:ext xmlns:c16="http://schemas.microsoft.com/office/drawing/2014/chart" uri="{C3380CC4-5D6E-409C-BE32-E72D297353CC}">
              <c16:uniqueId val="{00000008-5203-4B21-9E10-D9F749C9F532}"/>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800" b="1" i="0" baseline="0">
                <a:effectLst/>
              </a:rPr>
              <a:t>Angen Blynyddol o ran Rhaniad Deiliadaeth Tai - Rhagdybiaethau Defnyddwyr (De-orllewin Cymru)</a:t>
            </a:r>
            <a:endParaRPr lang="en-GB" sz="1400">
              <a:effectLst/>
            </a:endParaRPr>
          </a:p>
        </c:rich>
      </c:tx>
      <c:overlay val="0"/>
    </c:title>
    <c:autoTitleDeleted val="0"/>
    <c:plotArea>
      <c:layout/>
      <c:barChart>
        <c:barDir val="col"/>
        <c:grouping val="stacked"/>
        <c:varyColors val="0"/>
        <c:ser>
          <c:idx val="0"/>
          <c:order val="0"/>
          <c:tx>
            <c:strRef>
              <c:f>'Rhaniad y Ddeiliadaeth (De-o)'!$B$93</c:f>
              <c:strCache>
                <c:ptCount val="1"/>
              </c:strCache>
            </c:strRef>
          </c:tx>
          <c:spPr>
            <a:solidFill>
              <a:schemeClr val="tx2">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'Rhaniad y Ddeiliadaeth (De-o)'!$C$92:$G$92</c:f>
            </c:multiLvlStrRef>
          </c:cat>
          <c:val>
            <c:numRef>
              <c:f>'Rhaniad y Ddeiliadaeth (De-o)'!$C$93:$G$93</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0-42AF-4EAC-A6EB-E988237B5E27}"/>
            </c:ext>
          </c:extLst>
        </c:ser>
        <c:ser>
          <c:idx val="1"/>
          <c:order val="1"/>
          <c:tx>
            <c:strRef>
              <c:f>'Rhaniad y Ddeiliadaeth (De-o)'!$B$94</c:f>
              <c:strCache>
                <c:ptCount val="1"/>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'Rhaniad y Ddeiliadaeth (De-o)'!$C$92:$G$92</c:f>
            </c:multiLvlStrRef>
          </c:cat>
          <c:val>
            <c:numRef>
              <c:f>'Rhaniad y Ddeiliadaeth (De-o)'!$C$94:$G$94</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1-42AF-4EAC-A6EB-E988237B5E27}"/>
            </c:ext>
          </c:extLst>
        </c:ser>
        <c:ser>
          <c:idx val="2"/>
          <c:order val="2"/>
          <c:tx>
            <c:strRef>
              <c:f>'Rhaniad y Ddeiliadaeth (De-o)'!$B$95</c:f>
              <c:strCache>
                <c:ptCount val="1"/>
                <c:pt idx="0">
                  <c:v>  </c:v>
                </c:pt>
              </c:strCache>
            </c:strRef>
          </c:tx>
          <c:spPr>
            <a:solidFill>
              <a:schemeClr val="accent1">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'Rhaniad y Ddeiliadaeth (De-o)'!$C$92:$G$92</c:f>
            </c:multiLvlStrRef>
          </c:cat>
          <c:val>
            <c:numRef>
              <c:f>'Rhaniad y Ddeiliadaeth (De-o)'!$C$95:$G$95</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2-42AF-4EAC-A6EB-E988237B5E27}"/>
            </c:ext>
          </c:extLst>
        </c:ser>
        <c:ser>
          <c:idx val="3"/>
          <c:order val="3"/>
          <c:tx>
            <c:strRef>
              <c:f>'Rhaniad y Ddeiliadaeth (De-o)'!$B$96</c:f>
              <c:strCache>
                <c:ptCount val="1"/>
                <c:pt idx="0">
                  <c:v>  </c:v>
                </c:pt>
              </c:strCache>
            </c:strRef>
          </c:tx>
          <c:spPr>
            <a:solidFill>
              <a:schemeClr val="accent1">
                <a:lumMod val="20000"/>
                <a:lumOff val="80000"/>
              </a:schemeClr>
            </a:solidFill>
          </c:spPr>
          <c:invertIfNegative val="0"/>
          <c:dLbls>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AF-4EAC-A6EB-E988237B5E2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'Rhaniad y Ddeiliadaeth (De-o)'!$C$92:$G$92</c:f>
            </c:multiLvlStrRef>
          </c:cat>
          <c:val>
            <c:numRef>
              <c:f>'Rhaniad y Ddeiliadaeth (De-o)'!$C$96:$G$96</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4-42AF-4EAC-A6EB-E988237B5E27}"/>
            </c:ext>
          </c:extLst>
        </c:ser>
        <c:dLbls>
          <c:showLegendKey val="0"/>
          <c:showVal val="0"/>
          <c:showCatName val="0"/>
          <c:showSerName val="0"/>
          <c:showPercent val="0"/>
          <c:showBubbleSize val="0"/>
        </c:dLbls>
        <c:gapWidth val="163"/>
        <c:overlap val="100"/>
        <c:axId val="186873344"/>
        <c:axId val="186874880"/>
      </c:barChart>
      <c:catAx>
        <c:axId val="186873344"/>
        <c:scaling>
          <c:orientation val="minMax"/>
        </c:scaling>
        <c:delete val="0"/>
        <c:axPos val="b"/>
        <c:numFmt formatCode="General" sourceLinked="1"/>
        <c:majorTickMark val="out"/>
        <c:minorTickMark val="none"/>
        <c:tickLblPos val="nextTo"/>
        <c:crossAx val="186874880"/>
        <c:crosses val="autoZero"/>
        <c:auto val="1"/>
        <c:lblAlgn val="ctr"/>
        <c:lblOffset val="100"/>
        <c:noMultiLvlLbl val="0"/>
      </c:catAx>
      <c:valAx>
        <c:axId val="186874880"/>
        <c:scaling>
          <c:orientation val="minMax"/>
          <c:max val="3000"/>
          <c:min val="0"/>
        </c:scaling>
        <c:delete val="0"/>
        <c:axPos val="l"/>
        <c:numFmt formatCode="#,##0" sourceLinked="0"/>
        <c:majorTickMark val="out"/>
        <c:minorTickMark val="none"/>
        <c:tickLblPos val="nextTo"/>
        <c:crossAx val="186873344"/>
        <c:crosses val="autoZero"/>
        <c:crossBetween val="between"/>
        <c:majorUnit val="1000"/>
      </c:valAx>
    </c:plotArea>
    <c:legend>
      <c:legendPos val="b"/>
      <c:overlay val="0"/>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1400" b="1" i="0" baseline="0">
                <a:effectLst/>
              </a:rPr>
              <a:t>Angen o ran Tai: Rhagdybiaethau Defnyddwyr ar gyfer Rhaniad Deiliadaeth 5 Mlynedd (De-orllewin Cymru) </a:t>
            </a:r>
            <a:endParaRPr lang="en-GB" sz="11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GB" sz="1400"/>
          </a:p>
        </c:rich>
      </c:tx>
      <c:overlay val="0"/>
    </c:title>
    <c:autoTitleDeleted val="0"/>
    <c:plotArea>
      <c:layout/>
      <c:pieChart>
        <c:varyColors val="1"/>
        <c:ser>
          <c:idx val="0"/>
          <c:order val="0"/>
          <c:dPt>
            <c:idx val="0"/>
            <c:bubble3D val="0"/>
            <c:spPr>
              <a:solidFill>
                <a:schemeClr val="tx2">
                  <a:lumMod val="75000"/>
                </a:schemeClr>
              </a:solidFill>
            </c:spPr>
            <c:extLst>
              <c:ext xmlns:c16="http://schemas.microsoft.com/office/drawing/2014/chart" uri="{C3380CC4-5D6E-409C-BE32-E72D297353CC}">
                <c16:uniqueId val="{00000001-6C7C-435D-A70F-70388A269F0E}"/>
              </c:ext>
            </c:extLst>
          </c:dPt>
          <c:dPt>
            <c:idx val="1"/>
            <c:bubble3D val="0"/>
            <c:spPr>
              <a:solidFill>
                <a:schemeClr val="tx2">
                  <a:lumMod val="60000"/>
                  <a:lumOff val="40000"/>
                </a:schemeClr>
              </a:solidFill>
            </c:spPr>
            <c:extLst>
              <c:ext xmlns:c16="http://schemas.microsoft.com/office/drawing/2014/chart" uri="{C3380CC4-5D6E-409C-BE32-E72D297353CC}">
                <c16:uniqueId val="{00000003-6C7C-435D-A70F-70388A269F0E}"/>
              </c:ext>
            </c:extLst>
          </c:dPt>
          <c:dPt>
            <c:idx val="2"/>
            <c:bubble3D val="0"/>
            <c:spPr>
              <a:solidFill>
                <a:schemeClr val="accent1">
                  <a:lumMod val="40000"/>
                  <a:lumOff val="60000"/>
                </a:schemeClr>
              </a:solidFill>
            </c:spPr>
            <c:extLst>
              <c:ext xmlns:c16="http://schemas.microsoft.com/office/drawing/2014/chart" uri="{C3380CC4-5D6E-409C-BE32-E72D297353CC}">
                <c16:uniqueId val="{00000005-6C7C-435D-A70F-70388A269F0E}"/>
              </c:ext>
            </c:extLst>
          </c:dPt>
          <c:dPt>
            <c:idx val="3"/>
            <c:bubble3D val="0"/>
            <c:spPr>
              <a:solidFill>
                <a:schemeClr val="tx2">
                  <a:lumMod val="20000"/>
                  <a:lumOff val="80000"/>
                </a:schemeClr>
              </a:solidFill>
            </c:spPr>
            <c:extLst>
              <c:ext xmlns:c16="http://schemas.microsoft.com/office/drawing/2014/chart" uri="{C3380CC4-5D6E-409C-BE32-E72D297353CC}">
                <c16:uniqueId val="{00000007-6C7C-435D-A70F-70388A269F0E}"/>
              </c:ext>
            </c:extLst>
          </c:dPt>
          <c:dLbls>
            <c:spPr>
              <a:noFill/>
              <a:ln>
                <a:noFill/>
              </a:ln>
              <a:effectLst/>
            </c:spPr>
            <c:dLblPos val="ctr"/>
            <c:showLegendKey val="0"/>
            <c:showVal val="1"/>
            <c:showCatName val="0"/>
            <c:showSerName val="0"/>
            <c:showPercent val="0"/>
            <c:showBubbleSize val="0"/>
            <c:showLeaderLines val="1"/>
            <c:extLst>
              <c:ext xmlns:c15="http://schemas.microsoft.com/office/drawing/2012/chart" uri="{CE6537A1-D6FC-4f65-9D91-7224C49458BB}"/>
            </c:extLst>
          </c:dLbls>
          <c:cat>
            <c:multiLvlStrRef>
              <c:f>'Rhaniad y Ddeiliadaeth (De-o)'!$B$101:$B$104</c:f>
            </c:multiLvlStrRef>
          </c:cat>
          <c:val>
            <c:numRef>
              <c:f>'Rhaniad y Ddeiliadaeth (De-o)'!$I$101:$I$104</c:f>
              <c:numCache>
                <c:formatCode>0%</c:formatCode>
                <c:ptCount val="4"/>
                <c:pt idx="0">
                  <c:v>0</c:v>
                </c:pt>
                <c:pt idx="1">
                  <c:v>0</c:v>
                </c:pt>
                <c:pt idx="2">
                  <c:v>0</c:v>
                </c:pt>
                <c:pt idx="3">
                  <c:v>0</c:v>
                </c:pt>
              </c:numCache>
            </c:numRef>
          </c:val>
          <c:extLst>
            <c:ext xmlns:c16="http://schemas.microsoft.com/office/drawing/2014/chart" uri="{C3380CC4-5D6E-409C-BE32-E72D297353CC}">
              <c16:uniqueId val="{00000008-6C7C-435D-A70F-70388A269F0E}"/>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800" b="1" i="0" baseline="0">
                <a:effectLst/>
              </a:rPr>
              <a:t>Angen Blynyddol o ran Rhaniad Deiliadaeth Tai - Rhagdybiaethau Defnyddwyr (De-orllewin Cymru)</a:t>
            </a:r>
            <a:endParaRPr lang="en-GB" sz="1400">
              <a:effectLst/>
            </a:endParaRPr>
          </a:p>
        </c:rich>
      </c:tx>
      <c:overlay val="0"/>
    </c:title>
    <c:autoTitleDeleted val="0"/>
    <c:plotArea>
      <c:layout/>
      <c:barChart>
        <c:barDir val="col"/>
        <c:grouping val="stacked"/>
        <c:varyColors val="0"/>
        <c:ser>
          <c:idx val="0"/>
          <c:order val="0"/>
          <c:tx>
            <c:strRef>
              <c:f>'Rhaniad y Ddeiliadaeth (De-o)'!$B$57</c:f>
              <c:strCache>
                <c:ptCount val="1"/>
                <c:pt idx="0">
                  <c:v>Tai'r Farchnad</c:v>
                </c:pt>
              </c:strCache>
            </c:strRef>
          </c:tx>
          <c:spPr>
            <a:solidFill>
              <a:srgbClr val="2E75B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'Rhaniad y Ddeiliadaeth (De-o)'!$C$56:$G$56</c:f>
              <c:strCache>
                <c:ptCount val="5"/>
                <c:pt idx="0">
                  <c:v>2019/20</c:v>
                </c:pt>
                <c:pt idx="1">
                  <c:v>2020/21</c:v>
                </c:pt>
                <c:pt idx="2">
                  <c:v>2021/22</c:v>
                </c:pt>
                <c:pt idx="3">
                  <c:v>2022/23</c:v>
                </c:pt>
                <c:pt idx="4">
                  <c:v>2023/24</c:v>
                </c:pt>
              </c:strCache>
            </c:strRef>
          </c:cat>
          <c:val>
            <c:numRef>
              <c:f>'Rhaniad y Ddeiliadaeth (De-o)'!$C$57:$G$57</c:f>
              <c:numCache>
                <c:formatCode>_-* #,##0_-;\-* #,##0_-;_-* "-"??_-;_-@_-</c:formatCode>
                <c:ptCount val="5"/>
                <c:pt idx="0">
                  <c:v>859.44671905517578</c:v>
                </c:pt>
                <c:pt idx="1">
                  <c:v>895.26459732055662</c:v>
                </c:pt>
                <c:pt idx="2">
                  <c:v>970.95359481811522</c:v>
                </c:pt>
                <c:pt idx="3">
                  <c:v>950.31790328979491</c:v>
                </c:pt>
                <c:pt idx="4">
                  <c:v>892.5205004882813</c:v>
                </c:pt>
              </c:numCache>
            </c:numRef>
          </c:val>
          <c:extLst>
            <c:ext xmlns:c16="http://schemas.microsoft.com/office/drawing/2014/chart" uri="{C3380CC4-5D6E-409C-BE32-E72D297353CC}">
              <c16:uniqueId val="{00000000-2D98-49AA-BAF4-5C450348B893}"/>
            </c:ext>
          </c:extLst>
        </c:ser>
        <c:ser>
          <c:idx val="1"/>
          <c:order val="1"/>
          <c:tx>
            <c:strRef>
              <c:f>'Rhaniad y Ddeiliadaeth (De-o)'!$B$58</c:f>
              <c:strCache>
                <c:ptCount val="1"/>
                <c:pt idx="0">
                  <c:v>Tai fforddiadwy</c:v>
                </c:pt>
              </c:strCache>
            </c:strRef>
          </c:tx>
          <c:spPr>
            <a:solidFill>
              <a:srgbClr val="9DC3E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'Rhaniad y Ddeiliadaeth (De-o)'!$C$56:$G$56</c:f>
              <c:strCache>
                <c:ptCount val="5"/>
                <c:pt idx="0">
                  <c:v>2019/20</c:v>
                </c:pt>
                <c:pt idx="1">
                  <c:v>2020/21</c:v>
                </c:pt>
                <c:pt idx="2">
                  <c:v>2021/22</c:v>
                </c:pt>
                <c:pt idx="3">
                  <c:v>2022/23</c:v>
                </c:pt>
                <c:pt idx="4">
                  <c:v>2023/24</c:v>
                </c:pt>
              </c:strCache>
            </c:strRef>
          </c:cat>
          <c:val>
            <c:numRef>
              <c:f>'Rhaniad y Ddeiliadaeth (De-o)'!$C$58:$G$58</c:f>
              <c:numCache>
                <c:formatCode>_-* #,##0_-;\-* #,##0_-;_-* "-"??_-;_-@_-</c:formatCode>
                <c:ptCount val="5"/>
                <c:pt idx="0">
                  <c:v>692.35442230224601</c:v>
                </c:pt>
                <c:pt idx="1">
                  <c:v>713.39031906127923</c:v>
                </c:pt>
                <c:pt idx="2">
                  <c:v>757.84258743286125</c:v>
                </c:pt>
                <c:pt idx="3">
                  <c:v>745.72321304321281</c:v>
                </c:pt>
                <c:pt idx="4">
                  <c:v>734.62869384765611</c:v>
                </c:pt>
              </c:numCache>
            </c:numRef>
          </c:val>
          <c:extLst>
            <c:ext xmlns:c16="http://schemas.microsoft.com/office/drawing/2014/chart" uri="{C3380CC4-5D6E-409C-BE32-E72D297353CC}">
              <c16:uniqueId val="{00000001-2D98-49AA-BAF4-5C450348B893}"/>
            </c:ext>
          </c:extLst>
        </c:ser>
        <c:dLbls>
          <c:showLegendKey val="0"/>
          <c:showVal val="0"/>
          <c:showCatName val="0"/>
          <c:showSerName val="0"/>
          <c:showPercent val="0"/>
          <c:showBubbleSize val="0"/>
        </c:dLbls>
        <c:gapWidth val="163"/>
        <c:overlap val="100"/>
        <c:axId val="188945536"/>
        <c:axId val="188947072"/>
      </c:barChart>
      <c:catAx>
        <c:axId val="188945536"/>
        <c:scaling>
          <c:orientation val="minMax"/>
        </c:scaling>
        <c:delete val="0"/>
        <c:axPos val="b"/>
        <c:numFmt formatCode="General" sourceLinked="1"/>
        <c:majorTickMark val="out"/>
        <c:minorTickMark val="none"/>
        <c:tickLblPos val="nextTo"/>
        <c:crossAx val="188947072"/>
        <c:crosses val="autoZero"/>
        <c:auto val="1"/>
        <c:lblAlgn val="ctr"/>
        <c:lblOffset val="100"/>
        <c:noMultiLvlLbl val="0"/>
      </c:catAx>
      <c:valAx>
        <c:axId val="188947072"/>
        <c:scaling>
          <c:orientation val="minMax"/>
          <c:max val="3000"/>
        </c:scaling>
        <c:delete val="0"/>
        <c:axPos val="l"/>
        <c:numFmt formatCode="#,##0" sourceLinked="0"/>
        <c:majorTickMark val="out"/>
        <c:minorTickMark val="none"/>
        <c:tickLblPos val="nextTo"/>
        <c:crossAx val="188945536"/>
        <c:crosses val="autoZero"/>
        <c:crossBetween val="between"/>
        <c:majorUnit val="1000"/>
      </c:valAx>
    </c:plotArea>
    <c:legend>
      <c:legendPos val="b"/>
      <c:overlay val="0"/>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b="1" i="0" baseline="0">
                <a:effectLst/>
              </a:rPr>
              <a:t>Angen o ran Tai: Rhagdybiaethau Defnyddwyr ar gyfer Rhaniad Deiliadaeth 5 Mlynedd (Cymru) </a:t>
            </a:r>
            <a:endParaRPr lang="en-GB" sz="1100">
              <a:effectLst/>
            </a:endParaRPr>
          </a:p>
        </c:rich>
      </c:tx>
      <c:overlay val="0"/>
    </c:title>
    <c:autoTitleDeleted val="0"/>
    <c:plotArea>
      <c:layout/>
      <c:pieChart>
        <c:varyColors val="1"/>
        <c:ser>
          <c:idx val="0"/>
          <c:order val="0"/>
          <c:dPt>
            <c:idx val="0"/>
            <c:bubble3D val="0"/>
            <c:spPr>
              <a:solidFill>
                <a:schemeClr val="tx2">
                  <a:lumMod val="75000"/>
                </a:schemeClr>
              </a:solidFill>
            </c:spPr>
            <c:extLst>
              <c:ext xmlns:c16="http://schemas.microsoft.com/office/drawing/2014/chart" uri="{C3380CC4-5D6E-409C-BE32-E72D297353CC}">
                <c16:uniqueId val="{00000001-3B63-4545-868A-9C4DC3FD8BB6}"/>
              </c:ext>
            </c:extLst>
          </c:dPt>
          <c:dPt>
            <c:idx val="1"/>
            <c:bubble3D val="0"/>
            <c:spPr>
              <a:solidFill>
                <a:schemeClr val="tx2">
                  <a:lumMod val="60000"/>
                  <a:lumOff val="40000"/>
                </a:schemeClr>
              </a:solidFill>
            </c:spPr>
            <c:extLst>
              <c:ext xmlns:c16="http://schemas.microsoft.com/office/drawing/2014/chart" uri="{C3380CC4-5D6E-409C-BE32-E72D297353CC}">
                <c16:uniqueId val="{00000003-3B63-4545-868A-9C4DC3FD8BB6}"/>
              </c:ext>
            </c:extLst>
          </c:dPt>
          <c:dPt>
            <c:idx val="2"/>
            <c:bubble3D val="0"/>
            <c:spPr>
              <a:solidFill>
                <a:schemeClr val="accent1">
                  <a:lumMod val="40000"/>
                  <a:lumOff val="60000"/>
                </a:schemeClr>
              </a:solidFill>
            </c:spPr>
            <c:extLst>
              <c:ext xmlns:c16="http://schemas.microsoft.com/office/drawing/2014/chart" uri="{C3380CC4-5D6E-409C-BE32-E72D297353CC}">
                <c16:uniqueId val="{00000005-3B63-4545-868A-9C4DC3FD8BB6}"/>
              </c:ext>
            </c:extLst>
          </c:dPt>
          <c:dPt>
            <c:idx val="3"/>
            <c:bubble3D val="0"/>
            <c:spPr>
              <a:solidFill>
                <a:schemeClr val="accent1">
                  <a:lumMod val="20000"/>
                  <a:lumOff val="80000"/>
                </a:schemeClr>
              </a:solidFill>
            </c:spPr>
            <c:extLst>
              <c:ext xmlns:c16="http://schemas.microsoft.com/office/drawing/2014/chart" uri="{C3380CC4-5D6E-409C-BE32-E72D297353CC}">
                <c16:uniqueId val="{00000007-3B63-4545-868A-9C4DC3FD8BB6}"/>
              </c:ext>
            </c:extLst>
          </c:dPt>
          <c:dLbls>
            <c:spPr>
              <a:noFill/>
              <a:ln>
                <a:noFill/>
              </a:ln>
              <a:effectLst/>
            </c:spPr>
            <c:dLblPos val="ctr"/>
            <c:showLegendKey val="0"/>
            <c:showVal val="1"/>
            <c:showCatName val="0"/>
            <c:showSerName val="0"/>
            <c:showPercent val="0"/>
            <c:showBubbleSize val="0"/>
            <c:showLeaderLines val="1"/>
            <c:extLst>
              <c:ext xmlns:c15="http://schemas.microsoft.com/office/drawing/2012/chart" uri="{CE6537A1-D6FC-4f65-9D91-7224C49458BB}"/>
            </c:extLst>
          </c:dLbls>
          <c:cat>
            <c:multiLvlStrRef>
              <c:f>'Rhaniad y Ddeiliadaeth (Cymru)'!$B$101:$B$104</c:f>
            </c:multiLvlStrRef>
          </c:cat>
          <c:val>
            <c:numRef>
              <c:f>'Rhaniad y Ddeiliadaeth (Cymru)'!$I$101:$I$104</c:f>
              <c:numCache>
                <c:formatCode>0%</c:formatCode>
                <c:ptCount val="4"/>
                <c:pt idx="0">
                  <c:v>0</c:v>
                </c:pt>
                <c:pt idx="1">
                  <c:v>0</c:v>
                </c:pt>
                <c:pt idx="2">
                  <c:v>0</c:v>
                </c:pt>
                <c:pt idx="3">
                  <c:v>0</c:v>
                </c:pt>
              </c:numCache>
            </c:numRef>
          </c:val>
          <c:extLst>
            <c:ext xmlns:c16="http://schemas.microsoft.com/office/drawing/2014/chart" uri="{C3380CC4-5D6E-409C-BE32-E72D297353CC}">
              <c16:uniqueId val="{00000008-3B63-4545-868A-9C4DC3FD8BB6}"/>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b="1" i="0" u="none" strike="noStrike" baseline="0">
                <a:effectLst/>
              </a:rPr>
              <a:t>Angen o ran Tai: Rhagdybiaethau Defnyddwyr ar gyfer Rhaniad Deiliadaeth 5 Mlynedd (De-orllewin Cymru)</a:t>
            </a:r>
            <a:endParaRPr lang="en-GB" sz="1400"/>
          </a:p>
        </c:rich>
      </c:tx>
      <c:overlay val="0"/>
    </c:title>
    <c:autoTitleDeleted val="0"/>
    <c:plotArea>
      <c:layout/>
      <c:pieChart>
        <c:varyColors val="1"/>
        <c:ser>
          <c:idx val="0"/>
          <c:order val="0"/>
          <c:dPt>
            <c:idx val="0"/>
            <c:bubble3D val="0"/>
            <c:spPr>
              <a:solidFill>
                <a:srgbClr val="2E75B6"/>
              </a:solidFill>
            </c:spPr>
            <c:extLst>
              <c:ext xmlns:c16="http://schemas.microsoft.com/office/drawing/2014/chart" uri="{C3380CC4-5D6E-409C-BE32-E72D297353CC}">
                <c16:uniqueId val="{00000001-BCEB-4D63-9742-539E71167CCF}"/>
              </c:ext>
            </c:extLst>
          </c:dPt>
          <c:dPt>
            <c:idx val="1"/>
            <c:bubble3D val="0"/>
            <c:spPr>
              <a:solidFill>
                <a:srgbClr val="9DC3E6"/>
              </a:solidFill>
            </c:spPr>
            <c:extLst>
              <c:ext xmlns:c16="http://schemas.microsoft.com/office/drawing/2014/chart" uri="{C3380CC4-5D6E-409C-BE32-E72D297353CC}">
                <c16:uniqueId val="{00000003-BCEB-4D63-9742-539E71167CCF}"/>
              </c:ext>
            </c:extLst>
          </c:dPt>
          <c:dPt>
            <c:idx val="2"/>
            <c:bubble3D val="0"/>
            <c:spPr>
              <a:solidFill>
                <a:schemeClr val="accent3">
                  <a:lumMod val="75000"/>
                </a:schemeClr>
              </a:solidFill>
            </c:spPr>
            <c:extLst>
              <c:ext xmlns:c16="http://schemas.microsoft.com/office/drawing/2014/chart" uri="{C3380CC4-5D6E-409C-BE32-E72D297353CC}">
                <c16:uniqueId val="{00000005-BCEB-4D63-9742-539E71167CCF}"/>
              </c:ext>
            </c:extLst>
          </c:dPt>
          <c:dPt>
            <c:idx val="3"/>
            <c:bubble3D val="0"/>
            <c:spPr>
              <a:solidFill>
                <a:schemeClr val="accent3">
                  <a:lumMod val="60000"/>
                  <a:lumOff val="40000"/>
                </a:schemeClr>
              </a:solidFill>
            </c:spPr>
            <c:extLst>
              <c:ext xmlns:c16="http://schemas.microsoft.com/office/drawing/2014/chart" uri="{C3380CC4-5D6E-409C-BE32-E72D297353CC}">
                <c16:uniqueId val="{00000007-BCEB-4D63-9742-539E71167CCF}"/>
              </c:ext>
            </c:extLst>
          </c:dPt>
          <c:dLbls>
            <c:spPr>
              <a:noFill/>
              <a:ln>
                <a:noFill/>
              </a:ln>
              <a:effectLst/>
            </c:spPr>
            <c:dLblPos val="ctr"/>
            <c:showLegendKey val="0"/>
            <c:showVal val="1"/>
            <c:showCatName val="0"/>
            <c:showSerName val="0"/>
            <c:showPercent val="0"/>
            <c:showBubbleSize val="0"/>
            <c:showLeaderLines val="1"/>
            <c:extLst>
              <c:ext xmlns:c15="http://schemas.microsoft.com/office/drawing/2012/chart" uri="{CE6537A1-D6FC-4f65-9D91-7224C49458BB}"/>
            </c:extLst>
          </c:dLbls>
          <c:cat>
            <c:strRef>
              <c:f>'Rhaniad y Ddeiliadaeth (De-o)'!$B$62:$B$63</c:f>
              <c:strCache>
                <c:ptCount val="2"/>
                <c:pt idx="0">
                  <c:v>Tai'r Farchnad</c:v>
                </c:pt>
                <c:pt idx="1">
                  <c:v>Tai fforddiadwy</c:v>
                </c:pt>
              </c:strCache>
            </c:strRef>
          </c:cat>
          <c:val>
            <c:numRef>
              <c:f>'Rhaniad y Ddeiliadaeth (De-o)'!$I$62:$I$63</c:f>
              <c:numCache>
                <c:formatCode>0%</c:formatCode>
                <c:ptCount val="2"/>
                <c:pt idx="0">
                  <c:v>0.55629044426073071</c:v>
                </c:pt>
                <c:pt idx="1">
                  <c:v>0.44370955573926912</c:v>
                </c:pt>
              </c:numCache>
            </c:numRef>
          </c:val>
          <c:extLst>
            <c:ext xmlns:c16="http://schemas.microsoft.com/office/drawing/2014/chart" uri="{C3380CC4-5D6E-409C-BE32-E72D297353CC}">
              <c16:uniqueId val="{00000008-BCEB-4D63-9742-539E71167CCF}"/>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800" b="1" i="0" baseline="0">
                <a:effectLst/>
              </a:rPr>
              <a:t>Angen Blynyddol o ran Rhaniad Deiliadaeth Tai - Rhagdybiaethau Defnyddwyr (De-ddwyrain Cymru)</a:t>
            </a:r>
            <a:endParaRPr lang="en-GB" sz="1400">
              <a:effectLst/>
            </a:endParaRPr>
          </a:p>
        </c:rich>
      </c:tx>
      <c:overlay val="0"/>
    </c:title>
    <c:autoTitleDeleted val="0"/>
    <c:plotArea>
      <c:layout/>
      <c:barChart>
        <c:barDir val="col"/>
        <c:grouping val="stacked"/>
        <c:varyColors val="0"/>
        <c:ser>
          <c:idx val="0"/>
          <c:order val="0"/>
          <c:tx>
            <c:strRef>
              <c:f>'Rhaniad y Ddeiliadaeth (De-ddn)'!$B$93</c:f>
              <c:strCache>
                <c:ptCount val="1"/>
              </c:strCache>
            </c:strRef>
          </c:tx>
          <c:spPr>
            <a:solidFill>
              <a:schemeClr val="tx2">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'Rhaniad y Ddeiliadaeth (De-ddn)'!$C$92:$G$92</c:f>
            </c:multiLvlStrRef>
          </c:cat>
          <c:val>
            <c:numRef>
              <c:f>'Rhaniad y Ddeiliadaeth (De-ddn)'!$C$93:$G$93</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0-3E11-402B-BA84-F0961ED254F4}"/>
            </c:ext>
          </c:extLst>
        </c:ser>
        <c:ser>
          <c:idx val="1"/>
          <c:order val="1"/>
          <c:tx>
            <c:strRef>
              <c:f>'Rhaniad y Ddeiliadaeth (De-ddn)'!$B$94</c:f>
              <c:strCache>
                <c:ptCount val="1"/>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'Rhaniad y Ddeiliadaeth (De-ddn)'!$C$92:$G$92</c:f>
            </c:multiLvlStrRef>
          </c:cat>
          <c:val>
            <c:numRef>
              <c:f>'Rhaniad y Ddeiliadaeth (De-ddn)'!$C$94:$G$94</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1-3E11-402B-BA84-F0961ED254F4}"/>
            </c:ext>
          </c:extLst>
        </c:ser>
        <c:ser>
          <c:idx val="2"/>
          <c:order val="2"/>
          <c:tx>
            <c:strRef>
              <c:f>'Rhaniad y Ddeiliadaeth (De-ddn)'!$B$95</c:f>
              <c:strCache>
                <c:ptCount val="1"/>
                <c:pt idx="0">
                  <c:v>  </c:v>
                </c:pt>
              </c:strCache>
            </c:strRef>
          </c:tx>
          <c:spPr>
            <a:solidFill>
              <a:schemeClr val="accent1">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'Rhaniad y Ddeiliadaeth (De-ddn)'!$C$92:$G$92</c:f>
            </c:multiLvlStrRef>
          </c:cat>
          <c:val>
            <c:numRef>
              <c:f>'Rhaniad y Ddeiliadaeth (De-ddn)'!$C$95:$G$95</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2-3E11-402B-BA84-F0961ED254F4}"/>
            </c:ext>
          </c:extLst>
        </c:ser>
        <c:ser>
          <c:idx val="3"/>
          <c:order val="3"/>
          <c:tx>
            <c:strRef>
              <c:f>'Rhaniad y Ddeiliadaeth (De-ddn)'!$B$96</c:f>
              <c:strCache>
                <c:ptCount val="1"/>
                <c:pt idx="0">
                  <c:v>  </c:v>
                </c:pt>
              </c:strCache>
            </c:strRef>
          </c:tx>
          <c:spPr>
            <a:solidFill>
              <a:schemeClr val="accent1">
                <a:lumMod val="20000"/>
                <a:lumOff val="80000"/>
              </a:schemeClr>
            </a:solidFill>
          </c:spPr>
          <c:invertIfNegative val="0"/>
          <c:dLbls>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11-402B-BA84-F0961ED254F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'Rhaniad y Ddeiliadaeth (De-ddn)'!$C$92:$G$92</c:f>
            </c:multiLvlStrRef>
          </c:cat>
          <c:val>
            <c:numRef>
              <c:f>'Rhaniad y Ddeiliadaeth (De-ddn)'!$C$96:$G$96</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4-3E11-402B-BA84-F0961ED254F4}"/>
            </c:ext>
          </c:extLst>
        </c:ser>
        <c:dLbls>
          <c:showLegendKey val="0"/>
          <c:showVal val="0"/>
          <c:showCatName val="0"/>
          <c:showSerName val="0"/>
          <c:showPercent val="0"/>
          <c:showBubbleSize val="0"/>
        </c:dLbls>
        <c:gapWidth val="163"/>
        <c:overlap val="100"/>
        <c:axId val="189353344"/>
        <c:axId val="189355136"/>
      </c:barChart>
      <c:catAx>
        <c:axId val="189353344"/>
        <c:scaling>
          <c:orientation val="minMax"/>
        </c:scaling>
        <c:delete val="0"/>
        <c:axPos val="b"/>
        <c:numFmt formatCode="General" sourceLinked="1"/>
        <c:majorTickMark val="out"/>
        <c:minorTickMark val="none"/>
        <c:tickLblPos val="nextTo"/>
        <c:crossAx val="189355136"/>
        <c:crosses val="autoZero"/>
        <c:auto val="1"/>
        <c:lblAlgn val="ctr"/>
        <c:lblOffset val="100"/>
        <c:noMultiLvlLbl val="0"/>
      </c:catAx>
      <c:valAx>
        <c:axId val="189355136"/>
        <c:scaling>
          <c:orientation val="minMax"/>
          <c:max val="6000"/>
          <c:min val="0"/>
        </c:scaling>
        <c:delete val="0"/>
        <c:axPos val="l"/>
        <c:numFmt formatCode="#,##0" sourceLinked="0"/>
        <c:majorTickMark val="out"/>
        <c:minorTickMark val="none"/>
        <c:tickLblPos val="nextTo"/>
        <c:crossAx val="189353344"/>
        <c:crosses val="autoZero"/>
        <c:crossBetween val="between"/>
        <c:majorUnit val="1000"/>
      </c:valAx>
    </c:plotArea>
    <c:legend>
      <c:legendPos val="b"/>
      <c:overlay val="0"/>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b="1" i="0" baseline="0">
                <a:effectLst/>
              </a:rPr>
              <a:t>Angen o ran Tai: Rhagdybiaethau Defnyddwyr ar gyfer Rhaniad Deiliadaeth 5 Mlynedd (De-ddwyrain Cymru) </a:t>
            </a:r>
            <a:endParaRPr lang="en-GB" sz="1100">
              <a:effectLst/>
            </a:endParaRPr>
          </a:p>
        </c:rich>
      </c:tx>
      <c:overlay val="0"/>
    </c:title>
    <c:autoTitleDeleted val="0"/>
    <c:plotArea>
      <c:layout/>
      <c:pieChart>
        <c:varyColors val="1"/>
        <c:ser>
          <c:idx val="0"/>
          <c:order val="0"/>
          <c:dPt>
            <c:idx val="0"/>
            <c:bubble3D val="0"/>
            <c:spPr>
              <a:solidFill>
                <a:schemeClr val="tx2">
                  <a:lumMod val="75000"/>
                </a:schemeClr>
              </a:solidFill>
            </c:spPr>
            <c:extLst>
              <c:ext xmlns:c16="http://schemas.microsoft.com/office/drawing/2014/chart" uri="{C3380CC4-5D6E-409C-BE32-E72D297353CC}">
                <c16:uniqueId val="{00000001-1B3E-44B1-8131-484D006E2B43}"/>
              </c:ext>
            </c:extLst>
          </c:dPt>
          <c:dPt>
            <c:idx val="1"/>
            <c:bubble3D val="0"/>
            <c:spPr>
              <a:solidFill>
                <a:schemeClr val="tx2">
                  <a:lumMod val="60000"/>
                  <a:lumOff val="40000"/>
                </a:schemeClr>
              </a:solidFill>
            </c:spPr>
            <c:extLst>
              <c:ext xmlns:c16="http://schemas.microsoft.com/office/drawing/2014/chart" uri="{C3380CC4-5D6E-409C-BE32-E72D297353CC}">
                <c16:uniqueId val="{00000003-1B3E-44B1-8131-484D006E2B43}"/>
              </c:ext>
            </c:extLst>
          </c:dPt>
          <c:dPt>
            <c:idx val="2"/>
            <c:bubble3D val="0"/>
            <c:spPr>
              <a:solidFill>
                <a:schemeClr val="accent1">
                  <a:lumMod val="60000"/>
                  <a:lumOff val="40000"/>
                </a:schemeClr>
              </a:solidFill>
            </c:spPr>
            <c:extLst>
              <c:ext xmlns:c16="http://schemas.microsoft.com/office/drawing/2014/chart" uri="{C3380CC4-5D6E-409C-BE32-E72D297353CC}">
                <c16:uniqueId val="{00000005-1B3E-44B1-8131-484D006E2B43}"/>
              </c:ext>
            </c:extLst>
          </c:dPt>
          <c:dPt>
            <c:idx val="3"/>
            <c:bubble3D val="0"/>
            <c:spPr>
              <a:solidFill>
                <a:schemeClr val="tx2">
                  <a:lumMod val="20000"/>
                  <a:lumOff val="80000"/>
                </a:schemeClr>
              </a:solidFill>
            </c:spPr>
            <c:extLst>
              <c:ext xmlns:c16="http://schemas.microsoft.com/office/drawing/2014/chart" uri="{C3380CC4-5D6E-409C-BE32-E72D297353CC}">
                <c16:uniqueId val="{00000007-1B3E-44B1-8131-484D006E2B43}"/>
              </c:ext>
            </c:extLst>
          </c:dPt>
          <c:dLbls>
            <c:spPr>
              <a:noFill/>
              <a:ln>
                <a:noFill/>
              </a:ln>
              <a:effectLst/>
            </c:spPr>
            <c:dLblPos val="ctr"/>
            <c:showLegendKey val="0"/>
            <c:showVal val="1"/>
            <c:showCatName val="0"/>
            <c:showSerName val="0"/>
            <c:showPercent val="0"/>
            <c:showBubbleSize val="0"/>
            <c:showLeaderLines val="1"/>
            <c:extLst>
              <c:ext xmlns:c15="http://schemas.microsoft.com/office/drawing/2012/chart" uri="{CE6537A1-D6FC-4f65-9D91-7224C49458BB}"/>
            </c:extLst>
          </c:dLbls>
          <c:cat>
            <c:multiLvlStrRef>
              <c:f>'Rhaniad y Ddeiliadaeth (De-ddn)'!$B$101:$B$104</c:f>
            </c:multiLvlStrRef>
          </c:cat>
          <c:val>
            <c:numRef>
              <c:f>'Rhaniad y Ddeiliadaeth (De-ddn)'!$I$101:$I$104</c:f>
              <c:numCache>
                <c:formatCode>0%</c:formatCode>
                <c:ptCount val="4"/>
                <c:pt idx="0">
                  <c:v>0</c:v>
                </c:pt>
                <c:pt idx="1">
                  <c:v>0</c:v>
                </c:pt>
                <c:pt idx="2">
                  <c:v>0</c:v>
                </c:pt>
                <c:pt idx="3">
                  <c:v>0</c:v>
                </c:pt>
              </c:numCache>
            </c:numRef>
          </c:val>
          <c:extLst>
            <c:ext xmlns:c16="http://schemas.microsoft.com/office/drawing/2014/chart" uri="{C3380CC4-5D6E-409C-BE32-E72D297353CC}">
              <c16:uniqueId val="{00000008-1B3E-44B1-8131-484D006E2B43}"/>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800" b="1" i="0" baseline="0">
                <a:effectLst/>
              </a:rPr>
              <a:t>Angen Blynyddol o ran Rhaniad Deiliadaeth Tai - Rhagdybiaethau Defnyddwyr (De-ddwyrain Cymru)</a:t>
            </a:r>
            <a:endParaRPr lang="en-GB" sz="1400">
              <a:effectLst/>
            </a:endParaRPr>
          </a:p>
        </c:rich>
      </c:tx>
      <c:overlay val="0"/>
    </c:title>
    <c:autoTitleDeleted val="0"/>
    <c:plotArea>
      <c:layout/>
      <c:barChart>
        <c:barDir val="col"/>
        <c:grouping val="stacked"/>
        <c:varyColors val="0"/>
        <c:ser>
          <c:idx val="0"/>
          <c:order val="0"/>
          <c:tx>
            <c:strRef>
              <c:f>'Rhaniad y Ddeiliadaeth (De-ddn)'!$B$57</c:f>
              <c:strCache>
                <c:ptCount val="1"/>
                <c:pt idx="0">
                  <c:v>Tai'r Farchnad</c:v>
                </c:pt>
              </c:strCache>
            </c:strRef>
          </c:tx>
          <c:spPr>
            <a:solidFill>
              <a:srgbClr val="2E75B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'Rhaniad y Ddeiliadaeth (De-ddn)'!$C$56:$G$56</c:f>
              <c:strCache>
                <c:ptCount val="5"/>
                <c:pt idx="0">
                  <c:v>2019/20</c:v>
                </c:pt>
                <c:pt idx="1">
                  <c:v>2020/21</c:v>
                </c:pt>
                <c:pt idx="2">
                  <c:v>2021/22</c:v>
                </c:pt>
                <c:pt idx="3">
                  <c:v>2022/23</c:v>
                </c:pt>
                <c:pt idx="4">
                  <c:v>2023/24</c:v>
                </c:pt>
              </c:strCache>
            </c:strRef>
          </c:cat>
          <c:val>
            <c:numRef>
              <c:f>'Rhaniad y Ddeiliadaeth (De-ddn)'!$C$57:$G$57</c:f>
              <c:numCache>
                <c:formatCode>_-* #,##0_-;\-* #,##0_-;_-* "-"??_-;_-@_-</c:formatCode>
                <c:ptCount val="5"/>
                <c:pt idx="0">
                  <c:v>2223.2632144927979</c:v>
                </c:pt>
                <c:pt idx="1">
                  <c:v>2223.257169036865</c:v>
                </c:pt>
                <c:pt idx="2">
                  <c:v>2368.4454856109619</c:v>
                </c:pt>
                <c:pt idx="3">
                  <c:v>2262.3266912460326</c:v>
                </c:pt>
                <c:pt idx="4">
                  <c:v>2231.0147990798951</c:v>
                </c:pt>
              </c:numCache>
            </c:numRef>
          </c:val>
          <c:extLst>
            <c:ext xmlns:c16="http://schemas.microsoft.com/office/drawing/2014/chart" uri="{C3380CC4-5D6E-409C-BE32-E72D297353CC}">
              <c16:uniqueId val="{00000000-8C17-498D-8CA2-07E0678DB670}"/>
            </c:ext>
          </c:extLst>
        </c:ser>
        <c:ser>
          <c:idx val="1"/>
          <c:order val="1"/>
          <c:tx>
            <c:strRef>
              <c:f>'Rhaniad y Ddeiliadaeth (De-ddn)'!$B$58</c:f>
              <c:strCache>
                <c:ptCount val="1"/>
                <c:pt idx="0">
                  <c:v>Tai fforddiadwy</c:v>
                </c:pt>
              </c:strCache>
            </c:strRef>
          </c:tx>
          <c:spPr>
            <a:solidFill>
              <a:srgbClr val="9DC3E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'Rhaniad y Ddeiliadaeth (De-ddn)'!$C$56:$G$56</c:f>
              <c:strCache>
                <c:ptCount val="5"/>
                <c:pt idx="0">
                  <c:v>2019/20</c:v>
                </c:pt>
                <c:pt idx="1">
                  <c:v>2020/21</c:v>
                </c:pt>
                <c:pt idx="2">
                  <c:v>2021/22</c:v>
                </c:pt>
                <c:pt idx="3">
                  <c:v>2022/23</c:v>
                </c:pt>
                <c:pt idx="4">
                  <c:v>2023/24</c:v>
                </c:pt>
              </c:strCache>
            </c:strRef>
          </c:cat>
          <c:val>
            <c:numRef>
              <c:f>'Rhaniad y Ddeiliadaeth (De-ddn)'!$C$58:$G$58</c:f>
              <c:numCache>
                <c:formatCode>_-* #,##0_-;\-* #,##0_-;_-* "-"??_-;_-@_-</c:formatCode>
                <c:ptCount val="5"/>
                <c:pt idx="0">
                  <c:v>2072.0305797576907</c:v>
                </c:pt>
                <c:pt idx="1">
                  <c:v>2072.0267146301276</c:v>
                </c:pt>
                <c:pt idx="2">
                  <c:v>2164.852031784058</c:v>
                </c:pt>
                <c:pt idx="3">
                  <c:v>2097.0055894851689</c:v>
                </c:pt>
                <c:pt idx="4">
                  <c:v>2076.9865108871463</c:v>
                </c:pt>
              </c:numCache>
            </c:numRef>
          </c:val>
          <c:extLst>
            <c:ext xmlns:c16="http://schemas.microsoft.com/office/drawing/2014/chart" uri="{C3380CC4-5D6E-409C-BE32-E72D297353CC}">
              <c16:uniqueId val="{00000001-8C17-498D-8CA2-07E0678DB670}"/>
            </c:ext>
          </c:extLst>
        </c:ser>
        <c:dLbls>
          <c:showLegendKey val="0"/>
          <c:showVal val="0"/>
          <c:showCatName val="0"/>
          <c:showSerName val="0"/>
          <c:showPercent val="0"/>
          <c:showBubbleSize val="0"/>
        </c:dLbls>
        <c:gapWidth val="163"/>
        <c:overlap val="100"/>
        <c:axId val="189398016"/>
        <c:axId val="189408000"/>
      </c:barChart>
      <c:catAx>
        <c:axId val="189398016"/>
        <c:scaling>
          <c:orientation val="minMax"/>
        </c:scaling>
        <c:delete val="0"/>
        <c:axPos val="b"/>
        <c:numFmt formatCode="General" sourceLinked="1"/>
        <c:majorTickMark val="out"/>
        <c:minorTickMark val="none"/>
        <c:tickLblPos val="nextTo"/>
        <c:crossAx val="189408000"/>
        <c:crosses val="autoZero"/>
        <c:auto val="1"/>
        <c:lblAlgn val="ctr"/>
        <c:lblOffset val="100"/>
        <c:noMultiLvlLbl val="0"/>
      </c:catAx>
      <c:valAx>
        <c:axId val="189408000"/>
        <c:scaling>
          <c:orientation val="minMax"/>
          <c:max val="6000"/>
        </c:scaling>
        <c:delete val="0"/>
        <c:axPos val="l"/>
        <c:numFmt formatCode="#,##0" sourceLinked="0"/>
        <c:majorTickMark val="out"/>
        <c:minorTickMark val="none"/>
        <c:tickLblPos val="nextTo"/>
        <c:crossAx val="189398016"/>
        <c:crosses val="autoZero"/>
        <c:crossBetween val="between"/>
        <c:majorUnit val="1000"/>
      </c:valAx>
    </c:plotArea>
    <c:legend>
      <c:legendPos val="b"/>
      <c:overlay val="0"/>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b="1" i="0" u="none" strike="noStrike" baseline="0">
                <a:effectLst/>
              </a:rPr>
              <a:t>Angen o ran Tai: Rhagdybiaethau Defnyddwyr ar gyfer Rhaniad Deiliadaeth 5 Mlynedd (De-ddwyrain Cymru</a:t>
            </a:r>
            <a:r>
              <a:rPr lang="en-GB" sz="1400"/>
              <a:t>)</a:t>
            </a:r>
          </a:p>
        </c:rich>
      </c:tx>
      <c:overlay val="0"/>
    </c:title>
    <c:autoTitleDeleted val="0"/>
    <c:plotArea>
      <c:layout/>
      <c:pieChart>
        <c:varyColors val="1"/>
        <c:ser>
          <c:idx val="0"/>
          <c:order val="0"/>
          <c:dPt>
            <c:idx val="0"/>
            <c:bubble3D val="0"/>
            <c:spPr>
              <a:solidFill>
                <a:srgbClr val="2E75B6"/>
              </a:solidFill>
            </c:spPr>
            <c:extLst>
              <c:ext xmlns:c16="http://schemas.microsoft.com/office/drawing/2014/chart" uri="{C3380CC4-5D6E-409C-BE32-E72D297353CC}">
                <c16:uniqueId val="{00000001-24F2-4506-A120-BB0D897609FC}"/>
              </c:ext>
            </c:extLst>
          </c:dPt>
          <c:dPt>
            <c:idx val="1"/>
            <c:bubble3D val="0"/>
            <c:spPr>
              <a:solidFill>
                <a:srgbClr val="9DC3E6"/>
              </a:solidFill>
            </c:spPr>
            <c:extLst>
              <c:ext xmlns:c16="http://schemas.microsoft.com/office/drawing/2014/chart" uri="{C3380CC4-5D6E-409C-BE32-E72D297353CC}">
                <c16:uniqueId val="{00000003-24F2-4506-A120-BB0D897609FC}"/>
              </c:ext>
            </c:extLst>
          </c:dPt>
          <c:dPt>
            <c:idx val="2"/>
            <c:bubble3D val="0"/>
            <c:spPr>
              <a:solidFill>
                <a:schemeClr val="accent3">
                  <a:lumMod val="75000"/>
                </a:schemeClr>
              </a:solidFill>
            </c:spPr>
            <c:extLst>
              <c:ext xmlns:c16="http://schemas.microsoft.com/office/drawing/2014/chart" uri="{C3380CC4-5D6E-409C-BE32-E72D297353CC}">
                <c16:uniqueId val="{00000005-24F2-4506-A120-BB0D897609FC}"/>
              </c:ext>
            </c:extLst>
          </c:dPt>
          <c:dPt>
            <c:idx val="3"/>
            <c:bubble3D val="0"/>
            <c:spPr>
              <a:solidFill>
                <a:schemeClr val="accent3">
                  <a:lumMod val="60000"/>
                  <a:lumOff val="40000"/>
                </a:schemeClr>
              </a:solidFill>
            </c:spPr>
            <c:extLst>
              <c:ext xmlns:c16="http://schemas.microsoft.com/office/drawing/2014/chart" uri="{C3380CC4-5D6E-409C-BE32-E72D297353CC}">
                <c16:uniqueId val="{00000007-24F2-4506-A120-BB0D897609FC}"/>
              </c:ext>
            </c:extLst>
          </c:dPt>
          <c:dLbls>
            <c:spPr>
              <a:noFill/>
              <a:ln>
                <a:noFill/>
              </a:ln>
              <a:effectLst/>
            </c:spPr>
            <c:dLblPos val="ctr"/>
            <c:showLegendKey val="0"/>
            <c:showVal val="1"/>
            <c:showCatName val="0"/>
            <c:showSerName val="0"/>
            <c:showPercent val="0"/>
            <c:showBubbleSize val="0"/>
            <c:showLeaderLines val="1"/>
            <c:extLst>
              <c:ext xmlns:c15="http://schemas.microsoft.com/office/drawing/2012/chart" uri="{CE6537A1-D6FC-4f65-9D91-7224C49458BB}"/>
            </c:extLst>
          </c:dLbls>
          <c:cat>
            <c:strRef>
              <c:f>'Rhaniad y Ddeiliadaeth (De-ddn)'!$B$62:$B$63</c:f>
              <c:strCache>
                <c:ptCount val="2"/>
                <c:pt idx="0">
                  <c:v>Tai'r Farchnad</c:v>
                </c:pt>
                <c:pt idx="1">
                  <c:v>Tai fforddiadwy</c:v>
                </c:pt>
              </c:strCache>
            </c:strRef>
          </c:cat>
          <c:val>
            <c:numRef>
              <c:f>'Rhaniad y Ddeiliadaeth (De-ddn)'!$I$62:$I$63</c:f>
              <c:numCache>
                <c:formatCode>0%</c:formatCode>
                <c:ptCount val="2"/>
                <c:pt idx="0">
                  <c:v>0.51893896619108726</c:v>
                </c:pt>
                <c:pt idx="1">
                  <c:v>0.48106103380891269</c:v>
                </c:pt>
              </c:numCache>
            </c:numRef>
          </c:val>
          <c:extLst>
            <c:ext xmlns:c16="http://schemas.microsoft.com/office/drawing/2014/chart" uri="{C3380CC4-5D6E-409C-BE32-E72D297353CC}">
              <c16:uniqueId val="{00000008-24F2-4506-A120-BB0D897609FC}"/>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800" b="1" i="0" baseline="0">
                <a:effectLst/>
              </a:rPr>
              <a:t>Angen Blynyddol o ran Rhaniad Deiliadaeth Tai - Rhagdybiaethau Defnyddwyr (Cymru)</a:t>
            </a:r>
            <a:endParaRPr lang="en-GB" sz="1400">
              <a:effectLst/>
            </a:endParaRPr>
          </a:p>
        </c:rich>
      </c:tx>
      <c:layout/>
      <c:overlay val="0"/>
    </c:title>
    <c:autoTitleDeleted val="0"/>
    <c:plotArea>
      <c:layout/>
      <c:barChart>
        <c:barDir val="col"/>
        <c:grouping val="stacked"/>
        <c:varyColors val="0"/>
        <c:ser>
          <c:idx val="0"/>
          <c:order val="0"/>
          <c:tx>
            <c:strRef>
              <c:f>'Rhaniad y Ddeiliadaeth (Cymru)'!$B$57</c:f>
              <c:strCache>
                <c:ptCount val="1"/>
                <c:pt idx="0">
                  <c:v>Tai'r Farchnad</c:v>
                </c:pt>
              </c:strCache>
            </c:strRef>
          </c:tx>
          <c:spPr>
            <a:solidFill>
              <a:srgbClr val="2E75B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'Rhaniad y Ddeiliadaeth (Cymru)'!$C$56:$G$56</c:f>
              <c:strCache>
                <c:ptCount val="5"/>
                <c:pt idx="0">
                  <c:v>2019/20</c:v>
                </c:pt>
                <c:pt idx="1">
                  <c:v>2020/21</c:v>
                </c:pt>
                <c:pt idx="2">
                  <c:v>2021/22</c:v>
                </c:pt>
                <c:pt idx="3">
                  <c:v>2022/23</c:v>
                </c:pt>
                <c:pt idx="4">
                  <c:v>2023/24</c:v>
                </c:pt>
              </c:strCache>
            </c:strRef>
          </c:cat>
          <c:val>
            <c:numRef>
              <c:f>'Rhaniad y Ddeiliadaeth (Cymru)'!$C$57:$G$57</c:f>
              <c:numCache>
                <c:formatCode>_-* #,##0_-;\-* #,##0_-;_-* "-"??_-;_-@_-</c:formatCode>
                <c:ptCount val="5"/>
                <c:pt idx="0">
                  <c:v>3687.6833514404298</c:v>
                </c:pt>
                <c:pt idx="1">
                  <c:v>3769.7515658569337</c:v>
                </c:pt>
                <c:pt idx="2">
                  <c:v>4069.735627441406</c:v>
                </c:pt>
                <c:pt idx="3">
                  <c:v>3909.5476731872559</c:v>
                </c:pt>
                <c:pt idx="4">
                  <c:v>3845.0894996261595</c:v>
                </c:pt>
              </c:numCache>
            </c:numRef>
          </c:val>
          <c:extLst>
            <c:ext xmlns:c16="http://schemas.microsoft.com/office/drawing/2014/chart" uri="{C3380CC4-5D6E-409C-BE32-E72D297353CC}">
              <c16:uniqueId val="{00000000-7573-44F8-9B8A-510A39ED7C11}"/>
            </c:ext>
          </c:extLst>
        </c:ser>
        <c:ser>
          <c:idx val="1"/>
          <c:order val="1"/>
          <c:tx>
            <c:strRef>
              <c:f>'Rhaniad y Ddeiliadaeth (Cymru)'!$B$58</c:f>
              <c:strCache>
                <c:ptCount val="1"/>
                <c:pt idx="0">
                  <c:v>Tai fforddiadwy</c:v>
                </c:pt>
              </c:strCache>
            </c:strRef>
          </c:tx>
          <c:spPr>
            <a:solidFill>
              <a:srgbClr val="9DC3E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'Rhaniad y Ddeiliadaeth (Cymru)'!$C$56:$G$56</c:f>
              <c:strCache>
                <c:ptCount val="5"/>
                <c:pt idx="0">
                  <c:v>2019/20</c:v>
                </c:pt>
                <c:pt idx="1">
                  <c:v>2020/21</c:v>
                </c:pt>
                <c:pt idx="2">
                  <c:v>2021/22</c:v>
                </c:pt>
                <c:pt idx="3">
                  <c:v>2022/23</c:v>
                </c:pt>
                <c:pt idx="4">
                  <c:v>2023/24</c:v>
                </c:pt>
              </c:strCache>
            </c:strRef>
          </c:cat>
          <c:val>
            <c:numRef>
              <c:f>'Rhaniad y Ddeiliadaeth (Cymru)'!$C$58:$G$58</c:f>
              <c:numCache>
                <c:formatCode>_-* #,##0_-;\-* #,##0_-;_-* "-"??_-;_-@_-</c:formatCode>
                <c:ptCount val="5"/>
                <c:pt idx="0">
                  <c:v>3406.5930218505855</c:v>
                </c:pt>
                <c:pt idx="1">
                  <c:v>3456.8928952026363</c:v>
                </c:pt>
                <c:pt idx="2">
                  <c:v>3640.7540942382811</c:v>
                </c:pt>
                <c:pt idx="3">
                  <c:v>3542.5743803405758</c:v>
                </c:pt>
                <c:pt idx="4">
                  <c:v>3503.067757835388</c:v>
                </c:pt>
              </c:numCache>
            </c:numRef>
          </c:val>
          <c:extLst>
            <c:ext xmlns:c16="http://schemas.microsoft.com/office/drawing/2014/chart" uri="{C3380CC4-5D6E-409C-BE32-E72D297353CC}">
              <c16:uniqueId val="{00000001-7573-44F8-9B8A-510A39ED7C11}"/>
            </c:ext>
          </c:extLst>
        </c:ser>
        <c:dLbls>
          <c:showLegendKey val="0"/>
          <c:showVal val="0"/>
          <c:showCatName val="0"/>
          <c:showSerName val="0"/>
          <c:showPercent val="0"/>
          <c:showBubbleSize val="0"/>
        </c:dLbls>
        <c:gapWidth val="163"/>
        <c:overlap val="100"/>
        <c:axId val="362824448"/>
        <c:axId val="362827136"/>
      </c:barChart>
      <c:catAx>
        <c:axId val="362824448"/>
        <c:scaling>
          <c:orientation val="minMax"/>
        </c:scaling>
        <c:delete val="0"/>
        <c:axPos val="b"/>
        <c:numFmt formatCode="General" sourceLinked="1"/>
        <c:majorTickMark val="out"/>
        <c:minorTickMark val="none"/>
        <c:tickLblPos val="nextTo"/>
        <c:crossAx val="362827136"/>
        <c:crosses val="autoZero"/>
        <c:auto val="1"/>
        <c:lblAlgn val="ctr"/>
        <c:lblOffset val="100"/>
        <c:noMultiLvlLbl val="0"/>
      </c:catAx>
      <c:valAx>
        <c:axId val="362827136"/>
        <c:scaling>
          <c:orientation val="minMax"/>
          <c:max val="10000"/>
        </c:scaling>
        <c:delete val="0"/>
        <c:axPos val="l"/>
        <c:numFmt formatCode="#,##0" sourceLinked="0"/>
        <c:majorTickMark val="out"/>
        <c:minorTickMark val="none"/>
        <c:tickLblPos val="nextTo"/>
        <c:crossAx val="362824448"/>
        <c:crosses val="autoZero"/>
        <c:crossBetween val="between"/>
        <c:majorUnit val="2000"/>
      </c:valAx>
    </c:plotArea>
    <c:legend>
      <c:legendPos val="b"/>
      <c:layout/>
      <c:overlay val="0"/>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b="1" i="0" u="none" strike="noStrike" baseline="0">
                <a:effectLst/>
              </a:rPr>
              <a:t>Angen o ran Tai: Rhagdybiaethau Defnyddwyr ar gyfer Rhaniad Deiliadaeth 5 Mlynedd (Cymru)</a:t>
            </a:r>
            <a:endParaRPr lang="en-GB" sz="1400"/>
          </a:p>
        </c:rich>
      </c:tx>
      <c:layout/>
      <c:overlay val="0"/>
    </c:title>
    <c:autoTitleDeleted val="0"/>
    <c:plotArea>
      <c:layout/>
      <c:pieChart>
        <c:varyColors val="1"/>
        <c:ser>
          <c:idx val="0"/>
          <c:order val="0"/>
          <c:dPt>
            <c:idx val="0"/>
            <c:bubble3D val="0"/>
            <c:spPr>
              <a:solidFill>
                <a:srgbClr val="2E75B6"/>
              </a:solidFill>
            </c:spPr>
            <c:extLst>
              <c:ext xmlns:c16="http://schemas.microsoft.com/office/drawing/2014/chart" uri="{C3380CC4-5D6E-409C-BE32-E72D297353CC}">
                <c16:uniqueId val="{00000001-A22A-4AB8-90B9-8FEC5FF9264F}"/>
              </c:ext>
            </c:extLst>
          </c:dPt>
          <c:dPt>
            <c:idx val="1"/>
            <c:bubble3D val="0"/>
            <c:spPr>
              <a:solidFill>
                <a:srgbClr val="9DC3E6"/>
              </a:solidFill>
            </c:spPr>
            <c:extLst>
              <c:ext xmlns:c16="http://schemas.microsoft.com/office/drawing/2014/chart" uri="{C3380CC4-5D6E-409C-BE32-E72D297353CC}">
                <c16:uniqueId val="{00000003-A22A-4AB8-90B9-8FEC5FF9264F}"/>
              </c:ext>
            </c:extLst>
          </c:dPt>
          <c:dPt>
            <c:idx val="2"/>
            <c:bubble3D val="0"/>
            <c:spPr>
              <a:solidFill>
                <a:schemeClr val="accent3">
                  <a:lumMod val="75000"/>
                </a:schemeClr>
              </a:solidFill>
            </c:spPr>
            <c:extLst>
              <c:ext xmlns:c16="http://schemas.microsoft.com/office/drawing/2014/chart" uri="{C3380CC4-5D6E-409C-BE32-E72D297353CC}">
                <c16:uniqueId val="{00000005-A22A-4AB8-90B9-8FEC5FF9264F}"/>
              </c:ext>
            </c:extLst>
          </c:dPt>
          <c:dPt>
            <c:idx val="3"/>
            <c:bubble3D val="0"/>
            <c:spPr>
              <a:solidFill>
                <a:schemeClr val="accent3">
                  <a:lumMod val="60000"/>
                  <a:lumOff val="40000"/>
                </a:schemeClr>
              </a:solidFill>
            </c:spPr>
            <c:extLst>
              <c:ext xmlns:c16="http://schemas.microsoft.com/office/drawing/2014/chart" uri="{C3380CC4-5D6E-409C-BE32-E72D297353CC}">
                <c16:uniqueId val="{00000007-A22A-4AB8-90B9-8FEC5FF9264F}"/>
              </c:ext>
            </c:extLst>
          </c:dPt>
          <c:dLbls>
            <c:spPr>
              <a:noFill/>
              <a:ln>
                <a:noFill/>
              </a:ln>
              <a:effectLst/>
            </c:spPr>
            <c:dLblPos val="ctr"/>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'Rhaniad y Ddeiliadaeth (Cymru)'!$B$62:$B$63</c:f>
              <c:strCache>
                <c:ptCount val="2"/>
                <c:pt idx="0">
                  <c:v>Tai'r Farchnad</c:v>
                </c:pt>
                <c:pt idx="1">
                  <c:v>Tai fforddiadwy</c:v>
                </c:pt>
              </c:strCache>
            </c:strRef>
          </c:cat>
          <c:val>
            <c:numRef>
              <c:f>'Rhaniad y Ddeiliadaeth (Cymru)'!$I$62:$I$63</c:f>
              <c:numCache>
                <c:formatCode>0%</c:formatCode>
                <c:ptCount val="2"/>
                <c:pt idx="0">
                  <c:v>0.52351135088205047</c:v>
                </c:pt>
                <c:pt idx="1">
                  <c:v>0.47648864911794958</c:v>
                </c:pt>
              </c:numCache>
            </c:numRef>
          </c:val>
          <c:extLst>
            <c:ext xmlns:c16="http://schemas.microsoft.com/office/drawing/2014/chart" uri="{C3380CC4-5D6E-409C-BE32-E72D297353CC}">
              <c16:uniqueId val="{00000008-A22A-4AB8-90B9-8FEC5FF9264F}"/>
            </c:ext>
          </c:extLst>
        </c:ser>
        <c:dLbls>
          <c:showLegendKey val="0"/>
          <c:showVal val="0"/>
          <c:showCatName val="0"/>
          <c:showSerName val="0"/>
          <c:showPercent val="0"/>
          <c:showBubbleSize val="0"/>
          <c:showLeaderLines val="1"/>
        </c:dLbls>
        <c:firstSliceAng val="0"/>
      </c:pieChart>
    </c:plotArea>
    <c:legend>
      <c:legendPos val="b"/>
      <c:layout/>
      <c:overlay val="0"/>
      <c:txPr>
        <a:bodyPr/>
        <a:lstStyle/>
        <a:p>
          <a:pPr rtl="0">
            <a:defRPr/>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800" b="1" i="0" baseline="0">
                <a:effectLst/>
              </a:rPr>
              <a:t>Angen Blynyddol o ran Rhaniad Deiliadaeth Tai - Rhagdybiaethau Defnyddwyr (Gogledd Cymru)</a:t>
            </a:r>
            <a:endParaRPr lang="en-GB" sz="1400">
              <a:effectLst/>
            </a:endParaRPr>
          </a:p>
        </c:rich>
      </c:tx>
      <c:overlay val="0"/>
    </c:title>
    <c:autoTitleDeleted val="0"/>
    <c:plotArea>
      <c:layout/>
      <c:barChart>
        <c:barDir val="col"/>
        <c:grouping val="stacked"/>
        <c:varyColors val="0"/>
        <c:ser>
          <c:idx val="0"/>
          <c:order val="0"/>
          <c:tx>
            <c:strRef>
              <c:f>'Rhaniad y Ddeiliadaeth (Gog)'!$B$93</c:f>
              <c:strCache>
                <c:ptCount val="1"/>
              </c:strCache>
            </c:strRef>
          </c:tx>
          <c:spPr>
            <a:solidFill>
              <a:schemeClr val="tx2">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'Rhaniad y Ddeiliadaeth (Gog)'!$C$92:$G$92</c:f>
            </c:multiLvlStrRef>
          </c:cat>
          <c:val>
            <c:numRef>
              <c:f>'Rhaniad y Ddeiliadaeth (Gog)'!$C$93:$G$93</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0-7676-4197-84D2-CC1D23E0572E}"/>
            </c:ext>
          </c:extLst>
        </c:ser>
        <c:ser>
          <c:idx val="1"/>
          <c:order val="1"/>
          <c:tx>
            <c:strRef>
              <c:f>'Rhaniad y Ddeiliadaeth (Gog)'!$B$94</c:f>
              <c:strCache>
                <c:ptCount val="1"/>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'Rhaniad y Ddeiliadaeth (Gog)'!$C$92:$G$92</c:f>
            </c:multiLvlStrRef>
          </c:cat>
          <c:val>
            <c:numRef>
              <c:f>'Rhaniad y Ddeiliadaeth (Gog)'!$C$94:$G$94</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1-7676-4197-84D2-CC1D23E0572E}"/>
            </c:ext>
          </c:extLst>
        </c:ser>
        <c:ser>
          <c:idx val="2"/>
          <c:order val="2"/>
          <c:tx>
            <c:strRef>
              <c:f>'Rhaniad y Ddeiliadaeth (Gog)'!$B$95</c:f>
              <c:strCache>
                <c:ptCount val="1"/>
                <c:pt idx="0">
                  <c:v>  </c:v>
                </c:pt>
              </c:strCache>
            </c:strRef>
          </c:tx>
          <c:spPr>
            <a:solidFill>
              <a:schemeClr val="accent1">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'Rhaniad y Ddeiliadaeth (Gog)'!$C$92:$G$92</c:f>
            </c:multiLvlStrRef>
          </c:cat>
          <c:val>
            <c:numRef>
              <c:f>'Rhaniad y Ddeiliadaeth (Gog)'!$C$95:$G$95</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2-7676-4197-84D2-CC1D23E0572E}"/>
            </c:ext>
          </c:extLst>
        </c:ser>
        <c:ser>
          <c:idx val="3"/>
          <c:order val="3"/>
          <c:tx>
            <c:strRef>
              <c:f>'Rhaniad y Ddeiliadaeth (Gog)'!$B$96</c:f>
              <c:strCache>
                <c:ptCount val="1"/>
                <c:pt idx="0">
                  <c:v>  </c:v>
                </c:pt>
              </c:strCache>
            </c:strRef>
          </c:tx>
          <c:spPr>
            <a:solidFill>
              <a:schemeClr val="accent1">
                <a:lumMod val="20000"/>
                <a:lumOff val="80000"/>
              </a:schemeClr>
            </a:solidFill>
          </c:spPr>
          <c:invertIfNegative val="0"/>
          <c:dLbls>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76-4197-84D2-CC1D23E0572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'Rhaniad y Ddeiliadaeth (Gog)'!$C$92:$G$92</c:f>
            </c:multiLvlStrRef>
          </c:cat>
          <c:val>
            <c:numRef>
              <c:f>'Rhaniad y Ddeiliadaeth (Gog)'!$C$96:$G$96</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4-7676-4197-84D2-CC1D23E0572E}"/>
            </c:ext>
          </c:extLst>
        </c:ser>
        <c:dLbls>
          <c:showLegendKey val="0"/>
          <c:showVal val="0"/>
          <c:showCatName val="0"/>
          <c:showSerName val="0"/>
          <c:showPercent val="0"/>
          <c:showBubbleSize val="0"/>
        </c:dLbls>
        <c:gapWidth val="163"/>
        <c:overlap val="100"/>
        <c:axId val="380788736"/>
        <c:axId val="380790656"/>
      </c:barChart>
      <c:catAx>
        <c:axId val="380788736"/>
        <c:scaling>
          <c:orientation val="minMax"/>
        </c:scaling>
        <c:delete val="0"/>
        <c:axPos val="b"/>
        <c:numFmt formatCode="General" sourceLinked="1"/>
        <c:majorTickMark val="out"/>
        <c:minorTickMark val="none"/>
        <c:tickLblPos val="nextTo"/>
        <c:crossAx val="380790656"/>
        <c:crosses val="autoZero"/>
        <c:auto val="1"/>
        <c:lblAlgn val="ctr"/>
        <c:lblOffset val="100"/>
        <c:noMultiLvlLbl val="0"/>
      </c:catAx>
      <c:valAx>
        <c:axId val="380790656"/>
        <c:scaling>
          <c:orientation val="minMax"/>
          <c:max val="3000"/>
          <c:min val="0"/>
        </c:scaling>
        <c:delete val="0"/>
        <c:axPos val="l"/>
        <c:numFmt formatCode="#,##0" sourceLinked="0"/>
        <c:majorTickMark val="out"/>
        <c:minorTickMark val="none"/>
        <c:tickLblPos val="nextTo"/>
        <c:crossAx val="380788736"/>
        <c:crosses val="autoZero"/>
        <c:crossBetween val="between"/>
        <c:majorUnit val="1000"/>
      </c:valAx>
    </c:plotArea>
    <c:legend>
      <c:legendPos val="b"/>
      <c:overlay val="0"/>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b="1" i="0" baseline="0">
                <a:effectLst/>
              </a:rPr>
              <a:t>Angen o ran Tai: Rhagdybiaethau Defnyddwyr ar gyfer Rhaniad Deiliadaeth 5 Mlynedd (Gogledd Cymru) </a:t>
            </a:r>
            <a:endParaRPr lang="en-GB" sz="1100">
              <a:effectLst/>
            </a:endParaRPr>
          </a:p>
        </c:rich>
      </c:tx>
      <c:overlay val="0"/>
    </c:title>
    <c:autoTitleDeleted val="0"/>
    <c:plotArea>
      <c:layout/>
      <c:pieChart>
        <c:varyColors val="1"/>
        <c:ser>
          <c:idx val="0"/>
          <c:order val="0"/>
          <c:dPt>
            <c:idx val="0"/>
            <c:bubble3D val="0"/>
            <c:spPr>
              <a:solidFill>
                <a:schemeClr val="tx2">
                  <a:lumMod val="75000"/>
                </a:schemeClr>
              </a:solidFill>
            </c:spPr>
            <c:extLst>
              <c:ext xmlns:c16="http://schemas.microsoft.com/office/drawing/2014/chart" uri="{C3380CC4-5D6E-409C-BE32-E72D297353CC}">
                <c16:uniqueId val="{00000001-82E2-4019-8E1D-8F478894CD08}"/>
              </c:ext>
            </c:extLst>
          </c:dPt>
          <c:dPt>
            <c:idx val="1"/>
            <c:bubble3D val="0"/>
            <c:spPr>
              <a:solidFill>
                <a:schemeClr val="tx2">
                  <a:lumMod val="60000"/>
                  <a:lumOff val="40000"/>
                </a:schemeClr>
              </a:solidFill>
            </c:spPr>
            <c:extLst>
              <c:ext xmlns:c16="http://schemas.microsoft.com/office/drawing/2014/chart" uri="{C3380CC4-5D6E-409C-BE32-E72D297353CC}">
                <c16:uniqueId val="{00000003-82E2-4019-8E1D-8F478894CD08}"/>
              </c:ext>
            </c:extLst>
          </c:dPt>
          <c:dPt>
            <c:idx val="2"/>
            <c:bubble3D val="0"/>
            <c:spPr>
              <a:solidFill>
                <a:schemeClr val="accent1">
                  <a:lumMod val="40000"/>
                  <a:lumOff val="60000"/>
                </a:schemeClr>
              </a:solidFill>
            </c:spPr>
            <c:extLst>
              <c:ext xmlns:c16="http://schemas.microsoft.com/office/drawing/2014/chart" uri="{C3380CC4-5D6E-409C-BE32-E72D297353CC}">
                <c16:uniqueId val="{00000005-82E2-4019-8E1D-8F478894CD08}"/>
              </c:ext>
            </c:extLst>
          </c:dPt>
          <c:dPt>
            <c:idx val="3"/>
            <c:bubble3D val="0"/>
            <c:spPr>
              <a:solidFill>
                <a:schemeClr val="accent1">
                  <a:lumMod val="20000"/>
                  <a:lumOff val="80000"/>
                </a:schemeClr>
              </a:solidFill>
            </c:spPr>
            <c:extLst>
              <c:ext xmlns:c16="http://schemas.microsoft.com/office/drawing/2014/chart" uri="{C3380CC4-5D6E-409C-BE32-E72D297353CC}">
                <c16:uniqueId val="{00000007-82E2-4019-8E1D-8F478894CD08}"/>
              </c:ext>
            </c:extLst>
          </c:dPt>
          <c:dLbls>
            <c:spPr>
              <a:noFill/>
              <a:ln>
                <a:noFill/>
              </a:ln>
              <a:effectLst/>
            </c:spPr>
            <c:dLblPos val="ctr"/>
            <c:showLegendKey val="0"/>
            <c:showVal val="1"/>
            <c:showCatName val="0"/>
            <c:showSerName val="0"/>
            <c:showPercent val="0"/>
            <c:showBubbleSize val="0"/>
            <c:showLeaderLines val="1"/>
            <c:extLst>
              <c:ext xmlns:c15="http://schemas.microsoft.com/office/drawing/2012/chart" uri="{CE6537A1-D6FC-4f65-9D91-7224C49458BB}"/>
            </c:extLst>
          </c:dLbls>
          <c:cat>
            <c:multiLvlStrRef>
              <c:f>'Rhaniad y Ddeiliadaeth (Gog)'!$B$101:$B$104</c:f>
            </c:multiLvlStrRef>
          </c:cat>
          <c:val>
            <c:numRef>
              <c:f>'Rhaniad y Ddeiliadaeth (Gog)'!$I$101:$I$104</c:f>
              <c:numCache>
                <c:formatCode>0%</c:formatCode>
                <c:ptCount val="4"/>
                <c:pt idx="0">
                  <c:v>0</c:v>
                </c:pt>
                <c:pt idx="1">
                  <c:v>0</c:v>
                </c:pt>
                <c:pt idx="2">
                  <c:v>0</c:v>
                </c:pt>
                <c:pt idx="3">
                  <c:v>0</c:v>
                </c:pt>
              </c:numCache>
            </c:numRef>
          </c:val>
          <c:extLst>
            <c:ext xmlns:c16="http://schemas.microsoft.com/office/drawing/2014/chart" uri="{C3380CC4-5D6E-409C-BE32-E72D297353CC}">
              <c16:uniqueId val="{00000008-82E2-4019-8E1D-8F478894CD08}"/>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800" b="1" i="0" baseline="0">
                <a:effectLst/>
              </a:rPr>
              <a:t>Angen Blynyddol o ran Rhaniad Deiliadaeth Tai - Rhagdybiaethau Defnyddwyr (Gogledd Cymru)</a:t>
            </a:r>
            <a:endParaRPr lang="en-GB" sz="1400">
              <a:effectLst/>
            </a:endParaRPr>
          </a:p>
        </c:rich>
      </c:tx>
      <c:overlay val="0"/>
    </c:title>
    <c:autoTitleDeleted val="0"/>
    <c:plotArea>
      <c:layout>
        <c:manualLayout>
          <c:layoutTarget val="inner"/>
          <c:xMode val="edge"/>
          <c:yMode val="edge"/>
          <c:x val="8.2008804164800803E-2"/>
          <c:y val="0.19173027550906976"/>
          <c:w val="0.89805024616866835"/>
          <c:h val="0.62936530331886453"/>
        </c:manualLayout>
      </c:layout>
      <c:barChart>
        <c:barDir val="col"/>
        <c:grouping val="stacked"/>
        <c:varyColors val="0"/>
        <c:ser>
          <c:idx val="0"/>
          <c:order val="0"/>
          <c:tx>
            <c:strRef>
              <c:f>'Rhaniad y Ddeiliadaeth (Gog)'!$B$57</c:f>
              <c:strCache>
                <c:ptCount val="1"/>
                <c:pt idx="0">
                  <c:v>Tai'r Farchnad</c:v>
                </c:pt>
              </c:strCache>
            </c:strRef>
          </c:tx>
          <c:spPr>
            <a:solidFill>
              <a:srgbClr val="2E75B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'Rhaniad y Ddeiliadaeth (Gog)'!$C$56:$G$56</c:f>
              <c:strCache>
                <c:ptCount val="5"/>
                <c:pt idx="0">
                  <c:v>2019/20</c:v>
                </c:pt>
                <c:pt idx="1">
                  <c:v>2020/21</c:v>
                </c:pt>
                <c:pt idx="2">
                  <c:v>2021/22</c:v>
                </c:pt>
                <c:pt idx="3">
                  <c:v>2022/23</c:v>
                </c:pt>
                <c:pt idx="4">
                  <c:v>2023/24</c:v>
                </c:pt>
              </c:strCache>
            </c:strRef>
          </c:cat>
          <c:val>
            <c:numRef>
              <c:f>'Rhaniad y Ddeiliadaeth (Gog)'!$C$57:$G$57</c:f>
              <c:numCache>
                <c:formatCode>_-* #,##0_-;\-* #,##0_-;_-* "-"??_-;_-@_-</c:formatCode>
                <c:ptCount val="5"/>
                <c:pt idx="0">
                  <c:v>539.63915710449214</c:v>
                </c:pt>
                <c:pt idx="1">
                  <c:v>566.18781120300287</c:v>
                </c:pt>
                <c:pt idx="2">
                  <c:v>621.7059460449218</c:v>
                </c:pt>
                <c:pt idx="3">
                  <c:v>579.1342491912842</c:v>
                </c:pt>
                <c:pt idx="4">
                  <c:v>568.00398147583007</c:v>
                </c:pt>
              </c:numCache>
            </c:numRef>
          </c:val>
          <c:extLst>
            <c:ext xmlns:c16="http://schemas.microsoft.com/office/drawing/2014/chart" uri="{C3380CC4-5D6E-409C-BE32-E72D297353CC}">
              <c16:uniqueId val="{00000000-0BB1-4869-9C4A-CF64E807EC84}"/>
            </c:ext>
          </c:extLst>
        </c:ser>
        <c:ser>
          <c:idx val="1"/>
          <c:order val="1"/>
          <c:tx>
            <c:strRef>
              <c:f>'Rhaniad y Ddeiliadaeth (Gog)'!$B$58</c:f>
              <c:strCache>
                <c:ptCount val="1"/>
                <c:pt idx="0">
                  <c:v>Tai fforddiadwy</c:v>
                </c:pt>
              </c:strCache>
            </c:strRef>
          </c:tx>
          <c:spPr>
            <a:solidFill>
              <a:srgbClr val="9DC3E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'Rhaniad y Ddeiliadaeth (Gog)'!$C$56:$G$56</c:f>
              <c:strCache>
                <c:ptCount val="5"/>
                <c:pt idx="0">
                  <c:v>2019/20</c:v>
                </c:pt>
                <c:pt idx="1">
                  <c:v>2020/21</c:v>
                </c:pt>
                <c:pt idx="2">
                  <c:v>2021/22</c:v>
                </c:pt>
                <c:pt idx="3">
                  <c:v>2022/23</c:v>
                </c:pt>
                <c:pt idx="4">
                  <c:v>2023/24</c:v>
                </c:pt>
              </c:strCache>
            </c:strRef>
          </c:cat>
          <c:val>
            <c:numRef>
              <c:f>'Rhaniad y Ddeiliadaeth (Gog)'!$C$58:$G$58</c:f>
              <c:numCache>
                <c:formatCode>_-* #,##0_-;\-* #,##0_-;_-* "-"??_-;_-@_-</c:formatCode>
                <c:ptCount val="5"/>
                <c:pt idx="0">
                  <c:v>631.80348205566406</c:v>
                </c:pt>
                <c:pt idx="1">
                  <c:v>650.25254676818849</c:v>
                </c:pt>
                <c:pt idx="2">
                  <c:v>688.83294555664065</c:v>
                </c:pt>
                <c:pt idx="3">
                  <c:v>659.24922401428216</c:v>
                </c:pt>
                <c:pt idx="4">
                  <c:v>651.51463119506832</c:v>
                </c:pt>
              </c:numCache>
            </c:numRef>
          </c:val>
          <c:extLst>
            <c:ext xmlns:c16="http://schemas.microsoft.com/office/drawing/2014/chart" uri="{C3380CC4-5D6E-409C-BE32-E72D297353CC}">
              <c16:uniqueId val="{00000001-0BB1-4869-9C4A-CF64E807EC84}"/>
            </c:ext>
          </c:extLst>
        </c:ser>
        <c:dLbls>
          <c:showLegendKey val="0"/>
          <c:showVal val="0"/>
          <c:showCatName val="0"/>
          <c:showSerName val="0"/>
          <c:showPercent val="0"/>
          <c:showBubbleSize val="0"/>
        </c:dLbls>
        <c:gapWidth val="163"/>
        <c:overlap val="100"/>
        <c:axId val="186751616"/>
        <c:axId val="186753408"/>
      </c:barChart>
      <c:catAx>
        <c:axId val="186751616"/>
        <c:scaling>
          <c:orientation val="minMax"/>
        </c:scaling>
        <c:delete val="0"/>
        <c:axPos val="b"/>
        <c:numFmt formatCode="General" sourceLinked="1"/>
        <c:majorTickMark val="out"/>
        <c:minorTickMark val="none"/>
        <c:tickLblPos val="nextTo"/>
        <c:crossAx val="186753408"/>
        <c:crosses val="autoZero"/>
        <c:auto val="1"/>
        <c:lblAlgn val="ctr"/>
        <c:lblOffset val="100"/>
        <c:noMultiLvlLbl val="0"/>
      </c:catAx>
      <c:valAx>
        <c:axId val="186753408"/>
        <c:scaling>
          <c:orientation val="minMax"/>
          <c:max val="2000"/>
        </c:scaling>
        <c:delete val="0"/>
        <c:axPos val="l"/>
        <c:numFmt formatCode="#,##0" sourceLinked="0"/>
        <c:majorTickMark val="out"/>
        <c:minorTickMark val="none"/>
        <c:tickLblPos val="nextTo"/>
        <c:crossAx val="186751616"/>
        <c:crosses val="autoZero"/>
        <c:crossBetween val="between"/>
        <c:majorUnit val="500"/>
      </c:valAx>
    </c:plotArea>
    <c:legend>
      <c:legendPos val="b"/>
      <c:overlay val="0"/>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b="1" i="0" u="none" strike="noStrike" baseline="0">
                <a:effectLst/>
              </a:rPr>
              <a:t>Angen o ran Tai: Rhagdybiaethau Defnyddwyr ar gyfer Rhaniad Deiliadaeth 5 Mlynedd (Gogledd Cymru)</a:t>
            </a:r>
            <a:endParaRPr lang="en-GB" sz="1400"/>
          </a:p>
        </c:rich>
      </c:tx>
      <c:overlay val="0"/>
    </c:title>
    <c:autoTitleDeleted val="0"/>
    <c:plotArea>
      <c:layout/>
      <c:pieChart>
        <c:varyColors val="1"/>
        <c:ser>
          <c:idx val="0"/>
          <c:order val="0"/>
          <c:dPt>
            <c:idx val="0"/>
            <c:bubble3D val="0"/>
            <c:spPr>
              <a:solidFill>
                <a:srgbClr val="2E75B6"/>
              </a:solidFill>
            </c:spPr>
            <c:extLst>
              <c:ext xmlns:c16="http://schemas.microsoft.com/office/drawing/2014/chart" uri="{C3380CC4-5D6E-409C-BE32-E72D297353CC}">
                <c16:uniqueId val="{00000001-5290-41DB-82A7-575A6D2A70A1}"/>
              </c:ext>
            </c:extLst>
          </c:dPt>
          <c:dPt>
            <c:idx val="1"/>
            <c:bubble3D val="0"/>
            <c:spPr>
              <a:solidFill>
                <a:srgbClr val="9DC3E6"/>
              </a:solidFill>
            </c:spPr>
            <c:extLst>
              <c:ext xmlns:c16="http://schemas.microsoft.com/office/drawing/2014/chart" uri="{C3380CC4-5D6E-409C-BE32-E72D297353CC}">
                <c16:uniqueId val="{00000003-5290-41DB-82A7-575A6D2A70A1}"/>
              </c:ext>
            </c:extLst>
          </c:dPt>
          <c:dPt>
            <c:idx val="2"/>
            <c:bubble3D val="0"/>
            <c:spPr>
              <a:solidFill>
                <a:schemeClr val="accent3">
                  <a:lumMod val="75000"/>
                </a:schemeClr>
              </a:solidFill>
            </c:spPr>
            <c:extLst>
              <c:ext xmlns:c16="http://schemas.microsoft.com/office/drawing/2014/chart" uri="{C3380CC4-5D6E-409C-BE32-E72D297353CC}">
                <c16:uniqueId val="{00000005-5290-41DB-82A7-575A6D2A70A1}"/>
              </c:ext>
            </c:extLst>
          </c:dPt>
          <c:dPt>
            <c:idx val="3"/>
            <c:bubble3D val="0"/>
            <c:spPr>
              <a:solidFill>
                <a:schemeClr val="accent3">
                  <a:lumMod val="60000"/>
                  <a:lumOff val="40000"/>
                </a:schemeClr>
              </a:solidFill>
            </c:spPr>
            <c:extLst>
              <c:ext xmlns:c16="http://schemas.microsoft.com/office/drawing/2014/chart" uri="{C3380CC4-5D6E-409C-BE32-E72D297353CC}">
                <c16:uniqueId val="{00000007-5290-41DB-82A7-575A6D2A70A1}"/>
              </c:ext>
            </c:extLst>
          </c:dPt>
          <c:dLbls>
            <c:spPr>
              <a:noFill/>
              <a:ln>
                <a:noFill/>
              </a:ln>
              <a:effectLst/>
            </c:spPr>
            <c:dLblPos val="ctr"/>
            <c:showLegendKey val="0"/>
            <c:showVal val="1"/>
            <c:showCatName val="0"/>
            <c:showSerName val="0"/>
            <c:showPercent val="0"/>
            <c:showBubbleSize val="0"/>
            <c:showLeaderLines val="1"/>
            <c:extLst>
              <c:ext xmlns:c15="http://schemas.microsoft.com/office/drawing/2012/chart" uri="{CE6537A1-D6FC-4f65-9D91-7224C49458BB}"/>
            </c:extLst>
          </c:dLbls>
          <c:cat>
            <c:strRef>
              <c:f>'Rhaniad y Ddeiliadaeth (Gog)'!$B$62:$B$63</c:f>
              <c:strCache>
                <c:ptCount val="2"/>
                <c:pt idx="0">
                  <c:v>Tai'r Farchnad</c:v>
                </c:pt>
                <c:pt idx="1">
                  <c:v>Tai fforddiadwy</c:v>
                </c:pt>
              </c:strCache>
            </c:strRef>
          </c:cat>
          <c:val>
            <c:numRef>
              <c:f>'Rhaniad y Ddeiliadaeth (Gog)'!$I$62:$I$63</c:f>
              <c:numCache>
                <c:formatCode>0%</c:formatCode>
                <c:ptCount val="2"/>
                <c:pt idx="0">
                  <c:v>0.46694604716639071</c:v>
                </c:pt>
                <c:pt idx="1">
                  <c:v>0.53305395283360923</c:v>
                </c:pt>
              </c:numCache>
            </c:numRef>
          </c:val>
          <c:extLst>
            <c:ext xmlns:c16="http://schemas.microsoft.com/office/drawing/2014/chart" uri="{C3380CC4-5D6E-409C-BE32-E72D297353CC}">
              <c16:uniqueId val="{00000008-5290-41DB-82A7-575A6D2A70A1}"/>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a:t>Yearly Housing Need Tenure Split - User Assumptions</a:t>
            </a:r>
          </a:p>
          <a:p>
            <a:pPr>
              <a:defRPr sz="1400"/>
            </a:pPr>
            <a:r>
              <a:rPr lang="en-GB" sz="1400"/>
              <a:t>(Mid and South</a:t>
            </a:r>
            <a:r>
              <a:rPr lang="en-GB" sz="1400" baseline="0"/>
              <a:t> West </a:t>
            </a:r>
            <a:r>
              <a:rPr lang="en-GB" sz="1400"/>
              <a:t>Wales)</a:t>
            </a:r>
          </a:p>
        </c:rich>
      </c:tx>
      <c:overlay val="0"/>
    </c:title>
    <c:autoTitleDeleted val="0"/>
    <c:plotArea>
      <c:layout/>
      <c:barChart>
        <c:barDir val="col"/>
        <c:grouping val="stacked"/>
        <c:varyColors val="0"/>
        <c:ser>
          <c:idx val="0"/>
          <c:order val="0"/>
          <c:tx>
            <c:strRef>
              <c:f>'Rhaniad y Ddeiliadaeth (Canol)'!$B$93</c:f>
              <c:strCache>
                <c:ptCount val="1"/>
              </c:strCache>
            </c:strRef>
          </c:tx>
          <c:spPr>
            <a:solidFill>
              <a:schemeClr val="tx2">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'Rhaniad y Ddeiliadaeth (Canol)'!$C$92:$G$92</c:f>
            </c:multiLvlStrRef>
          </c:cat>
          <c:val>
            <c:numRef>
              <c:f>'Rhaniad y Ddeiliadaeth (Canol)'!$C$93:$G$93</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0-9B66-42AB-9F26-C88F23B28AD6}"/>
            </c:ext>
          </c:extLst>
        </c:ser>
        <c:ser>
          <c:idx val="1"/>
          <c:order val="1"/>
          <c:tx>
            <c:strRef>
              <c:f>'Rhaniad y Ddeiliadaeth (Canol)'!$B$94</c:f>
              <c:strCache>
                <c:ptCount val="1"/>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'Rhaniad y Ddeiliadaeth (Canol)'!$C$92:$G$92</c:f>
            </c:multiLvlStrRef>
          </c:cat>
          <c:val>
            <c:numRef>
              <c:f>'Rhaniad y Ddeiliadaeth (Canol)'!$C$94:$G$94</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1-9B66-42AB-9F26-C88F23B28AD6}"/>
            </c:ext>
          </c:extLst>
        </c:ser>
        <c:ser>
          <c:idx val="2"/>
          <c:order val="2"/>
          <c:tx>
            <c:strRef>
              <c:f>'Rhaniad y Ddeiliadaeth (Canol)'!$B$95</c:f>
              <c:strCache>
                <c:ptCount val="1"/>
                <c:pt idx="0">
                  <c:v>  </c:v>
                </c:pt>
              </c:strCache>
            </c:strRef>
          </c:tx>
          <c:spPr>
            <a:solidFill>
              <a:schemeClr val="accent1">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'Rhaniad y Ddeiliadaeth (Canol)'!$C$92:$G$92</c:f>
            </c:multiLvlStrRef>
          </c:cat>
          <c:val>
            <c:numRef>
              <c:f>'Rhaniad y Ddeiliadaeth (Canol)'!$C$95:$G$95</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2-9B66-42AB-9F26-C88F23B28AD6}"/>
            </c:ext>
          </c:extLst>
        </c:ser>
        <c:ser>
          <c:idx val="3"/>
          <c:order val="3"/>
          <c:tx>
            <c:strRef>
              <c:f>'Rhaniad y Ddeiliadaeth (Canol)'!$B$96</c:f>
              <c:strCache>
                <c:ptCount val="1"/>
                <c:pt idx="0">
                  <c:v>  </c:v>
                </c:pt>
              </c:strCache>
            </c:strRef>
          </c:tx>
          <c:spPr>
            <a:solidFill>
              <a:schemeClr val="accent1">
                <a:lumMod val="20000"/>
                <a:lumOff val="80000"/>
              </a:schemeClr>
            </a:solidFill>
          </c:spPr>
          <c:invertIfNegative val="0"/>
          <c:dLbls>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66-42AB-9F26-C88F23B28AD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'Rhaniad y Ddeiliadaeth (Canol)'!$C$92:$G$92</c:f>
            </c:multiLvlStrRef>
          </c:cat>
          <c:val>
            <c:numRef>
              <c:f>'Rhaniad y Ddeiliadaeth (Canol)'!$C$96:$G$96</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4-9B66-42AB-9F26-C88F23B28AD6}"/>
            </c:ext>
          </c:extLst>
        </c:ser>
        <c:dLbls>
          <c:showLegendKey val="0"/>
          <c:showVal val="0"/>
          <c:showCatName val="0"/>
          <c:showSerName val="0"/>
          <c:showPercent val="0"/>
          <c:showBubbleSize val="0"/>
        </c:dLbls>
        <c:gapWidth val="163"/>
        <c:overlap val="100"/>
        <c:axId val="186873344"/>
        <c:axId val="186874880"/>
      </c:barChart>
      <c:catAx>
        <c:axId val="186873344"/>
        <c:scaling>
          <c:orientation val="minMax"/>
        </c:scaling>
        <c:delete val="0"/>
        <c:axPos val="b"/>
        <c:numFmt formatCode="General" sourceLinked="1"/>
        <c:majorTickMark val="out"/>
        <c:minorTickMark val="none"/>
        <c:tickLblPos val="nextTo"/>
        <c:crossAx val="186874880"/>
        <c:crosses val="autoZero"/>
        <c:auto val="1"/>
        <c:lblAlgn val="ctr"/>
        <c:lblOffset val="100"/>
        <c:noMultiLvlLbl val="0"/>
      </c:catAx>
      <c:valAx>
        <c:axId val="186874880"/>
        <c:scaling>
          <c:orientation val="minMax"/>
          <c:max val="3000"/>
          <c:min val="0"/>
        </c:scaling>
        <c:delete val="0"/>
        <c:axPos val="l"/>
        <c:numFmt formatCode="#,##0" sourceLinked="0"/>
        <c:majorTickMark val="out"/>
        <c:minorTickMark val="none"/>
        <c:tickLblPos val="nextTo"/>
        <c:crossAx val="186873344"/>
        <c:crosses val="autoZero"/>
        <c:crossBetween val="between"/>
        <c:majorUnit val="1000"/>
      </c:valAx>
    </c:plotArea>
    <c:legend>
      <c:legendPos val="b"/>
      <c:overlay val="0"/>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Map Rhanbarthol'!A1"/><Relationship Id="rId2" Type="http://schemas.openxmlformats.org/officeDocument/2006/relationships/hyperlink" Target="#'Cyngor ar ddefnyddio''r adnodd'!A1"/><Relationship Id="rId1" Type="http://schemas.openxmlformats.org/officeDocument/2006/relationships/image" Target="../media/image1.png"/><Relationship Id="rId4" Type="http://schemas.openxmlformats.org/officeDocument/2006/relationships/hyperlink" Target="#'Canllawiau ar Newidynnau'!A1"/></Relationships>
</file>

<file path=xl/drawings/_rels/drawing10.xml.rels><?xml version="1.0" encoding="UTF-8" standalone="yes"?>
<Relationships xmlns="http://schemas.openxmlformats.org/package/2006/relationships"><Relationship Id="rId8" Type="http://schemas.openxmlformats.org/officeDocument/2006/relationships/hyperlink" Target="#'Rhaniad y Ddeiliadaeth (Gog)'!A1"/><Relationship Id="rId3" Type="http://schemas.openxmlformats.org/officeDocument/2006/relationships/hyperlink" Target="#'Tenure Split (North Wales)'!A1"/><Relationship Id="rId7" Type="http://schemas.openxmlformats.org/officeDocument/2006/relationships/hyperlink" Target="#'Rhaniad y Ddeiliadaeth (Canol)'!A1"/><Relationship Id="rId2" Type="http://schemas.openxmlformats.org/officeDocument/2006/relationships/hyperlink" Target="#'Tenure Split (Mid and SW Wales)'!A1"/><Relationship Id="rId1" Type="http://schemas.openxmlformats.org/officeDocument/2006/relationships/hyperlink" Target="#'Tenure Split (Wales)'!A1"/><Relationship Id="rId6" Type="http://schemas.openxmlformats.org/officeDocument/2006/relationships/hyperlink" Target="#'Rhaniad y Ddeiliadaeth (Cymru)'!A1"/><Relationship Id="rId5" Type="http://schemas.openxmlformats.org/officeDocument/2006/relationships/hyperlink" Target="#'Rhaniad y Ddeiliadaeth (De-o)'!A1"/><Relationship Id="rId10" Type="http://schemas.openxmlformats.org/officeDocument/2006/relationships/hyperlink" Target="#'Canllawiau ar Newidynnau'!A1"/><Relationship Id="rId4" Type="http://schemas.openxmlformats.org/officeDocument/2006/relationships/hyperlink" Target="#'Tenure Split (SE Wales)'!A1"/><Relationship Id="rId9" Type="http://schemas.openxmlformats.org/officeDocument/2006/relationships/hyperlink" Target="#'Rhaniad y Ddeiliadaeth (De-ddn)'!A1"/></Relationships>
</file>

<file path=xl/drawings/_rels/drawing11.xml.rels><?xml version="1.0" encoding="UTF-8" standalone="yes"?>
<Relationships xmlns="http://schemas.openxmlformats.org/package/2006/relationships"><Relationship Id="rId2" Type="http://schemas.openxmlformats.org/officeDocument/2006/relationships/hyperlink" Target="#'Canllawiau ar Newidynnau'!A1"/><Relationship Id="rId1" Type="http://schemas.openxmlformats.org/officeDocument/2006/relationships/hyperlink" Target="#'Rhaniad y Ddeiliadaeth (Cymru)'!A1"/></Relationships>
</file>

<file path=xl/drawings/_rels/drawing12.xml.rels><?xml version="1.0" encoding="UTF-8" standalone="yes"?>
<Relationships xmlns="http://schemas.openxmlformats.org/package/2006/relationships"><Relationship Id="rId2" Type="http://schemas.openxmlformats.org/officeDocument/2006/relationships/hyperlink" Target="#'Rhaniad y Ddeiliadaeth (Cymru)'!A1"/><Relationship Id="rId1" Type="http://schemas.openxmlformats.org/officeDocument/2006/relationships/hyperlink" Target="#'Canllawiau ar Newidynnau'!A1"/></Relationships>
</file>

<file path=xl/drawings/_rels/drawing13.xml.rels><?xml version="1.0" encoding="UTF-8" standalone="yes"?>
<Relationships xmlns="http://schemas.openxmlformats.org/package/2006/relationships"><Relationship Id="rId3" Type="http://schemas.openxmlformats.org/officeDocument/2006/relationships/hyperlink" Target="#'Rhaniad y Ddeiliadaeth (Gog)'!A1"/><Relationship Id="rId2" Type="http://schemas.openxmlformats.org/officeDocument/2006/relationships/hyperlink" Target="#'Rhaniad y Ddeiliadaeth (Canol)'!A1"/><Relationship Id="rId1" Type="http://schemas.openxmlformats.org/officeDocument/2006/relationships/hyperlink" Target="#'Rhaniad y Ddeiliadaeth (Cymru)'!A1"/><Relationship Id="rId6" Type="http://schemas.openxmlformats.org/officeDocument/2006/relationships/hyperlink" Target="#'Rhaniad y Ddeiliadaeth (De-o)'!A1"/><Relationship Id="rId5" Type="http://schemas.openxmlformats.org/officeDocument/2006/relationships/hyperlink" Target="#'Canllawiau ar Newidynnau'!A1"/><Relationship Id="rId4" Type="http://schemas.openxmlformats.org/officeDocument/2006/relationships/hyperlink" Target="#'Rhaniad y Ddeiliadaeth (De-ddn)'!A1"/></Relationships>
</file>

<file path=xl/drawings/_rels/drawing14.xml.rels><?xml version="1.0" encoding="UTF-8" standalone="yes"?>
<Relationships xmlns="http://schemas.openxmlformats.org/package/2006/relationships"><Relationship Id="rId1" Type="http://schemas.openxmlformats.org/officeDocument/2006/relationships/hyperlink" Target="#'Rhaniad y Ddeiliadaeth (Cymru)'!A1"/></Relationships>
</file>

<file path=xl/drawings/_rels/drawing15.xml.rels><?xml version="1.0" encoding="UTF-8" standalone="yes"?>
<Relationships xmlns="http://schemas.openxmlformats.org/package/2006/relationships"><Relationship Id="rId1" Type="http://schemas.openxmlformats.org/officeDocument/2006/relationships/hyperlink" Target="#'Rhaniad y Ddeiliadaeth (Gog)'!A1"/></Relationships>
</file>

<file path=xl/drawings/_rels/drawing16.xml.rels><?xml version="1.0" encoding="UTF-8" standalone="yes"?>
<Relationships xmlns="http://schemas.openxmlformats.org/package/2006/relationships"><Relationship Id="rId1" Type="http://schemas.openxmlformats.org/officeDocument/2006/relationships/hyperlink" Target="#'Rhaniad y Ddeiliadaeth (Canol)'!A1"/></Relationships>
</file>

<file path=xl/drawings/_rels/drawing17.xml.rels><?xml version="1.0" encoding="UTF-8" standalone="yes"?>
<Relationships xmlns="http://schemas.openxmlformats.org/package/2006/relationships"><Relationship Id="rId1" Type="http://schemas.openxmlformats.org/officeDocument/2006/relationships/hyperlink" Target="#'Rhaniad y Ddeiliadaeth (De-o)'!A1"/></Relationships>
</file>

<file path=xl/drawings/_rels/drawing18.xml.rels><?xml version="1.0" encoding="UTF-8" standalone="yes"?>
<Relationships xmlns="http://schemas.openxmlformats.org/package/2006/relationships"><Relationship Id="rId1" Type="http://schemas.openxmlformats.org/officeDocument/2006/relationships/hyperlink" Target="#'Rhaniad y Ddeiliadaeth (De-ddn)'!A1"/></Relationships>
</file>

<file path=xl/drawings/_rels/drawing19.xml.rels><?xml version="1.0" encoding="UTF-8" standalone="yes"?>
<Relationships xmlns="http://schemas.openxmlformats.org/package/2006/relationships"><Relationship Id="rId1" Type="http://schemas.openxmlformats.org/officeDocument/2006/relationships/hyperlink" Target="#'Rhaniad y Ddeiliadaeth (Cymru)'!A1"/></Relationships>
</file>

<file path=xl/drawings/_rels/drawing2.xml.rels><?xml version="1.0" encoding="UTF-8" standalone="yes"?>
<Relationships xmlns="http://schemas.openxmlformats.org/package/2006/relationships"><Relationship Id="rId3" Type="http://schemas.openxmlformats.org/officeDocument/2006/relationships/hyperlink" Target="#'Rhaniad y Ddeiliadaeth (De-ddn)'!A1"/><Relationship Id="rId2" Type="http://schemas.openxmlformats.org/officeDocument/2006/relationships/hyperlink" Target="#'Rhaniad y Ddeiliadaeth (Gog)'!A1"/><Relationship Id="rId1" Type="http://schemas.openxmlformats.org/officeDocument/2006/relationships/hyperlink" Target="#'Rhaniad y Ddeiliadaeth (Cymru)'!A1"/><Relationship Id="rId6" Type="http://schemas.openxmlformats.org/officeDocument/2006/relationships/hyperlink" Target="#'Rhaniad y Ddeiliadaeth (De-o)'!A1"/><Relationship Id="rId5" Type="http://schemas.openxmlformats.org/officeDocument/2006/relationships/hyperlink" Target="#'Rhaniad y Ddeiliadaeth (Canol)'!A1"/><Relationship Id="rId4" Type="http://schemas.openxmlformats.org/officeDocument/2006/relationships/hyperlink" Target="#'Tudalen Flaen'!A1"/></Relationships>
</file>

<file path=xl/drawings/_rels/drawing20.xml.rels><?xml version="1.0" encoding="UTF-8" standalone="yes"?>
<Relationships xmlns="http://schemas.openxmlformats.org/package/2006/relationships"><Relationship Id="rId1" Type="http://schemas.openxmlformats.org/officeDocument/2006/relationships/hyperlink" Target="#'Rhaniad y Ddeiliadaeth (Gog)'!A1"/></Relationships>
</file>

<file path=xl/drawings/_rels/drawing21.xml.rels><?xml version="1.0" encoding="UTF-8" standalone="yes"?>
<Relationships xmlns="http://schemas.openxmlformats.org/package/2006/relationships"><Relationship Id="rId1" Type="http://schemas.openxmlformats.org/officeDocument/2006/relationships/hyperlink" Target="#'Rhaniad y Ddeiliadaeth (Canol)'!A1"/></Relationships>
</file>

<file path=xl/drawings/_rels/drawing22.xml.rels><?xml version="1.0" encoding="UTF-8" standalone="yes"?>
<Relationships xmlns="http://schemas.openxmlformats.org/package/2006/relationships"><Relationship Id="rId1" Type="http://schemas.openxmlformats.org/officeDocument/2006/relationships/hyperlink" Target="#'Rhaniad y Ddeiliadaeth (De-o)'!A1"/></Relationships>
</file>

<file path=xl/drawings/_rels/drawing23.xml.rels><?xml version="1.0" encoding="UTF-8" standalone="yes"?>
<Relationships xmlns="http://schemas.openxmlformats.org/package/2006/relationships"><Relationship Id="rId1" Type="http://schemas.openxmlformats.org/officeDocument/2006/relationships/hyperlink" Target="#'Rhaniad y Ddeiliadaeth (De-ddn)'!A1"/></Relationships>
</file>

<file path=xl/drawings/_rels/drawing2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Tudalen Flaen'!A1"/><Relationship Id="rId7" Type="http://schemas.openxmlformats.org/officeDocument/2006/relationships/image" Target="../media/image2.png"/><Relationship Id="rId2" Type="http://schemas.openxmlformats.org/officeDocument/2006/relationships/hyperlink" Target="#'Rhaniad y Ddeiliadaeth (De-ddn)'!A1"/><Relationship Id="rId1" Type="http://schemas.openxmlformats.org/officeDocument/2006/relationships/hyperlink" Target="#'Rhaniad y Ddeiliadaeth (Gog)'!A1"/><Relationship Id="rId6" Type="http://schemas.openxmlformats.org/officeDocument/2006/relationships/hyperlink" Target="#'Rhaniad y Ddeiliadaeth (De-o)'!A1"/><Relationship Id="rId5" Type="http://schemas.openxmlformats.org/officeDocument/2006/relationships/hyperlink" Target="#'Rhaniad y Ddeiliadaeth (Canol)'!A1"/><Relationship Id="rId4" Type="http://schemas.openxmlformats.org/officeDocument/2006/relationships/hyperlink" Target="#'Canllawiau ar Newidynnau'!A1"/></Relationships>
</file>

<file path=xl/drawings/_rels/drawing3.xml.rels><?xml version="1.0" encoding="UTF-8" standalone="yes"?>
<Relationships xmlns="http://schemas.openxmlformats.org/package/2006/relationships"><Relationship Id="rId3" Type="http://schemas.openxmlformats.org/officeDocument/2006/relationships/hyperlink" Target="#'Rhaniad y Ddeiliadaeth (De-ddn)'!A1"/><Relationship Id="rId2" Type="http://schemas.openxmlformats.org/officeDocument/2006/relationships/hyperlink" Target="#'Rhaniad y Ddeiliadaeth (Gog)'!A1"/><Relationship Id="rId1" Type="http://schemas.openxmlformats.org/officeDocument/2006/relationships/hyperlink" Target="#'Rhaniad y Ddeiliadaeth (Cymru)'!A1"/><Relationship Id="rId6" Type="http://schemas.openxmlformats.org/officeDocument/2006/relationships/hyperlink" Target="#'Rhaniad y Ddeiliadaeth (De-o)'!A1"/><Relationship Id="rId5" Type="http://schemas.openxmlformats.org/officeDocument/2006/relationships/hyperlink" Target="#'Rhaniad y Ddeiliadaeth (Canol)'!A1"/><Relationship Id="rId4" Type="http://schemas.openxmlformats.org/officeDocument/2006/relationships/hyperlink" Target="#'Map Rhanbarthol'!A1"/></Relationships>
</file>

<file path=xl/drawings/_rels/drawing4.xml.rels><?xml version="1.0" encoding="UTF-8" standalone="yes"?>
<Relationships xmlns="http://schemas.openxmlformats.org/package/2006/relationships"><Relationship Id="rId8" Type="http://schemas.openxmlformats.org/officeDocument/2006/relationships/hyperlink" Target="#'Prisiau Rhenti'!A1"/><Relationship Id="rId13" Type="http://schemas.openxmlformats.org/officeDocument/2006/relationships/hyperlink" Target="#'Cyngor ar ddefnyddio''r adnodd'!A1"/><Relationship Id="rId3" Type="http://schemas.openxmlformats.org/officeDocument/2006/relationships/hyperlink" Target="#'Rhagolygon y Dyfodol'!A1"/><Relationship Id="rId7" Type="http://schemas.openxmlformats.org/officeDocument/2006/relationships/hyperlink" Target="#'Prisiau Tai (Cymru)'!A1"/><Relationship Id="rId12" Type="http://schemas.openxmlformats.org/officeDocument/2006/relationships/chart" Target="../charts/chart4.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Incwm (Cymru)'!A1"/><Relationship Id="rId11" Type="http://schemas.openxmlformats.org/officeDocument/2006/relationships/chart" Target="../charts/chart3.xml"/><Relationship Id="rId5" Type="http://schemas.openxmlformats.org/officeDocument/2006/relationships/hyperlink" Target="#'Angen Presennol Nas Diwallwyd'!A1"/><Relationship Id="rId10" Type="http://schemas.openxmlformats.org/officeDocument/2006/relationships/hyperlink" Target="#'Canllawiau ar Newidynnau'!A1"/><Relationship Id="rId4" Type="http://schemas.openxmlformats.org/officeDocument/2006/relationships/hyperlink" Target="#'Amcanestyniadau Aelwydydd'!A1"/><Relationship Id="rId9" Type="http://schemas.openxmlformats.org/officeDocument/2006/relationships/hyperlink" Target="#'Rhagdybiaeth Blynyddol'!A1"/></Relationships>
</file>

<file path=xl/drawings/_rels/drawing5.xml.rels><?xml version="1.0" encoding="UTF-8" standalone="yes"?>
<Relationships xmlns="http://schemas.openxmlformats.org/package/2006/relationships"><Relationship Id="rId8" Type="http://schemas.openxmlformats.org/officeDocument/2006/relationships/hyperlink" Target="#'Prisiau Rhenti'!A1"/><Relationship Id="rId13" Type="http://schemas.openxmlformats.org/officeDocument/2006/relationships/hyperlink" Target="#'Map Rhanbarthol'!A1"/><Relationship Id="rId3" Type="http://schemas.openxmlformats.org/officeDocument/2006/relationships/hyperlink" Target="#'Rhagolygon y Dyfodol'!A1"/><Relationship Id="rId7" Type="http://schemas.openxmlformats.org/officeDocument/2006/relationships/hyperlink" Target="#'Prisiau Tai (Gogledd)'!A1"/><Relationship Id="rId12" Type="http://schemas.openxmlformats.org/officeDocument/2006/relationships/chart" Target="../charts/chart8.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hyperlink" Target="#'Incwm (Gogledd)'!A1"/><Relationship Id="rId11" Type="http://schemas.openxmlformats.org/officeDocument/2006/relationships/chart" Target="../charts/chart7.xml"/><Relationship Id="rId5" Type="http://schemas.openxmlformats.org/officeDocument/2006/relationships/hyperlink" Target="#'Angen Presennol Nas Diwallwyd'!A1"/><Relationship Id="rId10" Type="http://schemas.openxmlformats.org/officeDocument/2006/relationships/hyperlink" Target="#'Canllawiau ar Newidynnau'!A1"/><Relationship Id="rId4" Type="http://schemas.openxmlformats.org/officeDocument/2006/relationships/hyperlink" Target="#'Amcanestyniadau Aelwydydd'!A1"/><Relationship Id="rId9" Type="http://schemas.openxmlformats.org/officeDocument/2006/relationships/hyperlink" Target="#'Rhagdybiaeth Blynyddol'!A1"/><Relationship Id="rId14" Type="http://schemas.openxmlformats.org/officeDocument/2006/relationships/hyperlink" Target="#'Cyngor ar ddefnyddio''r adnodd'!A1"/></Relationships>
</file>

<file path=xl/drawings/_rels/drawing6.xml.rels><?xml version="1.0" encoding="UTF-8" standalone="yes"?>
<Relationships xmlns="http://schemas.openxmlformats.org/package/2006/relationships"><Relationship Id="rId8" Type="http://schemas.openxmlformats.org/officeDocument/2006/relationships/hyperlink" Target="#'Income (Mid and SW Wales)'!A1"/><Relationship Id="rId13" Type="http://schemas.openxmlformats.org/officeDocument/2006/relationships/hyperlink" Target="#'Regional Map'!A1"/><Relationship Id="rId18" Type="http://schemas.openxmlformats.org/officeDocument/2006/relationships/chart" Target="../charts/chart16.xml"/><Relationship Id="rId26" Type="http://schemas.openxmlformats.org/officeDocument/2006/relationships/hyperlink" Target="#'Canllawiau ar Newidynnau'!A1"/><Relationship Id="rId3" Type="http://schemas.openxmlformats.org/officeDocument/2006/relationships/chart" Target="../charts/chart11.xml"/><Relationship Id="rId21" Type="http://schemas.openxmlformats.org/officeDocument/2006/relationships/hyperlink" Target="#'Angen Presennol Nas Diwallwyd'!A1"/><Relationship Id="rId7" Type="http://schemas.openxmlformats.org/officeDocument/2006/relationships/hyperlink" Target="#'Existing Unmet Need'!A1"/><Relationship Id="rId12" Type="http://schemas.openxmlformats.org/officeDocument/2006/relationships/hyperlink" Target="#'Variable Guidance'!A1"/><Relationship Id="rId17" Type="http://schemas.openxmlformats.org/officeDocument/2006/relationships/chart" Target="../charts/chart15.xml"/><Relationship Id="rId25" Type="http://schemas.openxmlformats.org/officeDocument/2006/relationships/hyperlink" Target="#'Rhagdybiaeth Blynyddol'!A1"/><Relationship Id="rId2" Type="http://schemas.openxmlformats.org/officeDocument/2006/relationships/chart" Target="../charts/chart10.xml"/><Relationship Id="rId16" Type="http://schemas.openxmlformats.org/officeDocument/2006/relationships/chart" Target="../charts/chart14.xml"/><Relationship Id="rId20" Type="http://schemas.openxmlformats.org/officeDocument/2006/relationships/hyperlink" Target="#'Amcanestyniadau Aelwydydd'!A1"/><Relationship Id="rId1" Type="http://schemas.openxmlformats.org/officeDocument/2006/relationships/chart" Target="../charts/chart9.xml"/><Relationship Id="rId6" Type="http://schemas.openxmlformats.org/officeDocument/2006/relationships/hyperlink" Target="#'Household Projections'!A1"/><Relationship Id="rId11" Type="http://schemas.openxmlformats.org/officeDocument/2006/relationships/hyperlink" Target="#'Yearly Assumptions'!A1"/><Relationship Id="rId24" Type="http://schemas.openxmlformats.org/officeDocument/2006/relationships/hyperlink" Target="#'Prisiau Rhenti'!A1"/><Relationship Id="rId5" Type="http://schemas.openxmlformats.org/officeDocument/2006/relationships/hyperlink" Target="#'Future Forecasts'!A1"/><Relationship Id="rId15" Type="http://schemas.openxmlformats.org/officeDocument/2006/relationships/chart" Target="../charts/chart13.xml"/><Relationship Id="rId23" Type="http://schemas.openxmlformats.org/officeDocument/2006/relationships/hyperlink" Target="#'Prisiau Tai (Canolbarth)'!A1"/><Relationship Id="rId28" Type="http://schemas.openxmlformats.org/officeDocument/2006/relationships/hyperlink" Target="#'Cyngor ar ddefnyddio''r adnodd'!A1"/><Relationship Id="rId10" Type="http://schemas.openxmlformats.org/officeDocument/2006/relationships/hyperlink" Target="#'Rental Prices'!A1"/><Relationship Id="rId19" Type="http://schemas.openxmlformats.org/officeDocument/2006/relationships/hyperlink" Target="#'Rhagolygon y Dyfodol'!A1"/><Relationship Id="rId4" Type="http://schemas.openxmlformats.org/officeDocument/2006/relationships/chart" Target="../charts/chart12.xml"/><Relationship Id="rId9" Type="http://schemas.openxmlformats.org/officeDocument/2006/relationships/hyperlink" Target="#'House Prices (Mid and SW Wales)'!A1"/><Relationship Id="rId14" Type="http://schemas.openxmlformats.org/officeDocument/2006/relationships/hyperlink" Target="#'Tips for Using the Tool'!A1"/><Relationship Id="rId22" Type="http://schemas.openxmlformats.org/officeDocument/2006/relationships/hyperlink" Target="#'Incwm (Canolbarth)'!A1"/><Relationship Id="rId27" Type="http://schemas.openxmlformats.org/officeDocument/2006/relationships/hyperlink" Target="#'Map Rhanbarthol'!A1"/></Relationships>
</file>

<file path=xl/drawings/_rels/drawing7.xml.rels><?xml version="1.0" encoding="UTF-8" standalone="yes"?>
<Relationships xmlns="http://schemas.openxmlformats.org/package/2006/relationships"><Relationship Id="rId8" Type="http://schemas.openxmlformats.org/officeDocument/2006/relationships/hyperlink" Target="#'Incwm (De-orllewin)'!A1"/><Relationship Id="rId13" Type="http://schemas.openxmlformats.org/officeDocument/2006/relationships/hyperlink" Target="#'Map Rhanbarthol'!A1"/><Relationship Id="rId3" Type="http://schemas.openxmlformats.org/officeDocument/2006/relationships/chart" Target="../charts/chart19.xml"/><Relationship Id="rId7" Type="http://schemas.openxmlformats.org/officeDocument/2006/relationships/hyperlink" Target="#'Angen Presennol Nas Diwallwyd'!A1"/><Relationship Id="rId12" Type="http://schemas.openxmlformats.org/officeDocument/2006/relationships/hyperlink" Target="#'Canllawiau ar Newidynnau'!A1"/><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hyperlink" Target="#'Amcanestyniadau Aelwydydd'!A1"/><Relationship Id="rId11" Type="http://schemas.openxmlformats.org/officeDocument/2006/relationships/hyperlink" Target="#'Rhagdybiaeth Blynyddol'!A1"/><Relationship Id="rId5" Type="http://schemas.openxmlformats.org/officeDocument/2006/relationships/hyperlink" Target="#'Rhagolygon y Dyfodol'!A1"/><Relationship Id="rId10" Type="http://schemas.openxmlformats.org/officeDocument/2006/relationships/hyperlink" Target="#'Prisiau Rhenti'!A1"/><Relationship Id="rId4" Type="http://schemas.openxmlformats.org/officeDocument/2006/relationships/chart" Target="../charts/chart20.xml"/><Relationship Id="rId9" Type="http://schemas.openxmlformats.org/officeDocument/2006/relationships/hyperlink" Target="#'Prisiau Tai (De-orllewin)'!A1"/><Relationship Id="rId14" Type="http://schemas.openxmlformats.org/officeDocument/2006/relationships/hyperlink" Target="#'Cyngor ar ddefnyddio''r adnodd'!A1"/></Relationships>
</file>

<file path=xl/drawings/_rels/drawing8.xml.rels><?xml version="1.0" encoding="UTF-8" standalone="yes"?>
<Relationships xmlns="http://schemas.openxmlformats.org/package/2006/relationships"><Relationship Id="rId8" Type="http://schemas.openxmlformats.org/officeDocument/2006/relationships/hyperlink" Target="#'Incwm (De-ddwyrain)'!A1"/><Relationship Id="rId13" Type="http://schemas.openxmlformats.org/officeDocument/2006/relationships/hyperlink" Target="#'Map Rhanbarthol'!A1"/><Relationship Id="rId3" Type="http://schemas.openxmlformats.org/officeDocument/2006/relationships/chart" Target="../charts/chart23.xml"/><Relationship Id="rId7" Type="http://schemas.openxmlformats.org/officeDocument/2006/relationships/hyperlink" Target="#'Angen Presennol Nas Diwallwyd'!A1"/><Relationship Id="rId12" Type="http://schemas.openxmlformats.org/officeDocument/2006/relationships/hyperlink" Target="#'Canllawiau ar Newidynnau'!A1"/><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hyperlink" Target="#'Amcanestyniadau Aelwydydd'!A1"/><Relationship Id="rId11" Type="http://schemas.openxmlformats.org/officeDocument/2006/relationships/hyperlink" Target="#'Rhagdybiaeth Blynyddol'!A1"/><Relationship Id="rId5" Type="http://schemas.openxmlformats.org/officeDocument/2006/relationships/hyperlink" Target="#'Rhagolygon y Dyfodol'!A1"/><Relationship Id="rId10" Type="http://schemas.openxmlformats.org/officeDocument/2006/relationships/hyperlink" Target="#'Prisiau Rhenti'!A1"/><Relationship Id="rId4" Type="http://schemas.openxmlformats.org/officeDocument/2006/relationships/chart" Target="../charts/chart24.xml"/><Relationship Id="rId9" Type="http://schemas.openxmlformats.org/officeDocument/2006/relationships/hyperlink" Target="#'Prisiau Tai (De-ddwyrain)'!A1"/><Relationship Id="rId14" Type="http://schemas.openxmlformats.org/officeDocument/2006/relationships/hyperlink" Target="#'Cyngor ar ddefnyddio''r adnodd'!A1"/></Relationships>
</file>

<file path=xl/drawings/_rels/drawing9.xml.rels><?xml version="1.0" encoding="UTF-8" standalone="yes"?>
<Relationships xmlns="http://schemas.openxmlformats.org/package/2006/relationships"><Relationship Id="rId3" Type="http://schemas.openxmlformats.org/officeDocument/2006/relationships/hyperlink" Target="#'Rhaniad y Ddeiliadaeth (Gog)'!A1"/><Relationship Id="rId2" Type="http://schemas.openxmlformats.org/officeDocument/2006/relationships/hyperlink" Target="#'Rhaniad y Ddeiliadaeth (Canol)'!A1"/><Relationship Id="rId1" Type="http://schemas.openxmlformats.org/officeDocument/2006/relationships/hyperlink" Target="#'Rhaniad y Ddeiliadaeth (Cymru)'!A1"/><Relationship Id="rId5" Type="http://schemas.openxmlformats.org/officeDocument/2006/relationships/hyperlink" Target="#'Rhaniad y Ddeiliadaeth (De-o)'!A1"/><Relationship Id="rId4" Type="http://schemas.openxmlformats.org/officeDocument/2006/relationships/hyperlink" Target="#'Rhaniad y Ddeiliadaeth (De-ddn)'!A1"/></Relationships>
</file>

<file path=xl/drawings/drawing1.xml><?xml version="1.0" encoding="utf-8"?>
<xdr:wsDr xmlns:xdr="http://schemas.openxmlformats.org/drawingml/2006/spreadsheetDrawing" xmlns:a="http://schemas.openxmlformats.org/drawingml/2006/main">
  <xdr:twoCellAnchor editAs="oneCell">
    <xdr:from>
      <xdr:col>14</xdr:col>
      <xdr:colOff>683</xdr:colOff>
      <xdr:row>0</xdr:row>
      <xdr:rowOff>93597</xdr:rowOff>
    </xdr:from>
    <xdr:to>
      <xdr:col>15</xdr:col>
      <xdr:colOff>557538</xdr:colOff>
      <xdr:row>5</xdr:row>
      <xdr:rowOff>118005</xdr:rowOff>
    </xdr:to>
    <xdr:pic>
      <xdr:nvPicPr>
        <xdr:cNvPr id="2" name="Picture 1"/>
        <xdr:cNvPicPr>
          <a:picLocks noChangeAspect="1"/>
        </xdr:cNvPicPr>
      </xdr:nvPicPr>
      <xdr:blipFill rotWithShape="1">
        <a:blip xmlns:r="http://schemas.openxmlformats.org/officeDocument/2006/relationships" r:embed="rId1"/>
        <a:srcRect l="62462" t="26599" r="12418" b="30822"/>
        <a:stretch/>
      </xdr:blipFill>
      <xdr:spPr>
        <a:xfrm>
          <a:off x="10325957" y="93597"/>
          <a:ext cx="1200554" cy="1059545"/>
        </a:xfrm>
        <a:prstGeom prst="rect">
          <a:avLst/>
        </a:prstGeom>
      </xdr:spPr>
    </xdr:pic>
    <xdr:clientData/>
  </xdr:twoCellAnchor>
  <xdr:twoCellAnchor>
    <xdr:from>
      <xdr:col>13</xdr:col>
      <xdr:colOff>46567</xdr:colOff>
      <xdr:row>17</xdr:row>
      <xdr:rowOff>148167</xdr:rowOff>
    </xdr:from>
    <xdr:to>
      <xdr:col>15</xdr:col>
      <xdr:colOff>414866</xdr:colOff>
      <xdr:row>19</xdr:row>
      <xdr:rowOff>182034</xdr:rowOff>
    </xdr:to>
    <xdr:sp macro="" textlink="">
      <xdr:nvSpPr>
        <xdr:cNvPr id="3" name="Rectangle 2">
          <a:hlinkClick xmlns:r="http://schemas.openxmlformats.org/officeDocument/2006/relationships" r:id="rId2"/>
        </xdr:cNvPr>
        <xdr:cNvSpPr/>
      </xdr:nvSpPr>
      <xdr:spPr>
        <a:xfrm>
          <a:off x="9179984" y="4148667"/>
          <a:ext cx="1595965" cy="52070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a:t>
          </a:r>
          <a:r>
            <a:rPr lang="en-GB" sz="1100" baseline="0">
              <a:solidFill>
                <a:sysClr val="windowText" lastClr="000000"/>
              </a:solidFill>
            </a:rPr>
            <a:t> i fynd i </a:t>
          </a:r>
          <a:r>
            <a:rPr lang="en-GB" sz="1100" b="1" baseline="0">
              <a:solidFill>
                <a:sysClr val="windowText" lastClr="000000"/>
              </a:solidFill>
            </a:rPr>
            <a:t>Cyngor ar ddefnyddio'r adnodd</a:t>
          </a:r>
        </a:p>
        <a:p>
          <a:pPr algn="ctr"/>
          <a:endParaRPr lang="en-GB" sz="1100" b="1">
            <a:solidFill>
              <a:sysClr val="windowText" lastClr="000000"/>
            </a:solidFill>
          </a:endParaRPr>
        </a:p>
      </xdr:txBody>
    </xdr:sp>
    <xdr:clientData/>
  </xdr:twoCellAnchor>
  <xdr:twoCellAnchor>
    <xdr:from>
      <xdr:col>13</xdr:col>
      <xdr:colOff>57150</xdr:colOff>
      <xdr:row>19</xdr:row>
      <xdr:rowOff>221192</xdr:rowOff>
    </xdr:from>
    <xdr:to>
      <xdr:col>15</xdr:col>
      <xdr:colOff>425449</xdr:colOff>
      <xdr:row>22</xdr:row>
      <xdr:rowOff>11641</xdr:rowOff>
    </xdr:to>
    <xdr:sp macro="" textlink="">
      <xdr:nvSpPr>
        <xdr:cNvPr id="4" name="Rectangle 3">
          <a:hlinkClick xmlns:r="http://schemas.openxmlformats.org/officeDocument/2006/relationships" r:id="rId3"/>
        </xdr:cNvPr>
        <xdr:cNvSpPr/>
      </xdr:nvSpPr>
      <xdr:spPr>
        <a:xfrm>
          <a:off x="9190567" y="4708525"/>
          <a:ext cx="1595965" cy="520699"/>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effectLst/>
              <a:latin typeface="+mn-lt"/>
              <a:ea typeface="+mn-ea"/>
              <a:cs typeface="+mn-cs"/>
            </a:rPr>
            <a:t>CLICIWCH  i fynd i </a:t>
          </a:r>
          <a:r>
            <a:rPr lang="en-GB" sz="1100" b="1" baseline="0">
              <a:solidFill>
                <a:sysClr val="windowText" lastClr="000000"/>
              </a:solidFill>
              <a:effectLst/>
              <a:latin typeface="+mn-lt"/>
              <a:ea typeface="+mn-ea"/>
              <a:cs typeface="+mn-cs"/>
            </a:rPr>
            <a:t>Map Rhanbarthol</a:t>
          </a:r>
          <a:endParaRPr lang="en-GB">
            <a:solidFill>
              <a:sysClr val="windowText" lastClr="000000"/>
            </a:solidFill>
            <a:effectLst/>
          </a:endParaRPr>
        </a:p>
      </xdr:txBody>
    </xdr:sp>
    <xdr:clientData/>
  </xdr:twoCellAnchor>
  <xdr:twoCellAnchor>
    <xdr:from>
      <xdr:col>13</xdr:col>
      <xdr:colOff>40216</xdr:colOff>
      <xdr:row>14</xdr:row>
      <xdr:rowOff>165274</xdr:rowOff>
    </xdr:from>
    <xdr:to>
      <xdr:col>15</xdr:col>
      <xdr:colOff>408515</xdr:colOff>
      <xdr:row>17</xdr:row>
      <xdr:rowOff>91017</xdr:rowOff>
    </xdr:to>
    <xdr:sp macro="" textlink="">
      <xdr:nvSpPr>
        <xdr:cNvPr id="5" name="Rectangle 4">
          <a:hlinkClick xmlns:r="http://schemas.openxmlformats.org/officeDocument/2006/relationships" r:id="rId4"/>
        </xdr:cNvPr>
        <xdr:cNvSpPr/>
      </xdr:nvSpPr>
      <xdr:spPr>
        <a:xfrm>
          <a:off x="9721791" y="3409863"/>
          <a:ext cx="1655697" cy="65642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effectLst/>
              <a:latin typeface="+mn-lt"/>
              <a:ea typeface="+mn-ea"/>
              <a:cs typeface="+mn-cs"/>
            </a:rPr>
            <a:t>CLICIWCH i fynd i </a:t>
          </a:r>
          <a:r>
            <a:rPr lang="en-GB" sz="1100" b="1" baseline="0">
              <a:solidFill>
                <a:sysClr val="windowText" lastClr="000000"/>
              </a:solidFill>
              <a:effectLst/>
              <a:latin typeface="+mn-lt"/>
              <a:ea typeface="+mn-ea"/>
              <a:cs typeface="+mn-cs"/>
            </a:rPr>
            <a:t>Canllawiau ar Newidynnau</a:t>
          </a:r>
          <a:endParaRPr lang="en-GB">
            <a:solidFill>
              <a:sysClr val="windowText" lastClr="000000"/>
            </a:solidFill>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390525</xdr:colOff>
      <xdr:row>7</xdr:row>
      <xdr:rowOff>0</xdr:rowOff>
    </xdr:from>
    <xdr:to>
      <xdr:col>8</xdr:col>
      <xdr:colOff>157691</xdr:colOff>
      <xdr:row>9</xdr:row>
      <xdr:rowOff>86783</xdr:rowOff>
    </xdr:to>
    <xdr:sp macro="" textlink="">
      <xdr:nvSpPr>
        <xdr:cNvPr id="4" name="Rectangle 3">
          <a:hlinkClick xmlns:r="http://schemas.openxmlformats.org/officeDocument/2006/relationships" r:id="rId1"/>
        </xdr:cNvPr>
        <xdr:cNvSpPr/>
      </xdr:nvSpPr>
      <xdr:spPr>
        <a:xfrm>
          <a:off x="7715250" y="628650"/>
          <a:ext cx="1595966" cy="67733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return to</a:t>
          </a:r>
          <a:r>
            <a:rPr lang="en-GB" sz="1100" b="1">
              <a:solidFill>
                <a:sysClr val="windowText" lastClr="000000"/>
              </a:solidFill>
            </a:rPr>
            <a:t> Tenure</a:t>
          </a:r>
          <a:r>
            <a:rPr lang="en-GB" sz="1100" b="1" baseline="0">
              <a:solidFill>
                <a:sysClr val="windowText" lastClr="000000"/>
              </a:solidFill>
            </a:rPr>
            <a:t> Split </a:t>
          </a:r>
        </a:p>
        <a:p>
          <a:pPr algn="ctr"/>
          <a:r>
            <a:rPr lang="en-GB" sz="1100" b="1" baseline="0">
              <a:solidFill>
                <a:sysClr val="windowText" lastClr="000000"/>
              </a:solidFill>
            </a:rPr>
            <a:t>(Wales)</a:t>
          </a:r>
          <a:endParaRPr lang="en-GB" sz="1100">
            <a:solidFill>
              <a:sysClr val="windowText" lastClr="000000"/>
            </a:solidFill>
          </a:endParaRPr>
        </a:p>
      </xdr:txBody>
    </xdr:sp>
    <xdr:clientData/>
  </xdr:twoCellAnchor>
  <xdr:twoCellAnchor>
    <xdr:from>
      <xdr:col>5</xdr:col>
      <xdr:colOff>390526</xdr:colOff>
      <xdr:row>10</xdr:row>
      <xdr:rowOff>33867</xdr:rowOff>
    </xdr:from>
    <xdr:to>
      <xdr:col>8</xdr:col>
      <xdr:colOff>157692</xdr:colOff>
      <xdr:row>13</xdr:row>
      <xdr:rowOff>139700</xdr:rowOff>
    </xdr:to>
    <xdr:sp macro="" textlink="">
      <xdr:nvSpPr>
        <xdr:cNvPr id="5" name="Rectangle 4">
          <a:hlinkClick xmlns:r="http://schemas.openxmlformats.org/officeDocument/2006/relationships" r:id="rId2"/>
        </xdr:cNvPr>
        <xdr:cNvSpPr/>
      </xdr:nvSpPr>
      <xdr:spPr>
        <a:xfrm>
          <a:off x="7715251" y="1443567"/>
          <a:ext cx="1595966" cy="67733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return to</a:t>
          </a:r>
          <a:r>
            <a:rPr lang="en-GB" sz="1100" b="1">
              <a:solidFill>
                <a:sysClr val="windowText" lastClr="000000"/>
              </a:solidFill>
            </a:rPr>
            <a:t> Tenure</a:t>
          </a:r>
          <a:r>
            <a:rPr lang="en-GB" sz="1100" b="1" baseline="0">
              <a:solidFill>
                <a:sysClr val="windowText" lastClr="000000"/>
              </a:solidFill>
            </a:rPr>
            <a:t> Split (Mid and South West Wales)</a:t>
          </a:r>
          <a:endParaRPr lang="en-GB" sz="1100">
            <a:solidFill>
              <a:sysClr val="windowText" lastClr="000000"/>
            </a:solidFill>
          </a:endParaRPr>
        </a:p>
      </xdr:txBody>
    </xdr:sp>
    <xdr:clientData/>
  </xdr:twoCellAnchor>
  <xdr:twoCellAnchor>
    <xdr:from>
      <xdr:col>8</xdr:col>
      <xdr:colOff>291040</xdr:colOff>
      <xdr:row>7</xdr:row>
      <xdr:rowOff>4233</xdr:rowOff>
    </xdr:from>
    <xdr:to>
      <xdr:col>11</xdr:col>
      <xdr:colOff>58207</xdr:colOff>
      <xdr:row>9</xdr:row>
      <xdr:rowOff>86784</xdr:rowOff>
    </xdr:to>
    <xdr:sp macro="" textlink="">
      <xdr:nvSpPr>
        <xdr:cNvPr id="6" name="Rectangle 5">
          <a:hlinkClick xmlns:r="http://schemas.openxmlformats.org/officeDocument/2006/relationships" r:id="rId3"/>
        </xdr:cNvPr>
        <xdr:cNvSpPr/>
      </xdr:nvSpPr>
      <xdr:spPr>
        <a:xfrm>
          <a:off x="9444565" y="632883"/>
          <a:ext cx="1595967" cy="673101"/>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return to</a:t>
          </a:r>
          <a:r>
            <a:rPr lang="en-GB" sz="1100" b="1">
              <a:solidFill>
                <a:sysClr val="windowText" lastClr="000000"/>
              </a:solidFill>
            </a:rPr>
            <a:t> Tenure</a:t>
          </a:r>
          <a:r>
            <a:rPr lang="en-GB" sz="1100" b="1" baseline="0">
              <a:solidFill>
                <a:sysClr val="windowText" lastClr="000000"/>
              </a:solidFill>
            </a:rPr>
            <a:t> Split </a:t>
          </a:r>
        </a:p>
        <a:p>
          <a:pPr algn="ctr"/>
          <a:r>
            <a:rPr lang="en-GB" sz="1100" b="1" baseline="0">
              <a:solidFill>
                <a:sysClr val="windowText" lastClr="000000"/>
              </a:solidFill>
            </a:rPr>
            <a:t>(North Wales)</a:t>
          </a:r>
          <a:endParaRPr lang="en-GB" sz="1100">
            <a:solidFill>
              <a:sysClr val="windowText" lastClr="000000"/>
            </a:solidFill>
          </a:endParaRPr>
        </a:p>
      </xdr:txBody>
    </xdr:sp>
    <xdr:clientData/>
  </xdr:twoCellAnchor>
  <xdr:twoCellAnchor>
    <xdr:from>
      <xdr:col>8</xdr:col>
      <xdr:colOff>274107</xdr:colOff>
      <xdr:row>10</xdr:row>
      <xdr:rowOff>42333</xdr:rowOff>
    </xdr:from>
    <xdr:to>
      <xdr:col>11</xdr:col>
      <xdr:colOff>41274</xdr:colOff>
      <xdr:row>13</xdr:row>
      <xdr:rowOff>139700</xdr:rowOff>
    </xdr:to>
    <xdr:sp macro="" textlink="">
      <xdr:nvSpPr>
        <xdr:cNvPr id="7" name="Rectangle 6">
          <a:hlinkClick xmlns:r="http://schemas.openxmlformats.org/officeDocument/2006/relationships" r:id="rId4"/>
        </xdr:cNvPr>
        <xdr:cNvSpPr/>
      </xdr:nvSpPr>
      <xdr:spPr>
        <a:xfrm>
          <a:off x="9427632" y="1452033"/>
          <a:ext cx="1595967" cy="668867"/>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return to</a:t>
          </a:r>
          <a:r>
            <a:rPr lang="en-GB" sz="1100" b="1">
              <a:solidFill>
                <a:sysClr val="windowText" lastClr="000000"/>
              </a:solidFill>
            </a:rPr>
            <a:t> Tenure</a:t>
          </a:r>
          <a:r>
            <a:rPr lang="en-GB" sz="1100" b="1" baseline="0">
              <a:solidFill>
                <a:sysClr val="windowText" lastClr="000000"/>
              </a:solidFill>
            </a:rPr>
            <a:t> Split </a:t>
          </a:r>
        </a:p>
        <a:p>
          <a:pPr algn="ctr"/>
          <a:r>
            <a:rPr lang="en-GB" sz="1100" b="1" baseline="0">
              <a:solidFill>
                <a:sysClr val="windowText" lastClr="000000"/>
              </a:solidFill>
            </a:rPr>
            <a:t>(South East Wales)</a:t>
          </a:r>
          <a:endParaRPr lang="en-GB" sz="1100">
            <a:solidFill>
              <a:sysClr val="windowText" lastClr="000000"/>
            </a:solidFill>
          </a:endParaRPr>
        </a:p>
      </xdr:txBody>
    </xdr:sp>
    <xdr:clientData/>
  </xdr:twoCellAnchor>
  <xdr:twoCellAnchor>
    <xdr:from>
      <xdr:col>5</xdr:col>
      <xdr:colOff>396874</xdr:colOff>
      <xdr:row>17</xdr:row>
      <xdr:rowOff>53974</xdr:rowOff>
    </xdr:from>
    <xdr:to>
      <xdr:col>8</xdr:col>
      <xdr:colOff>133349</xdr:colOff>
      <xdr:row>19</xdr:row>
      <xdr:rowOff>139699</xdr:rowOff>
    </xdr:to>
    <xdr:sp macro="" textlink="">
      <xdr:nvSpPr>
        <xdr:cNvPr id="8" name="Rectangle 7">
          <a:hlinkClick xmlns:r="http://schemas.openxmlformats.org/officeDocument/2006/relationships" r:id="rId5"/>
        </xdr:cNvPr>
        <xdr:cNvSpPr/>
      </xdr:nvSpPr>
      <xdr:spPr>
        <a:xfrm>
          <a:off x="8067674" y="3463924"/>
          <a:ext cx="1819275" cy="68262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CLICIWCH i fynd i </a:t>
          </a:r>
          <a:r>
            <a:rPr lang="en-GB" sz="1100" b="1">
              <a:solidFill>
                <a:sysClr val="windowText" lastClr="000000"/>
              </a:solidFill>
            </a:rPr>
            <a:t>Rhaniad y Ddeiliadaeth (De-orllewin)</a:t>
          </a:r>
          <a:endParaRPr lang="en-GB" sz="1100">
            <a:solidFill>
              <a:sysClr val="windowText" lastClr="000000"/>
            </a:solidFill>
          </a:endParaRPr>
        </a:p>
      </xdr:txBody>
    </xdr:sp>
    <xdr:clientData/>
  </xdr:twoCellAnchor>
  <xdr:twoCellAnchor>
    <xdr:from>
      <xdr:col>5</xdr:col>
      <xdr:colOff>390525</xdr:colOff>
      <xdr:row>7</xdr:row>
      <xdr:rowOff>0</xdr:rowOff>
    </xdr:from>
    <xdr:to>
      <xdr:col>8</xdr:col>
      <xdr:colOff>157691</xdr:colOff>
      <xdr:row>9</xdr:row>
      <xdr:rowOff>86783</xdr:rowOff>
    </xdr:to>
    <xdr:sp macro="" textlink="">
      <xdr:nvSpPr>
        <xdr:cNvPr id="9" name="Rectangle 8">
          <a:hlinkClick xmlns:r="http://schemas.openxmlformats.org/officeDocument/2006/relationships" r:id="rId6"/>
        </xdr:cNvPr>
        <xdr:cNvSpPr/>
      </xdr:nvSpPr>
      <xdr:spPr>
        <a:xfrm>
          <a:off x="7715250" y="1390650"/>
          <a:ext cx="1748366" cy="67733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Rhaniad y Ddeiliadaeth (Cymru)</a:t>
          </a:r>
          <a:endParaRPr lang="en-GB" sz="1100">
            <a:solidFill>
              <a:sysClr val="windowText" lastClr="000000"/>
            </a:solidFill>
          </a:endParaRPr>
        </a:p>
      </xdr:txBody>
    </xdr:sp>
    <xdr:clientData/>
  </xdr:twoCellAnchor>
  <xdr:twoCellAnchor>
    <xdr:from>
      <xdr:col>5</xdr:col>
      <xdr:colOff>390526</xdr:colOff>
      <xdr:row>10</xdr:row>
      <xdr:rowOff>33867</xdr:rowOff>
    </xdr:from>
    <xdr:to>
      <xdr:col>8</xdr:col>
      <xdr:colOff>157692</xdr:colOff>
      <xdr:row>15</xdr:row>
      <xdr:rowOff>139700</xdr:rowOff>
    </xdr:to>
    <xdr:sp macro="" textlink="">
      <xdr:nvSpPr>
        <xdr:cNvPr id="10" name="Rectangle 9">
          <a:hlinkClick xmlns:r="http://schemas.openxmlformats.org/officeDocument/2006/relationships" r:id="rId7"/>
        </xdr:cNvPr>
        <xdr:cNvSpPr/>
      </xdr:nvSpPr>
      <xdr:spPr>
        <a:xfrm>
          <a:off x="7715251" y="2205567"/>
          <a:ext cx="1748366" cy="105833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Rhaniad y Ddeiliadaeth (Canolbarth)</a:t>
          </a:r>
          <a:endParaRPr lang="en-GB" sz="1100">
            <a:solidFill>
              <a:sysClr val="windowText" lastClr="000000"/>
            </a:solidFill>
          </a:endParaRPr>
        </a:p>
      </xdr:txBody>
    </xdr:sp>
    <xdr:clientData/>
  </xdr:twoCellAnchor>
  <xdr:twoCellAnchor>
    <xdr:from>
      <xdr:col>8</xdr:col>
      <xdr:colOff>291040</xdr:colOff>
      <xdr:row>7</xdr:row>
      <xdr:rowOff>4233</xdr:rowOff>
    </xdr:from>
    <xdr:to>
      <xdr:col>11</xdr:col>
      <xdr:colOff>58207</xdr:colOff>
      <xdr:row>9</xdr:row>
      <xdr:rowOff>86784</xdr:rowOff>
    </xdr:to>
    <xdr:sp macro="" textlink="">
      <xdr:nvSpPr>
        <xdr:cNvPr id="11" name="Rectangle 10">
          <a:hlinkClick xmlns:r="http://schemas.openxmlformats.org/officeDocument/2006/relationships" r:id="rId8"/>
        </xdr:cNvPr>
        <xdr:cNvSpPr/>
      </xdr:nvSpPr>
      <xdr:spPr>
        <a:xfrm>
          <a:off x="9596965" y="1394883"/>
          <a:ext cx="1595967" cy="673101"/>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Rhaniad</a:t>
          </a:r>
          <a:r>
            <a:rPr lang="en-GB" sz="1100" b="1" baseline="0">
              <a:solidFill>
                <a:sysClr val="windowText" lastClr="000000"/>
              </a:solidFill>
            </a:rPr>
            <a:t> y Ddeiliadaeth (Gogledd)</a:t>
          </a:r>
          <a:endParaRPr lang="en-GB" sz="1100">
            <a:solidFill>
              <a:sysClr val="windowText" lastClr="000000"/>
            </a:solidFill>
          </a:endParaRPr>
        </a:p>
      </xdr:txBody>
    </xdr:sp>
    <xdr:clientData/>
  </xdr:twoCellAnchor>
  <xdr:twoCellAnchor>
    <xdr:from>
      <xdr:col>8</xdr:col>
      <xdr:colOff>274107</xdr:colOff>
      <xdr:row>10</xdr:row>
      <xdr:rowOff>42333</xdr:rowOff>
    </xdr:from>
    <xdr:to>
      <xdr:col>11</xdr:col>
      <xdr:colOff>41274</xdr:colOff>
      <xdr:row>15</xdr:row>
      <xdr:rowOff>139700</xdr:rowOff>
    </xdr:to>
    <xdr:sp macro="" textlink="">
      <xdr:nvSpPr>
        <xdr:cNvPr id="12" name="Rectangle 11">
          <a:hlinkClick xmlns:r="http://schemas.openxmlformats.org/officeDocument/2006/relationships" r:id="rId9"/>
        </xdr:cNvPr>
        <xdr:cNvSpPr/>
      </xdr:nvSpPr>
      <xdr:spPr>
        <a:xfrm>
          <a:off x="9580032" y="2214033"/>
          <a:ext cx="1595967" cy="1049867"/>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Rhaniad y Ddeiliadaeth (De-ddwyrain)</a:t>
          </a:r>
          <a:endParaRPr lang="en-GB" sz="1100">
            <a:solidFill>
              <a:sysClr val="windowText" lastClr="000000"/>
            </a:solidFill>
          </a:endParaRPr>
        </a:p>
      </xdr:txBody>
    </xdr:sp>
    <xdr:clientData/>
  </xdr:twoCellAnchor>
  <xdr:twoCellAnchor>
    <xdr:from>
      <xdr:col>8</xdr:col>
      <xdr:colOff>314325</xdr:colOff>
      <xdr:row>17</xdr:row>
      <xdr:rowOff>47625</xdr:rowOff>
    </xdr:from>
    <xdr:to>
      <xdr:col>11</xdr:col>
      <xdr:colOff>49741</xdr:colOff>
      <xdr:row>19</xdr:row>
      <xdr:rowOff>118533</xdr:rowOff>
    </xdr:to>
    <xdr:sp macro="" textlink="">
      <xdr:nvSpPr>
        <xdr:cNvPr id="13" name="Rectangle 12">
          <a:hlinkClick xmlns:r="http://schemas.openxmlformats.org/officeDocument/2006/relationships" r:id="rId10"/>
        </xdr:cNvPr>
        <xdr:cNvSpPr/>
      </xdr:nvSpPr>
      <xdr:spPr>
        <a:xfrm>
          <a:off x="10067925" y="3457575"/>
          <a:ext cx="1659466" cy="66780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CLICIWCH</a:t>
          </a:r>
          <a:r>
            <a:rPr lang="en-GB" sz="1100" baseline="0">
              <a:solidFill>
                <a:sysClr val="windowText" lastClr="000000"/>
              </a:solidFill>
            </a:rPr>
            <a:t> i fynd i </a:t>
          </a:r>
          <a:r>
            <a:rPr lang="en-GB" sz="1100" b="1" baseline="0">
              <a:solidFill>
                <a:sysClr val="windowText" lastClr="000000"/>
              </a:solidFill>
            </a:rPr>
            <a:t>Canllawiau ar Newidynnau</a:t>
          </a:r>
          <a:endParaRPr lang="en-GB" sz="1100">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209550</xdr:colOff>
      <xdr:row>9</xdr:row>
      <xdr:rowOff>9525</xdr:rowOff>
    </xdr:from>
    <xdr:to>
      <xdr:col>8</xdr:col>
      <xdr:colOff>586316</xdr:colOff>
      <xdr:row>12</xdr:row>
      <xdr:rowOff>77439</xdr:rowOff>
    </xdr:to>
    <xdr:sp macro="" textlink="">
      <xdr:nvSpPr>
        <xdr:cNvPr id="2" name="Rectangle 1">
          <a:hlinkClick xmlns:r="http://schemas.openxmlformats.org/officeDocument/2006/relationships" r:id="rId1"/>
        </xdr:cNvPr>
        <xdr:cNvSpPr/>
      </xdr:nvSpPr>
      <xdr:spPr>
        <a:xfrm>
          <a:off x="6892538" y="2069403"/>
          <a:ext cx="1600302" cy="64096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Rhaniad y Ddeiliadaeth (Cymru</a:t>
          </a:r>
          <a:r>
            <a:rPr lang="en-GB" sz="1100" b="1" baseline="0">
              <a:solidFill>
                <a:sysClr val="windowText" lastClr="000000"/>
              </a:solidFill>
            </a:rPr>
            <a:t>)</a:t>
          </a:r>
          <a:endParaRPr lang="en-GB" sz="1100">
            <a:solidFill>
              <a:sysClr val="windowText" lastClr="000000"/>
            </a:solidFill>
          </a:endParaRPr>
        </a:p>
      </xdr:txBody>
    </xdr:sp>
    <xdr:clientData/>
  </xdr:twoCellAnchor>
  <xdr:twoCellAnchor>
    <xdr:from>
      <xdr:col>6</xdr:col>
      <xdr:colOff>209550</xdr:colOff>
      <xdr:row>5</xdr:row>
      <xdr:rowOff>180975</xdr:rowOff>
    </xdr:from>
    <xdr:to>
      <xdr:col>8</xdr:col>
      <xdr:colOff>586316</xdr:colOff>
      <xdr:row>8</xdr:row>
      <xdr:rowOff>119592</xdr:rowOff>
    </xdr:to>
    <xdr:sp macro="" textlink="">
      <xdr:nvSpPr>
        <xdr:cNvPr id="3" name="Rectangle 2">
          <a:hlinkClick xmlns:r="http://schemas.openxmlformats.org/officeDocument/2006/relationships" r:id="rId2"/>
        </xdr:cNvPr>
        <xdr:cNvSpPr/>
      </xdr:nvSpPr>
      <xdr:spPr>
        <a:xfrm>
          <a:off x="5648325" y="1133475"/>
          <a:ext cx="1595966" cy="519642"/>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Canllawiau</a:t>
          </a:r>
          <a:r>
            <a:rPr lang="en-GB" sz="1100" b="1" baseline="0">
              <a:solidFill>
                <a:sysClr val="windowText" lastClr="000000"/>
              </a:solidFill>
            </a:rPr>
            <a:t> ar Newidynnau</a:t>
          </a:r>
          <a:endParaRPr lang="en-GB" sz="1100">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600075</xdr:colOff>
      <xdr:row>5</xdr:row>
      <xdr:rowOff>66674</xdr:rowOff>
    </xdr:from>
    <xdr:to>
      <xdr:col>13</xdr:col>
      <xdr:colOff>367241</xdr:colOff>
      <xdr:row>8</xdr:row>
      <xdr:rowOff>8818</xdr:rowOff>
    </xdr:to>
    <xdr:sp macro="" textlink="">
      <xdr:nvSpPr>
        <xdr:cNvPr id="2" name="Rectangle 1">
          <a:hlinkClick xmlns:r="http://schemas.openxmlformats.org/officeDocument/2006/relationships" r:id="rId1"/>
        </xdr:cNvPr>
        <xdr:cNvSpPr/>
      </xdr:nvSpPr>
      <xdr:spPr>
        <a:xfrm>
          <a:off x="8564033" y="992716"/>
          <a:ext cx="1592791" cy="621241"/>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Canllawiau ar Newidynnau</a:t>
          </a:r>
          <a:endParaRPr lang="en-GB" sz="1100">
            <a:solidFill>
              <a:sysClr val="windowText" lastClr="000000"/>
            </a:solidFill>
          </a:endParaRPr>
        </a:p>
      </xdr:txBody>
    </xdr:sp>
    <xdr:clientData/>
  </xdr:twoCellAnchor>
  <xdr:twoCellAnchor>
    <xdr:from>
      <xdr:col>10</xdr:col>
      <xdr:colOff>590550</xdr:colOff>
      <xdr:row>8</xdr:row>
      <xdr:rowOff>74431</xdr:rowOff>
    </xdr:from>
    <xdr:to>
      <xdr:col>13</xdr:col>
      <xdr:colOff>357716</xdr:colOff>
      <xdr:row>11</xdr:row>
      <xdr:rowOff>149926</xdr:rowOff>
    </xdr:to>
    <xdr:sp macro="" textlink="">
      <xdr:nvSpPr>
        <xdr:cNvPr id="3" name="Rectangle 2">
          <a:hlinkClick xmlns:r="http://schemas.openxmlformats.org/officeDocument/2006/relationships" r:id="rId2"/>
        </xdr:cNvPr>
        <xdr:cNvSpPr/>
      </xdr:nvSpPr>
      <xdr:spPr>
        <a:xfrm>
          <a:off x="8554508" y="1679570"/>
          <a:ext cx="1592791" cy="63112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Rhaniad y Ddeiliadaeth (Cymru</a:t>
          </a:r>
          <a:r>
            <a:rPr lang="en-GB" sz="1100" b="1" baseline="0">
              <a:solidFill>
                <a:sysClr val="windowText" lastClr="000000"/>
              </a:solidFill>
            </a:rPr>
            <a:t>)</a:t>
          </a:r>
          <a:endParaRPr lang="en-GB" sz="1100">
            <a:solidFill>
              <a:sysClr val="windowText" lastClr="00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180975</xdr:colOff>
      <xdr:row>5</xdr:row>
      <xdr:rowOff>133350</xdr:rowOff>
    </xdr:from>
    <xdr:to>
      <xdr:col>9</xdr:col>
      <xdr:colOff>545041</xdr:colOff>
      <xdr:row>9</xdr:row>
      <xdr:rowOff>13315</xdr:rowOff>
    </xdr:to>
    <xdr:sp macro="" textlink="">
      <xdr:nvSpPr>
        <xdr:cNvPr id="3" name="Rectangle 2">
          <a:hlinkClick xmlns:r="http://schemas.openxmlformats.org/officeDocument/2006/relationships" r:id="rId1"/>
        </xdr:cNvPr>
        <xdr:cNvSpPr/>
      </xdr:nvSpPr>
      <xdr:spPr>
        <a:xfrm>
          <a:off x="4629150" y="1085850"/>
          <a:ext cx="1583266" cy="64196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CLICIWCH i fynd i </a:t>
          </a:r>
          <a:r>
            <a:rPr lang="en-GB" sz="1050" b="1">
              <a:solidFill>
                <a:sysClr val="windowText" lastClr="000000"/>
              </a:solidFill>
            </a:rPr>
            <a:t>Rhaniad</a:t>
          </a:r>
          <a:r>
            <a:rPr lang="en-GB" sz="1050" b="1" baseline="0">
              <a:solidFill>
                <a:sysClr val="windowText" lastClr="000000"/>
              </a:solidFill>
            </a:rPr>
            <a:t> y Ddeiliadaeth (Cymru)</a:t>
          </a:r>
          <a:endParaRPr lang="en-GB" sz="1050">
            <a:solidFill>
              <a:sysClr val="windowText" lastClr="000000"/>
            </a:solidFill>
          </a:endParaRPr>
        </a:p>
      </xdr:txBody>
    </xdr:sp>
    <xdr:clientData/>
  </xdr:twoCellAnchor>
  <xdr:twoCellAnchor>
    <xdr:from>
      <xdr:col>7</xdr:col>
      <xdr:colOff>180976</xdr:colOff>
      <xdr:row>9</xdr:row>
      <xdr:rowOff>186267</xdr:rowOff>
    </xdr:from>
    <xdr:to>
      <xdr:col>9</xdr:col>
      <xdr:colOff>545042</xdr:colOff>
      <xdr:row>13</xdr:row>
      <xdr:rowOff>66232</xdr:rowOff>
    </xdr:to>
    <xdr:sp macro="" textlink="">
      <xdr:nvSpPr>
        <xdr:cNvPr id="4" name="Rectangle 3">
          <a:hlinkClick xmlns:r="http://schemas.openxmlformats.org/officeDocument/2006/relationships" r:id="rId2"/>
        </xdr:cNvPr>
        <xdr:cNvSpPr/>
      </xdr:nvSpPr>
      <xdr:spPr>
        <a:xfrm>
          <a:off x="4629151" y="1900767"/>
          <a:ext cx="1583266" cy="64196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CLICIWCH i fynd i </a:t>
          </a:r>
          <a:r>
            <a:rPr lang="en-GB" sz="1050" b="1">
              <a:solidFill>
                <a:sysClr val="windowText" lastClr="000000"/>
              </a:solidFill>
            </a:rPr>
            <a:t>Rhaniad y Ddeiliadaeth (Canolbarth)</a:t>
          </a:r>
          <a:endParaRPr lang="en-GB" sz="1050">
            <a:solidFill>
              <a:sysClr val="windowText" lastClr="000000"/>
            </a:solidFill>
          </a:endParaRPr>
        </a:p>
      </xdr:txBody>
    </xdr:sp>
    <xdr:clientData/>
  </xdr:twoCellAnchor>
  <xdr:twoCellAnchor>
    <xdr:from>
      <xdr:col>10</xdr:col>
      <xdr:colOff>81490</xdr:colOff>
      <xdr:row>5</xdr:row>
      <xdr:rowOff>137583</xdr:rowOff>
    </xdr:from>
    <xdr:to>
      <xdr:col>12</xdr:col>
      <xdr:colOff>445557</xdr:colOff>
      <xdr:row>9</xdr:row>
      <xdr:rowOff>13537</xdr:rowOff>
    </xdr:to>
    <xdr:sp macro="" textlink="">
      <xdr:nvSpPr>
        <xdr:cNvPr id="5" name="Rectangle 4">
          <a:hlinkClick xmlns:r="http://schemas.openxmlformats.org/officeDocument/2006/relationships" r:id="rId3"/>
        </xdr:cNvPr>
        <xdr:cNvSpPr/>
      </xdr:nvSpPr>
      <xdr:spPr>
        <a:xfrm>
          <a:off x="6358465" y="1090083"/>
          <a:ext cx="1583267" cy="637954"/>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CLICIWCH i fynd i </a:t>
          </a:r>
          <a:r>
            <a:rPr lang="en-GB" sz="1050" b="1">
              <a:solidFill>
                <a:sysClr val="windowText" lastClr="000000"/>
              </a:solidFill>
            </a:rPr>
            <a:t>Rhaniad y Ddeiliadaeth (Gogledd)</a:t>
          </a:r>
          <a:endParaRPr lang="en-GB" sz="1050">
            <a:solidFill>
              <a:sysClr val="windowText" lastClr="000000"/>
            </a:solidFill>
          </a:endParaRPr>
        </a:p>
      </xdr:txBody>
    </xdr:sp>
    <xdr:clientData/>
  </xdr:twoCellAnchor>
  <xdr:twoCellAnchor>
    <xdr:from>
      <xdr:col>10</xdr:col>
      <xdr:colOff>64557</xdr:colOff>
      <xdr:row>10</xdr:row>
      <xdr:rowOff>4233</xdr:rowOff>
    </xdr:from>
    <xdr:to>
      <xdr:col>12</xdr:col>
      <xdr:colOff>428624</xdr:colOff>
      <xdr:row>13</xdr:row>
      <xdr:rowOff>66674</xdr:rowOff>
    </xdr:to>
    <xdr:sp macro="" textlink="">
      <xdr:nvSpPr>
        <xdr:cNvPr id="6" name="Rectangle 5">
          <a:hlinkClick xmlns:r="http://schemas.openxmlformats.org/officeDocument/2006/relationships" r:id="rId4"/>
        </xdr:cNvPr>
        <xdr:cNvSpPr/>
      </xdr:nvSpPr>
      <xdr:spPr>
        <a:xfrm>
          <a:off x="6341532" y="1909233"/>
          <a:ext cx="1583267" cy="633941"/>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CLICIWCH</a:t>
          </a:r>
          <a:r>
            <a:rPr lang="en-GB" sz="1050" baseline="0">
              <a:solidFill>
                <a:sysClr val="windowText" lastClr="000000"/>
              </a:solidFill>
            </a:rPr>
            <a:t> i fynd i </a:t>
          </a:r>
          <a:r>
            <a:rPr lang="en-GB" sz="1050" b="1" baseline="0">
              <a:solidFill>
                <a:sysClr val="windowText" lastClr="000000"/>
              </a:solidFill>
            </a:rPr>
            <a:t>Rhaniad y Ddeiliadaeth (De-ddwyrain)</a:t>
          </a:r>
          <a:endParaRPr lang="en-GB" sz="1050">
            <a:solidFill>
              <a:sysClr val="windowText" lastClr="000000"/>
            </a:solidFill>
          </a:endParaRPr>
        </a:p>
      </xdr:txBody>
    </xdr:sp>
    <xdr:clientData/>
  </xdr:twoCellAnchor>
  <xdr:twoCellAnchor>
    <xdr:from>
      <xdr:col>10</xdr:col>
      <xdr:colOff>57150</xdr:colOff>
      <xdr:row>14</xdr:row>
      <xdr:rowOff>47625</xdr:rowOff>
    </xdr:from>
    <xdr:to>
      <xdr:col>12</xdr:col>
      <xdr:colOff>421216</xdr:colOff>
      <xdr:row>17</xdr:row>
      <xdr:rowOff>118090</xdr:rowOff>
    </xdr:to>
    <xdr:sp macro="" textlink="">
      <xdr:nvSpPr>
        <xdr:cNvPr id="7" name="Rectangle 6">
          <a:hlinkClick xmlns:r="http://schemas.openxmlformats.org/officeDocument/2006/relationships" r:id="rId5"/>
        </xdr:cNvPr>
        <xdr:cNvSpPr/>
      </xdr:nvSpPr>
      <xdr:spPr>
        <a:xfrm>
          <a:off x="6578600" y="2632075"/>
          <a:ext cx="1583266" cy="62291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a:solidFill>
                <a:sysClr val="windowText" lastClr="000000"/>
              </a:solidFill>
            </a:rPr>
            <a:t>CLICIWCH i fynd i </a:t>
          </a:r>
          <a:r>
            <a:rPr lang="en-GB" sz="1050" b="1">
              <a:solidFill>
                <a:sysClr val="windowText" lastClr="000000"/>
              </a:solidFill>
            </a:rPr>
            <a:t>Canllawiau</a:t>
          </a:r>
          <a:r>
            <a:rPr lang="en-GB" sz="1050" b="1" baseline="0">
              <a:solidFill>
                <a:sysClr val="windowText" lastClr="000000"/>
              </a:solidFill>
            </a:rPr>
            <a:t> ar Newidynnau</a:t>
          </a:r>
          <a:endParaRPr lang="en-GB" sz="1050">
            <a:solidFill>
              <a:sysClr val="windowText" lastClr="000000"/>
            </a:solidFill>
          </a:endParaRPr>
        </a:p>
      </xdr:txBody>
    </xdr:sp>
    <xdr:clientData/>
  </xdr:twoCellAnchor>
  <xdr:twoCellAnchor>
    <xdr:from>
      <xdr:col>7</xdr:col>
      <xdr:colOff>177800</xdr:colOff>
      <xdr:row>14</xdr:row>
      <xdr:rowOff>57150</xdr:rowOff>
    </xdr:from>
    <xdr:to>
      <xdr:col>9</xdr:col>
      <xdr:colOff>541866</xdr:colOff>
      <xdr:row>17</xdr:row>
      <xdr:rowOff>121265</xdr:rowOff>
    </xdr:to>
    <xdr:sp macro="" textlink="">
      <xdr:nvSpPr>
        <xdr:cNvPr id="8" name="Rectangle 7">
          <a:hlinkClick xmlns:r="http://schemas.openxmlformats.org/officeDocument/2006/relationships" r:id="rId6"/>
        </xdr:cNvPr>
        <xdr:cNvSpPr/>
      </xdr:nvSpPr>
      <xdr:spPr>
        <a:xfrm>
          <a:off x="4870450" y="2641600"/>
          <a:ext cx="1583266" cy="61656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CLICIWCH i fynd i </a:t>
          </a:r>
          <a:r>
            <a:rPr lang="en-GB" sz="1050" b="1">
              <a:solidFill>
                <a:sysClr val="windowText" lastClr="000000"/>
              </a:solidFill>
            </a:rPr>
            <a:t>Rhaniad y Ddeiliadaeth (De-orllewin</a:t>
          </a:r>
          <a:r>
            <a:rPr lang="en-GB" sz="1050" b="1" baseline="0">
              <a:solidFill>
                <a:sysClr val="windowText" lastClr="000000"/>
              </a:solidFill>
            </a:rPr>
            <a:t>)</a:t>
          </a:r>
          <a:endParaRPr lang="en-GB" sz="105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371475</xdr:colOff>
      <xdr:row>0</xdr:row>
      <xdr:rowOff>104775</xdr:rowOff>
    </xdr:from>
    <xdr:to>
      <xdr:col>18</xdr:col>
      <xdr:colOff>138641</xdr:colOff>
      <xdr:row>3</xdr:row>
      <xdr:rowOff>94075</xdr:rowOff>
    </xdr:to>
    <xdr:sp macro="" textlink="">
      <xdr:nvSpPr>
        <xdr:cNvPr id="2" name="Rectangle 1">
          <a:hlinkClick xmlns:r="http://schemas.openxmlformats.org/officeDocument/2006/relationships" r:id="rId1"/>
        </xdr:cNvPr>
        <xdr:cNvSpPr/>
      </xdr:nvSpPr>
      <xdr:spPr>
        <a:xfrm>
          <a:off x="12334561" y="104775"/>
          <a:ext cx="1601611" cy="61646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Rhaniad y Ddeiliadaeth (Cymru)</a:t>
          </a:r>
          <a:endParaRPr lang="en-GB" sz="1100">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95250</xdr:colOff>
      <xdr:row>0</xdr:row>
      <xdr:rowOff>76200</xdr:rowOff>
    </xdr:from>
    <xdr:to>
      <xdr:col>18</xdr:col>
      <xdr:colOff>95250</xdr:colOff>
      <xdr:row>2</xdr:row>
      <xdr:rowOff>138642</xdr:rowOff>
    </xdr:to>
    <xdr:sp macro="" textlink="">
      <xdr:nvSpPr>
        <xdr:cNvPr id="2" name="Rectangle 1">
          <a:hlinkClick xmlns:r="http://schemas.openxmlformats.org/officeDocument/2006/relationships" r:id="rId1"/>
        </xdr:cNvPr>
        <xdr:cNvSpPr/>
      </xdr:nvSpPr>
      <xdr:spPr>
        <a:xfrm>
          <a:off x="11001375" y="76200"/>
          <a:ext cx="1828800" cy="519642"/>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Rhaniad y Ddeiliadaeth (Gogledd)</a:t>
          </a:r>
          <a:endParaRPr lang="en-GB" sz="1100">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266700</xdr:colOff>
      <xdr:row>0</xdr:row>
      <xdr:rowOff>85725</xdr:rowOff>
    </xdr:from>
    <xdr:to>
      <xdr:col>18</xdr:col>
      <xdr:colOff>514350</xdr:colOff>
      <xdr:row>2</xdr:row>
      <xdr:rowOff>104775</xdr:rowOff>
    </xdr:to>
    <xdr:sp macro="" textlink="">
      <xdr:nvSpPr>
        <xdr:cNvPr id="2" name="Rectangle 1">
          <a:hlinkClick xmlns:r="http://schemas.openxmlformats.org/officeDocument/2006/relationships" r:id="rId1"/>
        </xdr:cNvPr>
        <xdr:cNvSpPr/>
      </xdr:nvSpPr>
      <xdr:spPr>
        <a:xfrm>
          <a:off x="11172825" y="85725"/>
          <a:ext cx="2076450" cy="47625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a:t>
          </a:r>
          <a:r>
            <a:rPr lang="en-GB" sz="1100" baseline="0">
              <a:solidFill>
                <a:sysClr val="windowText" lastClr="000000"/>
              </a:solidFill>
            </a:rPr>
            <a:t> i </a:t>
          </a:r>
          <a:r>
            <a:rPr lang="en-GB" sz="1100" b="1" baseline="0">
              <a:solidFill>
                <a:sysClr val="windowText" lastClr="000000"/>
              </a:solidFill>
            </a:rPr>
            <a:t>Rhaniad y Ddeiliadaeth (Canolbarth)</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15</xdr:col>
      <xdr:colOff>266700</xdr:colOff>
      <xdr:row>0</xdr:row>
      <xdr:rowOff>85725</xdr:rowOff>
    </xdr:from>
    <xdr:to>
      <xdr:col>18</xdr:col>
      <xdr:colOff>514350</xdr:colOff>
      <xdr:row>2</xdr:row>
      <xdr:rowOff>104775</xdr:rowOff>
    </xdr:to>
    <xdr:sp macro="" textlink="">
      <xdr:nvSpPr>
        <xdr:cNvPr id="2" name="Rectangle 1">
          <a:hlinkClick xmlns:r="http://schemas.openxmlformats.org/officeDocument/2006/relationships" r:id="rId1"/>
        </xdr:cNvPr>
        <xdr:cNvSpPr/>
      </xdr:nvSpPr>
      <xdr:spPr>
        <a:xfrm>
          <a:off x="11172825" y="85725"/>
          <a:ext cx="2076450" cy="47625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Rhaniad y Ddeiliadaeth (De-orllewin)</a:t>
          </a:r>
          <a:endParaRPr lang="en-GB" sz="1100">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15</xdr:col>
      <xdr:colOff>247649</xdr:colOff>
      <xdr:row>0</xdr:row>
      <xdr:rowOff>66675</xdr:rowOff>
    </xdr:from>
    <xdr:to>
      <xdr:col>18</xdr:col>
      <xdr:colOff>295275</xdr:colOff>
      <xdr:row>2</xdr:row>
      <xdr:rowOff>57151</xdr:rowOff>
    </xdr:to>
    <xdr:sp macro="" textlink="">
      <xdr:nvSpPr>
        <xdr:cNvPr id="2" name="Rectangle 1">
          <a:hlinkClick xmlns:r="http://schemas.openxmlformats.org/officeDocument/2006/relationships" r:id="rId1"/>
        </xdr:cNvPr>
        <xdr:cNvSpPr/>
      </xdr:nvSpPr>
      <xdr:spPr>
        <a:xfrm>
          <a:off x="11153774" y="66675"/>
          <a:ext cx="1876426" cy="44767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Rhaniad y Ddeiliadaeth (De-ddwyrain)</a:t>
          </a:r>
          <a:endParaRPr lang="en-GB" sz="1100">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15</xdr:col>
      <xdr:colOff>133350</xdr:colOff>
      <xdr:row>0</xdr:row>
      <xdr:rowOff>85724</xdr:rowOff>
    </xdr:from>
    <xdr:to>
      <xdr:col>17</xdr:col>
      <xdr:colOff>510116</xdr:colOff>
      <xdr:row>3</xdr:row>
      <xdr:rowOff>82549</xdr:rowOff>
    </xdr:to>
    <xdr:sp macro="" textlink="">
      <xdr:nvSpPr>
        <xdr:cNvPr id="2" name="Rectangle 1">
          <a:hlinkClick xmlns:r="http://schemas.openxmlformats.org/officeDocument/2006/relationships" r:id="rId1"/>
        </xdr:cNvPr>
        <xdr:cNvSpPr/>
      </xdr:nvSpPr>
      <xdr:spPr>
        <a:xfrm>
          <a:off x="12274550" y="85724"/>
          <a:ext cx="1659466" cy="63182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a:t>
          </a:r>
          <a:r>
            <a:rPr lang="en-GB" sz="1100" baseline="0">
              <a:solidFill>
                <a:sysClr val="windowText" lastClr="000000"/>
              </a:solidFill>
            </a:rPr>
            <a:t> i </a:t>
          </a:r>
          <a:r>
            <a:rPr lang="en-GB" sz="1100" b="1" baseline="0">
              <a:solidFill>
                <a:sysClr val="windowText" lastClr="000000"/>
              </a:solidFill>
            </a:rPr>
            <a:t>Rhaniad y Ddeiliadaeth (Cymru)</a:t>
          </a:r>
          <a:endParaRPr lang="en-GB"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416983</xdr:colOff>
      <xdr:row>7</xdr:row>
      <xdr:rowOff>27448</xdr:rowOff>
    </xdr:from>
    <xdr:to>
      <xdr:col>16</xdr:col>
      <xdr:colOff>214467</xdr:colOff>
      <xdr:row>8</xdr:row>
      <xdr:rowOff>137845</xdr:rowOff>
    </xdr:to>
    <xdr:sp macro="" textlink="">
      <xdr:nvSpPr>
        <xdr:cNvPr id="2" name="Rectangle 1">
          <a:hlinkClick xmlns:r="http://schemas.openxmlformats.org/officeDocument/2006/relationships" r:id="rId1"/>
        </xdr:cNvPr>
        <xdr:cNvSpPr/>
      </xdr:nvSpPr>
      <xdr:spPr>
        <a:xfrm>
          <a:off x="7984066" y="1305008"/>
          <a:ext cx="1634449" cy="669801"/>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CLICIWCH</a:t>
          </a:r>
          <a:r>
            <a:rPr lang="en-GB" sz="1100" baseline="0">
              <a:solidFill>
                <a:sysClr val="windowText" lastClr="000000"/>
              </a:solidFill>
            </a:rPr>
            <a:t> i fynd i </a:t>
          </a:r>
          <a:r>
            <a:rPr lang="en-GB" sz="1100" b="1" baseline="0">
              <a:solidFill>
                <a:sysClr val="windowText" lastClr="000000"/>
              </a:solidFill>
            </a:rPr>
            <a:t>Rhaniad y Ddeiliadaeth (Cymru)</a:t>
          </a:r>
          <a:endParaRPr lang="en-GB" sz="1100">
            <a:solidFill>
              <a:sysClr val="windowText" lastClr="000000"/>
            </a:solidFill>
          </a:endParaRPr>
        </a:p>
      </xdr:txBody>
    </xdr:sp>
    <xdr:clientData/>
  </xdr:twoCellAnchor>
  <xdr:twoCellAnchor>
    <xdr:from>
      <xdr:col>13</xdr:col>
      <xdr:colOff>411105</xdr:colOff>
      <xdr:row>9</xdr:row>
      <xdr:rowOff>46554</xdr:rowOff>
    </xdr:from>
    <xdr:to>
      <xdr:col>16</xdr:col>
      <xdr:colOff>208589</xdr:colOff>
      <xdr:row>11</xdr:row>
      <xdr:rowOff>75582</xdr:rowOff>
    </xdr:to>
    <xdr:sp macro="" textlink="">
      <xdr:nvSpPr>
        <xdr:cNvPr id="3" name="Rectangle 2">
          <a:hlinkClick xmlns:r="http://schemas.openxmlformats.org/officeDocument/2006/relationships" r:id="rId2"/>
        </xdr:cNvPr>
        <xdr:cNvSpPr/>
      </xdr:nvSpPr>
      <xdr:spPr>
        <a:xfrm>
          <a:off x="7978188" y="2064947"/>
          <a:ext cx="1634449" cy="66402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effectLst/>
              <a:latin typeface="+mn-lt"/>
              <a:ea typeface="+mn-ea"/>
              <a:cs typeface="+mn-cs"/>
            </a:rPr>
            <a:t>CLICIWCH</a:t>
          </a:r>
          <a:r>
            <a:rPr lang="en-GB" sz="1100" baseline="0">
              <a:solidFill>
                <a:sysClr val="windowText" lastClr="000000"/>
              </a:solidFill>
              <a:effectLst/>
              <a:latin typeface="+mn-lt"/>
              <a:ea typeface="+mn-ea"/>
              <a:cs typeface="+mn-cs"/>
            </a:rPr>
            <a:t> i fynd i </a:t>
          </a:r>
          <a:r>
            <a:rPr lang="en-GB" sz="1100" b="1" baseline="0">
              <a:solidFill>
                <a:sysClr val="windowText" lastClr="000000"/>
              </a:solidFill>
              <a:effectLst/>
              <a:latin typeface="+mn-lt"/>
              <a:ea typeface="+mn-ea"/>
              <a:cs typeface="+mn-cs"/>
            </a:rPr>
            <a:t>Rhaniad y Ddeiliadaeth (Gogledd)</a:t>
          </a:r>
          <a:endParaRPr lang="en-GB">
            <a:solidFill>
              <a:sysClr val="windowText" lastClr="000000"/>
            </a:solidFill>
            <a:effectLst/>
          </a:endParaRPr>
        </a:p>
      </xdr:txBody>
    </xdr:sp>
    <xdr:clientData/>
  </xdr:twoCellAnchor>
  <xdr:twoCellAnchor>
    <xdr:from>
      <xdr:col>13</xdr:col>
      <xdr:colOff>414182</xdr:colOff>
      <xdr:row>15</xdr:row>
      <xdr:rowOff>138060</xdr:rowOff>
    </xdr:from>
    <xdr:to>
      <xdr:col>16</xdr:col>
      <xdr:colOff>211666</xdr:colOff>
      <xdr:row>16</xdr:row>
      <xdr:rowOff>250471</xdr:rowOff>
    </xdr:to>
    <xdr:sp macro="" textlink="">
      <xdr:nvSpPr>
        <xdr:cNvPr id="5" name="Rectangle 4">
          <a:hlinkClick xmlns:r="http://schemas.openxmlformats.org/officeDocument/2006/relationships" r:id="rId3"/>
        </xdr:cNvPr>
        <xdr:cNvSpPr/>
      </xdr:nvSpPr>
      <xdr:spPr>
        <a:xfrm>
          <a:off x="7921293" y="4244393"/>
          <a:ext cx="1617817" cy="54985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CLICIWCH i fynd i </a:t>
          </a:r>
          <a:r>
            <a:rPr lang="en-GB" sz="1100" b="1">
              <a:solidFill>
                <a:sysClr val="windowText" lastClr="000000"/>
              </a:solidFill>
            </a:rPr>
            <a:t>Rhaniad y Ddeiliadaeth (De-ddwyrain</a:t>
          </a:r>
          <a:r>
            <a:rPr lang="en-GB" sz="1100" b="1" baseline="0">
              <a:solidFill>
                <a:sysClr val="windowText" lastClr="000000"/>
              </a:solidFill>
            </a:rPr>
            <a:t>)</a:t>
          </a:r>
          <a:endParaRPr lang="en-GB" sz="1100">
            <a:solidFill>
              <a:sysClr val="windowText" lastClr="000000"/>
            </a:solidFill>
          </a:endParaRPr>
        </a:p>
      </xdr:txBody>
    </xdr:sp>
    <xdr:clientData/>
  </xdr:twoCellAnchor>
  <xdr:twoCellAnchor>
    <xdr:from>
      <xdr:col>13</xdr:col>
      <xdr:colOff>410633</xdr:colOff>
      <xdr:row>3</xdr:row>
      <xdr:rowOff>134498</xdr:rowOff>
    </xdr:from>
    <xdr:to>
      <xdr:col>16</xdr:col>
      <xdr:colOff>208117</xdr:colOff>
      <xdr:row>6</xdr:row>
      <xdr:rowOff>125455</xdr:rowOff>
    </xdr:to>
    <xdr:sp macro="" textlink="">
      <xdr:nvSpPr>
        <xdr:cNvPr id="6" name="Rectangle 5">
          <a:hlinkClick xmlns:r="http://schemas.openxmlformats.org/officeDocument/2006/relationships" r:id="rId4"/>
        </xdr:cNvPr>
        <xdr:cNvSpPr/>
      </xdr:nvSpPr>
      <xdr:spPr>
        <a:xfrm>
          <a:off x="7977716" y="686343"/>
          <a:ext cx="1634449" cy="53524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effectLst/>
              <a:latin typeface="+mn-lt"/>
              <a:ea typeface="+mn-ea"/>
              <a:cs typeface="+mn-cs"/>
            </a:rPr>
            <a:t>CLICIWCH i fynd i'r </a:t>
          </a:r>
          <a:r>
            <a:rPr lang="en-GB" sz="1100" b="1">
              <a:solidFill>
                <a:sysClr val="windowText" lastClr="000000"/>
              </a:solidFill>
              <a:effectLst/>
              <a:latin typeface="+mn-lt"/>
              <a:ea typeface="+mn-ea"/>
              <a:cs typeface="+mn-cs"/>
            </a:rPr>
            <a:t>Dudalen Flaen</a:t>
          </a:r>
          <a:endParaRPr lang="en-GB">
            <a:solidFill>
              <a:sysClr val="windowText" lastClr="000000"/>
            </a:solidFill>
            <a:effectLst/>
          </a:endParaRPr>
        </a:p>
      </xdr:txBody>
    </xdr:sp>
    <xdr:clientData/>
  </xdr:twoCellAnchor>
  <xdr:twoCellAnchor>
    <xdr:from>
      <xdr:col>13</xdr:col>
      <xdr:colOff>409223</xdr:colOff>
      <xdr:row>11</xdr:row>
      <xdr:rowOff>178395</xdr:rowOff>
    </xdr:from>
    <xdr:to>
      <xdr:col>16</xdr:col>
      <xdr:colOff>212623</xdr:colOff>
      <xdr:row>13</xdr:row>
      <xdr:rowOff>453562</xdr:rowOff>
    </xdr:to>
    <xdr:sp macro="" textlink="">
      <xdr:nvSpPr>
        <xdr:cNvPr id="8" name="Rectangle 7">
          <a:hlinkClick xmlns:r="http://schemas.openxmlformats.org/officeDocument/2006/relationships" r:id="rId5"/>
        </xdr:cNvPr>
        <xdr:cNvSpPr/>
      </xdr:nvSpPr>
      <xdr:spPr>
        <a:xfrm>
          <a:off x="7976306" y="2831788"/>
          <a:ext cx="1640365" cy="638024"/>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CLICIWCH</a:t>
          </a:r>
          <a:r>
            <a:rPr lang="en-GB" sz="1100" baseline="0">
              <a:solidFill>
                <a:sysClr val="windowText" lastClr="000000"/>
              </a:solidFill>
            </a:rPr>
            <a:t> i fynd i </a:t>
          </a:r>
          <a:r>
            <a:rPr lang="en-GB" sz="1100" b="1" baseline="0">
              <a:solidFill>
                <a:sysClr val="windowText" lastClr="000000"/>
              </a:solidFill>
            </a:rPr>
            <a:t>Rhaniad y Ddeiliadaeth (Canolbarth)</a:t>
          </a:r>
          <a:endParaRPr lang="en-GB" sz="1100">
            <a:solidFill>
              <a:sysClr val="windowText" lastClr="000000"/>
            </a:solidFill>
          </a:endParaRPr>
        </a:p>
      </xdr:txBody>
    </xdr:sp>
    <xdr:clientData/>
  </xdr:twoCellAnchor>
  <xdr:twoCellAnchor>
    <xdr:from>
      <xdr:col>13</xdr:col>
      <xdr:colOff>423333</xdr:colOff>
      <xdr:row>13</xdr:row>
      <xdr:rowOff>538238</xdr:rowOff>
    </xdr:from>
    <xdr:to>
      <xdr:col>16</xdr:col>
      <xdr:colOff>226733</xdr:colOff>
      <xdr:row>14</xdr:row>
      <xdr:rowOff>566965</xdr:rowOff>
    </xdr:to>
    <xdr:sp macro="" textlink="">
      <xdr:nvSpPr>
        <xdr:cNvPr id="11" name="Rectangle 10">
          <a:hlinkClick xmlns:r="http://schemas.openxmlformats.org/officeDocument/2006/relationships" r:id="rId6"/>
        </xdr:cNvPr>
        <xdr:cNvSpPr/>
      </xdr:nvSpPr>
      <xdr:spPr>
        <a:xfrm>
          <a:off x="7990416" y="3554488"/>
          <a:ext cx="1640365" cy="64104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CLICIWCH i fynd i </a:t>
          </a:r>
          <a:r>
            <a:rPr lang="en-GB" sz="1100" b="1">
              <a:solidFill>
                <a:sysClr val="windowText" lastClr="000000"/>
              </a:solidFill>
            </a:rPr>
            <a:t>Rhaniad y Ddeiliadaeth (De-orllewin)</a:t>
          </a:r>
          <a:endParaRPr lang="en-GB" sz="1100">
            <a:solidFill>
              <a:sysClr val="windowText" lastClr="000000"/>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161924</xdr:colOff>
      <xdr:row>0</xdr:row>
      <xdr:rowOff>85725</xdr:rowOff>
    </xdr:from>
    <xdr:to>
      <xdr:col>18</xdr:col>
      <xdr:colOff>161925</xdr:colOff>
      <xdr:row>2</xdr:row>
      <xdr:rowOff>148167</xdr:rowOff>
    </xdr:to>
    <xdr:sp macro="" textlink="">
      <xdr:nvSpPr>
        <xdr:cNvPr id="2" name="Rectangle 1">
          <a:hlinkClick xmlns:r="http://schemas.openxmlformats.org/officeDocument/2006/relationships" r:id="rId1"/>
        </xdr:cNvPr>
        <xdr:cNvSpPr/>
      </xdr:nvSpPr>
      <xdr:spPr>
        <a:xfrm>
          <a:off x="11068049" y="85725"/>
          <a:ext cx="1828801" cy="519642"/>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Rhaniad y Ddeiliadaeth (Gogledd)</a:t>
          </a:r>
          <a:endParaRPr lang="en-GB" sz="1100">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15</xdr:col>
      <xdr:colOff>180974</xdr:colOff>
      <xdr:row>0</xdr:row>
      <xdr:rowOff>76200</xdr:rowOff>
    </xdr:from>
    <xdr:to>
      <xdr:col>18</xdr:col>
      <xdr:colOff>228599</xdr:colOff>
      <xdr:row>2</xdr:row>
      <xdr:rowOff>85725</xdr:rowOff>
    </xdr:to>
    <xdr:sp macro="" textlink="">
      <xdr:nvSpPr>
        <xdr:cNvPr id="2" name="Rectangle 1">
          <a:hlinkClick xmlns:r="http://schemas.openxmlformats.org/officeDocument/2006/relationships" r:id="rId1"/>
        </xdr:cNvPr>
        <xdr:cNvSpPr/>
      </xdr:nvSpPr>
      <xdr:spPr>
        <a:xfrm>
          <a:off x="11696699" y="76200"/>
          <a:ext cx="1876425" cy="46672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a:t>
          </a:r>
          <a:r>
            <a:rPr lang="en-GB" sz="1100" baseline="0">
              <a:solidFill>
                <a:sysClr val="windowText" lastClr="000000"/>
              </a:solidFill>
            </a:rPr>
            <a:t> fynd i </a:t>
          </a:r>
          <a:r>
            <a:rPr lang="en-GB" sz="1100" b="1" baseline="0">
              <a:solidFill>
                <a:sysClr val="windowText" lastClr="000000"/>
              </a:solidFill>
            </a:rPr>
            <a:t>Rhaniad y Ddeiliadaeth (Canolbarth)</a:t>
          </a:r>
          <a:endParaRPr lang="en-GB" sz="1100">
            <a:solidFill>
              <a:sysClr val="windowText" lastClr="00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15</xdr:col>
      <xdr:colOff>180974</xdr:colOff>
      <xdr:row>0</xdr:row>
      <xdr:rowOff>76200</xdr:rowOff>
    </xdr:from>
    <xdr:to>
      <xdr:col>18</xdr:col>
      <xdr:colOff>228599</xdr:colOff>
      <xdr:row>2</xdr:row>
      <xdr:rowOff>85725</xdr:rowOff>
    </xdr:to>
    <xdr:sp macro="" textlink="">
      <xdr:nvSpPr>
        <xdr:cNvPr id="2" name="Rectangle 1">
          <a:hlinkClick xmlns:r="http://schemas.openxmlformats.org/officeDocument/2006/relationships" r:id="rId1"/>
        </xdr:cNvPr>
        <xdr:cNvSpPr/>
      </xdr:nvSpPr>
      <xdr:spPr>
        <a:xfrm>
          <a:off x="11087099" y="76200"/>
          <a:ext cx="1876425" cy="46672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Rhaniad y Ddeiliadaeth (De-orllewin)</a:t>
          </a:r>
          <a:endParaRPr lang="en-GB" sz="1100">
            <a:solidFill>
              <a:sysClr val="windowText" lastClr="0000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15</xdr:col>
      <xdr:colOff>123825</xdr:colOff>
      <xdr:row>0</xdr:row>
      <xdr:rowOff>76200</xdr:rowOff>
    </xdr:from>
    <xdr:to>
      <xdr:col>17</xdr:col>
      <xdr:colOff>500591</xdr:colOff>
      <xdr:row>3</xdr:row>
      <xdr:rowOff>50800</xdr:rowOff>
    </xdr:to>
    <xdr:sp macro="" textlink="">
      <xdr:nvSpPr>
        <xdr:cNvPr id="2" name="Rectangle 1">
          <a:hlinkClick xmlns:r="http://schemas.openxmlformats.org/officeDocument/2006/relationships" r:id="rId1"/>
        </xdr:cNvPr>
        <xdr:cNvSpPr/>
      </xdr:nvSpPr>
      <xdr:spPr>
        <a:xfrm>
          <a:off x="12290425" y="76200"/>
          <a:ext cx="1659466" cy="60960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Rhaniad y Ddeiliadaeth (De-ddwyrain)</a:t>
          </a:r>
          <a:endParaRPr lang="en-GB" sz="1100">
            <a:solidFill>
              <a:sysClr val="windowText" lastClr="00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347382</xdr:colOff>
      <xdr:row>10</xdr:row>
      <xdr:rowOff>67235</xdr:rowOff>
    </xdr:from>
    <xdr:to>
      <xdr:col>15</xdr:col>
      <xdr:colOff>155762</xdr:colOff>
      <xdr:row>13</xdr:row>
      <xdr:rowOff>158750</xdr:rowOff>
    </xdr:to>
    <xdr:sp macro="" textlink="">
      <xdr:nvSpPr>
        <xdr:cNvPr id="4" name="Rectangle 3">
          <a:hlinkClick xmlns:r="http://schemas.openxmlformats.org/officeDocument/2006/relationships" r:id="rId1"/>
        </xdr:cNvPr>
        <xdr:cNvSpPr/>
      </xdr:nvSpPr>
      <xdr:spPr>
        <a:xfrm>
          <a:off x="7666593" y="1905393"/>
          <a:ext cx="1638182" cy="642962"/>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CLICIWCH i fynd i </a:t>
          </a:r>
          <a:r>
            <a:rPr lang="en-GB" sz="1100" b="1">
              <a:solidFill>
                <a:sysClr val="windowText" lastClr="000000"/>
              </a:solidFill>
            </a:rPr>
            <a:t>Rhaniad y Ddeiliadaeth (Gogledd)</a:t>
          </a:r>
          <a:endParaRPr lang="en-GB" sz="1100">
            <a:solidFill>
              <a:sysClr val="windowText" lastClr="000000"/>
            </a:solidFill>
          </a:endParaRPr>
        </a:p>
      </xdr:txBody>
    </xdr:sp>
    <xdr:clientData/>
  </xdr:twoCellAnchor>
  <xdr:twoCellAnchor>
    <xdr:from>
      <xdr:col>12</xdr:col>
      <xdr:colOff>383241</xdr:colOff>
      <xdr:row>22</xdr:row>
      <xdr:rowOff>103092</xdr:rowOff>
    </xdr:from>
    <xdr:to>
      <xdr:col>15</xdr:col>
      <xdr:colOff>191621</xdr:colOff>
      <xdr:row>25</xdr:row>
      <xdr:rowOff>135215</xdr:rowOff>
    </xdr:to>
    <xdr:sp macro="" textlink="">
      <xdr:nvSpPr>
        <xdr:cNvPr id="6" name="Rectangle 5">
          <a:hlinkClick xmlns:r="http://schemas.openxmlformats.org/officeDocument/2006/relationships" r:id="rId2"/>
        </xdr:cNvPr>
        <xdr:cNvSpPr/>
      </xdr:nvSpPr>
      <xdr:spPr>
        <a:xfrm>
          <a:off x="7734300" y="4211916"/>
          <a:ext cx="1646145" cy="592417"/>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CLICIWCH i fynd i </a:t>
          </a:r>
          <a:r>
            <a:rPr lang="en-GB" sz="1100" b="1">
              <a:solidFill>
                <a:sysClr val="windowText" lastClr="000000"/>
              </a:solidFill>
            </a:rPr>
            <a:t>Rhaniad y Ddeiliadaeth (De-ddwyrain</a:t>
          </a:r>
          <a:r>
            <a:rPr lang="en-GB" sz="1100" b="1" baseline="0">
              <a:solidFill>
                <a:sysClr val="windowText" lastClr="000000"/>
              </a:solidFill>
            </a:rPr>
            <a:t>)</a:t>
          </a:r>
          <a:endParaRPr lang="en-GB" sz="1100">
            <a:solidFill>
              <a:sysClr val="windowText" lastClr="000000"/>
            </a:solidFill>
          </a:endParaRPr>
        </a:p>
      </xdr:txBody>
    </xdr:sp>
    <xdr:clientData/>
  </xdr:twoCellAnchor>
  <xdr:twoCellAnchor>
    <xdr:from>
      <xdr:col>12</xdr:col>
      <xdr:colOff>345140</xdr:colOff>
      <xdr:row>3</xdr:row>
      <xdr:rowOff>8964</xdr:rowOff>
    </xdr:from>
    <xdr:to>
      <xdr:col>15</xdr:col>
      <xdr:colOff>153520</xdr:colOff>
      <xdr:row>6</xdr:row>
      <xdr:rowOff>44822</xdr:rowOff>
    </xdr:to>
    <xdr:sp macro="" textlink="">
      <xdr:nvSpPr>
        <xdr:cNvPr id="7" name="Rectangle 6">
          <a:hlinkClick xmlns:r="http://schemas.openxmlformats.org/officeDocument/2006/relationships" r:id="rId3"/>
        </xdr:cNvPr>
        <xdr:cNvSpPr/>
      </xdr:nvSpPr>
      <xdr:spPr>
        <a:xfrm>
          <a:off x="7606552" y="770964"/>
          <a:ext cx="1623733" cy="60735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ysClr val="windowText" lastClr="000000"/>
              </a:solidFill>
              <a:effectLst/>
              <a:latin typeface="+mn-lt"/>
              <a:ea typeface="+mn-ea"/>
              <a:cs typeface="+mn-cs"/>
            </a:rPr>
            <a:t>CLICIWCH</a:t>
          </a:r>
          <a:r>
            <a:rPr lang="en-GB" sz="1100" baseline="0">
              <a:solidFill>
                <a:sysClr val="windowText" lastClr="000000"/>
              </a:solidFill>
              <a:effectLst/>
              <a:latin typeface="+mn-lt"/>
              <a:ea typeface="+mn-ea"/>
              <a:cs typeface="+mn-cs"/>
            </a:rPr>
            <a:t> i fynd i'r </a:t>
          </a:r>
          <a:r>
            <a:rPr lang="en-GB" sz="1100" b="1" baseline="0">
              <a:solidFill>
                <a:sysClr val="windowText" lastClr="000000"/>
              </a:solidFill>
              <a:effectLst/>
              <a:latin typeface="+mn-lt"/>
              <a:ea typeface="+mn-ea"/>
              <a:cs typeface="+mn-cs"/>
            </a:rPr>
            <a:t>Dudalen Flaen</a:t>
          </a:r>
          <a:endParaRPr lang="en-GB">
            <a:solidFill>
              <a:sysClr val="windowText" lastClr="000000"/>
            </a:solidFill>
            <a:effectLst/>
          </a:endParaRPr>
        </a:p>
        <a:p>
          <a:pPr algn="ctr"/>
          <a:endParaRPr lang="en-GB" sz="1100">
            <a:solidFill>
              <a:sysClr val="windowText" lastClr="000000"/>
            </a:solidFill>
          </a:endParaRPr>
        </a:p>
      </xdr:txBody>
    </xdr:sp>
    <xdr:clientData/>
  </xdr:twoCellAnchor>
  <xdr:twoCellAnchor>
    <xdr:from>
      <xdr:col>12</xdr:col>
      <xdr:colOff>351863</xdr:colOff>
      <xdr:row>6</xdr:row>
      <xdr:rowOff>138952</xdr:rowOff>
    </xdr:from>
    <xdr:to>
      <xdr:col>15</xdr:col>
      <xdr:colOff>160243</xdr:colOff>
      <xdr:row>9</xdr:row>
      <xdr:rowOff>174810</xdr:rowOff>
    </xdr:to>
    <xdr:sp macro="" textlink="">
      <xdr:nvSpPr>
        <xdr:cNvPr id="8" name="Rectangle 7">
          <a:hlinkClick xmlns:r="http://schemas.openxmlformats.org/officeDocument/2006/relationships" r:id="rId4"/>
        </xdr:cNvPr>
        <xdr:cNvSpPr/>
      </xdr:nvSpPr>
      <xdr:spPr>
        <a:xfrm>
          <a:off x="7613275" y="1472452"/>
          <a:ext cx="1623733" cy="60735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CLICIWCH i fynd i </a:t>
          </a:r>
          <a:r>
            <a:rPr lang="en-GB" sz="1100" b="1">
              <a:solidFill>
                <a:sysClr val="windowText" lastClr="000000"/>
              </a:solidFill>
            </a:rPr>
            <a:t>Canllawiau ar Newidynnau</a:t>
          </a:r>
          <a:endParaRPr lang="en-GB" sz="1100">
            <a:solidFill>
              <a:sysClr val="windowText" lastClr="000000"/>
            </a:solidFill>
          </a:endParaRPr>
        </a:p>
      </xdr:txBody>
    </xdr:sp>
    <xdr:clientData/>
  </xdr:twoCellAnchor>
  <xdr:twoCellAnchor>
    <xdr:from>
      <xdr:col>12</xdr:col>
      <xdr:colOff>373528</xdr:colOff>
      <xdr:row>14</xdr:row>
      <xdr:rowOff>67237</xdr:rowOff>
    </xdr:from>
    <xdr:to>
      <xdr:col>15</xdr:col>
      <xdr:colOff>171822</xdr:colOff>
      <xdr:row>17</xdr:row>
      <xdr:rowOff>123508</xdr:rowOff>
    </xdr:to>
    <xdr:sp macro="" textlink="">
      <xdr:nvSpPr>
        <xdr:cNvPr id="11" name="Rectangle 10">
          <a:hlinkClick xmlns:r="http://schemas.openxmlformats.org/officeDocument/2006/relationships" r:id="rId5"/>
        </xdr:cNvPr>
        <xdr:cNvSpPr/>
      </xdr:nvSpPr>
      <xdr:spPr>
        <a:xfrm>
          <a:off x="7724587" y="2681943"/>
          <a:ext cx="1636059" cy="61656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CLICIWCH i fynd i </a:t>
          </a:r>
          <a:r>
            <a:rPr lang="en-GB" sz="1050" b="1">
              <a:solidFill>
                <a:sysClr val="windowText" lastClr="000000"/>
              </a:solidFill>
            </a:rPr>
            <a:t>Rhaniad y Ddeiliadaeth (Canolbarth)</a:t>
          </a:r>
          <a:endParaRPr lang="en-GB" sz="1050">
            <a:solidFill>
              <a:sysClr val="windowText" lastClr="000000"/>
            </a:solidFill>
          </a:endParaRPr>
        </a:p>
      </xdr:txBody>
    </xdr:sp>
    <xdr:clientData/>
  </xdr:twoCellAnchor>
  <xdr:twoCellAnchor>
    <xdr:from>
      <xdr:col>12</xdr:col>
      <xdr:colOff>380999</xdr:colOff>
      <xdr:row>18</xdr:row>
      <xdr:rowOff>89646</xdr:rowOff>
    </xdr:from>
    <xdr:to>
      <xdr:col>15</xdr:col>
      <xdr:colOff>179293</xdr:colOff>
      <xdr:row>21</xdr:row>
      <xdr:rowOff>145917</xdr:rowOff>
    </xdr:to>
    <xdr:sp macro="" textlink="">
      <xdr:nvSpPr>
        <xdr:cNvPr id="12" name="Rectangle 11">
          <a:hlinkClick xmlns:r="http://schemas.openxmlformats.org/officeDocument/2006/relationships" r:id="rId6"/>
        </xdr:cNvPr>
        <xdr:cNvSpPr/>
      </xdr:nvSpPr>
      <xdr:spPr>
        <a:xfrm>
          <a:off x="7732058" y="3451411"/>
          <a:ext cx="1636059" cy="61656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CLICIWCH i fynd i </a:t>
          </a:r>
          <a:r>
            <a:rPr lang="en-GB" sz="1050" b="1">
              <a:solidFill>
                <a:sysClr val="windowText" lastClr="000000"/>
              </a:solidFill>
            </a:rPr>
            <a:t>Rhaniad y Ddeiliadaeth (De-orllewin)</a:t>
          </a:r>
          <a:endParaRPr lang="en-GB" sz="1050">
            <a:solidFill>
              <a:sysClr val="windowText" lastClr="000000"/>
            </a:solidFill>
          </a:endParaRPr>
        </a:p>
      </xdr:txBody>
    </xdr:sp>
    <xdr:clientData/>
  </xdr:twoCellAnchor>
  <xdr:twoCellAnchor editAs="oneCell">
    <xdr:from>
      <xdr:col>0</xdr:col>
      <xdr:colOff>0</xdr:colOff>
      <xdr:row>4</xdr:row>
      <xdr:rowOff>24261</xdr:rowOff>
    </xdr:from>
    <xdr:to>
      <xdr:col>11</xdr:col>
      <xdr:colOff>472733</xdr:colOff>
      <xdr:row>48</xdr:row>
      <xdr:rowOff>71697</xdr:rowOff>
    </xdr:to>
    <xdr:pic>
      <xdr:nvPicPr>
        <xdr:cNvPr id="3" name="Picture 2"/>
        <xdr:cNvPicPr>
          <a:picLocks noChangeAspect="1"/>
        </xdr:cNvPicPr>
      </xdr:nvPicPr>
      <xdr:blipFill>
        <a:blip xmlns:r="http://schemas.openxmlformats.org/officeDocument/2006/relationships" r:embed="rId7"/>
        <a:stretch>
          <a:fillRect/>
        </a:stretch>
      </xdr:blipFill>
      <xdr:spPr>
        <a:xfrm>
          <a:off x="0" y="760493"/>
          <a:ext cx="7154037" cy="8719328"/>
        </a:xfrm>
        <a:prstGeom prst="rect">
          <a:avLst/>
        </a:prstGeom>
      </xdr:spPr>
    </xdr:pic>
    <xdr:clientData/>
  </xdr:twoCellAnchor>
  <xdr:twoCellAnchor>
    <xdr:from>
      <xdr:col>0</xdr:col>
      <xdr:colOff>0</xdr:colOff>
      <xdr:row>0</xdr:row>
      <xdr:rowOff>0</xdr:rowOff>
    </xdr:from>
    <xdr:to>
      <xdr:col>6</xdr:col>
      <xdr:colOff>84666</xdr:colOff>
      <xdr:row>5</xdr:row>
      <xdr:rowOff>42333</xdr:rowOff>
    </xdr:to>
    <xdr:pic>
      <xdr:nvPicPr>
        <xdr:cNvPr id="14" name="Picture 13" descr="Map o Gymru sy'n amlinellu ffiniau'r tri rhanbarth economaidd; y gogledd, y canolbarth a'r de-orllewin, a'r de-ddwyrain."/>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40953" b="88963"/>
        <a:stretch/>
      </xdr:blipFill>
      <xdr:spPr bwMode="auto">
        <a:xfrm>
          <a:off x="0" y="0"/>
          <a:ext cx="3767666" cy="994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4651561</xdr:colOff>
      <xdr:row>1</xdr:row>
      <xdr:rowOff>0</xdr:rowOff>
    </xdr:from>
    <xdr:to>
      <xdr:col>5</xdr:col>
      <xdr:colOff>1333499</xdr:colOff>
      <xdr:row>4</xdr:row>
      <xdr:rowOff>100852</xdr:rowOff>
    </xdr:to>
    <xdr:sp macro="" textlink="">
      <xdr:nvSpPr>
        <xdr:cNvPr id="2" name="Rectangle 1">
          <a:hlinkClick xmlns:r="http://schemas.openxmlformats.org/officeDocument/2006/relationships" r:id="rId1"/>
        </xdr:cNvPr>
        <xdr:cNvSpPr/>
      </xdr:nvSpPr>
      <xdr:spPr>
        <a:xfrm>
          <a:off x="12280632" y="290286"/>
          <a:ext cx="1861724" cy="645137"/>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CLICIWCH i fynd i </a:t>
          </a:r>
          <a:r>
            <a:rPr lang="en-GB" sz="1100" b="1">
              <a:solidFill>
                <a:sysClr val="windowText" lastClr="000000"/>
              </a:solidFill>
            </a:rPr>
            <a:t>Rhaniad y Ddeiliadaeth (Cymru)</a:t>
          </a:r>
          <a:endParaRPr lang="en-GB" sz="1100">
            <a:solidFill>
              <a:sysClr val="windowText" lastClr="000000"/>
            </a:solidFill>
          </a:endParaRPr>
        </a:p>
      </xdr:txBody>
    </xdr:sp>
    <xdr:clientData/>
  </xdr:twoCellAnchor>
  <xdr:twoCellAnchor>
    <xdr:from>
      <xdr:col>5</xdr:col>
      <xdr:colOff>1397373</xdr:colOff>
      <xdr:row>0</xdr:row>
      <xdr:rowOff>281215</xdr:rowOff>
    </xdr:from>
    <xdr:to>
      <xdr:col>5</xdr:col>
      <xdr:colOff>3021106</xdr:colOff>
      <xdr:row>4</xdr:row>
      <xdr:rowOff>96372</xdr:rowOff>
    </xdr:to>
    <xdr:sp macro="" textlink="">
      <xdr:nvSpPr>
        <xdr:cNvPr id="4" name="Rectangle 3">
          <a:hlinkClick xmlns:r="http://schemas.openxmlformats.org/officeDocument/2006/relationships" r:id="rId2"/>
        </xdr:cNvPr>
        <xdr:cNvSpPr/>
      </xdr:nvSpPr>
      <xdr:spPr>
        <a:xfrm>
          <a:off x="14206230" y="281215"/>
          <a:ext cx="1623733" cy="64972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CLICIWCH i fynd</a:t>
          </a:r>
          <a:r>
            <a:rPr lang="en-GB" sz="1100" baseline="0">
              <a:solidFill>
                <a:sysClr val="windowText" lastClr="000000"/>
              </a:solidFill>
            </a:rPr>
            <a:t> i </a:t>
          </a:r>
          <a:r>
            <a:rPr lang="en-GB" sz="1100" b="1" baseline="0">
              <a:solidFill>
                <a:sysClr val="windowText" lastClr="000000"/>
              </a:solidFill>
            </a:rPr>
            <a:t>Rhaniad y Ddeiliadaeth (Gogledd)</a:t>
          </a:r>
          <a:endParaRPr lang="en-GB" sz="1100">
            <a:solidFill>
              <a:sysClr val="windowText" lastClr="000000"/>
            </a:solidFill>
          </a:endParaRPr>
        </a:p>
      </xdr:txBody>
    </xdr:sp>
    <xdr:clientData/>
  </xdr:twoCellAnchor>
  <xdr:twoCellAnchor>
    <xdr:from>
      <xdr:col>6</xdr:col>
      <xdr:colOff>2431622</xdr:colOff>
      <xdr:row>0</xdr:row>
      <xdr:rowOff>281214</xdr:rowOff>
    </xdr:from>
    <xdr:to>
      <xdr:col>6</xdr:col>
      <xdr:colOff>4055355</xdr:colOff>
      <xdr:row>4</xdr:row>
      <xdr:rowOff>80468</xdr:rowOff>
    </xdr:to>
    <xdr:sp macro="" textlink="">
      <xdr:nvSpPr>
        <xdr:cNvPr id="6" name="Rectangle 5">
          <a:hlinkClick xmlns:r="http://schemas.openxmlformats.org/officeDocument/2006/relationships" r:id="rId3"/>
        </xdr:cNvPr>
        <xdr:cNvSpPr/>
      </xdr:nvSpPr>
      <xdr:spPr>
        <a:xfrm>
          <a:off x="19594765" y="281214"/>
          <a:ext cx="1623733" cy="63382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CLICIWCH i fynd i </a:t>
          </a:r>
          <a:r>
            <a:rPr lang="en-GB" sz="1100" b="1">
              <a:solidFill>
                <a:sysClr val="windowText" lastClr="000000"/>
              </a:solidFill>
            </a:rPr>
            <a:t>Rhaniad y Ddeiliadaeth</a:t>
          </a:r>
          <a:r>
            <a:rPr lang="en-GB" sz="1100" b="1" baseline="0">
              <a:solidFill>
                <a:sysClr val="windowText" lastClr="000000"/>
              </a:solidFill>
            </a:rPr>
            <a:t> (De-ddwyrain)</a:t>
          </a:r>
          <a:endParaRPr lang="en-GB" sz="1100">
            <a:solidFill>
              <a:sysClr val="windowText" lastClr="000000"/>
            </a:solidFill>
          </a:endParaRPr>
        </a:p>
      </xdr:txBody>
    </xdr:sp>
    <xdr:clientData/>
  </xdr:twoCellAnchor>
  <xdr:twoCellAnchor>
    <xdr:from>
      <xdr:col>7</xdr:col>
      <xdr:colOff>157149</xdr:colOff>
      <xdr:row>0</xdr:row>
      <xdr:rowOff>281215</xdr:rowOff>
    </xdr:from>
    <xdr:to>
      <xdr:col>7</xdr:col>
      <xdr:colOff>1961243</xdr:colOff>
      <xdr:row>4</xdr:row>
      <xdr:rowOff>87192</xdr:rowOff>
    </xdr:to>
    <xdr:sp macro="" textlink="">
      <xdr:nvSpPr>
        <xdr:cNvPr id="7" name="Rectangle 6">
          <a:hlinkClick xmlns:r="http://schemas.openxmlformats.org/officeDocument/2006/relationships" r:id="rId4"/>
        </xdr:cNvPr>
        <xdr:cNvSpPr/>
      </xdr:nvSpPr>
      <xdr:spPr>
        <a:xfrm>
          <a:off x="21411506" y="281215"/>
          <a:ext cx="1804094" cy="64054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CLICIWCH i fynd i </a:t>
          </a:r>
          <a:r>
            <a:rPr lang="en-GB" sz="1100" b="1">
              <a:solidFill>
                <a:sysClr val="windowText" lastClr="000000"/>
              </a:solidFill>
            </a:rPr>
            <a:t>Map Rhanbarthol</a:t>
          </a:r>
          <a:endParaRPr lang="en-GB" sz="1100">
            <a:solidFill>
              <a:sysClr val="windowText" lastClr="000000"/>
            </a:solidFill>
          </a:endParaRPr>
        </a:p>
      </xdr:txBody>
    </xdr:sp>
    <xdr:clientData/>
  </xdr:twoCellAnchor>
  <xdr:twoCellAnchor>
    <xdr:from>
      <xdr:col>5</xdr:col>
      <xdr:colOff>3165929</xdr:colOff>
      <xdr:row>1</xdr:row>
      <xdr:rowOff>0</xdr:rowOff>
    </xdr:from>
    <xdr:to>
      <xdr:col>6</xdr:col>
      <xdr:colOff>435376</xdr:colOff>
      <xdr:row>4</xdr:row>
      <xdr:rowOff>108428</xdr:rowOff>
    </xdr:to>
    <xdr:sp macro="" textlink="">
      <xdr:nvSpPr>
        <xdr:cNvPr id="11" name="Rectangle 10">
          <a:hlinkClick xmlns:r="http://schemas.openxmlformats.org/officeDocument/2006/relationships" r:id="rId5"/>
        </xdr:cNvPr>
        <xdr:cNvSpPr/>
      </xdr:nvSpPr>
      <xdr:spPr>
        <a:xfrm>
          <a:off x="15974786" y="290286"/>
          <a:ext cx="1623733" cy="65271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CLICIWCH i fynd i </a:t>
          </a:r>
          <a:r>
            <a:rPr lang="en-GB" sz="1100" b="1">
              <a:solidFill>
                <a:sysClr val="windowText" lastClr="000000"/>
              </a:solidFill>
            </a:rPr>
            <a:t>Rhaniad y Ddeiliadaeth (Canolbarth)</a:t>
          </a:r>
          <a:endParaRPr lang="en-GB" sz="1100">
            <a:solidFill>
              <a:sysClr val="windowText" lastClr="000000"/>
            </a:solidFill>
          </a:endParaRPr>
        </a:p>
      </xdr:txBody>
    </xdr:sp>
    <xdr:clientData/>
  </xdr:twoCellAnchor>
  <xdr:twoCellAnchor>
    <xdr:from>
      <xdr:col>6</xdr:col>
      <xdr:colOff>578757</xdr:colOff>
      <xdr:row>0</xdr:row>
      <xdr:rowOff>281214</xdr:rowOff>
    </xdr:from>
    <xdr:to>
      <xdr:col>6</xdr:col>
      <xdr:colOff>2202490</xdr:colOff>
      <xdr:row>4</xdr:row>
      <xdr:rowOff>88472</xdr:rowOff>
    </xdr:to>
    <xdr:sp macro="" textlink="">
      <xdr:nvSpPr>
        <xdr:cNvPr id="12" name="Rectangle 11">
          <a:hlinkClick xmlns:r="http://schemas.openxmlformats.org/officeDocument/2006/relationships" r:id="rId6"/>
        </xdr:cNvPr>
        <xdr:cNvSpPr/>
      </xdr:nvSpPr>
      <xdr:spPr>
        <a:xfrm>
          <a:off x="17741900" y="281214"/>
          <a:ext cx="1623733" cy="641829"/>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CLICIWCH i fynd i </a:t>
          </a:r>
          <a:r>
            <a:rPr lang="en-GB" sz="1100" b="1">
              <a:solidFill>
                <a:sysClr val="windowText" lastClr="000000"/>
              </a:solidFill>
            </a:rPr>
            <a:t>Rhaniad y Ddeiliadaeth (De-orllewin</a:t>
          </a:r>
          <a:r>
            <a:rPr lang="en-GB" sz="1100" b="1" baseline="0">
              <a:solidFill>
                <a:sysClr val="windowText" lastClr="000000"/>
              </a:solidFill>
            </a:rPr>
            <a:t>)</a:t>
          </a:r>
          <a:endParaRPr lang="en-GB"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236764</xdr:colOff>
      <xdr:row>69</xdr:row>
      <xdr:rowOff>151718</xdr:rowOff>
    </xdr:from>
    <xdr:to>
      <xdr:col>5</xdr:col>
      <xdr:colOff>497417</xdr:colOff>
      <xdr:row>87</xdr:row>
      <xdr:rowOff>156482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640781</xdr:colOff>
      <xdr:row>69</xdr:row>
      <xdr:rowOff>145175</xdr:rowOff>
    </xdr:from>
    <xdr:to>
      <xdr:col>10</xdr:col>
      <xdr:colOff>113882</xdr:colOff>
      <xdr:row>87</xdr:row>
      <xdr:rowOff>146298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11</xdr:col>
      <xdr:colOff>825499</xdr:colOff>
      <xdr:row>12</xdr:row>
      <xdr:rowOff>197552</xdr:rowOff>
    </xdr:from>
    <xdr:to>
      <xdr:col>13</xdr:col>
      <xdr:colOff>677333</xdr:colOff>
      <xdr:row>14</xdr:row>
      <xdr:rowOff>21163</xdr:rowOff>
    </xdr:to>
    <xdr:sp macro="" textlink="">
      <xdr:nvSpPr>
        <xdr:cNvPr id="4" name="Rectangle 3">
          <a:hlinkClick xmlns:r="http://schemas.openxmlformats.org/officeDocument/2006/relationships" r:id="rId3"/>
        </xdr:cNvPr>
        <xdr:cNvSpPr/>
      </xdr:nvSpPr>
      <xdr:spPr>
        <a:xfrm>
          <a:off x="13913555" y="3167941"/>
          <a:ext cx="1672167" cy="500944"/>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Rhagolygon y Dyfodol</a:t>
          </a:r>
          <a:endParaRPr lang="en-GB" sz="1100">
            <a:solidFill>
              <a:sysClr val="windowText" lastClr="000000"/>
            </a:solidFill>
          </a:endParaRPr>
        </a:p>
      </xdr:txBody>
    </xdr:sp>
    <xdr:clientData/>
  </xdr:twoCellAnchor>
  <xdr:twoCellAnchor>
    <xdr:from>
      <xdr:col>11</xdr:col>
      <xdr:colOff>825499</xdr:colOff>
      <xdr:row>4</xdr:row>
      <xdr:rowOff>52915</xdr:rowOff>
    </xdr:from>
    <xdr:to>
      <xdr:col>13</xdr:col>
      <xdr:colOff>677333</xdr:colOff>
      <xdr:row>7</xdr:row>
      <xdr:rowOff>0</xdr:rowOff>
    </xdr:to>
    <xdr:sp macro="" textlink="">
      <xdr:nvSpPr>
        <xdr:cNvPr id="6" name="Rectangle 5">
          <a:hlinkClick xmlns:r="http://schemas.openxmlformats.org/officeDocument/2006/relationships" r:id="rId4"/>
        </xdr:cNvPr>
        <xdr:cNvSpPr/>
      </xdr:nvSpPr>
      <xdr:spPr>
        <a:xfrm>
          <a:off x="13913555" y="1280582"/>
          <a:ext cx="1672167" cy="638529"/>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Amcanestyniadau Aelwydydd</a:t>
          </a:r>
          <a:endParaRPr lang="en-GB" sz="1100">
            <a:solidFill>
              <a:sysClr val="windowText" lastClr="000000"/>
            </a:solidFill>
          </a:endParaRPr>
        </a:p>
      </xdr:txBody>
    </xdr:sp>
    <xdr:clientData/>
  </xdr:twoCellAnchor>
  <xdr:twoCellAnchor>
    <xdr:from>
      <xdr:col>10</xdr:col>
      <xdr:colOff>24696</xdr:colOff>
      <xdr:row>7</xdr:row>
      <xdr:rowOff>49391</xdr:rowOff>
    </xdr:from>
    <xdr:to>
      <xdr:col>11</xdr:col>
      <xdr:colOff>744362</xdr:colOff>
      <xdr:row>9</xdr:row>
      <xdr:rowOff>275166</xdr:rowOff>
    </xdr:to>
    <xdr:sp macro="" textlink="">
      <xdr:nvSpPr>
        <xdr:cNvPr id="7" name="Rectangle 6">
          <a:hlinkClick xmlns:r="http://schemas.openxmlformats.org/officeDocument/2006/relationships" r:id="rId5"/>
        </xdr:cNvPr>
        <xdr:cNvSpPr/>
      </xdr:nvSpPr>
      <xdr:spPr>
        <a:xfrm>
          <a:off x="12202585" y="1968502"/>
          <a:ext cx="1629833" cy="60677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a:t>
          </a:r>
          <a:r>
            <a:rPr lang="en-GB" sz="1100" baseline="0">
              <a:solidFill>
                <a:sysClr val="windowText" lastClr="000000"/>
              </a:solidFill>
            </a:rPr>
            <a:t> i gynd i </a:t>
          </a:r>
          <a:r>
            <a:rPr lang="en-GB" sz="1100" b="1" baseline="0">
              <a:solidFill>
                <a:sysClr val="windowText" lastClr="000000"/>
              </a:solidFill>
            </a:rPr>
            <a:t>Angen Presennol Nas Diwallwyd</a:t>
          </a:r>
          <a:endParaRPr lang="en-GB" sz="1100">
            <a:solidFill>
              <a:sysClr val="windowText" lastClr="000000"/>
            </a:solidFill>
          </a:endParaRPr>
        </a:p>
      </xdr:txBody>
    </xdr:sp>
    <xdr:clientData/>
  </xdr:twoCellAnchor>
  <xdr:twoCellAnchor>
    <xdr:from>
      <xdr:col>11</xdr:col>
      <xdr:colOff>825500</xdr:colOff>
      <xdr:row>7</xdr:row>
      <xdr:rowOff>45867</xdr:rowOff>
    </xdr:from>
    <xdr:to>
      <xdr:col>13</xdr:col>
      <xdr:colOff>677334</xdr:colOff>
      <xdr:row>9</xdr:row>
      <xdr:rowOff>275167</xdr:rowOff>
    </xdr:to>
    <xdr:sp macro="" textlink="">
      <xdr:nvSpPr>
        <xdr:cNvPr id="8" name="Rectangle 7">
          <a:hlinkClick xmlns:r="http://schemas.openxmlformats.org/officeDocument/2006/relationships" r:id="rId6"/>
        </xdr:cNvPr>
        <xdr:cNvSpPr/>
      </xdr:nvSpPr>
      <xdr:spPr>
        <a:xfrm>
          <a:off x="13913556" y="1964978"/>
          <a:ext cx="1672167" cy="61030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Incwm (Cymru)</a:t>
          </a:r>
        </a:p>
      </xdr:txBody>
    </xdr:sp>
    <xdr:clientData/>
  </xdr:twoCellAnchor>
  <xdr:twoCellAnchor>
    <xdr:from>
      <xdr:col>10</xdr:col>
      <xdr:colOff>21167</xdr:colOff>
      <xdr:row>10</xdr:row>
      <xdr:rowOff>3536</xdr:rowOff>
    </xdr:from>
    <xdr:to>
      <xdr:col>11</xdr:col>
      <xdr:colOff>740833</xdr:colOff>
      <xdr:row>12</xdr:row>
      <xdr:rowOff>155230</xdr:rowOff>
    </xdr:to>
    <xdr:sp macro="" textlink="">
      <xdr:nvSpPr>
        <xdr:cNvPr id="9" name="Rectangle 8">
          <a:hlinkClick xmlns:r="http://schemas.openxmlformats.org/officeDocument/2006/relationships" r:id="rId7"/>
        </xdr:cNvPr>
        <xdr:cNvSpPr/>
      </xdr:nvSpPr>
      <xdr:spPr>
        <a:xfrm>
          <a:off x="12199056" y="2614092"/>
          <a:ext cx="1629833" cy="511527"/>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Prisiau Tai (Cymru)</a:t>
          </a:r>
        </a:p>
      </xdr:txBody>
    </xdr:sp>
    <xdr:clientData/>
  </xdr:twoCellAnchor>
  <xdr:twoCellAnchor>
    <xdr:from>
      <xdr:col>11</xdr:col>
      <xdr:colOff>825500</xdr:colOff>
      <xdr:row>9</xdr:row>
      <xdr:rowOff>306921</xdr:rowOff>
    </xdr:from>
    <xdr:to>
      <xdr:col>13</xdr:col>
      <xdr:colOff>677334</xdr:colOff>
      <xdr:row>12</xdr:row>
      <xdr:rowOff>155222</xdr:rowOff>
    </xdr:to>
    <xdr:sp macro="" textlink="">
      <xdr:nvSpPr>
        <xdr:cNvPr id="10" name="Rectangle 9">
          <a:hlinkClick xmlns:r="http://schemas.openxmlformats.org/officeDocument/2006/relationships" r:id="rId8"/>
        </xdr:cNvPr>
        <xdr:cNvSpPr/>
      </xdr:nvSpPr>
      <xdr:spPr>
        <a:xfrm>
          <a:off x="13913556" y="2607032"/>
          <a:ext cx="1672167" cy="518579"/>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Prisiau Rhenti</a:t>
          </a:r>
        </a:p>
      </xdr:txBody>
    </xdr:sp>
    <xdr:clientData/>
  </xdr:twoCellAnchor>
  <xdr:twoCellAnchor>
    <xdr:from>
      <xdr:col>10</xdr:col>
      <xdr:colOff>31749</xdr:colOff>
      <xdr:row>12</xdr:row>
      <xdr:rowOff>204617</xdr:rowOff>
    </xdr:from>
    <xdr:to>
      <xdr:col>11</xdr:col>
      <xdr:colOff>751415</xdr:colOff>
      <xdr:row>14</xdr:row>
      <xdr:rowOff>17644</xdr:rowOff>
    </xdr:to>
    <xdr:sp macro="" textlink="">
      <xdr:nvSpPr>
        <xdr:cNvPr id="11" name="Rectangle 10">
          <a:hlinkClick xmlns:r="http://schemas.openxmlformats.org/officeDocument/2006/relationships" r:id="rId9"/>
        </xdr:cNvPr>
        <xdr:cNvSpPr/>
      </xdr:nvSpPr>
      <xdr:spPr>
        <a:xfrm>
          <a:off x="12209638" y="3175006"/>
          <a:ext cx="1629833" cy="49036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Rhagdybiaethau Blynyddol</a:t>
          </a:r>
        </a:p>
      </xdr:txBody>
    </xdr:sp>
    <xdr:clientData/>
  </xdr:twoCellAnchor>
  <xdr:twoCellAnchor>
    <xdr:from>
      <xdr:col>10</xdr:col>
      <xdr:colOff>31751</xdr:colOff>
      <xdr:row>4</xdr:row>
      <xdr:rowOff>52916</xdr:rowOff>
    </xdr:from>
    <xdr:to>
      <xdr:col>11</xdr:col>
      <xdr:colOff>751417</xdr:colOff>
      <xdr:row>7</xdr:row>
      <xdr:rowOff>7056</xdr:rowOff>
    </xdr:to>
    <xdr:sp macro="" textlink="">
      <xdr:nvSpPr>
        <xdr:cNvPr id="12" name="Rectangle 11">
          <a:hlinkClick xmlns:r="http://schemas.openxmlformats.org/officeDocument/2006/relationships" r:id="rId10"/>
        </xdr:cNvPr>
        <xdr:cNvSpPr/>
      </xdr:nvSpPr>
      <xdr:spPr>
        <a:xfrm>
          <a:off x="12209640" y="1280583"/>
          <a:ext cx="1629833" cy="645584"/>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weld y </a:t>
          </a:r>
          <a:r>
            <a:rPr lang="en-GB" sz="1100" b="1">
              <a:solidFill>
                <a:sysClr val="windowText" lastClr="000000"/>
              </a:solidFill>
            </a:rPr>
            <a:t>Canllawiau</a:t>
          </a:r>
          <a:r>
            <a:rPr lang="en-GB" sz="1100" b="1" baseline="0">
              <a:solidFill>
                <a:sysClr val="windowText" lastClr="000000"/>
              </a:solidFill>
            </a:rPr>
            <a:t> ar Newidynnau</a:t>
          </a:r>
          <a:endParaRPr lang="en-GB" sz="1100">
            <a:solidFill>
              <a:sysClr val="windowText" lastClr="000000"/>
            </a:solidFill>
          </a:endParaRPr>
        </a:p>
      </xdr:txBody>
    </xdr:sp>
    <xdr:clientData/>
  </xdr:twoCellAnchor>
  <xdr:twoCellAnchor>
    <xdr:from>
      <xdr:col>1</xdr:col>
      <xdr:colOff>21167</xdr:colOff>
      <xdr:row>32</xdr:row>
      <xdr:rowOff>116417</xdr:rowOff>
    </xdr:from>
    <xdr:to>
      <xdr:col>5</xdr:col>
      <xdr:colOff>588737</xdr:colOff>
      <xdr:row>50</xdr:row>
      <xdr:rowOff>121181</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twoCellAnchor>
  <xdr:twoCellAnchor>
    <xdr:from>
      <xdr:col>5</xdr:col>
      <xdr:colOff>719665</xdr:colOff>
      <xdr:row>32</xdr:row>
      <xdr:rowOff>116416</xdr:rowOff>
    </xdr:from>
    <xdr:to>
      <xdr:col>10</xdr:col>
      <xdr:colOff>192766</xdr:colOff>
      <xdr:row>50</xdr:row>
      <xdr:rowOff>117539</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twoCellAnchor>
  <xdr:twoCellAnchor>
    <xdr:from>
      <xdr:col>11</xdr:col>
      <xdr:colOff>0</xdr:colOff>
      <xdr:row>14</xdr:row>
      <xdr:rowOff>98782</xdr:rowOff>
    </xdr:from>
    <xdr:to>
      <xdr:col>12</xdr:col>
      <xdr:colOff>728131</xdr:colOff>
      <xdr:row>16</xdr:row>
      <xdr:rowOff>30344</xdr:rowOff>
    </xdr:to>
    <xdr:sp macro="" textlink="">
      <xdr:nvSpPr>
        <xdr:cNvPr id="18" name="Rectangle 17">
          <a:hlinkClick xmlns:r="http://schemas.openxmlformats.org/officeDocument/2006/relationships" r:id="rId13"/>
        </xdr:cNvPr>
        <xdr:cNvSpPr/>
      </xdr:nvSpPr>
      <xdr:spPr>
        <a:xfrm>
          <a:off x="13088056" y="3746504"/>
          <a:ext cx="1638297" cy="51717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weld </a:t>
          </a:r>
          <a:r>
            <a:rPr lang="en-GB" sz="1100" b="1">
              <a:solidFill>
                <a:sysClr val="windowText" lastClr="000000"/>
              </a:solidFill>
            </a:rPr>
            <a:t>Cyngor ar ddefnyddio'r adnodd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236764</xdr:colOff>
      <xdr:row>69</xdr:row>
      <xdr:rowOff>151718</xdr:rowOff>
    </xdr:from>
    <xdr:to>
      <xdr:col>5</xdr:col>
      <xdr:colOff>497417</xdr:colOff>
      <xdr:row>87</xdr:row>
      <xdr:rowOff>156482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640781</xdr:colOff>
      <xdr:row>69</xdr:row>
      <xdr:rowOff>145175</xdr:rowOff>
    </xdr:from>
    <xdr:to>
      <xdr:col>10</xdr:col>
      <xdr:colOff>113882</xdr:colOff>
      <xdr:row>87</xdr:row>
      <xdr:rowOff>146298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11</xdr:col>
      <xdr:colOff>836083</xdr:colOff>
      <xdr:row>12</xdr:row>
      <xdr:rowOff>266937</xdr:rowOff>
    </xdr:from>
    <xdr:to>
      <xdr:col>13</xdr:col>
      <xdr:colOff>687917</xdr:colOff>
      <xdr:row>14</xdr:row>
      <xdr:rowOff>172470</xdr:rowOff>
    </xdr:to>
    <xdr:sp macro="" textlink="">
      <xdr:nvSpPr>
        <xdr:cNvPr id="4" name="Rectangle 3">
          <a:hlinkClick xmlns:r="http://schemas.openxmlformats.org/officeDocument/2006/relationships" r:id="rId3"/>
        </xdr:cNvPr>
        <xdr:cNvSpPr/>
      </xdr:nvSpPr>
      <xdr:spPr>
        <a:xfrm>
          <a:off x="12579663" y="3222431"/>
          <a:ext cx="1670600" cy="58757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Rhagolygon y Dyfodol</a:t>
          </a:r>
          <a:endParaRPr lang="en-GB" sz="1100">
            <a:solidFill>
              <a:sysClr val="windowText" lastClr="000000"/>
            </a:solidFill>
          </a:endParaRPr>
        </a:p>
      </xdr:txBody>
    </xdr:sp>
    <xdr:clientData/>
  </xdr:twoCellAnchor>
  <xdr:twoCellAnchor>
    <xdr:from>
      <xdr:col>11</xdr:col>
      <xdr:colOff>836082</xdr:colOff>
      <xdr:row>4</xdr:row>
      <xdr:rowOff>52916</xdr:rowOff>
    </xdr:from>
    <xdr:to>
      <xdr:col>13</xdr:col>
      <xdr:colOff>687916</xdr:colOff>
      <xdr:row>6</xdr:row>
      <xdr:rowOff>172469</xdr:rowOff>
    </xdr:to>
    <xdr:sp macro="" textlink="">
      <xdr:nvSpPr>
        <xdr:cNvPr id="5" name="Rectangle 4">
          <a:hlinkClick xmlns:r="http://schemas.openxmlformats.org/officeDocument/2006/relationships" r:id="rId4"/>
        </xdr:cNvPr>
        <xdr:cNvSpPr/>
      </xdr:nvSpPr>
      <xdr:spPr>
        <a:xfrm>
          <a:off x="12579662" y="1268039"/>
          <a:ext cx="1670600" cy="621282"/>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Amcanestyniadau Aelwydydd</a:t>
          </a:r>
          <a:endParaRPr lang="en-GB" sz="1100">
            <a:solidFill>
              <a:sysClr val="windowText" lastClr="000000"/>
            </a:solidFill>
          </a:endParaRPr>
        </a:p>
      </xdr:txBody>
    </xdr:sp>
    <xdr:clientData/>
  </xdr:twoCellAnchor>
  <xdr:twoCellAnchor>
    <xdr:from>
      <xdr:col>10</xdr:col>
      <xdr:colOff>31750</xdr:colOff>
      <xdr:row>7</xdr:row>
      <xdr:rowOff>4705</xdr:rowOff>
    </xdr:from>
    <xdr:to>
      <xdr:col>11</xdr:col>
      <xdr:colOff>751416</xdr:colOff>
      <xdr:row>9</xdr:row>
      <xdr:rowOff>282222</xdr:rowOff>
    </xdr:to>
    <xdr:sp macro="" textlink="">
      <xdr:nvSpPr>
        <xdr:cNvPr id="6" name="Rectangle 5">
          <a:hlinkClick xmlns:r="http://schemas.openxmlformats.org/officeDocument/2006/relationships" r:id="rId5"/>
        </xdr:cNvPr>
        <xdr:cNvSpPr/>
      </xdr:nvSpPr>
      <xdr:spPr>
        <a:xfrm>
          <a:off x="10865948" y="1909705"/>
          <a:ext cx="1629048" cy="65381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Angen Presennol Nas Diwallwyd</a:t>
          </a:r>
          <a:endParaRPr lang="en-GB" sz="1100">
            <a:solidFill>
              <a:sysClr val="windowText" lastClr="000000"/>
            </a:solidFill>
          </a:endParaRPr>
        </a:p>
      </xdr:txBody>
    </xdr:sp>
    <xdr:clientData/>
  </xdr:twoCellAnchor>
  <xdr:twoCellAnchor>
    <xdr:from>
      <xdr:col>11</xdr:col>
      <xdr:colOff>836084</xdr:colOff>
      <xdr:row>7</xdr:row>
      <xdr:rowOff>12546</xdr:rowOff>
    </xdr:from>
    <xdr:to>
      <xdr:col>13</xdr:col>
      <xdr:colOff>687918</xdr:colOff>
      <xdr:row>9</xdr:row>
      <xdr:rowOff>250863</xdr:rowOff>
    </xdr:to>
    <xdr:sp macro="" textlink="">
      <xdr:nvSpPr>
        <xdr:cNvPr id="7" name="Rectangle 6">
          <a:hlinkClick xmlns:r="http://schemas.openxmlformats.org/officeDocument/2006/relationships" r:id="rId6"/>
        </xdr:cNvPr>
        <xdr:cNvSpPr/>
      </xdr:nvSpPr>
      <xdr:spPr>
        <a:xfrm>
          <a:off x="12579664" y="1917546"/>
          <a:ext cx="1670600" cy="61461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Incwm (Gogledd Cymru)</a:t>
          </a:r>
        </a:p>
      </xdr:txBody>
    </xdr:sp>
    <xdr:clientData/>
  </xdr:twoCellAnchor>
  <xdr:twoCellAnchor>
    <xdr:from>
      <xdr:col>10</xdr:col>
      <xdr:colOff>31750</xdr:colOff>
      <xdr:row>9</xdr:row>
      <xdr:rowOff>292420</xdr:rowOff>
    </xdr:from>
    <xdr:to>
      <xdr:col>11</xdr:col>
      <xdr:colOff>751416</xdr:colOff>
      <xdr:row>12</xdr:row>
      <xdr:rowOff>260670</xdr:rowOff>
    </xdr:to>
    <xdr:sp macro="" textlink="">
      <xdr:nvSpPr>
        <xdr:cNvPr id="8" name="Rectangle 7">
          <a:hlinkClick xmlns:r="http://schemas.openxmlformats.org/officeDocument/2006/relationships" r:id="rId7"/>
        </xdr:cNvPr>
        <xdr:cNvSpPr/>
      </xdr:nvSpPr>
      <xdr:spPr>
        <a:xfrm>
          <a:off x="10865948" y="2573716"/>
          <a:ext cx="1629048" cy="64244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Prisiau Tai (Gogledd Cymru)</a:t>
          </a:r>
        </a:p>
      </xdr:txBody>
    </xdr:sp>
    <xdr:clientData/>
  </xdr:twoCellAnchor>
  <xdr:twoCellAnchor>
    <xdr:from>
      <xdr:col>11</xdr:col>
      <xdr:colOff>846667</xdr:colOff>
      <xdr:row>9</xdr:row>
      <xdr:rowOff>268899</xdr:rowOff>
    </xdr:from>
    <xdr:to>
      <xdr:col>13</xdr:col>
      <xdr:colOff>698501</xdr:colOff>
      <xdr:row>12</xdr:row>
      <xdr:rowOff>237150</xdr:rowOff>
    </xdr:to>
    <xdr:sp macro="" textlink="">
      <xdr:nvSpPr>
        <xdr:cNvPr id="9" name="Rectangle 8">
          <a:hlinkClick xmlns:r="http://schemas.openxmlformats.org/officeDocument/2006/relationships" r:id="rId8"/>
        </xdr:cNvPr>
        <xdr:cNvSpPr/>
      </xdr:nvSpPr>
      <xdr:spPr>
        <a:xfrm>
          <a:off x="12590247" y="2550195"/>
          <a:ext cx="1670600" cy="642449"/>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CLICIWCH i fynd i </a:t>
          </a:r>
          <a:r>
            <a:rPr lang="en-GB" sz="1100" b="1">
              <a:solidFill>
                <a:sysClr val="windowText" lastClr="000000"/>
              </a:solidFill>
            </a:rPr>
            <a:t>Prisiau Rhenti</a:t>
          </a:r>
        </a:p>
      </xdr:txBody>
    </xdr:sp>
    <xdr:clientData/>
  </xdr:twoCellAnchor>
  <xdr:twoCellAnchor>
    <xdr:from>
      <xdr:col>10</xdr:col>
      <xdr:colOff>31750</xdr:colOff>
      <xdr:row>12</xdr:row>
      <xdr:rowOff>274776</xdr:rowOff>
    </xdr:from>
    <xdr:to>
      <xdr:col>11</xdr:col>
      <xdr:colOff>751416</xdr:colOff>
      <xdr:row>14</xdr:row>
      <xdr:rowOff>188148</xdr:rowOff>
    </xdr:to>
    <xdr:sp macro="" textlink="">
      <xdr:nvSpPr>
        <xdr:cNvPr id="10" name="Rectangle 9">
          <a:hlinkClick xmlns:r="http://schemas.openxmlformats.org/officeDocument/2006/relationships" r:id="rId9"/>
        </xdr:cNvPr>
        <xdr:cNvSpPr/>
      </xdr:nvSpPr>
      <xdr:spPr>
        <a:xfrm>
          <a:off x="10865948" y="3230270"/>
          <a:ext cx="1629048" cy="595409"/>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Rhagdybiaeth</a:t>
          </a:r>
          <a:r>
            <a:rPr lang="en-GB" sz="1100" b="1" baseline="0">
              <a:solidFill>
                <a:sysClr val="windowText" lastClr="000000"/>
              </a:solidFill>
            </a:rPr>
            <a:t> Blynyddol</a:t>
          </a:r>
          <a:endParaRPr lang="en-GB" sz="1100" b="1">
            <a:solidFill>
              <a:sysClr val="windowText" lastClr="000000"/>
            </a:solidFill>
          </a:endParaRPr>
        </a:p>
      </xdr:txBody>
    </xdr:sp>
    <xdr:clientData/>
  </xdr:twoCellAnchor>
  <xdr:twoCellAnchor>
    <xdr:from>
      <xdr:col>10</xdr:col>
      <xdr:colOff>31751</xdr:colOff>
      <xdr:row>4</xdr:row>
      <xdr:rowOff>52917</xdr:rowOff>
    </xdr:from>
    <xdr:to>
      <xdr:col>11</xdr:col>
      <xdr:colOff>751417</xdr:colOff>
      <xdr:row>6</xdr:row>
      <xdr:rowOff>156790</xdr:rowOff>
    </xdr:to>
    <xdr:sp macro="" textlink="">
      <xdr:nvSpPr>
        <xdr:cNvPr id="11" name="Rectangle 10">
          <a:hlinkClick xmlns:r="http://schemas.openxmlformats.org/officeDocument/2006/relationships" r:id="rId10"/>
        </xdr:cNvPr>
        <xdr:cNvSpPr/>
      </xdr:nvSpPr>
      <xdr:spPr>
        <a:xfrm>
          <a:off x="10865949" y="1268040"/>
          <a:ext cx="1629048" cy="605602"/>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Canllawiau ar Newidynnau</a:t>
          </a:r>
          <a:endParaRPr lang="en-GB" sz="1100">
            <a:solidFill>
              <a:sysClr val="windowText" lastClr="000000"/>
            </a:solidFill>
          </a:endParaRPr>
        </a:p>
      </xdr:txBody>
    </xdr:sp>
    <xdr:clientData/>
  </xdr:twoCellAnchor>
  <xdr:twoCellAnchor>
    <xdr:from>
      <xdr:col>1</xdr:col>
      <xdr:colOff>21167</xdr:colOff>
      <xdr:row>32</xdr:row>
      <xdr:rowOff>116417</xdr:rowOff>
    </xdr:from>
    <xdr:to>
      <xdr:col>5</xdr:col>
      <xdr:colOff>588737</xdr:colOff>
      <xdr:row>50</xdr:row>
      <xdr:rowOff>121181</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twoCellAnchor>
  <xdr:twoCellAnchor>
    <xdr:from>
      <xdr:col>5</xdr:col>
      <xdr:colOff>719665</xdr:colOff>
      <xdr:row>32</xdr:row>
      <xdr:rowOff>116416</xdr:rowOff>
    </xdr:from>
    <xdr:to>
      <xdr:col>10</xdr:col>
      <xdr:colOff>192766</xdr:colOff>
      <xdr:row>50</xdr:row>
      <xdr:rowOff>117539</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twoCellAnchor>
  <xdr:twoCellAnchor>
    <xdr:from>
      <xdr:col>10</xdr:col>
      <xdr:colOff>35983</xdr:colOff>
      <xdr:row>14</xdr:row>
      <xdr:rowOff>230797</xdr:rowOff>
    </xdr:from>
    <xdr:to>
      <xdr:col>11</xdr:col>
      <xdr:colOff>755649</xdr:colOff>
      <xdr:row>16</xdr:row>
      <xdr:rowOff>227347</xdr:rowOff>
    </xdr:to>
    <xdr:sp macro="" textlink="">
      <xdr:nvSpPr>
        <xdr:cNvPr id="15" name="Rectangle 14">
          <a:hlinkClick xmlns:r="http://schemas.openxmlformats.org/officeDocument/2006/relationships" r:id="rId13"/>
        </xdr:cNvPr>
        <xdr:cNvSpPr/>
      </xdr:nvSpPr>
      <xdr:spPr>
        <a:xfrm>
          <a:off x="10870181" y="3868328"/>
          <a:ext cx="1629048" cy="58451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weld y </a:t>
          </a:r>
          <a:r>
            <a:rPr lang="en-GB" sz="1100" b="1">
              <a:solidFill>
                <a:sysClr val="windowText" lastClr="000000"/>
              </a:solidFill>
            </a:rPr>
            <a:t>Map Rhanbarthol</a:t>
          </a:r>
        </a:p>
      </xdr:txBody>
    </xdr:sp>
    <xdr:clientData/>
  </xdr:twoCellAnchor>
  <xdr:twoCellAnchor>
    <xdr:from>
      <xdr:col>11</xdr:col>
      <xdr:colOff>846668</xdr:colOff>
      <xdr:row>14</xdr:row>
      <xdr:rowOff>215982</xdr:rowOff>
    </xdr:from>
    <xdr:to>
      <xdr:col>13</xdr:col>
      <xdr:colOff>706966</xdr:colOff>
      <xdr:row>16</xdr:row>
      <xdr:rowOff>219510</xdr:rowOff>
    </xdr:to>
    <xdr:sp macro="" textlink="">
      <xdr:nvSpPr>
        <xdr:cNvPr id="16" name="Rectangle 15">
          <a:hlinkClick xmlns:r="http://schemas.openxmlformats.org/officeDocument/2006/relationships" r:id="rId14"/>
        </xdr:cNvPr>
        <xdr:cNvSpPr/>
      </xdr:nvSpPr>
      <xdr:spPr>
        <a:xfrm>
          <a:off x="12590248" y="3853513"/>
          <a:ext cx="1679064" cy="591491"/>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weld </a:t>
          </a:r>
          <a:r>
            <a:rPr lang="en-GB" sz="1100" b="1">
              <a:solidFill>
                <a:sysClr val="windowText" lastClr="000000"/>
              </a:solidFill>
            </a:rPr>
            <a:t>Cyngor ar ddefnyddio'r adnodd</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236764</xdr:colOff>
      <xdr:row>69</xdr:row>
      <xdr:rowOff>151718</xdr:rowOff>
    </xdr:from>
    <xdr:to>
      <xdr:col>5</xdr:col>
      <xdr:colOff>497417</xdr:colOff>
      <xdr:row>87</xdr:row>
      <xdr:rowOff>156482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693698</xdr:colOff>
      <xdr:row>69</xdr:row>
      <xdr:rowOff>134592</xdr:rowOff>
    </xdr:from>
    <xdr:to>
      <xdr:col>10</xdr:col>
      <xdr:colOff>166799</xdr:colOff>
      <xdr:row>87</xdr:row>
      <xdr:rowOff>135715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21167</xdr:colOff>
      <xdr:row>32</xdr:row>
      <xdr:rowOff>116417</xdr:rowOff>
    </xdr:from>
    <xdr:to>
      <xdr:col>5</xdr:col>
      <xdr:colOff>588737</xdr:colOff>
      <xdr:row>50</xdr:row>
      <xdr:rowOff>121181</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5</xdr:col>
      <xdr:colOff>719665</xdr:colOff>
      <xdr:row>32</xdr:row>
      <xdr:rowOff>116416</xdr:rowOff>
    </xdr:from>
    <xdr:to>
      <xdr:col>10</xdr:col>
      <xdr:colOff>192766</xdr:colOff>
      <xdr:row>50</xdr:row>
      <xdr:rowOff>117539</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11</xdr:col>
      <xdr:colOff>846666</xdr:colOff>
      <xdr:row>13</xdr:row>
      <xdr:rowOff>84667</xdr:rowOff>
    </xdr:from>
    <xdr:to>
      <xdr:col>13</xdr:col>
      <xdr:colOff>698500</xdr:colOff>
      <xdr:row>14</xdr:row>
      <xdr:rowOff>201083</xdr:rowOff>
    </xdr:to>
    <xdr:sp macro="" textlink="">
      <xdr:nvSpPr>
        <xdr:cNvPr id="14" name="Rectangle 13">
          <a:hlinkClick xmlns:r="http://schemas.openxmlformats.org/officeDocument/2006/relationships" r:id="rId5"/>
        </xdr:cNvPr>
        <xdr:cNvSpPr/>
      </xdr:nvSpPr>
      <xdr:spPr>
        <a:xfrm>
          <a:off x="12064999" y="3386667"/>
          <a:ext cx="1587501" cy="48683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'Future Forecasts</a:t>
          </a:r>
          <a:r>
            <a:rPr lang="en-GB" sz="1100">
              <a:solidFill>
                <a:sysClr val="windowText" lastClr="000000"/>
              </a:solidFill>
            </a:rPr>
            <a:t>'</a:t>
          </a:r>
        </a:p>
      </xdr:txBody>
    </xdr:sp>
    <xdr:clientData/>
  </xdr:twoCellAnchor>
  <xdr:twoCellAnchor>
    <xdr:from>
      <xdr:col>11</xdr:col>
      <xdr:colOff>846665</xdr:colOff>
      <xdr:row>4</xdr:row>
      <xdr:rowOff>63499</xdr:rowOff>
    </xdr:from>
    <xdr:to>
      <xdr:col>13</xdr:col>
      <xdr:colOff>698499</xdr:colOff>
      <xdr:row>6</xdr:row>
      <xdr:rowOff>84667</xdr:rowOff>
    </xdr:to>
    <xdr:sp macro="" textlink="">
      <xdr:nvSpPr>
        <xdr:cNvPr id="15" name="Rectangle 14">
          <a:hlinkClick xmlns:r="http://schemas.openxmlformats.org/officeDocument/2006/relationships" r:id="rId6"/>
        </xdr:cNvPr>
        <xdr:cNvSpPr/>
      </xdr:nvSpPr>
      <xdr:spPr>
        <a:xfrm>
          <a:off x="12064998" y="1291166"/>
          <a:ext cx="1587501" cy="52916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'Household Projections</a:t>
          </a:r>
          <a:r>
            <a:rPr lang="en-GB" sz="1100">
              <a:solidFill>
                <a:sysClr val="windowText" lastClr="000000"/>
              </a:solidFill>
            </a:rPr>
            <a:t>'</a:t>
          </a:r>
        </a:p>
      </xdr:txBody>
    </xdr:sp>
    <xdr:clientData/>
  </xdr:twoCellAnchor>
  <xdr:twoCellAnchor>
    <xdr:from>
      <xdr:col>10</xdr:col>
      <xdr:colOff>42333</xdr:colOff>
      <xdr:row>6</xdr:row>
      <xdr:rowOff>179917</xdr:rowOff>
    </xdr:from>
    <xdr:to>
      <xdr:col>11</xdr:col>
      <xdr:colOff>761999</xdr:colOff>
      <xdr:row>9</xdr:row>
      <xdr:rowOff>232832</xdr:rowOff>
    </xdr:to>
    <xdr:sp macro="" textlink="">
      <xdr:nvSpPr>
        <xdr:cNvPr id="16" name="Rectangle 15">
          <a:hlinkClick xmlns:r="http://schemas.openxmlformats.org/officeDocument/2006/relationships" r:id="rId7"/>
        </xdr:cNvPr>
        <xdr:cNvSpPr/>
      </xdr:nvSpPr>
      <xdr:spPr>
        <a:xfrm>
          <a:off x="10392833" y="1915584"/>
          <a:ext cx="1587499" cy="62441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Existing</a:t>
          </a:r>
          <a:r>
            <a:rPr lang="en-GB" sz="1100" b="1" baseline="0">
              <a:solidFill>
                <a:sysClr val="windowText" lastClr="000000"/>
              </a:solidFill>
            </a:rPr>
            <a:t> Unmet Need'</a:t>
          </a:r>
          <a:endParaRPr lang="en-GB" sz="1100">
            <a:solidFill>
              <a:sysClr val="windowText" lastClr="000000"/>
            </a:solidFill>
          </a:endParaRPr>
        </a:p>
      </xdr:txBody>
    </xdr:sp>
    <xdr:clientData/>
  </xdr:twoCellAnchor>
  <xdr:twoCellAnchor>
    <xdr:from>
      <xdr:col>11</xdr:col>
      <xdr:colOff>846667</xdr:colOff>
      <xdr:row>6</xdr:row>
      <xdr:rowOff>179917</xdr:rowOff>
    </xdr:from>
    <xdr:to>
      <xdr:col>13</xdr:col>
      <xdr:colOff>698501</xdr:colOff>
      <xdr:row>9</xdr:row>
      <xdr:rowOff>232832</xdr:rowOff>
    </xdr:to>
    <xdr:sp macro="" textlink="">
      <xdr:nvSpPr>
        <xdr:cNvPr id="17" name="Rectangle 16">
          <a:hlinkClick xmlns:r="http://schemas.openxmlformats.org/officeDocument/2006/relationships" r:id="rId8"/>
        </xdr:cNvPr>
        <xdr:cNvSpPr/>
      </xdr:nvSpPr>
      <xdr:spPr>
        <a:xfrm>
          <a:off x="12065000" y="1915584"/>
          <a:ext cx="1587501" cy="62441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'Income (Mid and SW</a:t>
          </a:r>
          <a:r>
            <a:rPr lang="en-GB" sz="1100" b="1" baseline="0">
              <a:solidFill>
                <a:sysClr val="windowText" lastClr="000000"/>
              </a:solidFill>
            </a:rPr>
            <a:t> </a:t>
          </a:r>
          <a:r>
            <a:rPr lang="en-GB" sz="1100" b="1">
              <a:solidFill>
                <a:sysClr val="windowText" lastClr="000000"/>
              </a:solidFill>
            </a:rPr>
            <a:t>Wales)</a:t>
          </a:r>
          <a:r>
            <a:rPr lang="en-GB" sz="1100" b="1" baseline="0">
              <a:solidFill>
                <a:sysClr val="windowText" lastClr="000000"/>
              </a:solidFill>
            </a:rPr>
            <a:t>'</a:t>
          </a:r>
          <a:endParaRPr lang="en-GB" sz="1100" b="1">
            <a:solidFill>
              <a:sysClr val="windowText" lastClr="000000"/>
            </a:solidFill>
          </a:endParaRPr>
        </a:p>
      </xdr:txBody>
    </xdr:sp>
    <xdr:clientData/>
  </xdr:twoCellAnchor>
  <xdr:twoCellAnchor>
    <xdr:from>
      <xdr:col>10</xdr:col>
      <xdr:colOff>42333</xdr:colOff>
      <xdr:row>10</xdr:row>
      <xdr:rowOff>31750</xdr:rowOff>
    </xdr:from>
    <xdr:to>
      <xdr:col>11</xdr:col>
      <xdr:colOff>761999</xdr:colOff>
      <xdr:row>13</xdr:row>
      <xdr:rowOff>0</xdr:rowOff>
    </xdr:to>
    <xdr:sp macro="" textlink="">
      <xdr:nvSpPr>
        <xdr:cNvPr id="18" name="Rectangle 17">
          <a:hlinkClick xmlns:r="http://schemas.openxmlformats.org/officeDocument/2006/relationships" r:id="rId9"/>
        </xdr:cNvPr>
        <xdr:cNvSpPr/>
      </xdr:nvSpPr>
      <xdr:spPr>
        <a:xfrm>
          <a:off x="10392833" y="2656417"/>
          <a:ext cx="1587499" cy="64558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'House</a:t>
          </a:r>
          <a:r>
            <a:rPr lang="en-GB" sz="1100" b="1" baseline="0">
              <a:solidFill>
                <a:sysClr val="windowText" lastClr="000000"/>
              </a:solidFill>
            </a:rPr>
            <a:t> Prices</a:t>
          </a:r>
          <a:r>
            <a:rPr lang="en-GB" sz="1100" b="1">
              <a:solidFill>
                <a:sysClr val="windowText" lastClr="000000"/>
              </a:solidFill>
            </a:rPr>
            <a:t> (Mid</a:t>
          </a:r>
          <a:r>
            <a:rPr lang="en-GB" sz="1100" b="1" baseline="0">
              <a:solidFill>
                <a:sysClr val="windowText" lastClr="000000"/>
              </a:solidFill>
            </a:rPr>
            <a:t> and SW </a:t>
          </a:r>
          <a:r>
            <a:rPr lang="en-GB" sz="1100" b="1">
              <a:solidFill>
                <a:sysClr val="windowText" lastClr="000000"/>
              </a:solidFill>
            </a:rPr>
            <a:t>Wales)</a:t>
          </a:r>
          <a:r>
            <a:rPr lang="en-GB" sz="1100" b="1" baseline="0">
              <a:solidFill>
                <a:sysClr val="windowText" lastClr="000000"/>
              </a:solidFill>
            </a:rPr>
            <a:t>'</a:t>
          </a:r>
          <a:endParaRPr lang="en-GB" sz="1100" b="1">
            <a:solidFill>
              <a:sysClr val="windowText" lastClr="000000"/>
            </a:solidFill>
          </a:endParaRPr>
        </a:p>
      </xdr:txBody>
    </xdr:sp>
    <xdr:clientData/>
  </xdr:twoCellAnchor>
  <xdr:twoCellAnchor>
    <xdr:from>
      <xdr:col>11</xdr:col>
      <xdr:colOff>857250</xdr:colOff>
      <xdr:row>10</xdr:row>
      <xdr:rowOff>31749</xdr:rowOff>
    </xdr:from>
    <xdr:to>
      <xdr:col>13</xdr:col>
      <xdr:colOff>709084</xdr:colOff>
      <xdr:row>13</xdr:row>
      <xdr:rowOff>0</xdr:rowOff>
    </xdr:to>
    <xdr:sp macro="" textlink="">
      <xdr:nvSpPr>
        <xdr:cNvPr id="19" name="Rectangle 18">
          <a:hlinkClick xmlns:r="http://schemas.openxmlformats.org/officeDocument/2006/relationships" r:id="rId10"/>
        </xdr:cNvPr>
        <xdr:cNvSpPr/>
      </xdr:nvSpPr>
      <xdr:spPr>
        <a:xfrm>
          <a:off x="12075583" y="2656416"/>
          <a:ext cx="1587501" cy="645584"/>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'Rental</a:t>
          </a:r>
          <a:r>
            <a:rPr lang="en-GB" sz="1100" b="1" baseline="0">
              <a:solidFill>
                <a:sysClr val="windowText" lastClr="000000"/>
              </a:solidFill>
            </a:rPr>
            <a:t> Prices'</a:t>
          </a:r>
          <a:endParaRPr lang="en-GB" sz="1100" b="1">
            <a:solidFill>
              <a:sysClr val="windowText" lastClr="000000"/>
            </a:solidFill>
          </a:endParaRPr>
        </a:p>
      </xdr:txBody>
    </xdr:sp>
    <xdr:clientData/>
  </xdr:twoCellAnchor>
  <xdr:twoCellAnchor>
    <xdr:from>
      <xdr:col>10</xdr:col>
      <xdr:colOff>42333</xdr:colOff>
      <xdr:row>13</xdr:row>
      <xdr:rowOff>84667</xdr:rowOff>
    </xdr:from>
    <xdr:to>
      <xdr:col>11</xdr:col>
      <xdr:colOff>761999</xdr:colOff>
      <xdr:row>14</xdr:row>
      <xdr:rowOff>190500</xdr:rowOff>
    </xdr:to>
    <xdr:sp macro="" textlink="">
      <xdr:nvSpPr>
        <xdr:cNvPr id="20" name="Rectangle 19">
          <a:hlinkClick xmlns:r="http://schemas.openxmlformats.org/officeDocument/2006/relationships" r:id="rId11"/>
        </xdr:cNvPr>
        <xdr:cNvSpPr/>
      </xdr:nvSpPr>
      <xdr:spPr>
        <a:xfrm>
          <a:off x="10392833" y="3386667"/>
          <a:ext cx="1587499" cy="47625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Set Yearly Assumptions</a:t>
          </a:r>
          <a:r>
            <a:rPr lang="en-GB" sz="1100" b="1" baseline="0">
              <a:solidFill>
                <a:sysClr val="windowText" lastClr="000000"/>
              </a:solidFill>
            </a:rPr>
            <a:t>'</a:t>
          </a:r>
          <a:endParaRPr lang="en-GB" sz="1100" b="1">
            <a:solidFill>
              <a:sysClr val="windowText" lastClr="000000"/>
            </a:solidFill>
          </a:endParaRPr>
        </a:p>
      </xdr:txBody>
    </xdr:sp>
    <xdr:clientData/>
  </xdr:twoCellAnchor>
  <xdr:twoCellAnchor>
    <xdr:from>
      <xdr:col>10</xdr:col>
      <xdr:colOff>42334</xdr:colOff>
      <xdr:row>4</xdr:row>
      <xdr:rowOff>63500</xdr:rowOff>
    </xdr:from>
    <xdr:to>
      <xdr:col>11</xdr:col>
      <xdr:colOff>762000</xdr:colOff>
      <xdr:row>6</xdr:row>
      <xdr:rowOff>84666</xdr:rowOff>
    </xdr:to>
    <xdr:sp macro="" textlink="">
      <xdr:nvSpPr>
        <xdr:cNvPr id="21" name="Rectangle 20">
          <a:hlinkClick xmlns:r="http://schemas.openxmlformats.org/officeDocument/2006/relationships" r:id="rId12"/>
        </xdr:cNvPr>
        <xdr:cNvSpPr/>
      </xdr:nvSpPr>
      <xdr:spPr>
        <a:xfrm>
          <a:off x="10392834" y="1291167"/>
          <a:ext cx="1587499" cy="52916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view the </a:t>
          </a:r>
          <a:r>
            <a:rPr lang="en-GB" sz="1100" b="1" baseline="0">
              <a:solidFill>
                <a:sysClr val="windowText" lastClr="000000"/>
              </a:solidFill>
            </a:rPr>
            <a:t>Variable Guidance</a:t>
          </a:r>
          <a:endParaRPr lang="en-GB" sz="1100">
            <a:solidFill>
              <a:sysClr val="windowText" lastClr="000000"/>
            </a:solidFill>
          </a:endParaRPr>
        </a:p>
      </xdr:txBody>
    </xdr:sp>
    <xdr:clientData/>
  </xdr:twoCellAnchor>
  <xdr:twoCellAnchor>
    <xdr:from>
      <xdr:col>10</xdr:col>
      <xdr:colOff>42332</xdr:colOff>
      <xdr:row>14</xdr:row>
      <xdr:rowOff>317500</xdr:rowOff>
    </xdr:from>
    <xdr:to>
      <xdr:col>11</xdr:col>
      <xdr:colOff>761998</xdr:colOff>
      <xdr:row>16</xdr:row>
      <xdr:rowOff>201084</xdr:rowOff>
    </xdr:to>
    <xdr:sp macro="" textlink="">
      <xdr:nvSpPr>
        <xdr:cNvPr id="23" name="Rectangle 22">
          <a:hlinkClick xmlns:r="http://schemas.openxmlformats.org/officeDocument/2006/relationships" r:id="rId13"/>
        </xdr:cNvPr>
        <xdr:cNvSpPr/>
      </xdr:nvSpPr>
      <xdr:spPr>
        <a:xfrm>
          <a:off x="10392832" y="3989917"/>
          <a:ext cx="1587499" cy="47625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view the </a:t>
          </a:r>
          <a:r>
            <a:rPr lang="en-GB" sz="1100" b="1" baseline="0">
              <a:solidFill>
                <a:sysClr val="windowText" lastClr="000000"/>
              </a:solidFill>
            </a:rPr>
            <a:t>Regional Map</a:t>
          </a:r>
          <a:endParaRPr lang="en-GB" sz="1100" b="1">
            <a:solidFill>
              <a:sysClr val="windowText" lastClr="000000"/>
            </a:solidFill>
          </a:endParaRPr>
        </a:p>
      </xdr:txBody>
    </xdr:sp>
    <xdr:clientData/>
  </xdr:twoCellAnchor>
  <xdr:twoCellAnchor>
    <xdr:from>
      <xdr:col>11</xdr:col>
      <xdr:colOff>836084</xdr:colOff>
      <xdr:row>14</xdr:row>
      <xdr:rowOff>306916</xdr:rowOff>
    </xdr:from>
    <xdr:to>
      <xdr:col>13</xdr:col>
      <xdr:colOff>696382</xdr:colOff>
      <xdr:row>16</xdr:row>
      <xdr:rowOff>234950</xdr:rowOff>
    </xdr:to>
    <xdr:sp macro="" textlink="">
      <xdr:nvSpPr>
        <xdr:cNvPr id="22" name="Rectangle 21">
          <a:hlinkClick xmlns:r="http://schemas.openxmlformats.org/officeDocument/2006/relationships" r:id="rId14"/>
        </xdr:cNvPr>
        <xdr:cNvSpPr/>
      </xdr:nvSpPr>
      <xdr:spPr>
        <a:xfrm>
          <a:off x="12054417" y="3979333"/>
          <a:ext cx="1595965" cy="52070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view </a:t>
          </a:r>
          <a:r>
            <a:rPr lang="en-GB" sz="1100" b="1" baseline="0">
              <a:solidFill>
                <a:sysClr val="windowText" lastClr="000000"/>
              </a:solidFill>
            </a:rPr>
            <a:t>Tips for Using the Tool</a:t>
          </a:r>
          <a:endParaRPr lang="en-GB" sz="1100" b="1">
            <a:solidFill>
              <a:sysClr val="windowText" lastClr="000000"/>
            </a:solidFill>
          </a:endParaRPr>
        </a:p>
      </xdr:txBody>
    </xdr:sp>
    <xdr:clientData/>
  </xdr:twoCellAnchor>
  <xdr:twoCellAnchor>
    <xdr:from>
      <xdr:col>0</xdr:col>
      <xdr:colOff>236764</xdr:colOff>
      <xdr:row>69</xdr:row>
      <xdr:rowOff>151718</xdr:rowOff>
    </xdr:from>
    <xdr:to>
      <xdr:col>5</xdr:col>
      <xdr:colOff>497417</xdr:colOff>
      <xdr:row>87</xdr:row>
      <xdr:rowOff>156482</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twoCellAnchor>
  <xdr:twoCellAnchor>
    <xdr:from>
      <xdr:col>5</xdr:col>
      <xdr:colOff>693698</xdr:colOff>
      <xdr:row>69</xdr:row>
      <xdr:rowOff>134592</xdr:rowOff>
    </xdr:from>
    <xdr:to>
      <xdr:col>10</xdr:col>
      <xdr:colOff>166799</xdr:colOff>
      <xdr:row>87</xdr:row>
      <xdr:rowOff>135715</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twoCellAnchor>
  <xdr:twoCellAnchor>
    <xdr:from>
      <xdr:col>1</xdr:col>
      <xdr:colOff>21167</xdr:colOff>
      <xdr:row>32</xdr:row>
      <xdr:rowOff>116417</xdr:rowOff>
    </xdr:from>
    <xdr:to>
      <xdr:col>5</xdr:col>
      <xdr:colOff>588737</xdr:colOff>
      <xdr:row>50</xdr:row>
      <xdr:rowOff>121181</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twoCellAnchor>
  <xdr:twoCellAnchor>
    <xdr:from>
      <xdr:col>5</xdr:col>
      <xdr:colOff>719665</xdr:colOff>
      <xdr:row>32</xdr:row>
      <xdr:rowOff>116416</xdr:rowOff>
    </xdr:from>
    <xdr:to>
      <xdr:col>10</xdr:col>
      <xdr:colOff>192766</xdr:colOff>
      <xdr:row>50</xdr:row>
      <xdr:rowOff>117539</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twoCellAnchor>
  <xdr:twoCellAnchor>
    <xdr:from>
      <xdr:col>11</xdr:col>
      <xdr:colOff>846666</xdr:colOff>
      <xdr:row>13</xdr:row>
      <xdr:rowOff>84667</xdr:rowOff>
    </xdr:from>
    <xdr:to>
      <xdr:col>13</xdr:col>
      <xdr:colOff>698500</xdr:colOff>
      <xdr:row>14</xdr:row>
      <xdr:rowOff>201083</xdr:rowOff>
    </xdr:to>
    <xdr:sp macro="" textlink="">
      <xdr:nvSpPr>
        <xdr:cNvPr id="28" name="Rectangle 27">
          <a:hlinkClick xmlns:r="http://schemas.openxmlformats.org/officeDocument/2006/relationships" r:id="rId19"/>
        </xdr:cNvPr>
        <xdr:cNvSpPr/>
      </xdr:nvSpPr>
      <xdr:spPr>
        <a:xfrm>
          <a:off x="12057591" y="3380317"/>
          <a:ext cx="1585384" cy="487891"/>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Rhagolygon y Dyfodol</a:t>
          </a:r>
          <a:endParaRPr lang="en-GB" sz="1100">
            <a:solidFill>
              <a:sysClr val="windowText" lastClr="000000"/>
            </a:solidFill>
          </a:endParaRPr>
        </a:p>
      </xdr:txBody>
    </xdr:sp>
    <xdr:clientData/>
  </xdr:twoCellAnchor>
  <xdr:twoCellAnchor>
    <xdr:from>
      <xdr:col>11</xdr:col>
      <xdr:colOff>846665</xdr:colOff>
      <xdr:row>4</xdr:row>
      <xdr:rowOff>63499</xdr:rowOff>
    </xdr:from>
    <xdr:to>
      <xdr:col>13</xdr:col>
      <xdr:colOff>698499</xdr:colOff>
      <xdr:row>6</xdr:row>
      <xdr:rowOff>178594</xdr:rowOff>
    </xdr:to>
    <xdr:sp macro="" textlink="">
      <xdr:nvSpPr>
        <xdr:cNvPr id="29" name="Rectangle 28">
          <a:hlinkClick xmlns:r="http://schemas.openxmlformats.org/officeDocument/2006/relationships" r:id="rId20"/>
        </xdr:cNvPr>
        <xdr:cNvSpPr/>
      </xdr:nvSpPr>
      <xdr:spPr>
        <a:xfrm>
          <a:off x="12604087" y="1283890"/>
          <a:ext cx="1677459" cy="61118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Amcanestyniadau</a:t>
          </a:r>
          <a:r>
            <a:rPr lang="en-GB" sz="1100" b="1" baseline="0">
              <a:solidFill>
                <a:sysClr val="windowText" lastClr="000000"/>
              </a:solidFill>
            </a:rPr>
            <a:t>  Aelwydydd</a:t>
          </a:r>
          <a:endParaRPr lang="en-GB" sz="1100">
            <a:solidFill>
              <a:sysClr val="windowText" lastClr="000000"/>
            </a:solidFill>
          </a:endParaRPr>
        </a:p>
      </xdr:txBody>
    </xdr:sp>
    <xdr:clientData/>
  </xdr:twoCellAnchor>
  <xdr:twoCellAnchor>
    <xdr:from>
      <xdr:col>10</xdr:col>
      <xdr:colOff>42333</xdr:colOff>
      <xdr:row>7</xdr:row>
      <xdr:rowOff>50932</xdr:rowOff>
    </xdr:from>
    <xdr:to>
      <xdr:col>11</xdr:col>
      <xdr:colOff>761999</xdr:colOff>
      <xdr:row>10</xdr:row>
      <xdr:rowOff>29766</xdr:rowOff>
    </xdr:to>
    <xdr:sp macro="" textlink="">
      <xdr:nvSpPr>
        <xdr:cNvPr id="30" name="Rectangle 29">
          <a:hlinkClick xmlns:r="http://schemas.openxmlformats.org/officeDocument/2006/relationships" r:id="rId21"/>
        </xdr:cNvPr>
        <xdr:cNvSpPr/>
      </xdr:nvSpPr>
      <xdr:spPr>
        <a:xfrm>
          <a:off x="10886942" y="1955932"/>
          <a:ext cx="1632479" cy="66344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Angen Presennol Nas Diwallwyd</a:t>
          </a:r>
          <a:endParaRPr lang="en-GB" sz="1100">
            <a:solidFill>
              <a:sysClr val="windowText" lastClr="000000"/>
            </a:solidFill>
          </a:endParaRPr>
        </a:p>
      </xdr:txBody>
    </xdr:sp>
    <xdr:clientData/>
  </xdr:twoCellAnchor>
  <xdr:twoCellAnchor>
    <xdr:from>
      <xdr:col>11</xdr:col>
      <xdr:colOff>846667</xdr:colOff>
      <xdr:row>7</xdr:row>
      <xdr:rowOff>31089</xdr:rowOff>
    </xdr:from>
    <xdr:to>
      <xdr:col>13</xdr:col>
      <xdr:colOff>698501</xdr:colOff>
      <xdr:row>10</xdr:row>
      <xdr:rowOff>29766</xdr:rowOff>
    </xdr:to>
    <xdr:sp macro="" textlink="">
      <xdr:nvSpPr>
        <xdr:cNvPr id="31" name="Rectangle 30">
          <a:hlinkClick xmlns:r="http://schemas.openxmlformats.org/officeDocument/2006/relationships" r:id="rId22"/>
        </xdr:cNvPr>
        <xdr:cNvSpPr/>
      </xdr:nvSpPr>
      <xdr:spPr>
        <a:xfrm>
          <a:off x="12604089" y="1936089"/>
          <a:ext cx="1677459" cy="68328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Incwm (Canolbarth Cymru)</a:t>
          </a:r>
        </a:p>
      </xdr:txBody>
    </xdr:sp>
    <xdr:clientData/>
  </xdr:twoCellAnchor>
  <xdr:twoCellAnchor>
    <xdr:from>
      <xdr:col>10</xdr:col>
      <xdr:colOff>42333</xdr:colOff>
      <xdr:row>10</xdr:row>
      <xdr:rowOff>81360</xdr:rowOff>
    </xdr:from>
    <xdr:to>
      <xdr:col>11</xdr:col>
      <xdr:colOff>761999</xdr:colOff>
      <xdr:row>13</xdr:row>
      <xdr:rowOff>49610</xdr:rowOff>
    </xdr:to>
    <xdr:sp macro="[0]!GoToHousePricesMidWales" textlink="">
      <xdr:nvSpPr>
        <xdr:cNvPr id="32" name="Rectangle 31">
          <a:hlinkClick xmlns:r="http://schemas.openxmlformats.org/officeDocument/2006/relationships" r:id="rId23"/>
        </xdr:cNvPr>
        <xdr:cNvSpPr/>
      </xdr:nvSpPr>
      <xdr:spPr>
        <a:xfrm>
          <a:off x="10886942" y="2670969"/>
          <a:ext cx="1632479" cy="63301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Prisiau Tai (Canolbarth Cymru)</a:t>
          </a:r>
        </a:p>
      </xdr:txBody>
    </xdr:sp>
    <xdr:clientData/>
  </xdr:twoCellAnchor>
  <xdr:twoCellAnchor>
    <xdr:from>
      <xdr:col>11</xdr:col>
      <xdr:colOff>847328</xdr:colOff>
      <xdr:row>10</xdr:row>
      <xdr:rowOff>81359</xdr:rowOff>
    </xdr:from>
    <xdr:to>
      <xdr:col>13</xdr:col>
      <xdr:colOff>699162</xdr:colOff>
      <xdr:row>13</xdr:row>
      <xdr:rowOff>49610</xdr:rowOff>
    </xdr:to>
    <xdr:sp macro="" textlink="">
      <xdr:nvSpPr>
        <xdr:cNvPr id="33" name="Rectangle 32">
          <a:hlinkClick xmlns:r="http://schemas.openxmlformats.org/officeDocument/2006/relationships" r:id="rId24"/>
        </xdr:cNvPr>
        <xdr:cNvSpPr/>
      </xdr:nvSpPr>
      <xdr:spPr>
        <a:xfrm>
          <a:off x="12604750" y="2670968"/>
          <a:ext cx="1677459" cy="633017"/>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CLICIWCH i fynd i </a:t>
          </a:r>
          <a:r>
            <a:rPr lang="en-GB" sz="1100" b="1">
              <a:solidFill>
                <a:sysClr val="windowText" lastClr="000000"/>
              </a:solidFill>
            </a:rPr>
            <a:t>Prisiau</a:t>
          </a:r>
          <a:r>
            <a:rPr lang="en-GB" sz="1100" b="1" baseline="0">
              <a:solidFill>
                <a:sysClr val="windowText" lastClr="000000"/>
              </a:solidFill>
            </a:rPr>
            <a:t> Rhenti</a:t>
          </a:r>
          <a:endParaRPr lang="en-GB" sz="1100" b="1">
            <a:solidFill>
              <a:sysClr val="windowText" lastClr="000000"/>
            </a:solidFill>
          </a:endParaRPr>
        </a:p>
      </xdr:txBody>
    </xdr:sp>
    <xdr:clientData/>
  </xdr:twoCellAnchor>
  <xdr:twoCellAnchor>
    <xdr:from>
      <xdr:col>10</xdr:col>
      <xdr:colOff>42333</xdr:colOff>
      <xdr:row>13</xdr:row>
      <xdr:rowOff>84667</xdr:rowOff>
    </xdr:from>
    <xdr:to>
      <xdr:col>11</xdr:col>
      <xdr:colOff>761999</xdr:colOff>
      <xdr:row>14</xdr:row>
      <xdr:rowOff>190500</xdr:rowOff>
    </xdr:to>
    <xdr:sp macro="" textlink="">
      <xdr:nvSpPr>
        <xdr:cNvPr id="34" name="Rectangle 33">
          <a:hlinkClick xmlns:r="http://schemas.openxmlformats.org/officeDocument/2006/relationships" r:id="rId25"/>
        </xdr:cNvPr>
        <xdr:cNvSpPr/>
      </xdr:nvSpPr>
      <xdr:spPr>
        <a:xfrm>
          <a:off x="10386483" y="3380317"/>
          <a:ext cx="1586441" cy="47730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Rhagdybiaeth Blynyddol</a:t>
          </a:r>
        </a:p>
      </xdr:txBody>
    </xdr:sp>
    <xdr:clientData/>
  </xdr:twoCellAnchor>
  <xdr:twoCellAnchor>
    <xdr:from>
      <xdr:col>10</xdr:col>
      <xdr:colOff>42334</xdr:colOff>
      <xdr:row>4</xdr:row>
      <xdr:rowOff>63500</xdr:rowOff>
    </xdr:from>
    <xdr:to>
      <xdr:col>11</xdr:col>
      <xdr:colOff>762000</xdr:colOff>
      <xdr:row>7</xdr:row>
      <xdr:rowOff>0</xdr:rowOff>
    </xdr:to>
    <xdr:sp macro="" textlink="">
      <xdr:nvSpPr>
        <xdr:cNvPr id="35" name="Rectangle 34">
          <a:hlinkClick xmlns:r="http://schemas.openxmlformats.org/officeDocument/2006/relationships" r:id="rId26"/>
        </xdr:cNvPr>
        <xdr:cNvSpPr/>
      </xdr:nvSpPr>
      <xdr:spPr>
        <a:xfrm>
          <a:off x="10886943" y="1283891"/>
          <a:ext cx="1632479" cy="621109"/>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a:t>
          </a:r>
          <a:r>
            <a:rPr lang="en-GB" sz="1100" baseline="0">
              <a:solidFill>
                <a:sysClr val="windowText" lastClr="000000"/>
              </a:solidFill>
            </a:rPr>
            <a:t> fynd i </a:t>
          </a:r>
          <a:r>
            <a:rPr lang="en-GB" sz="1100" b="1" baseline="0">
              <a:solidFill>
                <a:sysClr val="windowText" lastClr="000000"/>
              </a:solidFill>
            </a:rPr>
            <a:t>Canllawiau ar Newidynnau</a:t>
          </a:r>
          <a:endParaRPr lang="en-GB" sz="1100">
            <a:solidFill>
              <a:sysClr val="windowText" lastClr="000000"/>
            </a:solidFill>
          </a:endParaRPr>
        </a:p>
      </xdr:txBody>
    </xdr:sp>
    <xdr:clientData/>
  </xdr:twoCellAnchor>
  <xdr:twoCellAnchor>
    <xdr:from>
      <xdr:col>10</xdr:col>
      <xdr:colOff>42332</xdr:colOff>
      <xdr:row>14</xdr:row>
      <xdr:rowOff>257968</xdr:rowOff>
    </xdr:from>
    <xdr:to>
      <xdr:col>11</xdr:col>
      <xdr:colOff>761998</xdr:colOff>
      <xdr:row>16</xdr:row>
      <xdr:rowOff>141552</xdr:rowOff>
    </xdr:to>
    <xdr:sp macro="" textlink="">
      <xdr:nvSpPr>
        <xdr:cNvPr id="36" name="Rectangle 35">
          <a:hlinkClick xmlns:r="http://schemas.openxmlformats.org/officeDocument/2006/relationships" r:id="rId27"/>
        </xdr:cNvPr>
        <xdr:cNvSpPr/>
      </xdr:nvSpPr>
      <xdr:spPr>
        <a:xfrm>
          <a:off x="10886941" y="3879452"/>
          <a:ext cx="1632479" cy="46897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a:t>
          </a:r>
          <a:r>
            <a:rPr lang="en-GB" sz="1100" baseline="0">
              <a:solidFill>
                <a:sysClr val="windowText" lastClr="000000"/>
              </a:solidFill>
            </a:rPr>
            <a:t> i weld y </a:t>
          </a:r>
          <a:r>
            <a:rPr lang="en-GB" sz="1100" b="1" baseline="0">
              <a:solidFill>
                <a:sysClr val="windowText" lastClr="000000"/>
              </a:solidFill>
            </a:rPr>
            <a:t>Map Rhanbarthol</a:t>
          </a:r>
          <a:endParaRPr lang="en-GB" sz="1100" b="1">
            <a:solidFill>
              <a:sysClr val="windowText" lastClr="000000"/>
            </a:solidFill>
          </a:endParaRPr>
        </a:p>
      </xdr:txBody>
    </xdr:sp>
    <xdr:clientData/>
  </xdr:twoCellAnchor>
  <xdr:twoCellAnchor>
    <xdr:from>
      <xdr:col>11</xdr:col>
      <xdr:colOff>836084</xdr:colOff>
      <xdr:row>14</xdr:row>
      <xdr:rowOff>237462</xdr:rowOff>
    </xdr:from>
    <xdr:to>
      <xdr:col>13</xdr:col>
      <xdr:colOff>696382</xdr:colOff>
      <xdr:row>16</xdr:row>
      <xdr:rowOff>165496</xdr:rowOff>
    </xdr:to>
    <xdr:sp macro="" textlink="">
      <xdr:nvSpPr>
        <xdr:cNvPr id="37" name="Rectangle 36">
          <a:hlinkClick xmlns:r="http://schemas.openxmlformats.org/officeDocument/2006/relationships" r:id="rId28"/>
        </xdr:cNvPr>
        <xdr:cNvSpPr/>
      </xdr:nvSpPr>
      <xdr:spPr>
        <a:xfrm>
          <a:off x="12593506" y="3858946"/>
          <a:ext cx="1685923" cy="51342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0">
              <a:solidFill>
                <a:sysClr val="windowText" lastClr="000000"/>
              </a:solidFill>
            </a:rPr>
            <a:t>CLICIWCH</a:t>
          </a:r>
          <a:r>
            <a:rPr lang="en-GB" sz="1100" b="0" baseline="0">
              <a:solidFill>
                <a:sysClr val="windowText" lastClr="000000"/>
              </a:solidFill>
            </a:rPr>
            <a:t> i fynd i </a:t>
          </a:r>
          <a:r>
            <a:rPr lang="en-GB" sz="1100" b="1" baseline="0">
              <a:solidFill>
                <a:sysClr val="windowText" lastClr="000000"/>
              </a:solidFill>
            </a:rPr>
            <a:t>Cyngor ar ddefnyddio'r adnodd</a:t>
          </a:r>
          <a:endParaRPr lang="en-GB" sz="11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236764</xdr:colOff>
      <xdr:row>69</xdr:row>
      <xdr:rowOff>151718</xdr:rowOff>
    </xdr:from>
    <xdr:to>
      <xdr:col>5</xdr:col>
      <xdr:colOff>497417</xdr:colOff>
      <xdr:row>87</xdr:row>
      <xdr:rowOff>156482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693698</xdr:colOff>
      <xdr:row>69</xdr:row>
      <xdr:rowOff>134592</xdr:rowOff>
    </xdr:from>
    <xdr:to>
      <xdr:col>10</xdr:col>
      <xdr:colOff>166799</xdr:colOff>
      <xdr:row>87</xdr:row>
      <xdr:rowOff>135715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21167</xdr:colOff>
      <xdr:row>32</xdr:row>
      <xdr:rowOff>116417</xdr:rowOff>
    </xdr:from>
    <xdr:to>
      <xdr:col>5</xdr:col>
      <xdr:colOff>588737</xdr:colOff>
      <xdr:row>50</xdr:row>
      <xdr:rowOff>121181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5</xdr:col>
      <xdr:colOff>719665</xdr:colOff>
      <xdr:row>32</xdr:row>
      <xdr:rowOff>116416</xdr:rowOff>
    </xdr:from>
    <xdr:to>
      <xdr:col>10</xdr:col>
      <xdr:colOff>192766</xdr:colOff>
      <xdr:row>50</xdr:row>
      <xdr:rowOff>117539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11</xdr:col>
      <xdr:colOff>846666</xdr:colOff>
      <xdr:row>13</xdr:row>
      <xdr:rowOff>139407</xdr:rowOff>
    </xdr:from>
    <xdr:to>
      <xdr:col>13</xdr:col>
      <xdr:colOff>698500</xdr:colOff>
      <xdr:row>14</xdr:row>
      <xdr:rowOff>255823</xdr:rowOff>
    </xdr:to>
    <xdr:sp macro="" textlink="">
      <xdr:nvSpPr>
        <xdr:cNvPr id="6" name="Rectangle 5">
          <a:hlinkClick xmlns:r="http://schemas.openxmlformats.org/officeDocument/2006/relationships" r:id="rId5"/>
        </xdr:cNvPr>
        <xdr:cNvSpPr/>
      </xdr:nvSpPr>
      <xdr:spPr>
        <a:xfrm>
          <a:off x="12594166" y="3380097"/>
          <a:ext cx="1669248" cy="488657"/>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a:t>
          </a:r>
          <a:r>
            <a:rPr lang="en-GB" sz="1100" baseline="0">
              <a:solidFill>
                <a:sysClr val="windowText" lastClr="000000"/>
              </a:solidFill>
            </a:rPr>
            <a:t> i fynd i </a:t>
          </a:r>
          <a:r>
            <a:rPr lang="en-GB" sz="1100" b="1" baseline="0">
              <a:solidFill>
                <a:sysClr val="windowText" lastClr="000000"/>
              </a:solidFill>
            </a:rPr>
            <a:t>Rhagolygon y Dyfodol</a:t>
          </a:r>
          <a:endParaRPr lang="en-GB" sz="1100">
            <a:solidFill>
              <a:sysClr val="windowText" lastClr="000000"/>
            </a:solidFill>
          </a:endParaRPr>
        </a:p>
      </xdr:txBody>
    </xdr:sp>
    <xdr:clientData/>
  </xdr:twoCellAnchor>
  <xdr:twoCellAnchor>
    <xdr:from>
      <xdr:col>11</xdr:col>
      <xdr:colOff>846665</xdr:colOff>
      <xdr:row>4</xdr:row>
      <xdr:rowOff>63499</xdr:rowOff>
    </xdr:from>
    <xdr:to>
      <xdr:col>13</xdr:col>
      <xdr:colOff>698499</xdr:colOff>
      <xdr:row>7</xdr:row>
      <xdr:rowOff>10948</xdr:rowOff>
    </xdr:to>
    <xdr:sp macro="" textlink="">
      <xdr:nvSpPr>
        <xdr:cNvPr id="7" name="Rectangle 6">
          <a:hlinkClick xmlns:r="http://schemas.openxmlformats.org/officeDocument/2006/relationships" r:id="rId6"/>
        </xdr:cNvPr>
        <xdr:cNvSpPr/>
      </xdr:nvSpPr>
      <xdr:spPr>
        <a:xfrm>
          <a:off x="12594165" y="1278758"/>
          <a:ext cx="1669248" cy="626242"/>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Amcanestyniadau Aelwydydd</a:t>
          </a:r>
          <a:endParaRPr lang="en-GB" sz="1100">
            <a:solidFill>
              <a:sysClr val="windowText" lastClr="000000"/>
            </a:solidFill>
          </a:endParaRPr>
        </a:p>
      </xdr:txBody>
    </xdr:sp>
    <xdr:clientData/>
  </xdr:twoCellAnchor>
  <xdr:twoCellAnchor>
    <xdr:from>
      <xdr:col>10</xdr:col>
      <xdr:colOff>42333</xdr:colOff>
      <xdr:row>7</xdr:row>
      <xdr:rowOff>70433</xdr:rowOff>
    </xdr:from>
    <xdr:to>
      <xdr:col>11</xdr:col>
      <xdr:colOff>761999</xdr:colOff>
      <xdr:row>10</xdr:row>
      <xdr:rowOff>87586</xdr:rowOff>
    </xdr:to>
    <xdr:sp macro="" textlink="">
      <xdr:nvSpPr>
        <xdr:cNvPr id="8" name="Rectangle 7">
          <a:hlinkClick xmlns:r="http://schemas.openxmlformats.org/officeDocument/2006/relationships" r:id="rId7"/>
        </xdr:cNvPr>
        <xdr:cNvSpPr/>
      </xdr:nvSpPr>
      <xdr:spPr>
        <a:xfrm>
          <a:off x="10881126" y="1964485"/>
          <a:ext cx="1628373" cy="69594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Angen Presennol Nas Diwallwyd</a:t>
          </a:r>
          <a:endParaRPr lang="en-GB" sz="1100">
            <a:solidFill>
              <a:sysClr val="windowText" lastClr="000000"/>
            </a:solidFill>
          </a:endParaRPr>
        </a:p>
      </xdr:txBody>
    </xdr:sp>
    <xdr:clientData/>
  </xdr:twoCellAnchor>
  <xdr:twoCellAnchor>
    <xdr:from>
      <xdr:col>11</xdr:col>
      <xdr:colOff>846667</xdr:colOff>
      <xdr:row>7</xdr:row>
      <xdr:rowOff>70431</xdr:rowOff>
    </xdr:from>
    <xdr:to>
      <xdr:col>13</xdr:col>
      <xdr:colOff>698501</xdr:colOff>
      <xdr:row>10</xdr:row>
      <xdr:rowOff>76637</xdr:rowOff>
    </xdr:to>
    <xdr:sp macro="" textlink="">
      <xdr:nvSpPr>
        <xdr:cNvPr id="9" name="Rectangle 8">
          <a:hlinkClick xmlns:r="http://schemas.openxmlformats.org/officeDocument/2006/relationships" r:id="rId8"/>
        </xdr:cNvPr>
        <xdr:cNvSpPr/>
      </xdr:nvSpPr>
      <xdr:spPr>
        <a:xfrm>
          <a:off x="12594167" y="1964483"/>
          <a:ext cx="1669248" cy="684999"/>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Incwm (De-orllewin Cymru)</a:t>
          </a:r>
        </a:p>
      </xdr:txBody>
    </xdr:sp>
    <xdr:clientData/>
  </xdr:twoCellAnchor>
  <xdr:twoCellAnchor>
    <xdr:from>
      <xdr:col>10</xdr:col>
      <xdr:colOff>42333</xdr:colOff>
      <xdr:row>10</xdr:row>
      <xdr:rowOff>130282</xdr:rowOff>
    </xdr:from>
    <xdr:to>
      <xdr:col>11</xdr:col>
      <xdr:colOff>761999</xdr:colOff>
      <xdr:row>13</xdr:row>
      <xdr:rowOff>98532</xdr:rowOff>
    </xdr:to>
    <xdr:sp macro="" textlink="">
      <xdr:nvSpPr>
        <xdr:cNvPr id="10" name="Rectangle 9">
          <a:hlinkClick xmlns:r="http://schemas.openxmlformats.org/officeDocument/2006/relationships" r:id="rId9"/>
        </xdr:cNvPr>
        <xdr:cNvSpPr/>
      </xdr:nvSpPr>
      <xdr:spPr>
        <a:xfrm>
          <a:off x="10881126" y="2703127"/>
          <a:ext cx="1628373" cy="63609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Prisiau Tai (De-orllewin Cymru)</a:t>
          </a:r>
        </a:p>
      </xdr:txBody>
    </xdr:sp>
    <xdr:clientData/>
  </xdr:twoCellAnchor>
  <xdr:twoCellAnchor>
    <xdr:from>
      <xdr:col>11</xdr:col>
      <xdr:colOff>857250</xdr:colOff>
      <xdr:row>10</xdr:row>
      <xdr:rowOff>130281</xdr:rowOff>
    </xdr:from>
    <xdr:to>
      <xdr:col>13</xdr:col>
      <xdr:colOff>709084</xdr:colOff>
      <xdr:row>13</xdr:row>
      <xdr:rowOff>98532</xdr:rowOff>
    </xdr:to>
    <xdr:sp macro="" textlink="">
      <xdr:nvSpPr>
        <xdr:cNvPr id="11" name="Rectangle 10">
          <a:hlinkClick xmlns:r="http://schemas.openxmlformats.org/officeDocument/2006/relationships" r:id="rId10"/>
        </xdr:cNvPr>
        <xdr:cNvSpPr/>
      </xdr:nvSpPr>
      <xdr:spPr>
        <a:xfrm>
          <a:off x="12604750" y="2703126"/>
          <a:ext cx="1669248" cy="63609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CLICIWCH i fynd i </a:t>
          </a:r>
          <a:r>
            <a:rPr lang="en-GB" sz="1100" b="1">
              <a:solidFill>
                <a:sysClr val="windowText" lastClr="000000"/>
              </a:solidFill>
            </a:rPr>
            <a:t>Prisiau Rhenti</a:t>
          </a:r>
        </a:p>
      </xdr:txBody>
    </xdr:sp>
    <xdr:clientData/>
  </xdr:twoCellAnchor>
  <xdr:twoCellAnchor>
    <xdr:from>
      <xdr:col>10</xdr:col>
      <xdr:colOff>42333</xdr:colOff>
      <xdr:row>13</xdr:row>
      <xdr:rowOff>139407</xdr:rowOff>
    </xdr:from>
    <xdr:to>
      <xdr:col>11</xdr:col>
      <xdr:colOff>761999</xdr:colOff>
      <xdr:row>14</xdr:row>
      <xdr:rowOff>245240</xdr:rowOff>
    </xdr:to>
    <xdr:sp macro="" textlink="">
      <xdr:nvSpPr>
        <xdr:cNvPr id="12" name="Rectangle 11">
          <a:hlinkClick xmlns:r="http://schemas.openxmlformats.org/officeDocument/2006/relationships" r:id="rId11"/>
        </xdr:cNvPr>
        <xdr:cNvSpPr/>
      </xdr:nvSpPr>
      <xdr:spPr>
        <a:xfrm>
          <a:off x="10881126" y="3380097"/>
          <a:ext cx="1628373" cy="478074"/>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a:t>
          </a:r>
          <a:r>
            <a:rPr lang="en-GB" sz="1100" baseline="0">
              <a:solidFill>
                <a:sysClr val="windowText" lastClr="000000"/>
              </a:solidFill>
            </a:rPr>
            <a:t> fynd i </a:t>
          </a:r>
          <a:r>
            <a:rPr lang="en-GB" sz="1100" b="1" baseline="0">
              <a:solidFill>
                <a:sysClr val="windowText" lastClr="000000"/>
              </a:solidFill>
            </a:rPr>
            <a:t>Rhagdybiaeth Blynyddol</a:t>
          </a:r>
          <a:endParaRPr lang="en-GB" sz="1100" b="1">
            <a:solidFill>
              <a:sysClr val="windowText" lastClr="000000"/>
            </a:solidFill>
          </a:endParaRPr>
        </a:p>
      </xdr:txBody>
    </xdr:sp>
    <xdr:clientData/>
  </xdr:twoCellAnchor>
  <xdr:twoCellAnchor>
    <xdr:from>
      <xdr:col>10</xdr:col>
      <xdr:colOff>42334</xdr:colOff>
      <xdr:row>4</xdr:row>
      <xdr:rowOff>63499</xdr:rowOff>
    </xdr:from>
    <xdr:to>
      <xdr:col>11</xdr:col>
      <xdr:colOff>762000</xdr:colOff>
      <xdr:row>7</xdr:row>
      <xdr:rowOff>10947</xdr:rowOff>
    </xdr:to>
    <xdr:sp macro="" textlink="">
      <xdr:nvSpPr>
        <xdr:cNvPr id="13" name="Rectangle 12">
          <a:hlinkClick xmlns:r="http://schemas.openxmlformats.org/officeDocument/2006/relationships" r:id="rId12"/>
        </xdr:cNvPr>
        <xdr:cNvSpPr/>
      </xdr:nvSpPr>
      <xdr:spPr>
        <a:xfrm>
          <a:off x="10881127" y="1278758"/>
          <a:ext cx="1628373" cy="626241"/>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a:t>
          </a:r>
          <a:r>
            <a:rPr lang="en-GB" sz="1100" baseline="0">
              <a:solidFill>
                <a:sysClr val="windowText" lastClr="000000"/>
              </a:solidFill>
            </a:rPr>
            <a:t> i </a:t>
          </a:r>
          <a:r>
            <a:rPr lang="en-GB" sz="1100" b="1" baseline="0">
              <a:solidFill>
                <a:sysClr val="windowText" lastClr="000000"/>
              </a:solidFill>
            </a:rPr>
            <a:t>Canllawiau ar Newidynnau</a:t>
          </a:r>
          <a:endParaRPr lang="en-GB" sz="1100">
            <a:solidFill>
              <a:sysClr val="windowText" lastClr="000000"/>
            </a:solidFill>
          </a:endParaRPr>
        </a:p>
      </xdr:txBody>
    </xdr:sp>
    <xdr:clientData/>
  </xdr:twoCellAnchor>
  <xdr:twoCellAnchor>
    <xdr:from>
      <xdr:col>10</xdr:col>
      <xdr:colOff>42332</xdr:colOff>
      <xdr:row>14</xdr:row>
      <xdr:rowOff>317500</xdr:rowOff>
    </xdr:from>
    <xdr:to>
      <xdr:col>11</xdr:col>
      <xdr:colOff>761998</xdr:colOff>
      <xdr:row>16</xdr:row>
      <xdr:rowOff>240862</xdr:rowOff>
    </xdr:to>
    <xdr:sp macro="" textlink="">
      <xdr:nvSpPr>
        <xdr:cNvPr id="14" name="Rectangle 13">
          <a:hlinkClick xmlns:r="http://schemas.openxmlformats.org/officeDocument/2006/relationships" r:id="rId13"/>
        </xdr:cNvPr>
        <xdr:cNvSpPr/>
      </xdr:nvSpPr>
      <xdr:spPr>
        <a:xfrm>
          <a:off x="10881125" y="3930431"/>
          <a:ext cx="1628373" cy="514569"/>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weld y </a:t>
          </a:r>
          <a:r>
            <a:rPr lang="en-GB" sz="1100" b="1">
              <a:solidFill>
                <a:sysClr val="windowText" lastClr="000000"/>
              </a:solidFill>
            </a:rPr>
            <a:t>Map Rhanbarthol</a:t>
          </a:r>
        </a:p>
      </xdr:txBody>
    </xdr:sp>
    <xdr:clientData/>
  </xdr:twoCellAnchor>
  <xdr:twoCellAnchor>
    <xdr:from>
      <xdr:col>11</xdr:col>
      <xdr:colOff>836084</xdr:colOff>
      <xdr:row>14</xdr:row>
      <xdr:rowOff>306916</xdr:rowOff>
    </xdr:from>
    <xdr:to>
      <xdr:col>13</xdr:col>
      <xdr:colOff>696382</xdr:colOff>
      <xdr:row>16</xdr:row>
      <xdr:rowOff>234950</xdr:rowOff>
    </xdr:to>
    <xdr:sp macro="" textlink="">
      <xdr:nvSpPr>
        <xdr:cNvPr id="15" name="Rectangle 14">
          <a:hlinkClick xmlns:r="http://schemas.openxmlformats.org/officeDocument/2006/relationships" r:id="rId14"/>
        </xdr:cNvPr>
        <xdr:cNvSpPr/>
      </xdr:nvSpPr>
      <xdr:spPr>
        <a:xfrm>
          <a:off x="12047009" y="3974041"/>
          <a:ext cx="1593848" cy="518584"/>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Cyngor ar ddefnyddio'r adnodd</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236764</xdr:colOff>
      <xdr:row>69</xdr:row>
      <xdr:rowOff>151718</xdr:rowOff>
    </xdr:from>
    <xdr:to>
      <xdr:col>5</xdr:col>
      <xdr:colOff>497417</xdr:colOff>
      <xdr:row>87</xdr:row>
      <xdr:rowOff>156482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693698</xdr:colOff>
      <xdr:row>69</xdr:row>
      <xdr:rowOff>134592</xdr:rowOff>
    </xdr:from>
    <xdr:to>
      <xdr:col>10</xdr:col>
      <xdr:colOff>166799</xdr:colOff>
      <xdr:row>87</xdr:row>
      <xdr:rowOff>135715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21167</xdr:colOff>
      <xdr:row>32</xdr:row>
      <xdr:rowOff>116417</xdr:rowOff>
    </xdr:from>
    <xdr:to>
      <xdr:col>5</xdr:col>
      <xdr:colOff>588737</xdr:colOff>
      <xdr:row>50</xdr:row>
      <xdr:rowOff>121181</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5</xdr:col>
      <xdr:colOff>719665</xdr:colOff>
      <xdr:row>32</xdr:row>
      <xdr:rowOff>116416</xdr:rowOff>
    </xdr:from>
    <xdr:to>
      <xdr:col>10</xdr:col>
      <xdr:colOff>192766</xdr:colOff>
      <xdr:row>50</xdr:row>
      <xdr:rowOff>117539</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11</xdr:col>
      <xdr:colOff>804333</xdr:colOff>
      <xdr:row>13</xdr:row>
      <xdr:rowOff>84668</xdr:rowOff>
    </xdr:from>
    <xdr:to>
      <xdr:col>13</xdr:col>
      <xdr:colOff>656167</xdr:colOff>
      <xdr:row>14</xdr:row>
      <xdr:rowOff>201084</xdr:rowOff>
    </xdr:to>
    <xdr:sp macro="" textlink="">
      <xdr:nvSpPr>
        <xdr:cNvPr id="22" name="Rectangle 21">
          <a:hlinkClick xmlns:r="http://schemas.openxmlformats.org/officeDocument/2006/relationships" r:id="rId5"/>
        </xdr:cNvPr>
        <xdr:cNvSpPr/>
      </xdr:nvSpPr>
      <xdr:spPr>
        <a:xfrm>
          <a:off x="12022666" y="3386668"/>
          <a:ext cx="1587501" cy="48683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Rhagolygon</a:t>
          </a:r>
          <a:r>
            <a:rPr lang="en-GB" sz="1100" b="1" baseline="0">
              <a:solidFill>
                <a:sysClr val="windowText" lastClr="000000"/>
              </a:solidFill>
            </a:rPr>
            <a:t> y Dyfodol</a:t>
          </a:r>
          <a:endParaRPr lang="en-GB" sz="1100">
            <a:solidFill>
              <a:sysClr val="windowText" lastClr="000000"/>
            </a:solidFill>
          </a:endParaRPr>
        </a:p>
      </xdr:txBody>
    </xdr:sp>
    <xdr:clientData/>
  </xdr:twoCellAnchor>
  <xdr:twoCellAnchor>
    <xdr:from>
      <xdr:col>11</xdr:col>
      <xdr:colOff>804332</xdr:colOff>
      <xdr:row>4</xdr:row>
      <xdr:rowOff>63499</xdr:rowOff>
    </xdr:from>
    <xdr:to>
      <xdr:col>13</xdr:col>
      <xdr:colOff>656166</xdr:colOff>
      <xdr:row>7</xdr:row>
      <xdr:rowOff>20819</xdr:rowOff>
    </xdr:to>
    <xdr:sp macro="" textlink="">
      <xdr:nvSpPr>
        <xdr:cNvPr id="23" name="Rectangle 22">
          <a:hlinkClick xmlns:r="http://schemas.openxmlformats.org/officeDocument/2006/relationships" r:id="rId6"/>
        </xdr:cNvPr>
        <xdr:cNvSpPr/>
      </xdr:nvSpPr>
      <xdr:spPr>
        <a:xfrm>
          <a:off x="12546627" y="1271040"/>
          <a:ext cx="1663146" cy="644369"/>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Amcanestyniadau Aelwydydd</a:t>
          </a:r>
          <a:endParaRPr lang="en-GB" sz="1100">
            <a:solidFill>
              <a:sysClr val="windowText" lastClr="000000"/>
            </a:solidFill>
          </a:endParaRPr>
        </a:p>
      </xdr:txBody>
    </xdr:sp>
    <xdr:clientData/>
  </xdr:twoCellAnchor>
  <xdr:twoCellAnchor>
    <xdr:from>
      <xdr:col>10</xdr:col>
      <xdr:colOff>0</xdr:colOff>
      <xdr:row>7</xdr:row>
      <xdr:rowOff>75821</xdr:rowOff>
    </xdr:from>
    <xdr:to>
      <xdr:col>11</xdr:col>
      <xdr:colOff>719666</xdr:colOff>
      <xdr:row>10</xdr:row>
      <xdr:rowOff>3818</xdr:rowOff>
    </xdr:to>
    <xdr:sp macro="" textlink="">
      <xdr:nvSpPr>
        <xdr:cNvPr id="24" name="Rectangle 23">
          <a:hlinkClick xmlns:r="http://schemas.openxmlformats.org/officeDocument/2006/relationships" r:id="rId7"/>
        </xdr:cNvPr>
        <xdr:cNvSpPr/>
      </xdr:nvSpPr>
      <xdr:spPr>
        <a:xfrm>
          <a:off x="10836639" y="1970411"/>
          <a:ext cx="1625322" cy="61504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Angen Presennol Nas Diwallwyd</a:t>
          </a:r>
          <a:endParaRPr lang="en-GB" sz="1100">
            <a:solidFill>
              <a:sysClr val="windowText" lastClr="000000"/>
            </a:solidFill>
          </a:endParaRPr>
        </a:p>
      </xdr:txBody>
    </xdr:sp>
    <xdr:clientData/>
  </xdr:twoCellAnchor>
  <xdr:twoCellAnchor>
    <xdr:from>
      <xdr:col>11</xdr:col>
      <xdr:colOff>804334</xdr:colOff>
      <xdr:row>7</xdr:row>
      <xdr:rowOff>65411</xdr:rowOff>
    </xdr:from>
    <xdr:to>
      <xdr:col>13</xdr:col>
      <xdr:colOff>656168</xdr:colOff>
      <xdr:row>9</xdr:row>
      <xdr:rowOff>305703</xdr:rowOff>
    </xdr:to>
    <xdr:sp macro="" textlink="">
      <xdr:nvSpPr>
        <xdr:cNvPr id="25" name="Rectangle 24">
          <a:hlinkClick xmlns:r="http://schemas.openxmlformats.org/officeDocument/2006/relationships" r:id="rId8"/>
        </xdr:cNvPr>
        <xdr:cNvSpPr/>
      </xdr:nvSpPr>
      <xdr:spPr>
        <a:xfrm>
          <a:off x="12546629" y="1960001"/>
          <a:ext cx="1663146" cy="61504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Incwm (De-ddwyrain Cymru)</a:t>
          </a:r>
        </a:p>
      </xdr:txBody>
    </xdr:sp>
    <xdr:clientData/>
  </xdr:twoCellAnchor>
  <xdr:twoCellAnchor>
    <xdr:from>
      <xdr:col>10</xdr:col>
      <xdr:colOff>0</xdr:colOff>
      <xdr:row>10</xdr:row>
      <xdr:rowOff>31751</xdr:rowOff>
    </xdr:from>
    <xdr:to>
      <xdr:col>11</xdr:col>
      <xdr:colOff>719666</xdr:colOff>
      <xdr:row>13</xdr:row>
      <xdr:rowOff>1</xdr:rowOff>
    </xdr:to>
    <xdr:sp macro="" textlink="">
      <xdr:nvSpPr>
        <xdr:cNvPr id="26" name="Rectangle 25">
          <a:hlinkClick xmlns:r="http://schemas.openxmlformats.org/officeDocument/2006/relationships" r:id="rId9"/>
        </xdr:cNvPr>
        <xdr:cNvSpPr/>
      </xdr:nvSpPr>
      <xdr:spPr>
        <a:xfrm>
          <a:off x="10350500" y="2656418"/>
          <a:ext cx="1587499" cy="64558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Prisiau Tai (De-ddwyrain Cymru)</a:t>
          </a:r>
        </a:p>
      </xdr:txBody>
    </xdr:sp>
    <xdr:clientData/>
  </xdr:twoCellAnchor>
  <xdr:twoCellAnchor>
    <xdr:from>
      <xdr:col>11</xdr:col>
      <xdr:colOff>814917</xdr:colOff>
      <xdr:row>10</xdr:row>
      <xdr:rowOff>31750</xdr:rowOff>
    </xdr:from>
    <xdr:to>
      <xdr:col>13</xdr:col>
      <xdr:colOff>666751</xdr:colOff>
      <xdr:row>13</xdr:row>
      <xdr:rowOff>1</xdr:rowOff>
    </xdr:to>
    <xdr:sp macro="" textlink="">
      <xdr:nvSpPr>
        <xdr:cNvPr id="27" name="Rectangle 26">
          <a:hlinkClick xmlns:r="http://schemas.openxmlformats.org/officeDocument/2006/relationships" r:id="rId10"/>
        </xdr:cNvPr>
        <xdr:cNvSpPr/>
      </xdr:nvSpPr>
      <xdr:spPr>
        <a:xfrm>
          <a:off x="12033250" y="2656417"/>
          <a:ext cx="1587501" cy="645584"/>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CLICIWCH i fynd</a:t>
          </a:r>
          <a:r>
            <a:rPr lang="en-GB" sz="1100" baseline="0">
              <a:solidFill>
                <a:sysClr val="windowText" lastClr="000000"/>
              </a:solidFill>
            </a:rPr>
            <a:t> i </a:t>
          </a:r>
          <a:r>
            <a:rPr lang="en-GB" sz="1100" b="1" baseline="0">
              <a:solidFill>
                <a:sysClr val="windowText" lastClr="000000"/>
              </a:solidFill>
            </a:rPr>
            <a:t>Prisiau Rhenti</a:t>
          </a:r>
          <a:endParaRPr lang="en-GB" sz="1100" b="1">
            <a:solidFill>
              <a:sysClr val="windowText" lastClr="000000"/>
            </a:solidFill>
          </a:endParaRPr>
        </a:p>
      </xdr:txBody>
    </xdr:sp>
    <xdr:clientData/>
  </xdr:twoCellAnchor>
  <xdr:twoCellAnchor>
    <xdr:from>
      <xdr:col>10</xdr:col>
      <xdr:colOff>0</xdr:colOff>
      <xdr:row>13</xdr:row>
      <xdr:rowOff>84668</xdr:rowOff>
    </xdr:from>
    <xdr:to>
      <xdr:col>11</xdr:col>
      <xdr:colOff>719666</xdr:colOff>
      <xdr:row>14</xdr:row>
      <xdr:rowOff>190501</xdr:rowOff>
    </xdr:to>
    <xdr:sp macro="" textlink="">
      <xdr:nvSpPr>
        <xdr:cNvPr id="28" name="Rectangle 27">
          <a:hlinkClick xmlns:r="http://schemas.openxmlformats.org/officeDocument/2006/relationships" r:id="rId11"/>
        </xdr:cNvPr>
        <xdr:cNvSpPr/>
      </xdr:nvSpPr>
      <xdr:spPr>
        <a:xfrm>
          <a:off x="10350500" y="3386668"/>
          <a:ext cx="1587499" cy="47625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Rhagdybiaeth Blynyddol</a:t>
          </a:r>
        </a:p>
      </xdr:txBody>
    </xdr:sp>
    <xdr:clientData/>
  </xdr:twoCellAnchor>
  <xdr:twoCellAnchor>
    <xdr:from>
      <xdr:col>10</xdr:col>
      <xdr:colOff>1</xdr:colOff>
      <xdr:row>4</xdr:row>
      <xdr:rowOff>63501</xdr:rowOff>
    </xdr:from>
    <xdr:to>
      <xdr:col>11</xdr:col>
      <xdr:colOff>719667</xdr:colOff>
      <xdr:row>7</xdr:row>
      <xdr:rowOff>31230</xdr:rowOff>
    </xdr:to>
    <xdr:sp macro="" textlink="">
      <xdr:nvSpPr>
        <xdr:cNvPr id="29" name="Rectangle 28">
          <a:hlinkClick xmlns:r="http://schemas.openxmlformats.org/officeDocument/2006/relationships" r:id="rId12"/>
        </xdr:cNvPr>
        <xdr:cNvSpPr/>
      </xdr:nvSpPr>
      <xdr:spPr>
        <a:xfrm>
          <a:off x="10836640" y="1271042"/>
          <a:ext cx="1625322" cy="65477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Canllawiau ar Newidynnau</a:t>
          </a:r>
          <a:endParaRPr lang="en-GB" sz="1100">
            <a:solidFill>
              <a:sysClr val="windowText" lastClr="000000"/>
            </a:solidFill>
          </a:endParaRPr>
        </a:p>
      </xdr:txBody>
    </xdr:sp>
    <xdr:clientData/>
  </xdr:twoCellAnchor>
  <xdr:twoCellAnchor>
    <xdr:from>
      <xdr:col>10</xdr:col>
      <xdr:colOff>7055</xdr:colOff>
      <xdr:row>14</xdr:row>
      <xdr:rowOff>359832</xdr:rowOff>
    </xdr:from>
    <xdr:to>
      <xdr:col>11</xdr:col>
      <xdr:colOff>719666</xdr:colOff>
      <xdr:row>16</xdr:row>
      <xdr:rowOff>282222</xdr:rowOff>
    </xdr:to>
    <xdr:sp macro="" textlink="">
      <xdr:nvSpPr>
        <xdr:cNvPr id="15" name="Rectangle 14">
          <a:hlinkClick xmlns:r="http://schemas.openxmlformats.org/officeDocument/2006/relationships" r:id="rId13"/>
        </xdr:cNvPr>
        <xdr:cNvSpPr/>
      </xdr:nvSpPr>
      <xdr:spPr>
        <a:xfrm>
          <a:off x="10851444" y="3993443"/>
          <a:ext cx="1622778" cy="508001"/>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weld y </a:t>
          </a:r>
          <a:r>
            <a:rPr lang="en-GB" sz="1100" b="1">
              <a:solidFill>
                <a:sysClr val="windowText" lastClr="000000"/>
              </a:solidFill>
            </a:rPr>
            <a:t>Map Rhanbarthol</a:t>
          </a:r>
        </a:p>
      </xdr:txBody>
    </xdr:sp>
    <xdr:clientData/>
  </xdr:twoCellAnchor>
  <xdr:twoCellAnchor>
    <xdr:from>
      <xdr:col>11</xdr:col>
      <xdr:colOff>836084</xdr:colOff>
      <xdr:row>14</xdr:row>
      <xdr:rowOff>338667</xdr:rowOff>
    </xdr:from>
    <xdr:to>
      <xdr:col>13</xdr:col>
      <xdr:colOff>696382</xdr:colOff>
      <xdr:row>16</xdr:row>
      <xdr:rowOff>266701</xdr:rowOff>
    </xdr:to>
    <xdr:sp macro="" textlink="">
      <xdr:nvSpPr>
        <xdr:cNvPr id="16" name="Rectangle 15">
          <a:hlinkClick xmlns:r="http://schemas.openxmlformats.org/officeDocument/2006/relationships" r:id="rId14"/>
        </xdr:cNvPr>
        <xdr:cNvSpPr/>
      </xdr:nvSpPr>
      <xdr:spPr>
        <a:xfrm>
          <a:off x="12054417" y="4011084"/>
          <a:ext cx="1595965" cy="52070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weld </a:t>
          </a:r>
          <a:r>
            <a:rPr lang="en-GB" sz="1100" b="1">
              <a:solidFill>
                <a:sysClr val="windowText" lastClr="000000"/>
              </a:solidFill>
            </a:rPr>
            <a:t>Cyngor ar ddefnyddio'r adnodd</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0</xdr:colOff>
      <xdr:row>1</xdr:row>
      <xdr:rowOff>190499</xdr:rowOff>
    </xdr:from>
    <xdr:to>
      <xdr:col>13</xdr:col>
      <xdr:colOff>368300</xdr:colOff>
      <xdr:row>6</xdr:row>
      <xdr:rowOff>105832</xdr:rowOff>
    </xdr:to>
    <xdr:sp macro="" textlink="">
      <xdr:nvSpPr>
        <xdr:cNvPr id="2" name="Rectangle 1">
          <a:hlinkClick xmlns:r="http://schemas.openxmlformats.org/officeDocument/2006/relationships" r:id="rId1"/>
        </xdr:cNvPr>
        <xdr:cNvSpPr/>
      </xdr:nvSpPr>
      <xdr:spPr>
        <a:xfrm>
          <a:off x="10731500" y="380999"/>
          <a:ext cx="1595967" cy="67733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Rhaniad y Ddeiliadaeth (Cymru)</a:t>
          </a:r>
          <a:endParaRPr lang="en-GB" sz="1100">
            <a:solidFill>
              <a:sysClr val="windowText" lastClr="000000"/>
            </a:solidFill>
          </a:endParaRPr>
        </a:p>
      </xdr:txBody>
    </xdr:sp>
    <xdr:clientData/>
  </xdr:twoCellAnchor>
  <xdr:twoCellAnchor>
    <xdr:from>
      <xdr:col>11</xdr:col>
      <xdr:colOff>1</xdr:colOff>
      <xdr:row>7</xdr:row>
      <xdr:rowOff>52916</xdr:rowOff>
    </xdr:from>
    <xdr:to>
      <xdr:col>13</xdr:col>
      <xdr:colOff>368301</xdr:colOff>
      <xdr:row>11</xdr:row>
      <xdr:rowOff>158749</xdr:rowOff>
    </xdr:to>
    <xdr:sp macro="" textlink="">
      <xdr:nvSpPr>
        <xdr:cNvPr id="3" name="Rectangle 2">
          <a:hlinkClick xmlns:r="http://schemas.openxmlformats.org/officeDocument/2006/relationships" r:id="rId2"/>
        </xdr:cNvPr>
        <xdr:cNvSpPr/>
      </xdr:nvSpPr>
      <xdr:spPr>
        <a:xfrm>
          <a:off x="10731501" y="1195916"/>
          <a:ext cx="1595967" cy="67733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Rhaniad</a:t>
          </a:r>
          <a:r>
            <a:rPr lang="en-GB" sz="1100" b="1" baseline="0">
              <a:solidFill>
                <a:sysClr val="windowText" lastClr="000000"/>
              </a:solidFill>
            </a:rPr>
            <a:t> y Ddeiliadaeth (Canolbarth)</a:t>
          </a:r>
          <a:endParaRPr lang="en-GB" sz="1100">
            <a:solidFill>
              <a:sysClr val="windowText" lastClr="000000"/>
            </a:solidFill>
          </a:endParaRPr>
        </a:p>
      </xdr:txBody>
    </xdr:sp>
    <xdr:clientData/>
  </xdr:twoCellAnchor>
  <xdr:twoCellAnchor>
    <xdr:from>
      <xdr:col>13</xdr:col>
      <xdr:colOff>501649</xdr:colOff>
      <xdr:row>2</xdr:row>
      <xdr:rowOff>4232</xdr:rowOff>
    </xdr:from>
    <xdr:to>
      <xdr:col>16</xdr:col>
      <xdr:colOff>256116</xdr:colOff>
      <xdr:row>6</xdr:row>
      <xdr:rowOff>105833</xdr:rowOff>
    </xdr:to>
    <xdr:sp macro="" textlink="">
      <xdr:nvSpPr>
        <xdr:cNvPr id="4" name="Rectangle 3">
          <a:hlinkClick xmlns:r="http://schemas.openxmlformats.org/officeDocument/2006/relationships" r:id="rId3"/>
        </xdr:cNvPr>
        <xdr:cNvSpPr/>
      </xdr:nvSpPr>
      <xdr:spPr>
        <a:xfrm>
          <a:off x="12460816" y="385232"/>
          <a:ext cx="1595967" cy="673101"/>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Rhaniad y Ddeiliadaeth (Gogledd)</a:t>
          </a:r>
          <a:endParaRPr lang="en-GB" sz="1100">
            <a:solidFill>
              <a:sysClr val="windowText" lastClr="000000"/>
            </a:solidFill>
          </a:endParaRPr>
        </a:p>
      </xdr:txBody>
    </xdr:sp>
    <xdr:clientData/>
  </xdr:twoCellAnchor>
  <xdr:twoCellAnchor>
    <xdr:from>
      <xdr:col>13</xdr:col>
      <xdr:colOff>484716</xdr:colOff>
      <xdr:row>7</xdr:row>
      <xdr:rowOff>61382</xdr:rowOff>
    </xdr:from>
    <xdr:to>
      <xdr:col>16</xdr:col>
      <xdr:colOff>239183</xdr:colOff>
      <xdr:row>11</xdr:row>
      <xdr:rowOff>158749</xdr:rowOff>
    </xdr:to>
    <xdr:sp macro="" textlink="">
      <xdr:nvSpPr>
        <xdr:cNvPr id="5" name="Rectangle 4">
          <a:hlinkClick xmlns:r="http://schemas.openxmlformats.org/officeDocument/2006/relationships" r:id="rId4"/>
        </xdr:cNvPr>
        <xdr:cNvSpPr/>
      </xdr:nvSpPr>
      <xdr:spPr>
        <a:xfrm>
          <a:off x="12443883" y="1204382"/>
          <a:ext cx="1595967" cy="668867"/>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CLICIWCH i fynd i </a:t>
          </a:r>
          <a:r>
            <a:rPr lang="en-GB" sz="1100" b="1">
              <a:solidFill>
                <a:sysClr val="windowText" lastClr="000000"/>
              </a:solidFill>
            </a:rPr>
            <a:t>Rhaniad y Ddeiliadaeth (De-ddwyrain)</a:t>
          </a:r>
          <a:endParaRPr lang="en-GB" sz="1100">
            <a:solidFill>
              <a:sysClr val="windowText" lastClr="000000"/>
            </a:solidFill>
          </a:endParaRPr>
        </a:p>
      </xdr:txBody>
    </xdr:sp>
    <xdr:clientData/>
  </xdr:twoCellAnchor>
  <xdr:twoCellAnchor>
    <xdr:from>
      <xdr:col>11</xdr:col>
      <xdr:colOff>0</xdr:colOff>
      <xdr:row>13</xdr:row>
      <xdr:rowOff>0</xdr:rowOff>
    </xdr:from>
    <xdr:to>
      <xdr:col>13</xdr:col>
      <xdr:colOff>388056</xdr:colOff>
      <xdr:row>17</xdr:row>
      <xdr:rowOff>0</xdr:rowOff>
    </xdr:to>
    <xdr:sp macro="" textlink="">
      <xdr:nvSpPr>
        <xdr:cNvPr id="7" name="Rectangle 6">
          <a:hlinkClick xmlns:r="http://schemas.openxmlformats.org/officeDocument/2006/relationships" r:id="rId5"/>
        </xdr:cNvPr>
        <xdr:cNvSpPr/>
      </xdr:nvSpPr>
      <xdr:spPr>
        <a:xfrm>
          <a:off x="10512778" y="2017889"/>
          <a:ext cx="1601611" cy="649111"/>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CLICIWCH</a:t>
          </a:r>
          <a:r>
            <a:rPr lang="en-GB" sz="1100" baseline="0">
              <a:solidFill>
                <a:sysClr val="windowText" lastClr="000000"/>
              </a:solidFill>
            </a:rPr>
            <a:t> i fynd i </a:t>
          </a:r>
          <a:r>
            <a:rPr lang="en-GB" sz="1100" b="1" baseline="0">
              <a:solidFill>
                <a:sysClr val="windowText" lastClr="000000"/>
              </a:solidFill>
            </a:rPr>
            <a:t>Rhaniad y Ddeiliadaeth (De-orllewin)</a:t>
          </a:r>
          <a:endParaRPr lang="en-GB" sz="1100">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llyw.cymru/angen-ar-galw-am-dai-sail-2018" TargetMode="External"/><Relationship Id="rId2" Type="http://schemas.openxmlformats.org/officeDocument/2006/relationships/hyperlink" Target="https://llyw.cymru/amcangyfrifon-or-angen-am-dai-yng-nghymru-fesul-deiliadaeth-sail-2018" TargetMode="External"/><Relationship Id="rId1" Type="http://schemas.openxmlformats.org/officeDocument/2006/relationships/hyperlink" Target="mailto:ystadegau.tai@llyw.cymru?subject=Estimates%20of%20Housing%20Need%20-%20Excel%20Tool" TargetMode="External"/><Relationship Id="rId6" Type="http://schemas.openxmlformats.org/officeDocument/2006/relationships/drawing" Target="../drawings/drawing1.xml"/><Relationship Id="rId5" Type="http://schemas.openxmlformats.org/officeDocument/2006/relationships/printerSettings" Target="../printerSettings/printerSettings2.bin"/><Relationship Id="rId4" Type="http://schemas.openxmlformats.org/officeDocument/2006/relationships/hyperlink" Target="https://llyw.cymru/amcangyfrifon-or-angen-am-dai-sail-2019"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ukfinance.org.uk/data-and-research/data/mortgages/regional-lending-trends" TargetMode="External"/><Relationship Id="rId3" Type="http://schemas.openxmlformats.org/officeDocument/2006/relationships/hyperlink" Target="https://obr.uk/download/march-2020-economic-and-fiscal-outlook-supplementary-economy-tables/" TargetMode="External"/><Relationship Id="rId7" Type="http://schemas.openxmlformats.org/officeDocument/2006/relationships/hyperlink" Target="http://landregistry.data.gov.uk/app/ppd/" TargetMode="External"/><Relationship Id="rId2" Type="http://schemas.openxmlformats.org/officeDocument/2006/relationships/hyperlink" Target="https://obr.uk/download/march-2020-economic-and-fiscal-outlook-supplementary-economy-tables/" TargetMode="External"/><Relationship Id="rId1" Type="http://schemas.openxmlformats.org/officeDocument/2006/relationships/hyperlink" Target="https://eur01.safelinks.protection.outlook.com/?url=https%3A%2F%2Fobr.uk%2Fdocs%2FDevolvedTaxesMarch2020v2.pdf&amp;data=02%7C01%7CRhiannon.Jones086%40gov.wales%7C39c339b27577490aac2b08d7c752acb6%7Ca2cc36c592804ae78887d06dab89216b%7C0%7C0%7C637197030200413378&amp;sdata=RaIVL1eHqJi6VZudBFnFg3cvxNBrAv0SS5Rq%2FpdoHLk%3D&amp;reserved=0" TargetMode="External"/><Relationship Id="rId6" Type="http://schemas.openxmlformats.org/officeDocument/2006/relationships/hyperlink" Target="https://llyw.cymru/rhenti-yn-y-sector-preifat-2018" TargetMode="External"/><Relationship Id="rId5" Type="http://schemas.openxmlformats.org/officeDocument/2006/relationships/hyperlink" Target="https://llyw.cymru/amcanestyniadau-genedlaethol-o-aelwydydd-sail-2018" TargetMode="External"/><Relationship Id="rId10" Type="http://schemas.openxmlformats.org/officeDocument/2006/relationships/drawing" Target="../drawings/drawing3.xml"/><Relationship Id="rId4" Type="http://schemas.openxmlformats.org/officeDocument/2006/relationships/hyperlink" Target="https://obr.uk/download/march-2020-economic-and-fiscal-outlook-supplementary-economy-tables/" TargetMode="Externa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H12"/>
  <sheetViews>
    <sheetView topLeftCell="A4" workbookViewId="0">
      <selection activeCell="C7" sqref="C7"/>
    </sheetView>
  </sheetViews>
  <sheetFormatPr defaultRowHeight="14.5" x14ac:dyDescent="0.35"/>
  <cols>
    <col min="2" max="2" width="28.81640625" customWidth="1"/>
    <col min="3" max="3" width="10.453125" bestFit="1" customWidth="1"/>
    <col min="4" max="4" width="4.1796875" style="1" customWidth="1"/>
    <col min="5" max="5" width="10.453125" customWidth="1"/>
    <col min="6" max="6" width="14.54296875" style="1" customWidth="1"/>
    <col min="7" max="7" width="79" customWidth="1"/>
    <col min="8" max="8" width="12.54296875" style="1" customWidth="1"/>
    <col min="9" max="9" width="69.453125" customWidth="1"/>
  </cols>
  <sheetData>
    <row r="1" spans="2:8" x14ac:dyDescent="0.35">
      <c r="B1" s="111" t="s">
        <v>25</v>
      </c>
      <c r="H1"/>
    </row>
    <row r="2" spans="2:8" x14ac:dyDescent="0.35">
      <c r="H2"/>
    </row>
    <row r="3" spans="2:8" x14ac:dyDescent="0.35">
      <c r="B3" s="3" t="s">
        <v>11</v>
      </c>
      <c r="C3" s="3" t="s">
        <v>19</v>
      </c>
      <c r="D3" s="3"/>
      <c r="H3"/>
    </row>
    <row r="4" spans="2:8" x14ac:dyDescent="0.35">
      <c r="B4" t="s">
        <v>12</v>
      </c>
      <c r="C4" s="283">
        <v>43907</v>
      </c>
      <c r="D4" s="283"/>
      <c r="E4" s="241"/>
      <c r="F4" s="241"/>
      <c r="G4" s="241"/>
      <c r="H4"/>
    </row>
    <row r="5" spans="2:8" x14ac:dyDescent="0.35">
      <c r="H5"/>
    </row>
    <row r="6" spans="2:8" x14ac:dyDescent="0.35">
      <c r="B6" s="3" t="s">
        <v>13</v>
      </c>
      <c r="H6"/>
    </row>
    <row r="7" spans="2:8" x14ac:dyDescent="0.35">
      <c r="B7" t="s">
        <v>14</v>
      </c>
      <c r="C7" s="260" t="s">
        <v>0</v>
      </c>
      <c r="D7" s="260"/>
      <c r="H7"/>
    </row>
    <row r="8" spans="2:8" x14ac:dyDescent="0.35">
      <c r="B8" t="s">
        <v>15</v>
      </c>
      <c r="C8" s="260" t="s">
        <v>1</v>
      </c>
      <c r="D8" s="260"/>
      <c r="H8"/>
    </row>
    <row r="9" spans="2:8" x14ac:dyDescent="0.35">
      <c r="B9" s="1" t="s">
        <v>16</v>
      </c>
      <c r="C9" s="260" t="s">
        <v>2</v>
      </c>
      <c r="D9" s="260"/>
      <c r="H9"/>
    </row>
    <row r="10" spans="2:8" x14ac:dyDescent="0.35">
      <c r="B10" s="1" t="s">
        <v>17</v>
      </c>
      <c r="C10" s="260" t="s">
        <v>3</v>
      </c>
      <c r="D10" s="260"/>
      <c r="H10"/>
    </row>
    <row r="11" spans="2:8" x14ac:dyDescent="0.35">
      <c r="B11" s="1" t="s">
        <v>18</v>
      </c>
      <c r="C11" s="260" t="s">
        <v>20</v>
      </c>
      <c r="D11" s="260"/>
      <c r="H11"/>
    </row>
    <row r="12" spans="2:8" x14ac:dyDescent="0.35">
      <c r="H1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5"/>
  </sheetPr>
  <dimension ref="B1:P62"/>
  <sheetViews>
    <sheetView showGridLines="0" zoomScale="60" zoomScaleNormal="60" workbookViewId="0"/>
  </sheetViews>
  <sheetFormatPr defaultColWidth="9.1796875" defaultRowHeight="14.5" x14ac:dyDescent="0.35"/>
  <cols>
    <col min="1" max="1" width="1.7265625" style="1" customWidth="1"/>
    <col min="2" max="2" width="68.54296875" style="1" customWidth="1"/>
    <col min="3" max="7" width="11.54296875" style="1" bestFit="1" customWidth="1"/>
    <col min="8" max="8" width="9.1796875" style="1"/>
    <col min="9" max="9" width="9.1796875" style="12"/>
    <col min="10" max="16384" width="9.1796875" style="1"/>
  </cols>
  <sheetData>
    <row r="1" spans="2:9" ht="21" x14ac:dyDescent="0.5">
      <c r="B1" s="293" t="s">
        <v>140</v>
      </c>
    </row>
    <row r="3" spans="2:9" ht="15" customHeight="1" x14ac:dyDescent="0.35">
      <c r="B3" s="526" t="s">
        <v>181</v>
      </c>
      <c r="C3" s="527"/>
      <c r="D3" s="527"/>
      <c r="E3" s="527"/>
      <c r="F3" s="527"/>
      <c r="G3" s="528"/>
      <c r="H3" s="121"/>
      <c r="I3" s="121"/>
    </row>
    <row r="4" spans="2:9" x14ac:dyDescent="0.35">
      <c r="B4" s="529"/>
      <c r="C4" s="530"/>
      <c r="D4" s="530"/>
      <c r="E4" s="530"/>
      <c r="F4" s="530"/>
      <c r="G4" s="531"/>
      <c r="H4" s="121"/>
      <c r="I4" s="121"/>
    </row>
    <row r="5" spans="2:9" x14ac:dyDescent="0.35">
      <c r="B5" s="529"/>
      <c r="C5" s="530"/>
      <c r="D5" s="530"/>
      <c r="E5" s="530"/>
      <c r="F5" s="530"/>
      <c r="G5" s="531"/>
      <c r="H5" s="121"/>
      <c r="I5" s="121"/>
    </row>
    <row r="6" spans="2:9" x14ac:dyDescent="0.35">
      <c r="B6" s="532"/>
      <c r="C6" s="533"/>
      <c r="D6" s="533"/>
      <c r="E6" s="533"/>
      <c r="F6" s="533"/>
      <c r="G6" s="534"/>
      <c r="H6" s="146"/>
      <c r="I6" s="146"/>
    </row>
    <row r="7" spans="2:9" x14ac:dyDescent="0.35">
      <c r="B7" s="146"/>
      <c r="C7" s="146"/>
      <c r="D7" s="146"/>
      <c r="E7" s="146"/>
      <c r="F7" s="146"/>
      <c r="G7" s="146"/>
      <c r="H7" s="146"/>
      <c r="I7" s="146"/>
    </row>
    <row r="8" spans="2:9" ht="18.5" x14ac:dyDescent="0.35">
      <c r="B8" s="172" t="s">
        <v>182</v>
      </c>
      <c r="C8" s="173"/>
      <c r="D8" s="173"/>
      <c r="E8" s="173"/>
      <c r="F8" s="173"/>
      <c r="G8" s="174"/>
      <c r="H8" s="146"/>
      <c r="I8" s="146"/>
    </row>
    <row r="9" spans="2:9" ht="18.5" x14ac:dyDescent="0.35">
      <c r="B9" s="206"/>
      <c r="C9" s="146">
        <v>1</v>
      </c>
      <c r="D9" s="146">
        <v>2</v>
      </c>
      <c r="E9" s="146">
        <v>3</v>
      </c>
      <c r="F9" s="146">
        <v>4</v>
      </c>
      <c r="G9" s="207">
        <v>5</v>
      </c>
      <c r="H9" s="146"/>
      <c r="I9" s="146"/>
    </row>
    <row r="10" spans="2:9" x14ac:dyDescent="0.35">
      <c r="B10" s="15"/>
      <c r="C10" s="175" t="str">
        <f>Year1</f>
        <v>2019/20</v>
      </c>
      <c r="D10" s="175" t="str">
        <f>Year2</f>
        <v>2020/21</v>
      </c>
      <c r="E10" s="175" t="str">
        <f>Year3</f>
        <v>2021/22</v>
      </c>
      <c r="F10" s="175" t="str">
        <f>Year4</f>
        <v>2022/23</v>
      </c>
      <c r="G10" s="176" t="str">
        <f>Year5</f>
        <v>2023/24</v>
      </c>
    </row>
    <row r="11" spans="2:9" x14ac:dyDescent="0.35">
      <c r="B11" s="251" t="s">
        <v>363</v>
      </c>
      <c r="C11" s="276">
        <f t="array" ref="C11">INDEX('Angen o''r Newydd'!D8:D27,MATCH(1,($B$1='Angen o''r Newydd'!$C$8:$C$27)*('Rhaniad y Ddeiliadaeth (Cymru)'!$D$6='Angen o''r Newydd'!$B$8:$B$27),0))</f>
        <v>5947.8763732910156</v>
      </c>
      <c r="D11" s="276">
        <f t="array" ref="D11">INDEX('Angen o''r Newydd'!E8:E27,MATCH(1,($B$1='Angen o''r Newydd'!$C$8:$C$27)*('Rhaniad y Ddeiliadaeth (Cymru)'!$D$6='Angen o''r Newydd'!$B$8:$B$27),0))</f>
        <v>6080.2444610595703</v>
      </c>
      <c r="E11" s="276">
        <f t="array" ref="E11">INDEX('Angen o''r Newydd'!F8:F27,MATCH(1,($B$1='Angen o''r Newydd'!$C$8:$C$27)*('Rhaniad y Ddeiliadaeth (Cymru)'!$D$6='Angen o''r Newydd'!$B$8:$B$27),0))</f>
        <v>6564.0897216796875</v>
      </c>
      <c r="F11" s="276">
        <f t="array" ref="F11">INDEX('Angen o''r Newydd'!G8:G27,MATCH(1,($B$1='Angen o''r Newydd'!$C$8:$C$27)*('Rhaniad y Ddeiliadaeth (Cymru)'!$D$6='Angen o''r Newydd'!$B$8:$B$27),0))</f>
        <v>6305.722053527832</v>
      </c>
      <c r="G11" s="277">
        <f t="array" ref="G11">INDEX('Angen o''r Newydd'!H8:H27,MATCH(1,($B$1='Angen o''r Newydd'!$C$8:$C$27)*('Rhaniad y Ddeiliadaeth (Cymru)'!$D$6='Angen o''r Newydd'!$B$8:$B$27),0))</f>
        <v>6201.7572574615479</v>
      </c>
      <c r="H11" s="321"/>
      <c r="I11" s="330"/>
    </row>
    <row r="12" spans="2:9" x14ac:dyDescent="0.35">
      <c r="B12" s="251" t="s">
        <v>165</v>
      </c>
      <c r="C12" s="276">
        <f>IF('Angen Presennol Nas Diwallwyd'!$C$29&gt;='Cyfrifiadau - Cymru'!C9,IF('Rhaniad y Ddeiliadaeth (Cymru)'!$D$7="Amcangyfrifon LlC",'Angen Presennol Nas Diwallwyd'!$C$13/'Angen Presennol Nas Diwallwyd'!$C$29,'Angen Presennol Nas Diwallwyd'!$C$20/'Angen Presennol Nas Diwallwyd'!$C$29),0)</f>
        <v>1146.4000000000001</v>
      </c>
      <c r="D12" s="276">
        <f>IF('Angen Presennol Nas Diwallwyd'!$C$29&gt;='Cyfrifiadau - Cymru'!D9,IF('Rhaniad y Ddeiliadaeth (Cymru)'!$D$7="Amcangyfrifon LlC",'Angen Presennol Nas Diwallwyd'!$C$13/'Angen Presennol Nas Diwallwyd'!$C$29,'Angen Presennol Nas Diwallwyd'!$C$20/'Angen Presennol Nas Diwallwyd'!$C$29),0)</f>
        <v>1146.4000000000001</v>
      </c>
      <c r="E12" s="276">
        <f>IF('Angen Presennol Nas Diwallwyd'!$C$29&gt;='Cyfrifiadau - Cymru'!E9,IF('Rhaniad y Ddeiliadaeth (Cymru)'!$D$7="Amcangyfrifon LlC",'Angen Presennol Nas Diwallwyd'!$C$13/'Angen Presennol Nas Diwallwyd'!$C$29,'Angen Presennol Nas Diwallwyd'!$C$20/'Angen Presennol Nas Diwallwyd'!$C$29),0)</f>
        <v>1146.4000000000001</v>
      </c>
      <c r="F12" s="276">
        <f>IF('Angen Presennol Nas Diwallwyd'!$C$29&gt;='Cyfrifiadau - Cymru'!F9,IF('Rhaniad y Ddeiliadaeth (Cymru)'!$D$7="Amcangyfrifon LlC",'Angen Presennol Nas Diwallwyd'!$C$13/'Angen Presennol Nas Diwallwyd'!$C$29,'Angen Presennol Nas Diwallwyd'!$C$20/'Angen Presennol Nas Diwallwyd'!$C$29),0)</f>
        <v>1146.4000000000001</v>
      </c>
      <c r="G12" s="277">
        <f>IF('Angen Presennol Nas Diwallwyd'!$C$29&gt;='Cyfrifiadau - Cymru'!G9,IF('Rhaniad y Ddeiliadaeth (Cymru)'!$D$7="Amcangyfrifon LlC",'Angen Presennol Nas Diwallwyd'!$C$13/'Angen Presennol Nas Diwallwyd'!$C$29,'Angen Presennol Nas Diwallwyd'!$C$20/'Angen Presennol Nas Diwallwyd'!$C$29),0)</f>
        <v>1146.4000000000001</v>
      </c>
      <c r="H12" s="341"/>
    </row>
    <row r="13" spans="2:9" x14ac:dyDescent="0.35">
      <c r="B13" s="253" t="s">
        <v>168</v>
      </c>
      <c r="C13" s="294">
        <f>SUM(C11:C12)</f>
        <v>7094.2763732910153</v>
      </c>
      <c r="D13" s="294">
        <f>SUM(D11:D12)</f>
        <v>7226.6444610595699</v>
      </c>
      <c r="E13" s="294">
        <f>SUM(E11:E12)</f>
        <v>7710.4897216796871</v>
      </c>
      <c r="F13" s="294">
        <f>SUM(F11:F12)</f>
        <v>7452.1220535278317</v>
      </c>
      <c r="G13" s="295">
        <f>SUM(G11:G12)</f>
        <v>7348.1572574615475</v>
      </c>
      <c r="H13" s="2"/>
    </row>
    <row r="14" spans="2:9" x14ac:dyDescent="0.35">
      <c r="C14" s="2"/>
      <c r="D14" s="2"/>
      <c r="E14" s="2"/>
      <c r="F14" s="2"/>
      <c r="G14" s="2"/>
    </row>
    <row r="15" spans="2:9" ht="18.5" x14ac:dyDescent="0.45">
      <c r="B15" s="163" t="s">
        <v>183</v>
      </c>
      <c r="C15" s="164"/>
      <c r="D15" s="164"/>
      <c r="E15" s="164"/>
      <c r="F15" s="164"/>
      <c r="G15" s="165"/>
    </row>
    <row r="16" spans="2:9" x14ac:dyDescent="0.35">
      <c r="B16" s="15"/>
      <c r="C16" s="11"/>
      <c r="D16" s="11"/>
      <c r="E16" s="11"/>
      <c r="F16" s="11"/>
      <c r="G16" s="148"/>
    </row>
    <row r="17" spans="2:16" x14ac:dyDescent="0.35">
      <c r="B17" s="282" t="s">
        <v>306</v>
      </c>
      <c r="C17" s="11"/>
      <c r="D17" s="11"/>
      <c r="E17" s="11"/>
      <c r="F17" s="11"/>
      <c r="G17" s="148"/>
    </row>
    <row r="18" spans="2:16" x14ac:dyDescent="0.35">
      <c r="B18" s="251" t="s">
        <v>184</v>
      </c>
      <c r="C18" s="278">
        <f>'Rhaniad y Ddeiliadaeth (Cymru)'!C112</f>
        <v>6486.0783053073037</v>
      </c>
      <c r="D18" s="278">
        <f>'Rhaniad y Ddeiliadaeth (Cymru)'!D112</f>
        <v>6684.5582928077129</v>
      </c>
      <c r="E18" s="278">
        <f>'Rhaniad y Ddeiliadaeth (Cymru)'!E112</f>
        <v>6893.1994582041734</v>
      </c>
      <c r="F18" s="278">
        <f>'Rhaniad y Ddeiliadaeth (Cymru)'!F112</f>
        <v>7111.8272718366306</v>
      </c>
      <c r="G18" s="279">
        <f>'Rhaniad y Ddeiliadaeth (Cymru)'!G112</f>
        <v>7346.1429192252353</v>
      </c>
    </row>
    <row r="19" spans="2:16" x14ac:dyDescent="0.35">
      <c r="B19" s="251" t="s">
        <v>185</v>
      </c>
      <c r="C19" s="297">
        <f>C18/'Rhaniad y Ddeiliadaeth (Cymru)'!C108</f>
        <v>21620.261017691013</v>
      </c>
      <c r="D19" s="278">
        <f>D18/'Rhaniad y Ddeiliadaeth (Cymru)'!D108</f>
        <v>22281.86097602571</v>
      </c>
      <c r="E19" s="278">
        <f>E18/'Rhaniad y Ddeiliadaeth (Cymru)'!E108</f>
        <v>22977.331527347247</v>
      </c>
      <c r="F19" s="278">
        <f>F18/'Rhaniad y Ddeiliadaeth (Cymru)'!F108</f>
        <v>23706.090906122103</v>
      </c>
      <c r="G19" s="279">
        <f>G18/'Rhaniad y Ddeiliadaeth (Cymru)'!G108</f>
        <v>24487.143064084117</v>
      </c>
    </row>
    <row r="20" spans="2:16" x14ac:dyDescent="0.35">
      <c r="B20" s="251" t="s">
        <v>186</v>
      </c>
      <c r="C20" s="280">
        <f>IFERROR(INDEX('Incwm (Cymru)'!$AC$4:$AC$84,MATCH('Cyfrifiadau - Cymru'!C19,'Incwm (Cymru)'!AD$4:AD$84,1)),10)</f>
        <v>38</v>
      </c>
      <c r="D20" s="280">
        <f>IFERROR(INDEX('Incwm (Cymru)'!$AC$4:$AC$84,MATCH('Cyfrifiadau - Cymru'!D19,'Incwm (Cymru)'!AE$4:AE$84,1)),10)</f>
        <v>38</v>
      </c>
      <c r="E20" s="280">
        <f>IFERROR(INDEX('Incwm (Cymru)'!$AC$4:$AC$84,MATCH('Cyfrifiadau - Cymru'!E19,'Incwm (Cymru)'!AF$4:AF$84,1)),10)</f>
        <v>38</v>
      </c>
      <c r="F20" s="280">
        <f>IFERROR(INDEX('Incwm (Cymru)'!$AC$4:$AC$84,MATCH('Cyfrifiadau - Cymru'!F19,'Incwm (Cymru)'!AG$4:AG$84,1)),10)</f>
        <v>38</v>
      </c>
      <c r="G20" s="281">
        <f>IFERROR(INDEX('Incwm (Cymru)'!$AC$4:$AC$84,MATCH('Cyfrifiadau - Cymru'!G19,'Incwm (Cymru)'!AH$4:AH$84,1)),10)</f>
        <v>38</v>
      </c>
      <c r="P20" s="12"/>
    </row>
    <row r="21" spans="2:16" x14ac:dyDescent="0.35">
      <c r="B21" s="251" t="s">
        <v>364</v>
      </c>
      <c r="C21" s="166">
        <f>(100-C20)/100</f>
        <v>0.62</v>
      </c>
      <c r="D21" s="166">
        <f t="shared" ref="D21:G21" si="0">(100-D20)/100</f>
        <v>0.62</v>
      </c>
      <c r="E21" s="166">
        <f t="shared" si="0"/>
        <v>0.62</v>
      </c>
      <c r="F21" s="166">
        <f t="shared" si="0"/>
        <v>0.62</v>
      </c>
      <c r="G21" s="167">
        <f t="shared" si="0"/>
        <v>0.62</v>
      </c>
    </row>
    <row r="22" spans="2:16" x14ac:dyDescent="0.35">
      <c r="B22" s="251" t="s">
        <v>365</v>
      </c>
      <c r="C22" s="168">
        <f>C21*C11</f>
        <v>3687.6833514404298</v>
      </c>
      <c r="D22" s="168">
        <f>D21*D11</f>
        <v>3769.7515658569337</v>
      </c>
      <c r="E22" s="168">
        <f>E21*E11</f>
        <v>4069.735627441406</v>
      </c>
      <c r="F22" s="168">
        <f>F21*F11</f>
        <v>3909.5476731872559</v>
      </c>
      <c r="G22" s="169">
        <f>G21*G11</f>
        <v>3845.0894996261595</v>
      </c>
    </row>
    <row r="23" spans="2:16" x14ac:dyDescent="0.35">
      <c r="B23" s="251"/>
      <c r="C23" s="11"/>
      <c r="D23" s="11"/>
      <c r="E23" s="11"/>
      <c r="F23" s="11"/>
      <c r="G23" s="148"/>
    </row>
    <row r="24" spans="2:16" x14ac:dyDescent="0.35">
      <c r="B24" s="251"/>
      <c r="C24" s="168"/>
      <c r="D24" s="168"/>
      <c r="E24" s="168"/>
      <c r="F24" s="168"/>
      <c r="G24" s="169"/>
    </row>
    <row r="25" spans="2:16" x14ac:dyDescent="0.35">
      <c r="B25" s="282" t="s">
        <v>188</v>
      </c>
      <c r="C25" s="168"/>
      <c r="D25" s="168"/>
      <c r="E25" s="168"/>
      <c r="F25" s="168"/>
      <c r="G25" s="169"/>
    </row>
    <row r="26" spans="2:16" x14ac:dyDescent="0.35">
      <c r="B26" s="251" t="s">
        <v>189</v>
      </c>
      <c r="C26" s="168">
        <f>C13-C22</f>
        <v>3406.5930218505855</v>
      </c>
      <c r="D26" s="168">
        <f t="shared" ref="D26:G26" si="1">D13-D22</f>
        <v>3456.8928952026363</v>
      </c>
      <c r="E26" s="168">
        <f t="shared" si="1"/>
        <v>3640.7540942382811</v>
      </c>
      <c r="F26" s="168">
        <f t="shared" si="1"/>
        <v>3542.5743803405758</v>
      </c>
      <c r="G26" s="169">
        <f t="shared" si="1"/>
        <v>3503.067757835388</v>
      </c>
    </row>
    <row r="27" spans="2:16" x14ac:dyDescent="0.35">
      <c r="B27" s="251"/>
      <c r="C27" s="168"/>
      <c r="D27" s="168"/>
      <c r="E27" s="168"/>
      <c r="F27" s="168"/>
      <c r="G27" s="169"/>
    </row>
    <row r="28" spans="2:16" x14ac:dyDescent="0.35">
      <c r="B28" s="282" t="s">
        <v>190</v>
      </c>
      <c r="C28" s="11"/>
      <c r="D28" s="11"/>
      <c r="E28" s="11"/>
      <c r="F28" s="11"/>
      <c r="G28" s="148"/>
    </row>
    <row r="29" spans="2:16" x14ac:dyDescent="0.35">
      <c r="B29" s="251" t="s">
        <v>191</v>
      </c>
      <c r="C29" s="16">
        <f>C22</f>
        <v>3687.6833514404298</v>
      </c>
      <c r="D29" s="16">
        <f>D22</f>
        <v>3769.7515658569337</v>
      </c>
      <c r="E29" s="16">
        <f>E22</f>
        <v>4069.735627441406</v>
      </c>
      <c r="F29" s="16">
        <f>F22</f>
        <v>3909.5476731872559</v>
      </c>
      <c r="G29" s="17">
        <f>G22</f>
        <v>3845.0894996261595</v>
      </c>
    </row>
    <row r="30" spans="2:16" x14ac:dyDescent="0.35">
      <c r="B30" s="253" t="s">
        <v>188</v>
      </c>
      <c r="C30" s="19">
        <f>C26</f>
        <v>3406.5930218505855</v>
      </c>
      <c r="D30" s="19">
        <f>D26</f>
        <v>3456.8928952026363</v>
      </c>
      <c r="E30" s="19">
        <f>E26</f>
        <v>3640.7540942382811</v>
      </c>
      <c r="F30" s="19">
        <f>F26</f>
        <v>3542.5743803405758</v>
      </c>
      <c r="G30" s="20">
        <f>G26</f>
        <v>3503.067757835388</v>
      </c>
    </row>
    <row r="31" spans="2:16" x14ac:dyDescent="0.35">
      <c r="C31" s="5"/>
      <c r="D31" s="5"/>
      <c r="E31" s="5"/>
      <c r="F31" s="5"/>
      <c r="G31" s="5"/>
    </row>
    <row r="32" spans="2:16" ht="18.5" x14ac:dyDescent="0.45">
      <c r="B32" s="163" t="s">
        <v>192</v>
      </c>
      <c r="C32" s="14"/>
      <c r="D32" s="14"/>
      <c r="E32" s="14"/>
      <c r="F32" s="14"/>
      <c r="G32" s="147"/>
    </row>
    <row r="33" spans="2:16" ht="21" customHeight="1" x14ac:dyDescent="0.35">
      <c r="B33" s="523" t="s">
        <v>193</v>
      </c>
      <c r="C33" s="524"/>
      <c r="D33" s="524"/>
      <c r="E33" s="524"/>
      <c r="F33" s="524"/>
      <c r="G33" s="525"/>
      <c r="H33" s="49"/>
      <c r="I33" s="49"/>
    </row>
    <row r="34" spans="2:16" x14ac:dyDescent="0.35">
      <c r="B34" s="15"/>
      <c r="C34" s="11"/>
      <c r="D34" s="11"/>
      <c r="E34" s="11"/>
      <c r="F34" s="11"/>
      <c r="G34" s="148"/>
    </row>
    <row r="35" spans="2:16" x14ac:dyDescent="0.35">
      <c r="B35" s="282" t="s">
        <v>194</v>
      </c>
      <c r="C35" s="11"/>
      <c r="D35" s="11"/>
      <c r="E35" s="11"/>
      <c r="F35" s="11"/>
      <c r="G35" s="148"/>
      <c r="P35" s="12"/>
    </row>
    <row r="36" spans="2:16" x14ac:dyDescent="0.35">
      <c r="B36" s="255" t="str">
        <f>"Canradd Mynediad y farchnad ar gyfer y Prynwyr Tro Cyntaf: "&amp;'Rhaniad y Ddeiliadaeth (Cymru)'!C115</f>
        <v>Canradd Mynediad y farchnad ar gyfer y Prynwyr Tro Cyntaf: 40</v>
      </c>
      <c r="C36" s="278">
        <f>INDEX('Prisiau Tai (Cymru)'!AD$4:AD$84,MATCH('Rhaniad y Ddeiliadaeth (Cymru)'!C115,'Prisiau Tai (Cymru)'!$AC$4:$AC$84,0))</f>
        <v>143576</v>
      </c>
      <c r="D36" s="278">
        <f>INDEX('Prisiau Tai (Cymru)'!AE$4:AE$84,MATCH('Rhaniad y Ddeiliadaeth (Cymru)'!D115,'Prisiau Tai (Cymru)'!$AC$4:$AC$84,0))</f>
        <v>151946.48079999999</v>
      </c>
      <c r="E36" s="278">
        <f>INDEX('Prisiau Tai (Cymru)'!AF$4:AF$84,MATCH('Rhaniad y Ddeiliadaeth (Cymru)'!E115,'Prisiau Tai (Cymru)'!$AC$4:$AC$84,0))</f>
        <v>162679.51400910941</v>
      </c>
      <c r="F36" s="278">
        <f>INDEX('Prisiau Tai (Cymru)'!AG$4:AG$84,MATCH('Rhaniad y Ddeiliadaeth (Cymru)'!F115,'Prisiau Tai (Cymru)'!$AC$4:$AC$84,0))</f>
        <v>171532.67489812389</v>
      </c>
      <c r="G36" s="279">
        <f>INDEX('Prisiau Tai (Cymru)'!AH$4:AH$84,MATCH('Rhaniad y Ddeiliadaeth (Cymru)'!G115,'Prisiau Tai (Cymru)'!$AC$4:$AC$84,0))</f>
        <v>178768.56267050578</v>
      </c>
      <c r="P36" s="12"/>
    </row>
    <row r="37" spans="2:16" x14ac:dyDescent="0.35">
      <c r="B37" s="251" t="s">
        <v>185</v>
      </c>
      <c r="C37" s="278">
        <f>C36/'Rhaniad y Ddeiliadaeth (Cymru)'!C114</f>
        <v>35626.79900744417</v>
      </c>
      <c r="D37" s="278">
        <f>D36/'Rhaniad y Ddeiliadaeth (Cymru)'!D114</f>
        <v>37703.841389578156</v>
      </c>
      <c r="E37" s="278">
        <f>E36/'Rhaniad y Ddeiliadaeth (Cymru)'!E114</f>
        <v>40367.125064295135</v>
      </c>
      <c r="F37" s="278">
        <f>F36/'Rhaniad y Ddeiliadaeth (Cymru)'!F114</f>
        <v>42563.939180675901</v>
      </c>
      <c r="G37" s="279">
        <f>G36/'Rhaniad y Ddeiliadaeth (Cymru)'!G114</f>
        <v>44359.444831391011</v>
      </c>
      <c r="P37" s="12"/>
    </row>
    <row r="38" spans="2:16" x14ac:dyDescent="0.35">
      <c r="B38" s="251" t="s">
        <v>186</v>
      </c>
      <c r="C38" s="280">
        <f>IFERROR(INDEX('Incwm (Cymru)'!$AC$4:$AC$84,MATCH('Cyfrifiadau - Cymru'!C37,'Incwm (Cymru)'!AD$4:AD$84,1)),10)</f>
        <v>63</v>
      </c>
      <c r="D38" s="280">
        <f>IFERROR(INDEX('Incwm (Cymru)'!$AC$4:$AC$84,MATCH('Cyfrifiadau - Cymru'!D37,'Incwm (Cymru)'!AE$4:AE$84,1)),10)</f>
        <v>63</v>
      </c>
      <c r="E38" s="280">
        <f>IFERROR(INDEX('Incwm (Cymru)'!$AC$4:$AC$84,MATCH('Cyfrifiadau - Cymru'!E37,'Incwm (Cymru)'!AF$4:AF$84,1)),10)</f>
        <v>65</v>
      </c>
      <c r="F38" s="280">
        <f>IFERROR(INDEX('Incwm (Cymru)'!$AC$4:$AC$84,MATCH('Cyfrifiadau - Cymru'!F37,'Incwm (Cymru)'!AG$4:AG$84,1)),10)</f>
        <v>66</v>
      </c>
      <c r="G38" s="281">
        <f>IFERROR(INDEX('Incwm (Cymru)'!$AC$4:$AC$84,MATCH('Cyfrifiadau - Cymru'!G37,'Incwm (Cymru)'!AH$4:AH$84,1)),10)</f>
        <v>66</v>
      </c>
      <c r="P38" s="12"/>
    </row>
    <row r="39" spans="2:16" x14ac:dyDescent="0.35">
      <c r="B39" s="251" t="s">
        <v>187</v>
      </c>
      <c r="C39" s="166">
        <f>(100-C38)/100</f>
        <v>0.37</v>
      </c>
      <c r="D39" s="166">
        <f t="shared" ref="D39:G39" si="2">(100-D38)/100</f>
        <v>0.37</v>
      </c>
      <c r="E39" s="166">
        <f t="shared" si="2"/>
        <v>0.35</v>
      </c>
      <c r="F39" s="166">
        <f t="shared" si="2"/>
        <v>0.34</v>
      </c>
      <c r="G39" s="167">
        <f t="shared" si="2"/>
        <v>0.34</v>
      </c>
      <c r="P39" s="12"/>
    </row>
    <row r="40" spans="2:16" x14ac:dyDescent="0.35">
      <c r="B40" s="251" t="s">
        <v>197</v>
      </c>
      <c r="C40" s="314" t="e">
        <f>C39*'Rhaniad y Ddeiliadaeth (Cymru)'!C116</f>
        <v>#VALUE!</v>
      </c>
      <c r="D40" s="166" t="e">
        <f>D39*'Rhaniad y Ddeiliadaeth (Cymru)'!D116</f>
        <v>#VALUE!</v>
      </c>
      <c r="E40" s="166" t="e">
        <f>E39*'Rhaniad y Ddeiliadaeth (Cymru)'!E116</f>
        <v>#VALUE!</v>
      </c>
      <c r="F40" s="166" t="e">
        <f>F39*'Rhaniad y Ddeiliadaeth (Cymru)'!F116</f>
        <v>#VALUE!</v>
      </c>
      <c r="G40" s="167" t="e">
        <f>G39*'Rhaniad y Ddeiliadaeth (Cymru)'!G116</f>
        <v>#VALUE!</v>
      </c>
      <c r="P40" s="12"/>
    </row>
    <row r="41" spans="2:16" x14ac:dyDescent="0.35">
      <c r="B41" s="251" t="s">
        <v>194</v>
      </c>
      <c r="C41" s="170" t="e">
        <f>C40*C11</f>
        <v>#VALUE!</v>
      </c>
      <c r="D41" s="170" t="e">
        <f>D40*D11</f>
        <v>#VALUE!</v>
      </c>
      <c r="E41" s="170" t="e">
        <f>E40*E11</f>
        <v>#VALUE!</v>
      </c>
      <c r="F41" s="170" t="e">
        <f>F40*F11</f>
        <v>#VALUE!</v>
      </c>
      <c r="G41" s="171" t="e">
        <f>G40*G11</f>
        <v>#VALUE!</v>
      </c>
      <c r="P41" s="12"/>
    </row>
    <row r="42" spans="2:16" x14ac:dyDescent="0.35">
      <c r="B42" s="251"/>
      <c r="C42" s="170"/>
      <c r="D42" s="170"/>
      <c r="E42" s="170"/>
      <c r="F42" s="170"/>
      <c r="G42" s="171"/>
      <c r="P42" s="12"/>
    </row>
    <row r="43" spans="2:16" x14ac:dyDescent="0.35">
      <c r="B43" s="282" t="s">
        <v>198</v>
      </c>
      <c r="C43" s="170"/>
      <c r="D43" s="170"/>
      <c r="E43" s="170"/>
      <c r="F43" s="170"/>
      <c r="G43" s="171"/>
      <c r="P43" s="12"/>
    </row>
    <row r="44" spans="2:16" ht="29" x14ac:dyDescent="0.35">
      <c r="B44" s="367" t="s">
        <v>199</v>
      </c>
      <c r="C44" s="16" t="e">
        <f>C22-C41</f>
        <v>#VALUE!</v>
      </c>
      <c r="D44" s="16" t="e">
        <f>D22-D41</f>
        <v>#VALUE!</v>
      </c>
      <c r="E44" s="16" t="e">
        <f>E22-E41</f>
        <v>#VALUE!</v>
      </c>
      <c r="F44" s="16" t="e">
        <f>F22-F41</f>
        <v>#VALUE!</v>
      </c>
      <c r="G44" s="17" t="e">
        <f>G22-G41</f>
        <v>#VALUE!</v>
      </c>
      <c r="P44" s="12"/>
    </row>
    <row r="45" spans="2:16" x14ac:dyDescent="0.35">
      <c r="B45" s="251"/>
      <c r="C45" s="16"/>
      <c r="D45" s="16"/>
      <c r="E45" s="16"/>
      <c r="F45" s="16"/>
      <c r="G45" s="17"/>
    </row>
    <row r="46" spans="2:16" x14ac:dyDescent="0.35">
      <c r="B46" s="282" t="s">
        <v>200</v>
      </c>
      <c r="C46" s="11"/>
      <c r="D46" s="11"/>
      <c r="E46" s="11"/>
      <c r="F46" s="11"/>
      <c r="G46" s="148"/>
    </row>
    <row r="47" spans="2:16" x14ac:dyDescent="0.35">
      <c r="B47" s="251" t="s">
        <v>201</v>
      </c>
      <c r="C47" s="278">
        <f>'Rhaniad y Ddeiliadaeth (Cymru)'!C113</f>
        <v>5868.3565619447036</v>
      </c>
      <c r="D47" s="278">
        <f>'Rhaniad y Ddeiliadaeth (Cymru)'!D113</f>
        <v>6047.9336934926923</v>
      </c>
      <c r="E47" s="278">
        <f>'Rhaniad y Ddeiliadaeth (Cymru)'!E113</f>
        <v>6236.7042717085378</v>
      </c>
      <c r="F47" s="278">
        <f>'Rhaniad y Ddeiliadaeth (Cymru)'!F113</f>
        <v>6434.5103888045705</v>
      </c>
      <c r="G47" s="279">
        <f>'Rhaniad y Ddeiliadaeth (Cymru)'!G113</f>
        <v>6646.5102602514035</v>
      </c>
    </row>
    <row r="48" spans="2:16" x14ac:dyDescent="0.35">
      <c r="B48" s="251" t="s">
        <v>202</v>
      </c>
      <c r="C48" s="278">
        <f>C47/'Rhaniad y Ddeiliadaeth (Cymru)'!C117</f>
        <v>16766.733034127727</v>
      </c>
      <c r="D48" s="278">
        <f>D47/'Rhaniad y Ddeiliadaeth (Cymru)'!D117</f>
        <v>17279.810552836265</v>
      </c>
      <c r="E48" s="278">
        <f>E47/'Rhaniad y Ddeiliadaeth (Cymru)'!E117</f>
        <v>17819.155062024394</v>
      </c>
      <c r="F48" s="278">
        <f>F47/'Rhaniad y Ddeiliadaeth (Cymru)'!F117</f>
        <v>18384.315396584487</v>
      </c>
      <c r="G48" s="279">
        <f>G47/'Rhaniad y Ddeiliadaeth (Cymru)'!G117</f>
        <v>18990.029315004012</v>
      </c>
    </row>
    <row r="49" spans="2:7" x14ac:dyDescent="0.35">
      <c r="B49" s="251" t="s">
        <v>186</v>
      </c>
      <c r="C49" s="280">
        <f>IFERROR(INDEX('Incwm (Cymru)'!$AC$4:$AC$84,MATCH('Cyfrifiadau - Cymru'!C48,'Incwm (Cymru)'!AD$4:AD$84,1)),10)</f>
        <v>26</v>
      </c>
      <c r="D49" s="280">
        <f>IFERROR(INDEX('Incwm (Cymru)'!$AC$4:$AC$84,MATCH('Cyfrifiadau - Cymru'!D48,'Incwm (Cymru)'!AE$4:AE$84,1)),10)</f>
        <v>26</v>
      </c>
      <c r="E49" s="280">
        <f>IFERROR(INDEX('Incwm (Cymru)'!$AC$4:$AC$84,MATCH('Cyfrifiadau - Cymru'!E48,'Incwm (Cymru)'!AF$4:AF$84,1)),10)</f>
        <v>26</v>
      </c>
      <c r="F49" s="280">
        <f>IFERROR(INDEX('Incwm (Cymru)'!$AC$4:$AC$84,MATCH('Cyfrifiadau - Cymru'!F48,'Incwm (Cymru)'!AG$4:AG$84,1)),10)</f>
        <v>26</v>
      </c>
      <c r="G49" s="281">
        <f>IFERROR(INDEX('Incwm (Cymru)'!$AC$4:$AC$84,MATCH('Cyfrifiadau - Cymru'!G48,'Incwm (Cymru)'!AH$4:AH$84,1)),10)</f>
        <v>27</v>
      </c>
    </row>
    <row r="50" spans="2:7" x14ac:dyDescent="0.35">
      <c r="B50" s="251" t="s">
        <v>366</v>
      </c>
      <c r="C50" s="166">
        <f>C49/100</f>
        <v>0.26</v>
      </c>
      <c r="D50" s="166">
        <f t="shared" ref="D50:G50" si="3">D49/100</f>
        <v>0.26</v>
      </c>
      <c r="E50" s="166">
        <f t="shared" si="3"/>
        <v>0.26</v>
      </c>
      <c r="F50" s="166">
        <f t="shared" si="3"/>
        <v>0.26</v>
      </c>
      <c r="G50" s="167">
        <f t="shared" si="3"/>
        <v>0.27</v>
      </c>
    </row>
    <row r="51" spans="2:7" x14ac:dyDescent="0.35">
      <c r="B51" s="251" t="s">
        <v>367</v>
      </c>
      <c r="C51" s="170">
        <f>C50*C11</f>
        <v>1546.4478570556641</v>
      </c>
      <c r="D51" s="170">
        <f>D50*D11</f>
        <v>1580.8635598754884</v>
      </c>
      <c r="E51" s="170">
        <f>E50*E11</f>
        <v>1706.6633276367188</v>
      </c>
      <c r="F51" s="170">
        <f>F50*F11</f>
        <v>1639.4877339172365</v>
      </c>
      <c r="G51" s="171">
        <f>G50*G11</f>
        <v>1674.474459514618</v>
      </c>
    </row>
    <row r="52" spans="2:7" x14ac:dyDescent="0.35">
      <c r="B52" s="251" t="s">
        <v>203</v>
      </c>
      <c r="C52" s="170">
        <f>C12</f>
        <v>1146.4000000000001</v>
      </c>
      <c r="D52" s="170">
        <f>D12</f>
        <v>1146.4000000000001</v>
      </c>
      <c r="E52" s="170">
        <f>E12</f>
        <v>1146.4000000000001</v>
      </c>
      <c r="F52" s="170">
        <f>F12</f>
        <v>1146.4000000000001</v>
      </c>
      <c r="G52" s="171">
        <f>G12</f>
        <v>1146.4000000000001</v>
      </c>
    </row>
    <row r="53" spans="2:7" x14ac:dyDescent="0.35">
      <c r="B53" s="251" t="s">
        <v>204</v>
      </c>
      <c r="C53" s="170">
        <f>C52+C51</f>
        <v>2692.8478570556645</v>
      </c>
      <c r="D53" s="170">
        <f t="shared" ref="D53:G53" si="4">D52+D51</f>
        <v>2727.2635598754887</v>
      </c>
      <c r="E53" s="170">
        <f t="shared" si="4"/>
        <v>2853.0633276367189</v>
      </c>
      <c r="F53" s="170">
        <f t="shared" si="4"/>
        <v>2785.8877339172368</v>
      </c>
      <c r="G53" s="171">
        <f t="shared" si="4"/>
        <v>2820.8744595146181</v>
      </c>
    </row>
    <row r="54" spans="2:7" x14ac:dyDescent="0.35">
      <c r="B54" s="251"/>
      <c r="C54" s="11"/>
      <c r="D54" s="11"/>
      <c r="E54" s="11"/>
      <c r="F54" s="11"/>
      <c r="G54" s="148"/>
    </row>
    <row r="55" spans="2:7" x14ac:dyDescent="0.35">
      <c r="B55" s="282" t="s">
        <v>205</v>
      </c>
      <c r="C55" s="11"/>
      <c r="D55" s="11"/>
      <c r="E55" s="11"/>
      <c r="F55" s="11"/>
      <c r="G55" s="148"/>
    </row>
    <row r="56" spans="2:7" x14ac:dyDescent="0.35">
      <c r="B56" s="251" t="s">
        <v>206</v>
      </c>
      <c r="C56" s="170" t="e">
        <f>C11-C41-C44-C51</f>
        <v>#VALUE!</v>
      </c>
      <c r="D56" s="170" t="e">
        <f>D11-D41-D44-D51</f>
        <v>#VALUE!</v>
      </c>
      <c r="E56" s="170" t="e">
        <f>E11-E41-E44-E51</f>
        <v>#VALUE!</v>
      </c>
      <c r="F56" s="170" t="e">
        <f>F11-F41-F44-F51</f>
        <v>#VALUE!</v>
      </c>
      <c r="G56" s="171" t="e">
        <f>G11-G41-G44-G51</f>
        <v>#VALUE!</v>
      </c>
    </row>
    <row r="57" spans="2:7" x14ac:dyDescent="0.35">
      <c r="B57" s="251"/>
      <c r="C57" s="11"/>
      <c r="D57" s="11"/>
      <c r="E57" s="11"/>
      <c r="F57" s="11"/>
      <c r="G57" s="148"/>
    </row>
    <row r="58" spans="2:7" x14ac:dyDescent="0.35">
      <c r="B58" s="282" t="s">
        <v>190</v>
      </c>
      <c r="C58" s="11"/>
      <c r="D58" s="11"/>
      <c r="E58" s="11"/>
      <c r="F58" s="11"/>
      <c r="G58" s="148"/>
    </row>
    <row r="59" spans="2:7" x14ac:dyDescent="0.35">
      <c r="B59" s="251" t="s">
        <v>207</v>
      </c>
      <c r="C59" s="16" t="e">
        <f>C41</f>
        <v>#VALUE!</v>
      </c>
      <c r="D59" s="16" t="e">
        <f>D41</f>
        <v>#VALUE!</v>
      </c>
      <c r="E59" s="16" t="e">
        <f>E41</f>
        <v>#VALUE!</v>
      </c>
      <c r="F59" s="16" t="e">
        <f>F41</f>
        <v>#VALUE!</v>
      </c>
      <c r="G59" s="17" t="e">
        <f>G41</f>
        <v>#VALUE!</v>
      </c>
    </row>
    <row r="60" spans="2:7" x14ac:dyDescent="0.35">
      <c r="B60" s="251" t="s">
        <v>198</v>
      </c>
      <c r="C60" s="16" t="e">
        <f>C44</f>
        <v>#VALUE!</v>
      </c>
      <c r="D60" s="16" t="e">
        <f>D44</f>
        <v>#VALUE!</v>
      </c>
      <c r="E60" s="16" t="e">
        <f>E44</f>
        <v>#VALUE!</v>
      </c>
      <c r="F60" s="16" t="e">
        <f>F44</f>
        <v>#VALUE!</v>
      </c>
      <c r="G60" s="17" t="e">
        <f>G44</f>
        <v>#VALUE!</v>
      </c>
    </row>
    <row r="61" spans="2:7" x14ac:dyDescent="0.35">
      <c r="B61" s="251" t="s">
        <v>200</v>
      </c>
      <c r="C61" s="16">
        <f>C53</f>
        <v>2692.8478570556645</v>
      </c>
      <c r="D61" s="16">
        <f>D53</f>
        <v>2727.2635598754887</v>
      </c>
      <c r="E61" s="16">
        <f>E53</f>
        <v>2853.0633276367189</v>
      </c>
      <c r="F61" s="16">
        <f>F53</f>
        <v>2785.8877339172368</v>
      </c>
      <c r="G61" s="17">
        <f>G53</f>
        <v>2820.8744595146181</v>
      </c>
    </row>
    <row r="62" spans="2:7" x14ac:dyDescent="0.35">
      <c r="B62" s="253" t="s">
        <v>205</v>
      </c>
      <c r="C62" s="19" t="e">
        <f>C56</f>
        <v>#VALUE!</v>
      </c>
      <c r="D62" s="19" t="e">
        <f>D56</f>
        <v>#VALUE!</v>
      </c>
      <c r="E62" s="19" t="e">
        <f>E56</f>
        <v>#VALUE!</v>
      </c>
      <c r="F62" s="19" t="e">
        <f>F56</f>
        <v>#VALUE!</v>
      </c>
      <c r="G62" s="20" t="e">
        <f>G56</f>
        <v>#VALUE!</v>
      </c>
    </row>
  </sheetData>
  <mergeCells count="2">
    <mergeCell ref="B33:G33"/>
    <mergeCell ref="B3:G6"/>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sheetPr>
  <dimension ref="B1:P62"/>
  <sheetViews>
    <sheetView showGridLines="0" zoomScale="70" zoomScaleNormal="70" workbookViewId="0"/>
  </sheetViews>
  <sheetFormatPr defaultColWidth="9.1796875" defaultRowHeight="14.5" x14ac:dyDescent="0.35"/>
  <cols>
    <col min="1" max="1" width="1.7265625" style="1" customWidth="1"/>
    <col min="2" max="2" width="65.54296875" style="1" customWidth="1"/>
    <col min="3" max="7" width="11.54296875" style="1" bestFit="1" customWidth="1"/>
    <col min="8" max="8" width="9.1796875" style="1"/>
    <col min="9" max="9" width="9.1796875" style="12"/>
    <col min="10" max="16384" width="9.1796875" style="1"/>
  </cols>
  <sheetData>
    <row r="1" spans="2:9" ht="21" x14ac:dyDescent="0.5">
      <c r="B1" s="293" t="s">
        <v>143</v>
      </c>
    </row>
    <row r="2" spans="2:9" ht="14.25" customHeight="1" x14ac:dyDescent="0.5">
      <c r="B2" s="95"/>
    </row>
    <row r="3" spans="2:9" ht="15" customHeight="1" x14ac:dyDescent="0.35">
      <c r="B3" s="526" t="s">
        <v>265</v>
      </c>
      <c r="C3" s="527"/>
      <c r="D3" s="527"/>
      <c r="E3" s="527"/>
      <c r="F3" s="527"/>
      <c r="G3" s="528"/>
    </row>
    <row r="4" spans="2:9" x14ac:dyDescent="0.35">
      <c r="B4" s="529"/>
      <c r="C4" s="530"/>
      <c r="D4" s="530"/>
      <c r="E4" s="530"/>
      <c r="F4" s="530"/>
      <c r="G4" s="531"/>
    </row>
    <row r="5" spans="2:9" x14ac:dyDescent="0.35">
      <c r="B5" s="529"/>
      <c r="C5" s="530"/>
      <c r="D5" s="530"/>
      <c r="E5" s="530"/>
      <c r="F5" s="530"/>
      <c r="G5" s="531"/>
    </row>
    <row r="6" spans="2:9" x14ac:dyDescent="0.35">
      <c r="B6" s="532"/>
      <c r="C6" s="533"/>
      <c r="D6" s="533"/>
      <c r="E6" s="533"/>
      <c r="F6" s="533"/>
      <c r="G6" s="534"/>
    </row>
    <row r="7" spans="2:9" ht="14.25" customHeight="1" x14ac:dyDescent="0.5">
      <c r="B7" s="95"/>
    </row>
    <row r="8" spans="2:9" ht="18.5" x14ac:dyDescent="0.45">
      <c r="B8" s="163" t="s">
        <v>182</v>
      </c>
      <c r="C8" s="14"/>
      <c r="D8" s="14"/>
      <c r="E8" s="14"/>
      <c r="F8" s="14"/>
      <c r="G8" s="147"/>
    </row>
    <row r="9" spans="2:9" ht="18.5" x14ac:dyDescent="0.45">
      <c r="B9" s="208"/>
      <c r="C9" s="11">
        <v>1</v>
      </c>
      <c r="D9" s="11">
        <v>2</v>
      </c>
      <c r="E9" s="11">
        <v>3</v>
      </c>
      <c r="F9" s="24">
        <v>4</v>
      </c>
      <c r="G9" s="148">
        <v>5</v>
      </c>
    </row>
    <row r="10" spans="2:9" x14ac:dyDescent="0.35">
      <c r="B10" s="15"/>
      <c r="C10" s="175" t="str">
        <f>Year1</f>
        <v>2019/20</v>
      </c>
      <c r="D10" s="175" t="str">
        <f>Year2</f>
        <v>2020/21</v>
      </c>
      <c r="E10" s="175" t="str">
        <f>Year3</f>
        <v>2021/22</v>
      </c>
      <c r="F10" s="175" t="str">
        <f>Year4</f>
        <v>2022/23</v>
      </c>
      <c r="G10" s="176" t="str">
        <f>Year5</f>
        <v>2023/24</v>
      </c>
    </row>
    <row r="11" spans="2:9" x14ac:dyDescent="0.35">
      <c r="B11" s="251" t="s">
        <v>363</v>
      </c>
      <c r="C11" s="276">
        <f t="array" ref="C11">INDEX('Angen o''r Newydd'!D8:D27,MATCH(1,($B$1='Angen o''r Newydd'!$C$8:$C$27)*('Rhaniad y Ddeiliadaeth (Cymru)'!$D$6='Angen o''r Newydd'!$B$8:$B$27),0))</f>
        <v>914.64263916015625</v>
      </c>
      <c r="D11" s="276">
        <f t="array" ref="D11">INDEX('Angen o''r Newydd'!E8:E27,MATCH(1,($B$1='Angen o''r Newydd'!$C$8:$C$27)*('Rhaniad y Ddeiliadaeth (Cymru)'!$D$6='Angen o''r Newydd'!$B$8:$B$27),0))</f>
        <v>959.64035797119141</v>
      </c>
      <c r="E11" s="276">
        <f t="array" ref="E11">INDEX('Angen o''r Newydd'!F8:F27,MATCH(1,($B$1='Angen o''r Newydd'!$C$8:$C$27)*('Rhaniad y Ddeiliadaeth (Cymru)'!$D$6='Angen o''r Newydd'!$B$8:$B$27),0))</f>
        <v>1053.7388916015625</v>
      </c>
      <c r="F11" s="276">
        <f t="array" ref="F11">INDEX('Angen o''r Newydd'!G8:G27,MATCH(1,($B$1='Angen o''r Newydd'!$C$8:$C$27)*('Rhaniad y Ddeiliadaeth (Cymru)'!$D$6='Angen o''r Newydd'!$B$8:$B$27),0))</f>
        <v>981.58347320556641</v>
      </c>
      <c r="G11" s="277">
        <f t="array" ref="G11">INDEX('Angen o''r Newydd'!H8:H27,MATCH(1,($B$1='Angen o''r Newydd'!$C$8:$C$27)*('Rhaniad y Ddeiliadaeth (Cymru)'!$D$6='Angen o''r Newydd'!$B$8:$B$27),0))</f>
        <v>962.71861267089844</v>
      </c>
      <c r="H11" s="296"/>
      <c r="I11" s="315"/>
    </row>
    <row r="12" spans="2:9" x14ac:dyDescent="0.35">
      <c r="B12" s="251" t="s">
        <v>165</v>
      </c>
      <c r="C12" s="276">
        <f>IF('Angen Presennol Nas Diwallwyd'!$C$29&gt;='Cyfrifiadau - Gogledd'!C9,IF('Rhaniad y Ddeiliadaeth (Cymru)'!$D$7="Amcangyfrifon LlC",'Angen Presennol Nas Diwallwyd'!$C$9/'Angen Presennol Nas Diwallwyd'!$C$29,'Angen Presennol Nas Diwallwyd'!$C$20/'Angen Presennol Nas Diwallwyd'!$C$29),0)</f>
        <v>256.8</v>
      </c>
      <c r="D12" s="276">
        <f>IF('Angen Presennol Nas Diwallwyd'!$C$29&gt;='Cyfrifiadau - Gogledd'!D9,IF('Rhaniad y Ddeiliadaeth (Cymru)'!$D$7="Amcangyfrifon LlC",'Angen Presennol Nas Diwallwyd'!$C$9/'Angen Presennol Nas Diwallwyd'!$C$29,'Angen Presennol Nas Diwallwyd'!$C$20/'Angen Presennol Nas Diwallwyd'!$C$29),0)</f>
        <v>256.8</v>
      </c>
      <c r="E12" s="276">
        <f>IF('Angen Presennol Nas Diwallwyd'!$C$29&gt;='Cyfrifiadau - Gogledd'!E9,IF('Rhaniad y Ddeiliadaeth (Cymru)'!$D$7="Amcangyfrifon LlC",'Angen Presennol Nas Diwallwyd'!$C$9/'Angen Presennol Nas Diwallwyd'!$C$29,'Angen Presennol Nas Diwallwyd'!$C$20/'Angen Presennol Nas Diwallwyd'!$C$29),0)</f>
        <v>256.8</v>
      </c>
      <c r="F12" s="276">
        <f>IF('Angen Presennol Nas Diwallwyd'!$C$29&gt;='Cyfrifiadau - Gogledd'!F9,IF('Rhaniad y Ddeiliadaeth (Cymru)'!$D$7="Amcangyfrifon LlC",'Angen Presennol Nas Diwallwyd'!$C$9/'Angen Presennol Nas Diwallwyd'!$C$29,'Angen Presennol Nas Diwallwyd'!$C$20/'Angen Presennol Nas Diwallwyd'!$C$29),0)</f>
        <v>256.8</v>
      </c>
      <c r="G12" s="277">
        <f>IF('Angen Presennol Nas Diwallwyd'!$C$29&gt;='Cyfrifiadau - Gogledd'!G9,IF('Rhaniad y Ddeiliadaeth (Cymru)'!$D$7="Amcangyfrifon LlC",'Angen Presennol Nas Diwallwyd'!$C$9/'Angen Presennol Nas Diwallwyd'!$C$29,'Angen Presennol Nas Diwallwyd'!$C$20/'Angen Presennol Nas Diwallwyd'!$C$29),0)</f>
        <v>256.8</v>
      </c>
      <c r="H12" s="341"/>
      <c r="I12" s="315"/>
    </row>
    <row r="13" spans="2:9" x14ac:dyDescent="0.35">
      <c r="B13" s="253" t="s">
        <v>168</v>
      </c>
      <c r="C13" s="294">
        <f>SUM(C11:C12)</f>
        <v>1171.4426391601562</v>
      </c>
      <c r="D13" s="294">
        <f t="shared" ref="D13:G13" si="0">SUM(D11:D12)</f>
        <v>1216.4403579711914</v>
      </c>
      <c r="E13" s="294">
        <f t="shared" si="0"/>
        <v>1310.5388916015625</v>
      </c>
      <c r="F13" s="294">
        <f t="shared" si="0"/>
        <v>1238.3834732055664</v>
      </c>
      <c r="G13" s="295">
        <f t="shared" si="0"/>
        <v>1219.5186126708984</v>
      </c>
      <c r="H13" s="2"/>
    </row>
    <row r="14" spans="2:9" x14ac:dyDescent="0.35">
      <c r="C14" s="2"/>
      <c r="D14" s="2"/>
      <c r="E14" s="2"/>
      <c r="F14" s="2"/>
      <c r="G14" s="2"/>
    </row>
    <row r="15" spans="2:9" ht="18.5" x14ac:dyDescent="0.45">
      <c r="B15" s="163" t="s">
        <v>183</v>
      </c>
      <c r="C15" s="177"/>
      <c r="D15" s="164"/>
      <c r="E15" s="164"/>
      <c r="F15" s="164"/>
      <c r="G15" s="165"/>
    </row>
    <row r="16" spans="2:9" x14ac:dyDescent="0.35">
      <c r="B16" s="15"/>
      <c r="C16" s="11"/>
      <c r="D16" s="11"/>
      <c r="E16" s="11"/>
      <c r="F16" s="11"/>
      <c r="G16" s="148"/>
    </row>
    <row r="17" spans="2:16" x14ac:dyDescent="0.35">
      <c r="B17" s="282" t="s">
        <v>306</v>
      </c>
      <c r="C17" s="11"/>
      <c r="D17" s="11"/>
      <c r="E17" s="11"/>
      <c r="F17" s="11"/>
      <c r="G17" s="148"/>
    </row>
    <row r="18" spans="2:16" x14ac:dyDescent="0.35">
      <c r="B18" s="251" t="s">
        <v>184</v>
      </c>
      <c r="C18" s="278">
        <f>'Rhaniad y Ddeiliadaeth (Gog)'!C112</f>
        <v>6794.9391769886033</v>
      </c>
      <c r="D18" s="278">
        <f>'Rhaniad y Ddeiliadaeth (Gog)'!D112</f>
        <v>7002.8705924652222</v>
      </c>
      <c r="E18" s="278">
        <f>'Rhaniad y Ddeiliadaeth (Gog)'!E112</f>
        <v>7221.4470514519899</v>
      </c>
      <c r="F18" s="278">
        <f>'Rhaniad y Ddeiliadaeth (Gog)'!F112</f>
        <v>7450.4857133526584</v>
      </c>
      <c r="G18" s="279">
        <f>'Rhaniad y Ddeiliadaeth (Gog)'!G112</f>
        <v>7695.959248712149</v>
      </c>
    </row>
    <row r="19" spans="2:16" x14ac:dyDescent="0.35">
      <c r="B19" s="251" t="s">
        <v>185</v>
      </c>
      <c r="C19" s="278">
        <f>C18/'Rhaniad y Ddeiliadaeth (Gog)'!C108</f>
        <v>22649.797256628677</v>
      </c>
      <c r="D19" s="278">
        <f>D18/'Rhaniad y Ddeiliadaeth (Gog)'!D108</f>
        <v>23342.901974884076</v>
      </c>
      <c r="E19" s="278">
        <f>E18/'Rhaniad y Ddeiliadaeth (Gog)'!E108</f>
        <v>24071.490171506633</v>
      </c>
      <c r="F19" s="278">
        <f>F18/'Rhaniad y Ddeiliadaeth (Gog)'!F108</f>
        <v>24834.952377842197</v>
      </c>
      <c r="G19" s="279">
        <f>G18/'Rhaniad y Ddeiliadaeth (Gog)'!G108</f>
        <v>25653.197495707165</v>
      </c>
    </row>
    <row r="20" spans="2:16" x14ac:dyDescent="0.35">
      <c r="B20" s="251" t="s">
        <v>186</v>
      </c>
      <c r="C20" s="280">
        <f>IFERROR(INDEX('Incwm (Gogledd)'!$AC$4:$AC$84,MATCH('Cyfrifiadau - Gogledd'!C19,'Incwm (Gogledd)'!AD$4:AD$84,1)),10)</f>
        <v>41</v>
      </c>
      <c r="D20" s="280">
        <f>IFERROR(INDEX('Incwm (Gogledd)'!$AC$4:$AC$84,MATCH('Cyfrifiadau - Gogledd'!D19,'Incwm (Gogledd)'!AE$4:AE$84,1)),10)</f>
        <v>41</v>
      </c>
      <c r="E20" s="280">
        <f>IFERROR(INDEX('Incwm (Gogledd)'!$AC$4:$AC$84,MATCH('Cyfrifiadau - Gogledd'!E19,'Incwm (Gogledd)'!AF$4:AF$84,1)),10)</f>
        <v>41</v>
      </c>
      <c r="F20" s="280">
        <f>IFERROR(INDEX('Incwm (Gogledd)'!$AC$4:$AC$84,MATCH('Cyfrifiadau - Gogledd'!F19,'Incwm (Gogledd)'!AG$4:AG$84,1)),10)</f>
        <v>41</v>
      </c>
      <c r="G20" s="281">
        <f>IFERROR(INDEX('Incwm (Gogledd)'!$AC$4:$AC$84,MATCH('Cyfrifiadau - Gogledd'!G19,'Incwm (Gogledd)'!AH$4:AH$84,1)),10)</f>
        <v>41</v>
      </c>
      <c r="P20" s="12"/>
    </row>
    <row r="21" spans="2:16" x14ac:dyDescent="0.35">
      <c r="B21" s="251" t="s">
        <v>364</v>
      </c>
      <c r="C21" s="166">
        <f>(100-C20)/100</f>
        <v>0.59</v>
      </c>
      <c r="D21" s="166">
        <f t="shared" ref="D21:G21" si="1">(100-D20)/100</f>
        <v>0.59</v>
      </c>
      <c r="E21" s="166">
        <f t="shared" si="1"/>
        <v>0.59</v>
      </c>
      <c r="F21" s="166">
        <f t="shared" si="1"/>
        <v>0.59</v>
      </c>
      <c r="G21" s="167">
        <f t="shared" si="1"/>
        <v>0.59</v>
      </c>
    </row>
    <row r="22" spans="2:16" x14ac:dyDescent="0.35">
      <c r="B22" s="251" t="s">
        <v>365</v>
      </c>
      <c r="C22" s="168">
        <f>C21*C11</f>
        <v>539.63915710449214</v>
      </c>
      <c r="D22" s="168">
        <f>D21*D11</f>
        <v>566.18781120300287</v>
      </c>
      <c r="E22" s="168">
        <f>E21*E11</f>
        <v>621.7059460449218</v>
      </c>
      <c r="F22" s="168">
        <f>F21*F11</f>
        <v>579.1342491912842</v>
      </c>
      <c r="G22" s="169">
        <f>G21*G11</f>
        <v>568.00398147583007</v>
      </c>
    </row>
    <row r="23" spans="2:16" x14ac:dyDescent="0.35">
      <c r="B23" s="251"/>
      <c r="C23" s="11"/>
      <c r="D23" s="11"/>
      <c r="E23" s="11"/>
      <c r="F23" s="11"/>
      <c r="G23" s="148"/>
    </row>
    <row r="24" spans="2:16" x14ac:dyDescent="0.35">
      <c r="B24" s="251"/>
      <c r="C24" s="168"/>
      <c r="D24" s="168"/>
      <c r="E24" s="168"/>
      <c r="F24" s="168"/>
      <c r="G24" s="169"/>
    </row>
    <row r="25" spans="2:16" x14ac:dyDescent="0.35">
      <c r="B25" s="282" t="s">
        <v>188</v>
      </c>
      <c r="C25" s="168"/>
      <c r="D25" s="168"/>
      <c r="E25" s="168"/>
      <c r="F25" s="168"/>
      <c r="G25" s="169"/>
    </row>
    <row r="26" spans="2:16" x14ac:dyDescent="0.35">
      <c r="B26" s="251" t="s">
        <v>189</v>
      </c>
      <c r="C26" s="168">
        <f>C13-C22</f>
        <v>631.80348205566406</v>
      </c>
      <c r="D26" s="168">
        <f>D13-D22</f>
        <v>650.25254676818849</v>
      </c>
      <c r="E26" s="168">
        <f t="shared" ref="E26:G26" si="2">E13-E22</f>
        <v>688.83294555664065</v>
      </c>
      <c r="F26" s="168">
        <f t="shared" si="2"/>
        <v>659.24922401428216</v>
      </c>
      <c r="G26" s="169">
        <f t="shared" si="2"/>
        <v>651.51463119506832</v>
      </c>
    </row>
    <row r="27" spans="2:16" x14ac:dyDescent="0.35">
      <c r="B27" s="251"/>
      <c r="C27" s="168"/>
      <c r="D27" s="168"/>
      <c r="E27" s="168"/>
      <c r="F27" s="168"/>
      <c r="G27" s="169"/>
    </row>
    <row r="28" spans="2:16" x14ac:dyDescent="0.35">
      <c r="B28" s="282" t="s">
        <v>190</v>
      </c>
      <c r="C28" s="11"/>
      <c r="D28" s="11"/>
      <c r="E28" s="11"/>
      <c r="F28" s="11"/>
      <c r="G28" s="148"/>
    </row>
    <row r="29" spans="2:16" x14ac:dyDescent="0.35">
      <c r="B29" s="251" t="s">
        <v>191</v>
      </c>
      <c r="C29" s="16">
        <f>C22</f>
        <v>539.63915710449214</v>
      </c>
      <c r="D29" s="16">
        <f>D22</f>
        <v>566.18781120300287</v>
      </c>
      <c r="E29" s="16">
        <f>E22</f>
        <v>621.7059460449218</v>
      </c>
      <c r="F29" s="16">
        <f>F22</f>
        <v>579.1342491912842</v>
      </c>
      <c r="G29" s="17">
        <f>G22</f>
        <v>568.00398147583007</v>
      </c>
      <c r="H29" s="296"/>
    </row>
    <row r="30" spans="2:16" x14ac:dyDescent="0.35">
      <c r="B30" s="253" t="s">
        <v>188</v>
      </c>
      <c r="C30" s="19">
        <f>C26</f>
        <v>631.80348205566406</v>
      </c>
      <c r="D30" s="19">
        <f>D26</f>
        <v>650.25254676818849</v>
      </c>
      <c r="E30" s="19">
        <f>E26</f>
        <v>688.83294555664065</v>
      </c>
      <c r="F30" s="19">
        <f>F26</f>
        <v>659.24922401428216</v>
      </c>
      <c r="G30" s="20">
        <f>G26</f>
        <v>651.51463119506832</v>
      </c>
    </row>
    <row r="31" spans="2:16" x14ac:dyDescent="0.35">
      <c r="C31" s="5"/>
      <c r="D31" s="5"/>
      <c r="E31" s="5"/>
      <c r="F31" s="5"/>
      <c r="G31" s="5"/>
    </row>
    <row r="32" spans="2:16" ht="18.5" x14ac:dyDescent="0.45">
      <c r="B32" s="163" t="s">
        <v>192</v>
      </c>
      <c r="C32" s="14"/>
      <c r="D32" s="14"/>
      <c r="E32" s="14"/>
      <c r="F32" s="14"/>
      <c r="G32" s="147"/>
    </row>
    <row r="33" spans="2:16" ht="21" customHeight="1" x14ac:dyDescent="0.35">
      <c r="B33" s="523" t="s">
        <v>193</v>
      </c>
      <c r="C33" s="524"/>
      <c r="D33" s="524"/>
      <c r="E33" s="524"/>
      <c r="F33" s="524"/>
      <c r="G33" s="525"/>
    </row>
    <row r="34" spans="2:16" x14ac:dyDescent="0.35">
      <c r="B34" s="15"/>
      <c r="C34" s="11"/>
      <c r="D34" s="11"/>
      <c r="E34" s="11"/>
      <c r="F34" s="11"/>
      <c r="G34" s="148"/>
    </row>
    <row r="35" spans="2:16" x14ac:dyDescent="0.35">
      <c r="B35" s="282" t="s">
        <v>194</v>
      </c>
      <c r="C35" s="11"/>
      <c r="D35" s="11"/>
      <c r="E35" s="11"/>
      <c r="F35" s="11"/>
      <c r="G35" s="148"/>
      <c r="P35" s="12"/>
    </row>
    <row r="36" spans="2:16" x14ac:dyDescent="0.35">
      <c r="B36" s="255" t="str">
        <f>"Canradd Mynediad y farchnad ar gyfer y Prynwyr Tro Cyntaf: "&amp;'Rhaniad y Ddeiliadaeth (Cymru)'!C115</f>
        <v>Canradd Mynediad y farchnad ar gyfer y Prynwyr Tro Cyntaf: 40</v>
      </c>
      <c r="C36" s="278">
        <f>INDEX('Prisiau Tai (Gogledd)'!AD$4:AD$84,MATCH('Rhaniad y Ddeiliadaeth (Gog)'!C115,'Prisiau Tai (Gogledd)'!$AC$4:$AC$84,0))</f>
        <v>146720</v>
      </c>
      <c r="D36" s="278">
        <f>INDEX('Prisiau Tai (Gogledd)'!AE$4:AE$84,MATCH('Rhaniad y Ddeiliadaeth (Gog)'!D115,'Prisiau Tai (Gogledd)'!$AC$4:$AC$84,0))</f>
        <v>155273.77600000001</v>
      </c>
      <c r="E36" s="278">
        <f>INDEX('Prisiau Tai (Gogledd)'!AF$4:AF$84,MATCH('Rhaniad y Ddeiliadaeth (Gog)'!E115,'Prisiau Tai (Gogledd)'!$AC$4:$AC$84,0))</f>
        <v>166241.83913339648</v>
      </c>
      <c r="F36" s="278">
        <f>INDEX('Prisiau Tai (Gogledd)'!AG$4:AG$84,MATCH('Rhaniad y Ddeiliadaeth (Gog)'!F115,'Prisiau Tai (Gogledd)'!$AC$4:$AC$84,0))</f>
        <v>175288.86485939671</v>
      </c>
      <c r="G36" s="279">
        <f>INDEX('Prisiau Tai (Gogledd)'!AH$4:AH$84,MATCH('Rhaniad y Ddeiliadaeth (Gog)'!G115,'Prisiau Tai (Gogledd)'!$AC$4:$AC$84,0))</f>
        <v>182683.20272898403</v>
      </c>
      <c r="P36" s="12"/>
    </row>
    <row r="37" spans="2:16" x14ac:dyDescent="0.35">
      <c r="B37" s="251" t="s">
        <v>185</v>
      </c>
      <c r="C37" s="278">
        <f>C36/'Rhaniad y Ddeiliadaeth (Gog)'!C114</f>
        <v>36406.947890818854</v>
      </c>
      <c r="D37" s="278">
        <f>D36/'Rhaniad y Ddeiliadaeth (Gog)'!D114</f>
        <v>38529.472952853597</v>
      </c>
      <c r="E37" s="278">
        <f>E36/'Rhaniad y Ddeiliadaeth (Gog)'!E114</f>
        <v>41251.076708038825</v>
      </c>
      <c r="F37" s="278">
        <f>F36/'Rhaniad y Ddeiliadaeth (Gog)'!F114</f>
        <v>43495.996243026479</v>
      </c>
      <c r="G37" s="279">
        <f>G36/'Rhaniad y Ddeiliadaeth (Gog)'!G114</f>
        <v>45330.819535728042</v>
      </c>
      <c r="P37" s="12"/>
    </row>
    <row r="38" spans="2:16" x14ac:dyDescent="0.35">
      <c r="B38" s="251" t="s">
        <v>186</v>
      </c>
      <c r="C38" s="280">
        <f>IFERROR(INDEX('Incwm (Gogledd)'!$AC$4:$AC$84,MATCH('Cyfrifiadau - Gogledd'!C37,'Incwm (Gogledd)'!AD$4:AD$84,1)),10)</f>
        <v>64</v>
      </c>
      <c r="D38" s="280">
        <f>IFERROR(INDEX('Incwm (Gogledd)'!$AC$4:$AC$84,MATCH('Cyfrifiadau - Gogledd'!D37,'Incwm (Gogledd)'!AE$4:AE$84,1)),10)</f>
        <v>65</v>
      </c>
      <c r="E38" s="280">
        <f>IFERROR(INDEX('Incwm (Gogledd)'!$AC$4:$AC$84,MATCH('Cyfrifiadau - Gogledd'!E37,'Incwm (Gogledd)'!AF$4:AF$84,1)),10)</f>
        <v>67</v>
      </c>
      <c r="F38" s="280">
        <f>IFERROR(INDEX('Incwm (Gogledd)'!$AC$4:$AC$84,MATCH('Cyfrifiadau - Gogledd'!F37,'Incwm (Gogledd)'!AG$4:AG$84,1)),10)</f>
        <v>67</v>
      </c>
      <c r="G38" s="281">
        <f>IFERROR(INDEX('Incwm (Gogledd)'!$AC$4:$AC$84,MATCH('Cyfrifiadau - Gogledd'!G37,'Incwm (Gogledd)'!AH$4:AH$84,1)),10)</f>
        <v>68</v>
      </c>
      <c r="P38" s="12"/>
    </row>
    <row r="39" spans="2:16" x14ac:dyDescent="0.35">
      <c r="B39" s="251" t="s">
        <v>187</v>
      </c>
      <c r="C39" s="166">
        <f>(100-C38)/100</f>
        <v>0.36</v>
      </c>
      <c r="D39" s="166">
        <f t="shared" ref="D39:G39" si="3">(100-D38)/100</f>
        <v>0.35</v>
      </c>
      <c r="E39" s="166">
        <f t="shared" si="3"/>
        <v>0.33</v>
      </c>
      <c r="F39" s="166">
        <f t="shared" si="3"/>
        <v>0.33</v>
      </c>
      <c r="G39" s="167">
        <f t="shared" si="3"/>
        <v>0.32</v>
      </c>
      <c r="P39" s="12"/>
    </row>
    <row r="40" spans="2:16" x14ac:dyDescent="0.35">
      <c r="B40" s="251" t="s">
        <v>196</v>
      </c>
      <c r="C40" s="166" t="e">
        <f>C39*'Rhaniad y Ddeiliadaeth (Gog)'!C116</f>
        <v>#VALUE!</v>
      </c>
      <c r="D40" s="166" t="e">
        <f>D39*'Rhaniad y Ddeiliadaeth (Gog)'!D116</f>
        <v>#VALUE!</v>
      </c>
      <c r="E40" s="166" t="e">
        <f>E39*'Rhaniad y Ddeiliadaeth (Gog)'!E116</f>
        <v>#VALUE!</v>
      </c>
      <c r="F40" s="166" t="e">
        <f>F39*'Rhaniad y Ddeiliadaeth (Gog)'!F116</f>
        <v>#VALUE!</v>
      </c>
      <c r="G40" s="167" t="e">
        <f>G39*'Rhaniad y Ddeiliadaeth (Gog)'!G116</f>
        <v>#VALUE!</v>
      </c>
      <c r="P40" s="12"/>
    </row>
    <row r="41" spans="2:16" x14ac:dyDescent="0.35">
      <c r="B41" s="251" t="s">
        <v>194</v>
      </c>
      <c r="C41" s="170" t="e">
        <f>C40*C11</f>
        <v>#VALUE!</v>
      </c>
      <c r="D41" s="170" t="e">
        <f>D40*D11</f>
        <v>#VALUE!</v>
      </c>
      <c r="E41" s="170" t="e">
        <f>E40*E11</f>
        <v>#VALUE!</v>
      </c>
      <c r="F41" s="170" t="e">
        <f>F40*F11</f>
        <v>#VALUE!</v>
      </c>
      <c r="G41" s="171" t="e">
        <f>G40*G11</f>
        <v>#VALUE!</v>
      </c>
      <c r="P41" s="12"/>
    </row>
    <row r="42" spans="2:16" x14ac:dyDescent="0.35">
      <c r="B42" s="251"/>
      <c r="C42" s="170"/>
      <c r="D42" s="170"/>
      <c r="E42" s="170"/>
      <c r="F42" s="170"/>
      <c r="G42" s="171"/>
      <c r="P42" s="12"/>
    </row>
    <row r="43" spans="2:16" x14ac:dyDescent="0.35">
      <c r="B43" s="282" t="s">
        <v>198</v>
      </c>
      <c r="C43" s="170"/>
      <c r="D43" s="170"/>
      <c r="E43" s="170"/>
      <c r="F43" s="170"/>
      <c r="G43" s="171"/>
      <c r="P43" s="12"/>
    </row>
    <row r="44" spans="2:16" ht="29" x14ac:dyDescent="0.35">
      <c r="B44" s="367" t="s">
        <v>199</v>
      </c>
      <c r="C44" s="16" t="e">
        <f>C22-C41</f>
        <v>#VALUE!</v>
      </c>
      <c r="D44" s="16" t="e">
        <f>D22-D41</f>
        <v>#VALUE!</v>
      </c>
      <c r="E44" s="16" t="e">
        <f>E22-E41</f>
        <v>#VALUE!</v>
      </c>
      <c r="F44" s="16" t="e">
        <f>F22-F41</f>
        <v>#VALUE!</v>
      </c>
      <c r="G44" s="17" t="e">
        <f>G22-G41</f>
        <v>#VALUE!</v>
      </c>
      <c r="P44" s="12"/>
    </row>
    <row r="45" spans="2:16" x14ac:dyDescent="0.35">
      <c r="B45" s="251"/>
      <c r="C45" s="16"/>
      <c r="D45" s="16"/>
      <c r="E45" s="16"/>
      <c r="F45" s="16"/>
      <c r="G45" s="17"/>
    </row>
    <row r="46" spans="2:16" x14ac:dyDescent="0.35">
      <c r="B46" s="282" t="s">
        <v>200</v>
      </c>
      <c r="C46" s="11"/>
      <c r="D46" s="11"/>
      <c r="E46" s="11"/>
      <c r="F46" s="11"/>
      <c r="G46" s="148"/>
    </row>
    <row r="47" spans="2:16" x14ac:dyDescent="0.35">
      <c r="B47" s="251" t="s">
        <v>201</v>
      </c>
      <c r="C47" s="278">
        <f>'Rhaniad y Ddeiliadaeth (Gog)'!C113</f>
        <v>6177.2174336260032</v>
      </c>
      <c r="D47" s="278">
        <f>'Rhaniad y Ddeiliadaeth (Gog)'!D113</f>
        <v>6366.2459931502026</v>
      </c>
      <c r="E47" s="278">
        <f>'Rhaniad y Ddeiliadaeth (Gog)'!E113</f>
        <v>6564.9518649563552</v>
      </c>
      <c r="F47" s="278">
        <f>'Rhaniad y Ddeiliadaeth (Gog)'!F113</f>
        <v>6773.1688303206001</v>
      </c>
      <c r="G47" s="279">
        <f>'Rhaniad y Ddeiliadaeth (Gog)'!G113</f>
        <v>6996.3265897383189</v>
      </c>
    </row>
    <row r="48" spans="2:16" x14ac:dyDescent="0.35">
      <c r="B48" s="251" t="s">
        <v>202</v>
      </c>
      <c r="C48" s="278">
        <f>C47/'Rhaniad y Ddeiliadaeth (Gog)'!C117</f>
        <v>17649.192667502866</v>
      </c>
      <c r="D48" s="278">
        <f>D47/'Rhaniad y Ddeiliadaeth (Gog)'!D117</f>
        <v>18189.274266143439</v>
      </c>
      <c r="E48" s="278">
        <f>E47/'Rhaniad y Ddeiliadaeth (Gog)'!E117</f>
        <v>18757.005328446729</v>
      </c>
      <c r="F48" s="278">
        <f>F47/'Rhaniad y Ddeiliadaeth (Gog)'!F117</f>
        <v>19351.910943773146</v>
      </c>
      <c r="G48" s="279">
        <f>G47/'Rhaniad y Ddeiliadaeth (Gog)'!G117</f>
        <v>19989.504542109484</v>
      </c>
    </row>
    <row r="49" spans="2:7" x14ac:dyDescent="0.35">
      <c r="B49" s="251" t="s">
        <v>186</v>
      </c>
      <c r="C49" s="280">
        <f>IFERROR(INDEX('Incwm (Gogledd)'!$AC$4:$AC$84,MATCH('Cyfrifiadau - Gogledd'!C48,'Incwm (Gogledd)'!AD$4:AD$84,1)),10)</f>
        <v>30</v>
      </c>
      <c r="D49" s="280">
        <f>IFERROR(INDEX('Incwm (Gogledd)'!$AC$4:$AC$84,MATCH('Cyfrifiadau - Gogledd'!D48,'Incwm (Gogledd)'!AE$4:AE$84,1)),10)</f>
        <v>30</v>
      </c>
      <c r="E49" s="280">
        <f>IFERROR(INDEX('Incwm (Gogledd)'!$AC$4:$AC$84,MATCH('Cyfrifiadau - Gogledd'!E48,'Incwm (Gogledd)'!AF$4:AF$84,1)),10)</f>
        <v>30</v>
      </c>
      <c r="F49" s="280">
        <f>IFERROR(INDEX('Incwm (Gogledd)'!$AC$4:$AC$84,MATCH('Cyfrifiadau - Gogledd'!F48,'Incwm (Gogledd)'!AG$4:AG$84,1)),10)</f>
        <v>30</v>
      </c>
      <c r="G49" s="281">
        <f>IFERROR(INDEX('Incwm (Gogledd)'!$AC$4:$AC$84,MATCH('Cyfrifiadau - Gogledd'!G48,'Incwm (Gogledd)'!AH$4:AH$84,1)),10)</f>
        <v>30</v>
      </c>
    </row>
    <row r="50" spans="2:7" x14ac:dyDescent="0.35">
      <c r="B50" s="251" t="s">
        <v>366</v>
      </c>
      <c r="C50" s="166">
        <f>C49/100</f>
        <v>0.3</v>
      </c>
      <c r="D50" s="166">
        <f t="shared" ref="D50:G50" si="4">D49/100</f>
        <v>0.3</v>
      </c>
      <c r="E50" s="166">
        <f t="shared" si="4"/>
        <v>0.3</v>
      </c>
      <c r="F50" s="166">
        <f t="shared" si="4"/>
        <v>0.3</v>
      </c>
      <c r="G50" s="167">
        <f t="shared" si="4"/>
        <v>0.3</v>
      </c>
    </row>
    <row r="51" spans="2:7" x14ac:dyDescent="0.35">
      <c r="B51" s="251" t="s">
        <v>367</v>
      </c>
      <c r="C51" s="170">
        <f>C50*C11</f>
        <v>274.39279174804688</v>
      </c>
      <c r="D51" s="170">
        <f>D50*D11</f>
        <v>287.8921073913574</v>
      </c>
      <c r="E51" s="170">
        <f>E50*E11</f>
        <v>316.12166748046872</v>
      </c>
      <c r="F51" s="170">
        <f>F50*F11</f>
        <v>294.47504196166989</v>
      </c>
      <c r="G51" s="171">
        <f>G50*G11</f>
        <v>288.8155838012695</v>
      </c>
    </row>
    <row r="52" spans="2:7" x14ac:dyDescent="0.35">
      <c r="B52" s="251" t="s">
        <v>203</v>
      </c>
      <c r="C52" s="170">
        <f>C12</f>
        <v>256.8</v>
      </c>
      <c r="D52" s="170">
        <f>D12</f>
        <v>256.8</v>
      </c>
      <c r="E52" s="170">
        <f>E12</f>
        <v>256.8</v>
      </c>
      <c r="F52" s="170">
        <f>F12</f>
        <v>256.8</v>
      </c>
      <c r="G52" s="171">
        <f>G12</f>
        <v>256.8</v>
      </c>
    </row>
    <row r="53" spans="2:7" x14ac:dyDescent="0.35">
      <c r="B53" s="251" t="s">
        <v>204</v>
      </c>
      <c r="C53" s="170">
        <f>C52+C51</f>
        <v>531.19279174804683</v>
      </c>
      <c r="D53" s="170">
        <f t="shared" ref="D53:G53" si="5">D52+D51</f>
        <v>544.69210739135747</v>
      </c>
      <c r="E53" s="170">
        <f t="shared" si="5"/>
        <v>572.92166748046873</v>
      </c>
      <c r="F53" s="170">
        <f t="shared" si="5"/>
        <v>551.2750419616699</v>
      </c>
      <c r="G53" s="171">
        <f t="shared" si="5"/>
        <v>545.61558380126951</v>
      </c>
    </row>
    <row r="54" spans="2:7" x14ac:dyDescent="0.35">
      <c r="B54" s="251"/>
      <c r="C54" s="11"/>
      <c r="D54" s="11"/>
      <c r="E54" s="11"/>
      <c r="F54" s="11"/>
      <c r="G54" s="148"/>
    </row>
    <row r="55" spans="2:7" x14ac:dyDescent="0.35">
      <c r="B55" s="282" t="s">
        <v>205</v>
      </c>
      <c r="C55" s="11"/>
      <c r="D55" s="11"/>
      <c r="E55" s="11"/>
      <c r="F55" s="11"/>
      <c r="G55" s="148"/>
    </row>
    <row r="56" spans="2:7" x14ac:dyDescent="0.35">
      <c r="B56" s="251" t="s">
        <v>206</v>
      </c>
      <c r="C56" s="170" t="e">
        <f>C11-C41-C44-C51</f>
        <v>#VALUE!</v>
      </c>
      <c r="D56" s="170" t="e">
        <f>D11-D41-D44-D51</f>
        <v>#VALUE!</v>
      </c>
      <c r="E56" s="170" t="e">
        <f>E11-E41-E44-E51</f>
        <v>#VALUE!</v>
      </c>
      <c r="F56" s="170" t="e">
        <f>F11-F41-F44-F51</f>
        <v>#VALUE!</v>
      </c>
      <c r="G56" s="171" t="e">
        <f>G11-G41-G44-G51</f>
        <v>#VALUE!</v>
      </c>
    </row>
    <row r="57" spans="2:7" x14ac:dyDescent="0.35">
      <c r="B57" s="251"/>
      <c r="C57" s="11"/>
      <c r="D57" s="11"/>
      <c r="E57" s="11"/>
      <c r="F57" s="11"/>
      <c r="G57" s="148"/>
    </row>
    <row r="58" spans="2:7" x14ac:dyDescent="0.35">
      <c r="B58" s="282" t="s">
        <v>190</v>
      </c>
      <c r="C58" s="11"/>
      <c r="D58" s="11"/>
      <c r="E58" s="11"/>
      <c r="F58" s="11"/>
      <c r="G58" s="148"/>
    </row>
    <row r="59" spans="2:7" x14ac:dyDescent="0.35">
      <c r="B59" s="251" t="s">
        <v>207</v>
      </c>
      <c r="C59" s="16" t="e">
        <f>C41</f>
        <v>#VALUE!</v>
      </c>
      <c r="D59" s="16" t="e">
        <f>D41</f>
        <v>#VALUE!</v>
      </c>
      <c r="E59" s="16" t="e">
        <f>E41</f>
        <v>#VALUE!</v>
      </c>
      <c r="F59" s="16" t="e">
        <f>F41</f>
        <v>#VALUE!</v>
      </c>
      <c r="G59" s="17" t="e">
        <f>G41</f>
        <v>#VALUE!</v>
      </c>
    </row>
    <row r="60" spans="2:7" x14ac:dyDescent="0.35">
      <c r="B60" s="251" t="s">
        <v>198</v>
      </c>
      <c r="C60" s="16" t="e">
        <f>C44</f>
        <v>#VALUE!</v>
      </c>
      <c r="D60" s="16" t="e">
        <f>D44</f>
        <v>#VALUE!</v>
      </c>
      <c r="E60" s="16" t="e">
        <f>E44</f>
        <v>#VALUE!</v>
      </c>
      <c r="F60" s="16" t="e">
        <f>F44</f>
        <v>#VALUE!</v>
      </c>
      <c r="G60" s="17" t="e">
        <f>G44</f>
        <v>#VALUE!</v>
      </c>
    </row>
    <row r="61" spans="2:7" x14ac:dyDescent="0.35">
      <c r="B61" s="251" t="s">
        <v>200</v>
      </c>
      <c r="C61" s="16">
        <f>C53</f>
        <v>531.19279174804683</v>
      </c>
      <c r="D61" s="16">
        <f>D53</f>
        <v>544.69210739135747</v>
      </c>
      <c r="E61" s="16">
        <f>E53</f>
        <v>572.92166748046873</v>
      </c>
      <c r="F61" s="16">
        <f>F53</f>
        <v>551.2750419616699</v>
      </c>
      <c r="G61" s="17">
        <f>G53</f>
        <v>545.61558380126951</v>
      </c>
    </row>
    <row r="62" spans="2:7" x14ac:dyDescent="0.35">
      <c r="B62" s="253" t="s">
        <v>205</v>
      </c>
      <c r="C62" s="19" t="e">
        <f>C56</f>
        <v>#VALUE!</v>
      </c>
      <c r="D62" s="19" t="e">
        <f>D56</f>
        <v>#VALUE!</v>
      </c>
      <c r="E62" s="19" t="e">
        <f>E56</f>
        <v>#VALUE!</v>
      </c>
      <c r="F62" s="19" t="e">
        <f>F56</f>
        <v>#VALUE!</v>
      </c>
      <c r="G62" s="20" t="e">
        <f>G56</f>
        <v>#VALUE!</v>
      </c>
    </row>
  </sheetData>
  <mergeCells count="2">
    <mergeCell ref="B3:G6"/>
    <mergeCell ref="B33:G33"/>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sheetPr>
  <dimension ref="B1:P62"/>
  <sheetViews>
    <sheetView showGridLines="0" zoomScale="70" zoomScaleNormal="70" workbookViewId="0"/>
  </sheetViews>
  <sheetFormatPr defaultColWidth="9.1796875" defaultRowHeight="14.5" x14ac:dyDescent="0.35"/>
  <cols>
    <col min="1" max="1" width="1.7265625" style="1" customWidth="1"/>
    <col min="2" max="2" width="64.7265625" style="1" customWidth="1"/>
    <col min="3" max="7" width="11.54296875" style="1" bestFit="1" customWidth="1"/>
    <col min="8" max="8" width="9.1796875" style="1"/>
    <col min="9" max="9" width="9.1796875" style="12"/>
    <col min="10" max="16384" width="9.1796875" style="1"/>
  </cols>
  <sheetData>
    <row r="1" spans="2:9" ht="18.5" x14ac:dyDescent="0.45">
      <c r="B1" s="292" t="s">
        <v>144</v>
      </c>
    </row>
    <row r="2" spans="2:9" ht="14.25" customHeight="1" x14ac:dyDescent="0.45">
      <c r="B2" s="9"/>
    </row>
    <row r="3" spans="2:9" ht="15" customHeight="1" x14ac:dyDescent="0.35">
      <c r="B3" s="526" t="s">
        <v>264</v>
      </c>
      <c r="C3" s="527"/>
      <c r="D3" s="527"/>
      <c r="E3" s="527"/>
      <c r="F3" s="527"/>
      <c r="G3" s="528"/>
    </row>
    <row r="4" spans="2:9" x14ac:dyDescent="0.35">
      <c r="B4" s="529"/>
      <c r="C4" s="530"/>
      <c r="D4" s="530"/>
      <c r="E4" s="530"/>
      <c r="F4" s="530"/>
      <c r="G4" s="531"/>
    </row>
    <row r="5" spans="2:9" x14ac:dyDescent="0.35">
      <c r="B5" s="529"/>
      <c r="C5" s="530"/>
      <c r="D5" s="530"/>
      <c r="E5" s="530"/>
      <c r="F5" s="530"/>
      <c r="G5" s="531"/>
    </row>
    <row r="6" spans="2:9" x14ac:dyDescent="0.35">
      <c r="B6" s="532"/>
      <c r="C6" s="533"/>
      <c r="D6" s="533"/>
      <c r="E6" s="533"/>
      <c r="F6" s="533"/>
      <c r="G6" s="534"/>
    </row>
    <row r="7" spans="2:9" ht="18.5" x14ac:dyDescent="0.45">
      <c r="B7" s="9"/>
    </row>
    <row r="8" spans="2:9" ht="18.5" x14ac:dyDescent="0.45">
      <c r="B8" s="163" t="s">
        <v>182</v>
      </c>
      <c r="C8" s="14"/>
      <c r="D8" s="14"/>
      <c r="E8" s="14"/>
      <c r="F8" s="14"/>
      <c r="G8" s="147"/>
    </row>
    <row r="9" spans="2:9" ht="18.5" x14ac:dyDescent="0.45">
      <c r="B9" s="208"/>
      <c r="C9" s="11">
        <v>1</v>
      </c>
      <c r="D9" s="11">
        <v>2</v>
      </c>
      <c r="E9" s="11">
        <v>3</v>
      </c>
      <c r="F9" s="24">
        <v>4</v>
      </c>
      <c r="G9" s="148">
        <v>5</v>
      </c>
    </row>
    <row r="10" spans="2:9" x14ac:dyDescent="0.35">
      <c r="B10" s="15"/>
      <c r="C10" s="175" t="str">
        <f>Year1</f>
        <v>2019/20</v>
      </c>
      <c r="D10" s="175" t="str">
        <f>Year2</f>
        <v>2020/21</v>
      </c>
      <c r="E10" s="175" t="str">
        <f>Year3</f>
        <v>2021/22</v>
      </c>
      <c r="F10" s="175" t="str">
        <f>Year4</f>
        <v>2022/23</v>
      </c>
      <c r="G10" s="176" t="str">
        <f>Year5</f>
        <v>2023/24</v>
      </c>
    </row>
    <row r="11" spans="2:9" x14ac:dyDescent="0.35">
      <c r="B11" s="251" t="s">
        <v>363</v>
      </c>
      <c r="C11" s="276">
        <f t="array" ref="C11">INDEX('Angen o''r Newydd'!D8:D27,MATCH(1,($B$1='Angen o''r Newydd'!$C$8:$C$27)*('Rhaniad y Ddeiliadaeth (Cymru)'!$D$6='Angen o''r Newydd'!$B$8:$B$27),0))</f>
        <v>24.338798522949219</v>
      </c>
      <c r="D11" s="276">
        <f t="array" ref="D11">INDEX('Angen o''r Newydd'!E8:E27,MATCH(1,($B$1='Angen o''r Newydd'!$C$8:$C$27)*('Rhaniad y Ddeiliadaeth (Cymru)'!$D$6='Angen o''r Newydd'!$B$8:$B$27),0))</f>
        <v>54.865303039550781</v>
      </c>
      <c r="E11" s="276">
        <f t="array" ref="E11">INDEX('Angen o''r Newydd'!F8:F27,MATCH(1,($B$1='Angen o''r Newydd'!$C$8:$C$27)*('Rhaniad y Ddeiliadaeth (Cymru)'!$D$6='Angen o''r Newydd'!$B$8:$B$27),0))</f>
        <v>86.457130432128906</v>
      </c>
      <c r="F11" s="276">
        <f t="array" ref="F11">INDEX('Angen o''r Newydd'!G8:G27,MATCH(1,($B$1='Angen o''r Newydd'!$C$8:$C$27)*('Rhaniad y Ddeiliadaeth (Cymru)'!$D$6='Angen o''r Newydd'!$B$8:$B$27),0))</f>
        <v>106.96518325805664</v>
      </c>
      <c r="G11" s="277">
        <f t="array" ref="G11">INDEX('Angen o''r Newydd'!H8:H27,MATCH(1,($B$1='Angen o''r Newydd'!$C$8:$C$27)*('Rhaniad y Ddeiliadaeth (Cymru)'!$D$6='Angen o''r Newydd'!$B$8:$B$27),0))</f>
        <v>142.0881404876709</v>
      </c>
      <c r="H11" s="2"/>
      <c r="I11" s="315"/>
    </row>
    <row r="12" spans="2:9" x14ac:dyDescent="0.35">
      <c r="B12" s="251" t="s">
        <v>165</v>
      </c>
      <c r="C12" s="276">
        <f>IF('Angen Presennol Nas Diwallwyd'!$C$29&gt;='Cyfrifiadau - Canolbarth'!C9,IF('Rhaniad y Ddeiliadaeth (Cymru)'!$D$7="Amcangyfrifon LlC",'Angen Presennol Nas Diwallwyd'!$C$10/'Angen Presennol Nas Diwallwyd'!$C$29,'Angen Presennol Nas Diwallwyd'!$C$21/'Angen Presennol Nas Diwallwyd'!$C$29),0)</f>
        <v>50.2</v>
      </c>
      <c r="D12" s="276">
        <f>IF('Angen Presennol Nas Diwallwyd'!$C$29&gt;='Cyfrifiadau - Canolbarth'!D9,IF('Rhaniad y Ddeiliadaeth (Cymru)'!$D$7="Amcangyfrifon LlC",'Angen Presennol Nas Diwallwyd'!$C$10/'Angen Presennol Nas Diwallwyd'!$C$29,'Angen Presennol Nas Diwallwyd'!$C$21/'Angen Presennol Nas Diwallwyd'!$C$29),0)</f>
        <v>50.2</v>
      </c>
      <c r="E12" s="276">
        <f>IF('Angen Presennol Nas Diwallwyd'!$C$29&gt;='Cyfrifiadau - Canolbarth'!E9,IF('Rhaniad y Ddeiliadaeth (Cymru)'!$D$7="Amcangyfrifon LlC",'Angen Presennol Nas Diwallwyd'!$C$10/'Angen Presennol Nas Diwallwyd'!$C$29,'Angen Presennol Nas Diwallwyd'!$C$21/'Angen Presennol Nas Diwallwyd'!$C$29),0)</f>
        <v>50.2</v>
      </c>
      <c r="F12" s="276">
        <f>IF('Angen Presennol Nas Diwallwyd'!$C$29&gt;='Cyfrifiadau - Canolbarth'!F9,IF('Rhaniad y Ddeiliadaeth (Cymru)'!$D$7="Amcangyfrifon LlC",'Angen Presennol Nas Diwallwyd'!$C$10/'Angen Presennol Nas Diwallwyd'!$C$29,'Angen Presennol Nas Diwallwyd'!$C$21/'Angen Presennol Nas Diwallwyd'!$C$29),0)</f>
        <v>50.2</v>
      </c>
      <c r="G12" s="277">
        <f>IF('Angen Presennol Nas Diwallwyd'!$C$29&gt;='Cyfrifiadau - Canolbarth'!G9,IF('Rhaniad y Ddeiliadaeth (Cymru)'!$D$7="Amcangyfrifon LlC",'Angen Presennol Nas Diwallwyd'!$C$10/'Angen Presennol Nas Diwallwyd'!$C$29,'Angen Presennol Nas Diwallwyd'!$C$21/'Angen Presennol Nas Diwallwyd'!$C$29),0)</f>
        <v>50.2</v>
      </c>
      <c r="H12" s="2"/>
      <c r="I12" s="315"/>
    </row>
    <row r="13" spans="2:9" x14ac:dyDescent="0.35">
      <c r="B13" s="253" t="s">
        <v>168</v>
      </c>
      <c r="C13" s="294">
        <f>SUM(C11:C12)</f>
        <v>74.538798522949222</v>
      </c>
      <c r="D13" s="294">
        <f t="shared" ref="D13:G13" si="0">SUM(D11:D12)</f>
        <v>105.06530303955078</v>
      </c>
      <c r="E13" s="294">
        <f t="shared" si="0"/>
        <v>136.65713043212889</v>
      </c>
      <c r="F13" s="294">
        <f t="shared" si="0"/>
        <v>157.16518325805663</v>
      </c>
      <c r="G13" s="295">
        <f t="shared" si="0"/>
        <v>192.28814048767089</v>
      </c>
      <c r="H13" s="2"/>
    </row>
    <row r="14" spans="2:9" x14ac:dyDescent="0.35">
      <c r="C14" s="2"/>
      <c r="D14" s="2"/>
      <c r="E14" s="2"/>
      <c r="F14" s="2"/>
      <c r="G14" s="2"/>
    </row>
    <row r="15" spans="2:9" ht="18.5" x14ac:dyDescent="0.45">
      <c r="B15" s="163" t="s">
        <v>183</v>
      </c>
      <c r="C15" s="164"/>
      <c r="D15" s="164"/>
      <c r="E15" s="164"/>
      <c r="F15" s="164"/>
      <c r="G15" s="165"/>
    </row>
    <row r="16" spans="2:9" x14ac:dyDescent="0.35">
      <c r="B16" s="15"/>
      <c r="C16" s="11"/>
      <c r="D16" s="11"/>
      <c r="E16" s="11"/>
      <c r="F16" s="11"/>
      <c r="G16" s="148"/>
    </row>
    <row r="17" spans="2:16" x14ac:dyDescent="0.35">
      <c r="B17" s="282" t="s">
        <v>306</v>
      </c>
      <c r="C17" s="11"/>
      <c r="D17" s="11"/>
      <c r="E17" s="11"/>
      <c r="F17" s="11"/>
      <c r="G17" s="148"/>
    </row>
    <row r="18" spans="2:16" x14ac:dyDescent="0.35">
      <c r="B18" s="251" t="s">
        <v>184</v>
      </c>
      <c r="C18" s="278">
        <f>'Rhaniad y Ddeiliadaeth (Canol)'!C112</f>
        <v>6424.3061309710438</v>
      </c>
      <c r="D18" s="278">
        <f>'Rhaniad y Ddeiliadaeth (Canol)'!D112</f>
        <v>6620.895832876211</v>
      </c>
      <c r="E18" s="278">
        <f>'Rhaniad y Ddeiliadaeth (Canol)'!E112</f>
        <v>6827.5499395546103</v>
      </c>
      <c r="F18" s="278">
        <f>'Rhaniad y Ddeiliadaeth (Canol)'!F112</f>
        <v>7044.0955835334244</v>
      </c>
      <c r="G18" s="279">
        <f>'Rhaniad y Ddeiliadaeth (Canol)'!G112</f>
        <v>7276.1796533278521</v>
      </c>
    </row>
    <row r="19" spans="2:16" x14ac:dyDescent="0.35">
      <c r="B19" s="251" t="s">
        <v>185</v>
      </c>
      <c r="C19" s="278">
        <f>C18/'Rhaniad y Ddeiliadaeth (Canol)'!C108</f>
        <v>21414.353769903479</v>
      </c>
      <c r="D19" s="278">
        <f>D18/'Rhaniad y Ddeiliadaeth (Canol)'!D108</f>
        <v>22069.652776254039</v>
      </c>
      <c r="E19" s="278">
        <f>E18/'Rhaniad y Ddeiliadaeth (Canol)'!E108</f>
        <v>22758.499798515368</v>
      </c>
      <c r="F19" s="278">
        <f>F18/'Rhaniad y Ddeiliadaeth (Canol)'!F108</f>
        <v>23480.318611778082</v>
      </c>
      <c r="G19" s="279">
        <f>G18/'Rhaniad y Ddeiliadaeth (Canol)'!G108</f>
        <v>24253.932177759507</v>
      </c>
    </row>
    <row r="20" spans="2:16" x14ac:dyDescent="0.35">
      <c r="B20" s="251" t="s">
        <v>186</v>
      </c>
      <c r="C20" s="280">
        <f>IFERROR(INDEX('Incwm (Canolbarth)'!$AC$4:$AC$84,MATCH('Cyfrifiadau - Canolbarth'!C19,'Incwm (Canolbarth)'!AD$4:AD$84,1)),10)</f>
        <v>36</v>
      </c>
      <c r="D20" s="280">
        <f>IFERROR(INDEX('Incwm (Canolbarth)'!$AC$4:$AC$84,MATCH('Cyfrifiadau - Canolbarth'!D19,'Incwm (Canolbarth)'!AE$4:AE$84,1)),10)</f>
        <v>36</v>
      </c>
      <c r="E20" s="280">
        <f>IFERROR(INDEX('Incwm (Canolbarth)'!$AC$4:$AC$84,MATCH('Cyfrifiadau - Canolbarth'!E19,'Incwm (Canolbarth)'!AF$4:AF$84,1)),10)</f>
        <v>37</v>
      </c>
      <c r="F20" s="280">
        <f>IFERROR(INDEX('Incwm (Canolbarth)'!$AC$4:$AC$84,MATCH('Cyfrifiadau - Canolbarth'!F19,'Incwm (Canolbarth)'!AG$4:AG$84,1)),10)</f>
        <v>37</v>
      </c>
      <c r="G20" s="281">
        <f>IFERROR(INDEX('Incwm (Canolbarth)'!$AC$4:$AC$84,MATCH('Cyfrifiadau - Canolbarth'!G19,'Incwm (Canolbarth)'!AH$4:AH$84,1)),10)</f>
        <v>37</v>
      </c>
      <c r="P20" s="12"/>
    </row>
    <row r="21" spans="2:16" x14ac:dyDescent="0.35">
      <c r="B21" s="251" t="s">
        <v>364</v>
      </c>
      <c r="C21" s="166">
        <f>(100-C20)/100</f>
        <v>0.64</v>
      </c>
      <c r="D21" s="166">
        <f t="shared" ref="D21:G21" si="1">(100-D20)/100</f>
        <v>0.64</v>
      </c>
      <c r="E21" s="166">
        <f t="shared" si="1"/>
        <v>0.63</v>
      </c>
      <c r="F21" s="166">
        <f t="shared" si="1"/>
        <v>0.63</v>
      </c>
      <c r="G21" s="167">
        <f t="shared" si="1"/>
        <v>0.63</v>
      </c>
    </row>
    <row r="22" spans="2:16" x14ac:dyDescent="0.35">
      <c r="B22" s="251" t="s">
        <v>365</v>
      </c>
      <c r="C22" s="168">
        <f>C21*C11</f>
        <v>15.576831054687501</v>
      </c>
      <c r="D22" s="168">
        <f>D21*D11</f>
        <v>35.113793945312501</v>
      </c>
      <c r="E22" s="168">
        <f>E21*E11</f>
        <v>54.46799217224121</v>
      </c>
      <c r="F22" s="168">
        <f>F21*F11</f>
        <v>67.388065452575688</v>
      </c>
      <c r="G22" s="169">
        <f>G21*G11</f>
        <v>89.515528507232673</v>
      </c>
    </row>
    <row r="23" spans="2:16" x14ac:dyDescent="0.35">
      <c r="B23" s="251"/>
      <c r="C23" s="11"/>
      <c r="D23" s="11"/>
      <c r="E23" s="11"/>
      <c r="F23" s="11"/>
      <c r="G23" s="148"/>
    </row>
    <row r="24" spans="2:16" x14ac:dyDescent="0.35">
      <c r="B24" s="251"/>
      <c r="C24" s="168"/>
      <c r="D24" s="168"/>
      <c r="E24" s="168"/>
      <c r="F24" s="168"/>
      <c r="G24" s="169"/>
    </row>
    <row r="25" spans="2:16" x14ac:dyDescent="0.35">
      <c r="B25" s="282" t="s">
        <v>188</v>
      </c>
      <c r="C25" s="168"/>
      <c r="D25" s="168"/>
      <c r="E25" s="168"/>
      <c r="F25" s="168"/>
      <c r="G25" s="169"/>
    </row>
    <row r="26" spans="2:16" x14ac:dyDescent="0.35">
      <c r="B26" s="251" t="s">
        <v>189</v>
      </c>
      <c r="C26" s="168">
        <f>C13-C22</f>
        <v>58.961967468261719</v>
      </c>
      <c r="D26" s="168">
        <f>D13-D22</f>
        <v>69.951509094238276</v>
      </c>
      <c r="E26" s="168">
        <f t="shared" ref="E26:G26" si="2">E13-E22</f>
        <v>82.189138259887685</v>
      </c>
      <c r="F26" s="168">
        <f t="shared" si="2"/>
        <v>89.777117805480941</v>
      </c>
      <c r="G26" s="169">
        <f t="shared" si="2"/>
        <v>102.77261198043821</v>
      </c>
    </row>
    <row r="27" spans="2:16" x14ac:dyDescent="0.35">
      <c r="B27" s="251"/>
      <c r="C27" s="168"/>
      <c r="D27" s="168"/>
      <c r="E27" s="168"/>
      <c r="F27" s="168"/>
      <c r="G27" s="169"/>
    </row>
    <row r="28" spans="2:16" x14ac:dyDescent="0.35">
      <c r="B28" s="282" t="s">
        <v>190</v>
      </c>
      <c r="C28" s="11"/>
      <c r="D28" s="11"/>
      <c r="E28" s="11"/>
      <c r="F28" s="11"/>
      <c r="G28" s="148"/>
    </row>
    <row r="29" spans="2:16" x14ac:dyDescent="0.35">
      <c r="B29" s="251" t="s">
        <v>191</v>
      </c>
      <c r="C29" s="16">
        <f>C22</f>
        <v>15.576831054687501</v>
      </c>
      <c r="D29" s="16">
        <f>D22</f>
        <v>35.113793945312501</v>
      </c>
      <c r="E29" s="16">
        <f>E22</f>
        <v>54.46799217224121</v>
      </c>
      <c r="F29" s="16">
        <f>F22</f>
        <v>67.388065452575688</v>
      </c>
      <c r="G29" s="17">
        <f>G22</f>
        <v>89.515528507232673</v>
      </c>
    </row>
    <row r="30" spans="2:16" x14ac:dyDescent="0.35">
      <c r="B30" s="253" t="s">
        <v>188</v>
      </c>
      <c r="C30" s="19">
        <f>C26</f>
        <v>58.961967468261719</v>
      </c>
      <c r="D30" s="19">
        <f>D26</f>
        <v>69.951509094238276</v>
      </c>
      <c r="E30" s="19">
        <f>E26</f>
        <v>82.189138259887685</v>
      </c>
      <c r="F30" s="19">
        <f>F26</f>
        <v>89.777117805480941</v>
      </c>
      <c r="G30" s="20">
        <f>G26</f>
        <v>102.77261198043821</v>
      </c>
    </row>
    <row r="31" spans="2:16" x14ac:dyDescent="0.35">
      <c r="C31" s="5"/>
      <c r="D31" s="5"/>
      <c r="E31" s="5"/>
      <c r="F31" s="5"/>
      <c r="G31" s="5"/>
    </row>
    <row r="32" spans="2:16" ht="18.5" x14ac:dyDescent="0.45">
      <c r="B32" s="163" t="s">
        <v>192</v>
      </c>
      <c r="C32" s="14"/>
      <c r="D32" s="14"/>
      <c r="E32" s="14"/>
      <c r="F32" s="14"/>
      <c r="G32" s="147"/>
    </row>
    <row r="33" spans="2:16" ht="21" customHeight="1" x14ac:dyDescent="0.35">
      <c r="B33" s="523" t="s">
        <v>193</v>
      </c>
      <c r="C33" s="524"/>
      <c r="D33" s="524"/>
      <c r="E33" s="524"/>
      <c r="F33" s="524"/>
      <c r="G33" s="525"/>
    </row>
    <row r="34" spans="2:16" x14ac:dyDescent="0.35">
      <c r="B34" s="15"/>
      <c r="C34" s="11"/>
      <c r="D34" s="11"/>
      <c r="E34" s="11"/>
      <c r="F34" s="11"/>
      <c r="G34" s="148"/>
    </row>
    <row r="35" spans="2:16" x14ac:dyDescent="0.35">
      <c r="B35" s="282" t="s">
        <v>194</v>
      </c>
      <c r="C35" s="11"/>
      <c r="D35" s="11"/>
      <c r="E35" s="11"/>
      <c r="F35" s="11"/>
      <c r="G35" s="148"/>
      <c r="P35" s="12"/>
    </row>
    <row r="36" spans="2:16" x14ac:dyDescent="0.35">
      <c r="B36" s="255" t="str">
        <f>"Canradd Mynediad y farchnad ar gyfer y Prynwyr Tro Cyntaf: "&amp;'Rhaniad y Ddeiliadaeth (Cymru)'!C115</f>
        <v>Canradd Mynediad y farchnad ar gyfer y Prynwyr Tro Cyntaf: 40</v>
      </c>
      <c r="C36" s="278">
        <f>INDEX('Prisiau Tai (Canolbarth)'!AD$4:AD$84,MATCH('Rhaniad y Ddeiliadaeth (Canol)'!C115,'Prisiau Tai (Canolbarth)'!$AC$4:$AC$84,0))</f>
        <v>169776</v>
      </c>
      <c r="D36" s="278">
        <f>INDEX('Prisiau Tai (Canolbarth)'!AE$4:AE$84,MATCH('Rhaniad y Ddeiliadaeth (Canol)'!D115,'Prisiau Tai (Canolbarth)'!$AC$4:$AC$84,0))</f>
        <v>179673.94080000001</v>
      </c>
      <c r="E36" s="278">
        <f>INDEX('Prisiau Tai (Canolbarth)'!AF$4:AF$84,MATCH('Rhaniad y Ddeiliadaeth (Canol)'!E115,'Prisiau Tai (Canolbarth)'!$AC$4:$AC$84,0))</f>
        <v>192365.55671150165</v>
      </c>
      <c r="F36" s="278">
        <f>INDEX('Prisiau Tai (Canolbarth)'!AG$4:AG$84,MATCH('Rhaniad y Ddeiliadaeth (Canol)'!F115,'Prisiau Tai (Canolbarth)'!$AC$4:$AC$84,0))</f>
        <v>202834.25790873045</v>
      </c>
      <c r="G36" s="279">
        <f>INDEX('Prisiau Tai (Canolbarth)'!AH$4:AH$84,MATCH('Rhaniad y Ddeiliadaeth (Canol)'!G115,'Prisiau Tai (Canolbarth)'!$AC$4:$AC$84,0))</f>
        <v>211390.56315782436</v>
      </c>
      <c r="P36" s="12"/>
    </row>
    <row r="37" spans="2:16" x14ac:dyDescent="0.35">
      <c r="B37" s="251" t="s">
        <v>185</v>
      </c>
      <c r="C37" s="278">
        <f>C36/'Rhaniad y Ddeiliadaeth (Canol)'!C114</f>
        <v>42128.039702233247</v>
      </c>
      <c r="D37" s="278">
        <f>D36/'Rhaniad y Ddeiliadaeth (Canol)'!D114</f>
        <v>44584.104416873452</v>
      </c>
      <c r="E37" s="278">
        <f>E36/'Rhaniad y Ddeiliadaeth (Canol)'!E114</f>
        <v>47733.388762159215</v>
      </c>
      <c r="F37" s="278">
        <f>F36/'Rhaniad y Ddeiliadaeth (Canol)'!F114</f>
        <v>50331.08136693063</v>
      </c>
      <c r="G37" s="279">
        <f>G36/'Rhaniad y Ddeiliadaeth (Canol)'!G114</f>
        <v>52454.234034199588</v>
      </c>
      <c r="P37" s="12"/>
    </row>
    <row r="38" spans="2:16" x14ac:dyDescent="0.35">
      <c r="B38" s="251" t="s">
        <v>186</v>
      </c>
      <c r="C38" s="280">
        <f>IFERROR(INDEX('Incwm (Canolbarth)'!$AC$4:$AC$84,MATCH('Cyfrifiadau - Canolbarth'!C37,'Incwm (Canolbarth)'!AD$4:AD$84,1)),10)</f>
        <v>71</v>
      </c>
      <c r="D38" s="280">
        <f>IFERROR(INDEX('Incwm (Canolbarth)'!$AC$4:$AC$84,MATCH('Cyfrifiadau - Canolbarth'!D37,'Incwm (Canolbarth)'!AE$4:AE$84,1)),10)</f>
        <v>71</v>
      </c>
      <c r="E38" s="280">
        <f>IFERROR(INDEX('Incwm (Canolbarth)'!$AC$4:$AC$84,MATCH('Cyfrifiadau - Canolbarth'!E37,'Incwm (Canolbarth)'!AF$4:AF$84,1)),10)</f>
        <v>72</v>
      </c>
      <c r="F38" s="280">
        <f>IFERROR(INDEX('Incwm (Canolbarth)'!$AC$4:$AC$84,MATCH('Cyfrifiadau - Canolbarth'!F37,'Incwm (Canolbarth)'!AG$4:AG$84,1)),10)</f>
        <v>73</v>
      </c>
      <c r="G38" s="281">
        <f>IFERROR(INDEX('Incwm (Canolbarth)'!$AC$4:$AC$84,MATCH('Cyfrifiadau - Canolbarth'!G37,'Incwm (Canolbarth)'!AH$4:AH$84,1)),10)</f>
        <v>73</v>
      </c>
      <c r="P38" s="12"/>
    </row>
    <row r="39" spans="2:16" x14ac:dyDescent="0.35">
      <c r="B39" s="251" t="s">
        <v>187</v>
      </c>
      <c r="C39" s="166">
        <f>(100-C38)/100</f>
        <v>0.28999999999999998</v>
      </c>
      <c r="D39" s="166">
        <f t="shared" ref="D39:G39" si="3">(100-D38)/100</f>
        <v>0.28999999999999998</v>
      </c>
      <c r="E39" s="166">
        <f t="shared" si="3"/>
        <v>0.28000000000000003</v>
      </c>
      <c r="F39" s="166">
        <f t="shared" si="3"/>
        <v>0.27</v>
      </c>
      <c r="G39" s="167">
        <f t="shared" si="3"/>
        <v>0.27</v>
      </c>
      <c r="P39" s="12"/>
    </row>
    <row r="40" spans="2:16" x14ac:dyDescent="0.35">
      <c r="B40" s="251" t="s">
        <v>196</v>
      </c>
      <c r="C40" s="166" t="e">
        <f>C39*'Rhaniad y Ddeiliadaeth (Canol)'!C116</f>
        <v>#VALUE!</v>
      </c>
      <c r="D40" s="166" t="e">
        <f>D39*'Rhaniad y Ddeiliadaeth (Canol)'!D116</f>
        <v>#VALUE!</v>
      </c>
      <c r="E40" s="166" t="e">
        <f>E39*'Rhaniad y Ddeiliadaeth (Canol)'!E116</f>
        <v>#VALUE!</v>
      </c>
      <c r="F40" s="166" t="e">
        <f>F39*'Rhaniad y Ddeiliadaeth (Canol)'!F116</f>
        <v>#VALUE!</v>
      </c>
      <c r="G40" s="167" t="e">
        <f>G39*'Rhaniad y Ddeiliadaeth (Canol)'!G116</f>
        <v>#VALUE!</v>
      </c>
      <c r="P40" s="12"/>
    </row>
    <row r="41" spans="2:16" x14ac:dyDescent="0.35">
      <c r="B41" s="251" t="s">
        <v>194</v>
      </c>
      <c r="C41" s="316" t="e">
        <f>C40*C11</f>
        <v>#VALUE!</v>
      </c>
      <c r="D41" s="170" t="e">
        <f>D40*D11</f>
        <v>#VALUE!</v>
      </c>
      <c r="E41" s="170" t="e">
        <f>E40*E11</f>
        <v>#VALUE!</v>
      </c>
      <c r="F41" s="170" t="e">
        <f>F40*F11</f>
        <v>#VALUE!</v>
      </c>
      <c r="G41" s="171" t="e">
        <f>G40*G11</f>
        <v>#VALUE!</v>
      </c>
      <c r="P41" s="12"/>
    </row>
    <row r="42" spans="2:16" x14ac:dyDescent="0.35">
      <c r="B42" s="251"/>
      <c r="C42" s="170"/>
      <c r="D42" s="170"/>
      <c r="E42" s="170"/>
      <c r="F42" s="170"/>
      <c r="G42" s="171"/>
      <c r="P42" s="12"/>
    </row>
    <row r="43" spans="2:16" x14ac:dyDescent="0.35">
      <c r="B43" s="282" t="s">
        <v>198</v>
      </c>
      <c r="C43" s="170"/>
      <c r="D43" s="170"/>
      <c r="E43" s="170"/>
      <c r="F43" s="170"/>
      <c r="G43" s="171"/>
      <c r="P43" s="12"/>
    </row>
    <row r="44" spans="2:16" ht="29" x14ac:dyDescent="0.35">
      <c r="B44" s="367" t="s">
        <v>199</v>
      </c>
      <c r="C44" s="16" t="e">
        <f>C22-C41</f>
        <v>#VALUE!</v>
      </c>
      <c r="D44" s="16" t="e">
        <f>D22-D41</f>
        <v>#VALUE!</v>
      </c>
      <c r="E44" s="16" t="e">
        <f>E22-E41</f>
        <v>#VALUE!</v>
      </c>
      <c r="F44" s="16" t="e">
        <f>F22-F41</f>
        <v>#VALUE!</v>
      </c>
      <c r="G44" s="17" t="e">
        <f>G22-G41</f>
        <v>#VALUE!</v>
      </c>
      <c r="P44" s="12"/>
    </row>
    <row r="45" spans="2:16" x14ac:dyDescent="0.35">
      <c r="B45" s="251"/>
      <c r="C45" s="16"/>
      <c r="D45" s="16"/>
      <c r="E45" s="16"/>
      <c r="F45" s="16"/>
      <c r="G45" s="17"/>
    </row>
    <row r="46" spans="2:16" x14ac:dyDescent="0.35">
      <c r="B46" s="282" t="s">
        <v>200</v>
      </c>
      <c r="C46" s="11"/>
      <c r="D46" s="11"/>
      <c r="E46" s="11"/>
      <c r="F46" s="11"/>
      <c r="G46" s="148"/>
    </row>
    <row r="47" spans="2:16" x14ac:dyDescent="0.35">
      <c r="B47" s="251" t="s">
        <v>201</v>
      </c>
      <c r="C47" s="278">
        <f>'Rhaniad y Ddeiliadaeth (Canol)'!C113</f>
        <v>5559.495690263403</v>
      </c>
      <c r="D47" s="278">
        <f>'Rhaniad y Ddeiliadaeth (Canol)'!D113</f>
        <v>5729.6213938351821</v>
      </c>
      <c r="E47" s="278">
        <f>'Rhaniad y Ddeiliadaeth (Canol)'!E113</f>
        <v>5908.4566784607196</v>
      </c>
      <c r="F47" s="278">
        <f>'Rhaniad y Ddeiliadaeth (Canol)'!F113</f>
        <v>6095.85194728854</v>
      </c>
      <c r="G47" s="279">
        <f>'Rhaniad y Ddeiliadaeth (Canol)'!G113</f>
        <v>6296.693930764487</v>
      </c>
    </row>
    <row r="48" spans="2:16" x14ac:dyDescent="0.35">
      <c r="B48" s="251" t="s">
        <v>202</v>
      </c>
      <c r="C48" s="278">
        <f>C47/'Rhaniad y Ddeiliadaeth (Canol)'!C117</f>
        <v>15884.273400752581</v>
      </c>
      <c r="D48" s="278">
        <f>D47/'Rhaniad y Ddeiliadaeth (Canol)'!D117</f>
        <v>16370.346839529093</v>
      </c>
      <c r="E48" s="278">
        <f>E47/'Rhaniad y Ddeiliadaeth (Canol)'!E117</f>
        <v>16881.304795602056</v>
      </c>
      <c r="F48" s="278">
        <f>F47/'Rhaniad y Ddeiliadaeth (Canol)'!F117</f>
        <v>17416.719849395831</v>
      </c>
      <c r="G48" s="279">
        <f>G47/'Rhaniad y Ddeiliadaeth (Canol)'!G117</f>
        <v>17990.554087898534</v>
      </c>
    </row>
    <row r="49" spans="2:7" x14ac:dyDescent="0.35">
      <c r="B49" s="251" t="s">
        <v>186</v>
      </c>
      <c r="C49" s="280">
        <f>IFERROR(INDEX('Incwm (Canolbarth)'!$AC$4:$AC$84,MATCH('Cyfrifiadau - Canolbarth'!C48,'Incwm (Canolbarth)'!AD$4:AD$84,1)),10)</f>
        <v>22</v>
      </c>
      <c r="D49" s="280">
        <f>IFERROR(INDEX('Incwm (Canolbarth)'!$AC$4:$AC$84,MATCH('Cyfrifiadau - Canolbarth'!D48,'Incwm (Canolbarth)'!AE$4:AE$84,1)),10)</f>
        <v>22</v>
      </c>
      <c r="E49" s="280">
        <f>IFERROR(INDEX('Incwm (Canolbarth)'!$AC$4:$AC$84,MATCH('Cyfrifiadau - Canolbarth'!E48,'Incwm (Canolbarth)'!AF$4:AF$84,1)),10)</f>
        <v>23</v>
      </c>
      <c r="F49" s="280">
        <f>IFERROR(INDEX('Incwm (Canolbarth)'!$AC$4:$AC$84,MATCH('Cyfrifiadau - Canolbarth'!F48,'Incwm (Canolbarth)'!AG$4:AG$84,1)),10)</f>
        <v>23</v>
      </c>
      <c r="G49" s="281">
        <f>IFERROR(INDEX('Incwm (Canolbarth)'!$AC$4:$AC$84,MATCH('Cyfrifiadau - Canolbarth'!G48,'Incwm (Canolbarth)'!AH$4:AH$84,1)),10)</f>
        <v>24</v>
      </c>
    </row>
    <row r="50" spans="2:7" x14ac:dyDescent="0.35">
      <c r="B50" s="251" t="s">
        <v>366</v>
      </c>
      <c r="C50" s="166">
        <f>C49/100</f>
        <v>0.22</v>
      </c>
      <c r="D50" s="166">
        <f t="shared" ref="D50:G50" si="4">D49/100</f>
        <v>0.22</v>
      </c>
      <c r="E50" s="166">
        <f t="shared" si="4"/>
        <v>0.23</v>
      </c>
      <c r="F50" s="166">
        <f t="shared" si="4"/>
        <v>0.23</v>
      </c>
      <c r="G50" s="167">
        <f t="shared" si="4"/>
        <v>0.24</v>
      </c>
    </row>
    <row r="51" spans="2:7" x14ac:dyDescent="0.35">
      <c r="B51" s="251" t="s">
        <v>367</v>
      </c>
      <c r="C51" s="316">
        <f>C50*C11</f>
        <v>5.3545356750488278</v>
      </c>
      <c r="D51" s="170">
        <f>D50*D11</f>
        <v>12.070366668701173</v>
      </c>
      <c r="E51" s="170">
        <f>E50*E11</f>
        <v>19.885139999389651</v>
      </c>
      <c r="F51" s="170">
        <f>F50*F11</f>
        <v>24.601992149353027</v>
      </c>
      <c r="G51" s="171">
        <f>G50*G11</f>
        <v>34.101153717041015</v>
      </c>
    </row>
    <row r="52" spans="2:7" x14ac:dyDescent="0.35">
      <c r="B52" s="251" t="s">
        <v>203</v>
      </c>
      <c r="C52" s="170">
        <f>C12</f>
        <v>50.2</v>
      </c>
      <c r="D52" s="170">
        <f>D12</f>
        <v>50.2</v>
      </c>
      <c r="E52" s="170">
        <f>E12</f>
        <v>50.2</v>
      </c>
      <c r="F52" s="170">
        <f>F12</f>
        <v>50.2</v>
      </c>
      <c r="G52" s="171">
        <f>G12</f>
        <v>50.2</v>
      </c>
    </row>
    <row r="53" spans="2:7" x14ac:dyDescent="0.35">
      <c r="B53" s="251" t="s">
        <v>204</v>
      </c>
      <c r="C53" s="170">
        <f>C52+C51</f>
        <v>55.554535675048832</v>
      </c>
      <c r="D53" s="170">
        <f t="shared" ref="D53:G53" si="5">D52+D51</f>
        <v>62.270366668701172</v>
      </c>
      <c r="E53" s="170">
        <f t="shared" si="5"/>
        <v>70.085139999389654</v>
      </c>
      <c r="F53" s="170">
        <f t="shared" si="5"/>
        <v>74.801992149353026</v>
      </c>
      <c r="G53" s="171">
        <f t="shared" si="5"/>
        <v>84.301153717041018</v>
      </c>
    </row>
    <row r="54" spans="2:7" x14ac:dyDescent="0.35">
      <c r="B54" s="251"/>
      <c r="C54" s="11"/>
      <c r="D54" s="11"/>
      <c r="E54" s="11"/>
      <c r="F54" s="11"/>
      <c r="G54" s="148"/>
    </row>
    <row r="55" spans="2:7" x14ac:dyDescent="0.35">
      <c r="B55" s="282" t="s">
        <v>205</v>
      </c>
      <c r="C55" s="11"/>
      <c r="D55" s="11"/>
      <c r="E55" s="11"/>
      <c r="F55" s="11"/>
      <c r="G55" s="148"/>
    </row>
    <row r="56" spans="2:7" x14ac:dyDescent="0.35">
      <c r="B56" s="251" t="s">
        <v>206</v>
      </c>
      <c r="C56" s="170" t="e">
        <f>C11-C41-C44-C51</f>
        <v>#VALUE!</v>
      </c>
      <c r="D56" s="170" t="e">
        <f>D11-D41-D44-D51</f>
        <v>#VALUE!</v>
      </c>
      <c r="E56" s="170" t="e">
        <f>E11-E41-E44-E51</f>
        <v>#VALUE!</v>
      </c>
      <c r="F56" s="170" t="e">
        <f>F11-F41-F44-F51</f>
        <v>#VALUE!</v>
      </c>
      <c r="G56" s="171" t="e">
        <f>G11-G41-G44-G51</f>
        <v>#VALUE!</v>
      </c>
    </row>
    <row r="57" spans="2:7" x14ac:dyDescent="0.35">
      <c r="B57" s="251"/>
      <c r="C57" s="11"/>
      <c r="D57" s="11"/>
      <c r="E57" s="11"/>
      <c r="F57" s="11"/>
      <c r="G57" s="148"/>
    </row>
    <row r="58" spans="2:7" x14ac:dyDescent="0.35">
      <c r="B58" s="282" t="s">
        <v>190</v>
      </c>
      <c r="C58" s="11"/>
      <c r="D58" s="11"/>
      <c r="E58" s="11"/>
      <c r="F58" s="11"/>
      <c r="G58" s="148"/>
    </row>
    <row r="59" spans="2:7" x14ac:dyDescent="0.35">
      <c r="B59" s="251" t="s">
        <v>207</v>
      </c>
      <c r="C59" s="16" t="e">
        <f>C41</f>
        <v>#VALUE!</v>
      </c>
      <c r="D59" s="16" t="e">
        <f>D41</f>
        <v>#VALUE!</v>
      </c>
      <c r="E59" s="16" t="e">
        <f>E41</f>
        <v>#VALUE!</v>
      </c>
      <c r="F59" s="16" t="e">
        <f>F41</f>
        <v>#VALUE!</v>
      </c>
      <c r="G59" s="17" t="e">
        <f>G41</f>
        <v>#VALUE!</v>
      </c>
    </row>
    <row r="60" spans="2:7" x14ac:dyDescent="0.35">
      <c r="B60" s="251" t="s">
        <v>198</v>
      </c>
      <c r="C60" s="16" t="e">
        <f>C44</f>
        <v>#VALUE!</v>
      </c>
      <c r="D60" s="16" t="e">
        <f>D44</f>
        <v>#VALUE!</v>
      </c>
      <c r="E60" s="16" t="e">
        <f>E44</f>
        <v>#VALUE!</v>
      </c>
      <c r="F60" s="16" t="e">
        <f>F44</f>
        <v>#VALUE!</v>
      </c>
      <c r="G60" s="17" t="e">
        <f>G44</f>
        <v>#VALUE!</v>
      </c>
    </row>
    <row r="61" spans="2:7" x14ac:dyDescent="0.35">
      <c r="B61" s="251" t="s">
        <v>200</v>
      </c>
      <c r="C61" s="16">
        <f>C53</f>
        <v>55.554535675048832</v>
      </c>
      <c r="D61" s="16">
        <f>D53</f>
        <v>62.270366668701172</v>
      </c>
      <c r="E61" s="16">
        <f>E53</f>
        <v>70.085139999389654</v>
      </c>
      <c r="F61" s="16">
        <f>F53</f>
        <v>74.801992149353026</v>
      </c>
      <c r="G61" s="17">
        <f>G53</f>
        <v>84.301153717041018</v>
      </c>
    </row>
    <row r="62" spans="2:7" x14ac:dyDescent="0.35">
      <c r="B62" s="253" t="s">
        <v>205</v>
      </c>
      <c r="C62" s="19" t="e">
        <f>C56</f>
        <v>#VALUE!</v>
      </c>
      <c r="D62" s="19" t="e">
        <f>D56</f>
        <v>#VALUE!</v>
      </c>
      <c r="E62" s="19" t="e">
        <f>E56</f>
        <v>#VALUE!</v>
      </c>
      <c r="F62" s="19" t="e">
        <f>F56</f>
        <v>#VALUE!</v>
      </c>
      <c r="G62" s="20" t="e">
        <f>G56</f>
        <v>#VALUE!</v>
      </c>
    </row>
  </sheetData>
  <mergeCells count="2">
    <mergeCell ref="B3:G6"/>
    <mergeCell ref="B33:G33"/>
  </mergeCells>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sheetPr>
  <dimension ref="B1:P62"/>
  <sheetViews>
    <sheetView showGridLines="0" zoomScale="80" zoomScaleNormal="80" workbookViewId="0"/>
  </sheetViews>
  <sheetFormatPr defaultColWidth="9.1796875" defaultRowHeight="14.5" x14ac:dyDescent="0.35"/>
  <cols>
    <col min="1" max="1" width="1.7265625" style="1" customWidth="1"/>
    <col min="2" max="2" width="66.08984375" style="1" customWidth="1"/>
    <col min="3" max="7" width="11.54296875" style="1" bestFit="1" customWidth="1"/>
    <col min="8" max="8" width="9.1796875" style="1"/>
    <col min="9" max="9" width="9.1796875" style="12"/>
    <col min="10" max="16384" width="9.1796875" style="1"/>
  </cols>
  <sheetData>
    <row r="1" spans="2:9" ht="18.5" x14ac:dyDescent="0.45">
      <c r="B1" s="292" t="s">
        <v>145</v>
      </c>
    </row>
    <row r="2" spans="2:9" ht="14.25" customHeight="1" x14ac:dyDescent="0.45">
      <c r="B2" s="9"/>
    </row>
    <row r="3" spans="2:9" ht="15" customHeight="1" x14ac:dyDescent="0.35">
      <c r="B3" s="526" t="s">
        <v>263</v>
      </c>
      <c r="C3" s="527"/>
      <c r="D3" s="527"/>
      <c r="E3" s="527"/>
      <c r="F3" s="527"/>
      <c r="G3" s="528"/>
    </row>
    <row r="4" spans="2:9" x14ac:dyDescent="0.35">
      <c r="B4" s="529"/>
      <c r="C4" s="530"/>
      <c r="D4" s="530"/>
      <c r="E4" s="530"/>
      <c r="F4" s="530"/>
      <c r="G4" s="531"/>
    </row>
    <row r="5" spans="2:9" x14ac:dyDescent="0.35">
      <c r="B5" s="529"/>
      <c r="C5" s="530"/>
      <c r="D5" s="530"/>
      <c r="E5" s="530"/>
      <c r="F5" s="530"/>
      <c r="G5" s="531"/>
    </row>
    <row r="6" spans="2:9" x14ac:dyDescent="0.35">
      <c r="B6" s="532"/>
      <c r="C6" s="533"/>
      <c r="D6" s="533"/>
      <c r="E6" s="533"/>
      <c r="F6" s="533"/>
      <c r="G6" s="534"/>
    </row>
    <row r="7" spans="2:9" ht="18.5" x14ac:dyDescent="0.45">
      <c r="B7" s="9"/>
    </row>
    <row r="8" spans="2:9" ht="18.5" x14ac:dyDescent="0.45">
      <c r="B8" s="163" t="s">
        <v>182</v>
      </c>
      <c r="C8" s="14"/>
      <c r="D8" s="14"/>
      <c r="E8" s="14"/>
      <c r="F8" s="14"/>
      <c r="G8" s="147"/>
    </row>
    <row r="9" spans="2:9" ht="18.5" x14ac:dyDescent="0.45">
      <c r="B9" s="208"/>
      <c r="C9" s="11">
        <v>1</v>
      </c>
      <c r="D9" s="11">
        <v>2</v>
      </c>
      <c r="E9" s="11">
        <v>3</v>
      </c>
      <c r="F9" s="24">
        <v>4</v>
      </c>
      <c r="G9" s="148">
        <v>5</v>
      </c>
    </row>
    <row r="10" spans="2:9" x14ac:dyDescent="0.35">
      <c r="B10" s="15"/>
      <c r="C10" s="175" t="str">
        <f>Year1</f>
        <v>2019/20</v>
      </c>
      <c r="D10" s="175" t="str">
        <f>Year2</f>
        <v>2020/21</v>
      </c>
      <c r="E10" s="175" t="str">
        <f>Year3</f>
        <v>2021/22</v>
      </c>
      <c r="F10" s="175" t="str">
        <f>Year4</f>
        <v>2022/23</v>
      </c>
      <c r="G10" s="176" t="str">
        <f>Year5</f>
        <v>2023/24</v>
      </c>
    </row>
    <row r="11" spans="2:9" x14ac:dyDescent="0.35">
      <c r="B11" s="251" t="s">
        <v>363</v>
      </c>
      <c r="C11" s="276">
        <f t="array" ref="C11">INDEX('Angen o''r Newydd'!D8:D27,MATCH(1,($B$1='Angen o''r Newydd'!$C$8:$C$27)*('Rhaniad y Ddeiliadaeth (Cymru)'!$D$6='Angen o''r Newydd'!$B$8:$B$27),0))</f>
        <v>1364.2011413574219</v>
      </c>
      <c r="D11" s="276">
        <f t="array" ref="D11">INDEX('Angen o''r Newydd'!E8:E27,MATCH(1,($B$1='Angen o''r Newydd'!$C$8:$C$27)*('Rhaniad y Ddeiliadaeth (Cymru)'!$D$6='Angen o''r Newydd'!$B$8:$B$27),0))</f>
        <v>1421.0549163818359</v>
      </c>
      <c r="E11" s="276">
        <f t="array" ref="E11">INDEX('Angen o''r Newydd'!F8:F27,MATCH(1,($B$1='Angen o''r Newydd'!$C$8:$C$27)*('Rhaniad y Ddeiliadaeth (Cymru)'!$D$6='Angen o''r Newydd'!$B$8:$B$27),0))</f>
        <v>1541.1961822509766</v>
      </c>
      <c r="F11" s="276">
        <f t="array" ref="F11">INDEX('Angen o''r Newydd'!G8:G27,MATCH(1,($B$1='Angen o''r Newydd'!$C$8:$C$27)*('Rhaniad y Ddeiliadaeth (Cymru)'!$D$6='Angen o''r Newydd'!$B$8:$B$27),0))</f>
        <v>1508.4411163330078</v>
      </c>
      <c r="G11" s="277">
        <f t="array" ref="G11">INDEX('Angen o''r Newydd'!H8:H27,MATCH(1,($B$1='Angen o''r Newydd'!$C$8:$C$27)*('Rhaniad y Ddeiliadaeth (Cymru)'!$D$6='Angen o''r Newydd'!$B$8:$B$27),0))</f>
        <v>1439.5491943359375</v>
      </c>
      <c r="H11" s="2"/>
      <c r="I11" s="315"/>
    </row>
    <row r="12" spans="2:9" x14ac:dyDescent="0.35">
      <c r="B12" s="251" t="s">
        <v>165</v>
      </c>
      <c r="C12" s="276">
        <f>IF('Angen Presennol Nas Diwallwyd'!$C$29&gt;='Cyfrifiadau - De-orllewin'!C9,IF('Rhaniad y Ddeiliadaeth (Cymru)'!$D$7="Amcangyfrifon LlC",'Angen Presennol Nas Diwallwyd'!$C$11/'Angen Presennol Nas Diwallwyd'!$C$29,'Angen Presennol Nas Diwallwyd'!$C$22/'Angen Presennol Nas Diwallwyd'!$C$29),0)</f>
        <v>187.6</v>
      </c>
      <c r="D12" s="276">
        <f>IF('Angen Presennol Nas Diwallwyd'!$C$29&gt;='Cyfrifiadau - De-orllewin'!D9,IF('Rhaniad y Ddeiliadaeth (Cymru)'!$D$7="Amcangyfrifon LlC",'Angen Presennol Nas Diwallwyd'!$C$11/'Angen Presennol Nas Diwallwyd'!$C$29,'Angen Presennol Nas Diwallwyd'!$C$22/'Angen Presennol Nas Diwallwyd'!$C$29),0)</f>
        <v>187.6</v>
      </c>
      <c r="E12" s="276">
        <f>IF('Angen Presennol Nas Diwallwyd'!$C$29&gt;='Cyfrifiadau - De-orllewin'!E9,IF('Rhaniad y Ddeiliadaeth (Cymru)'!$D$7="Amcangyfrifon LlC",'Angen Presennol Nas Diwallwyd'!$C$11/'Angen Presennol Nas Diwallwyd'!$C$29,'Angen Presennol Nas Diwallwyd'!$C$22/'Angen Presennol Nas Diwallwyd'!$C$29),0)</f>
        <v>187.6</v>
      </c>
      <c r="F12" s="276">
        <f>IF('Angen Presennol Nas Diwallwyd'!$C$29&gt;='Cyfrifiadau - De-orllewin'!F9,IF('Rhaniad y Ddeiliadaeth (Cymru)'!$D$7="Amcangyfrifon LlC",'Angen Presennol Nas Diwallwyd'!$C$11/'Angen Presennol Nas Diwallwyd'!$C$29,'Angen Presennol Nas Diwallwyd'!$C$22/'Angen Presennol Nas Diwallwyd'!$C$29),0)</f>
        <v>187.6</v>
      </c>
      <c r="G12" s="277">
        <f>IF('Angen Presennol Nas Diwallwyd'!$C$29&gt;='Cyfrifiadau - De-orllewin'!G9,IF('Rhaniad y Ddeiliadaeth (Cymru)'!$D$7="Amcangyfrifon LlC",'Angen Presennol Nas Diwallwyd'!$C$11/'Angen Presennol Nas Diwallwyd'!$C$29,'Angen Presennol Nas Diwallwyd'!$C$22/'Angen Presennol Nas Diwallwyd'!$C$29),0)</f>
        <v>187.6</v>
      </c>
      <c r="H12" s="341"/>
      <c r="I12" s="315"/>
    </row>
    <row r="13" spans="2:9" x14ac:dyDescent="0.35">
      <c r="B13" s="253" t="s">
        <v>168</v>
      </c>
      <c r="C13" s="294">
        <f>SUM(C11:C12)</f>
        <v>1551.8011413574218</v>
      </c>
      <c r="D13" s="294">
        <f t="shared" ref="D13:G13" si="0">SUM(D11:D12)</f>
        <v>1608.6549163818358</v>
      </c>
      <c r="E13" s="294">
        <f t="shared" si="0"/>
        <v>1728.7961822509765</v>
      </c>
      <c r="F13" s="294">
        <f t="shared" si="0"/>
        <v>1696.0411163330077</v>
      </c>
      <c r="G13" s="295">
        <f t="shared" si="0"/>
        <v>1627.1491943359374</v>
      </c>
      <c r="H13" s="341"/>
    </row>
    <row r="14" spans="2:9" x14ac:dyDescent="0.35">
      <c r="C14" s="2"/>
      <c r="D14" s="2"/>
      <c r="E14" s="2"/>
      <c r="F14" s="2"/>
      <c r="G14" s="2"/>
    </row>
    <row r="15" spans="2:9" ht="18.5" x14ac:dyDescent="0.45">
      <c r="B15" s="163" t="s">
        <v>183</v>
      </c>
      <c r="C15" s="164"/>
      <c r="D15" s="164"/>
      <c r="E15" s="164"/>
      <c r="F15" s="164"/>
      <c r="G15" s="165"/>
    </row>
    <row r="16" spans="2:9" x14ac:dyDescent="0.35">
      <c r="B16" s="15"/>
      <c r="C16" s="11"/>
      <c r="D16" s="11"/>
      <c r="E16" s="11"/>
      <c r="F16" s="11"/>
      <c r="G16" s="148"/>
    </row>
    <row r="17" spans="2:16" x14ac:dyDescent="0.35">
      <c r="B17" s="282" t="s">
        <v>306</v>
      </c>
      <c r="C17" s="11"/>
      <c r="D17" s="11"/>
      <c r="E17" s="11"/>
      <c r="F17" s="11"/>
      <c r="G17" s="148"/>
    </row>
    <row r="18" spans="2:16" x14ac:dyDescent="0.35">
      <c r="B18" s="251" t="s">
        <v>184</v>
      </c>
      <c r="C18" s="278">
        <f>'Rhaniad y Ddeiliadaeth (De-o)'!C112</f>
        <v>6177.2174336260032</v>
      </c>
      <c r="D18" s="278">
        <f>'Rhaniad y Ddeiliadaeth (De-o)'!D112</f>
        <v>6366.2459931502026</v>
      </c>
      <c r="E18" s="278">
        <f>'Rhaniad y Ddeiliadaeth (De-o)'!E112</f>
        <v>6564.9518649563552</v>
      </c>
      <c r="F18" s="278">
        <f>'Rhaniad y Ddeiliadaeth (De-o)'!F112</f>
        <v>6773.1688303206001</v>
      </c>
      <c r="G18" s="279">
        <f>'Rhaniad y Ddeiliadaeth (De-o)'!G112</f>
        <v>6996.3265897383189</v>
      </c>
    </row>
    <row r="19" spans="2:16" x14ac:dyDescent="0.35">
      <c r="B19" s="251" t="s">
        <v>185</v>
      </c>
      <c r="C19" s="278">
        <f>C18/'Rhaniad y Ddeiliadaeth (De-o)'!C108</f>
        <v>20590.724778753345</v>
      </c>
      <c r="D19" s="278">
        <f>D18/'Rhaniad y Ddeiliadaeth (De-o)'!D108</f>
        <v>21220.819977167343</v>
      </c>
      <c r="E19" s="278">
        <f>E18/'Rhaniad y Ddeiliadaeth (De-o)'!E108</f>
        <v>21883.17288318785</v>
      </c>
      <c r="F19" s="278">
        <f>F18/'Rhaniad y Ddeiliadaeth (De-o)'!F108</f>
        <v>22577.229434402001</v>
      </c>
      <c r="G19" s="279">
        <f>G18/'Rhaniad y Ddeiliadaeth (De-o)'!G108</f>
        <v>23321.088632461066</v>
      </c>
    </row>
    <row r="20" spans="2:16" x14ac:dyDescent="0.35">
      <c r="B20" s="251" t="s">
        <v>186</v>
      </c>
      <c r="C20" s="280">
        <f>IFERROR(INDEX('Incwm (De-orllewin)'!$AC$4:$AC$84,MATCH(C19,'Incwm (De-orllewin)'!AD$4:AD$84,1)),10)</f>
        <v>37</v>
      </c>
      <c r="D20" s="280">
        <f>IFERROR(INDEX('Incwm (De-orllewin)'!$AC$4:$AC$84,MATCH(D19,'Incwm (De-orllewin)'!AE$4:AE$84,1)),10)</f>
        <v>37</v>
      </c>
      <c r="E20" s="280">
        <f>IFERROR(INDEX('Incwm (De-orllewin)'!$AC$4:$AC$84,MATCH(E19,'Incwm (De-orllewin)'!AF$4:AF$84,1)),10)</f>
        <v>37</v>
      </c>
      <c r="F20" s="280">
        <f>IFERROR(INDEX('Incwm (De-orllewin)'!$AC$4:$AC$84,MATCH(F19,'Incwm (De-orllewin)'!AG$4:AG$84,1)),10)</f>
        <v>37</v>
      </c>
      <c r="G20" s="281">
        <f>IFERROR(INDEX('Incwm (De-orllewin)'!$AC$4:$AC$84,MATCH(G19,'Incwm (De-orllewin)'!AH$4:AH$84,1)),10)</f>
        <v>38</v>
      </c>
      <c r="P20" s="12"/>
    </row>
    <row r="21" spans="2:16" x14ac:dyDescent="0.35">
      <c r="B21" s="251" t="s">
        <v>364</v>
      </c>
      <c r="C21" s="166">
        <f>(100-C20)/100</f>
        <v>0.63</v>
      </c>
      <c r="D21" s="166">
        <f t="shared" ref="D21:G21" si="1">(100-D20)/100</f>
        <v>0.63</v>
      </c>
      <c r="E21" s="166">
        <f t="shared" si="1"/>
        <v>0.63</v>
      </c>
      <c r="F21" s="166">
        <f t="shared" si="1"/>
        <v>0.63</v>
      </c>
      <c r="G21" s="167">
        <f t="shared" si="1"/>
        <v>0.62</v>
      </c>
    </row>
    <row r="22" spans="2:16" x14ac:dyDescent="0.35">
      <c r="B22" s="251" t="s">
        <v>365</v>
      </c>
      <c r="C22" s="168">
        <f>C21*C11</f>
        <v>859.44671905517578</v>
      </c>
      <c r="D22" s="168">
        <f>D21*D11</f>
        <v>895.26459732055662</v>
      </c>
      <c r="E22" s="168">
        <f>E21*E11</f>
        <v>970.95359481811522</v>
      </c>
      <c r="F22" s="168">
        <f>F21*F11</f>
        <v>950.31790328979491</v>
      </c>
      <c r="G22" s="169">
        <f>G21*G11</f>
        <v>892.5205004882813</v>
      </c>
    </row>
    <row r="23" spans="2:16" x14ac:dyDescent="0.35">
      <c r="B23" s="251"/>
      <c r="C23" s="11"/>
      <c r="D23" s="11"/>
      <c r="E23" s="11"/>
      <c r="F23" s="11"/>
      <c r="G23" s="148"/>
    </row>
    <row r="24" spans="2:16" x14ac:dyDescent="0.35">
      <c r="B24" s="251"/>
      <c r="C24" s="168"/>
      <c r="D24" s="168"/>
      <c r="E24" s="168"/>
      <c r="F24" s="168"/>
      <c r="G24" s="169"/>
    </row>
    <row r="25" spans="2:16" x14ac:dyDescent="0.35">
      <c r="B25" s="282" t="s">
        <v>188</v>
      </c>
      <c r="C25" s="168"/>
      <c r="D25" s="168"/>
      <c r="E25" s="168"/>
      <c r="F25" s="168"/>
      <c r="G25" s="169"/>
    </row>
    <row r="26" spans="2:16" x14ac:dyDescent="0.35">
      <c r="B26" s="251" t="s">
        <v>189</v>
      </c>
      <c r="C26" s="168">
        <f>C13-C22</f>
        <v>692.35442230224601</v>
      </c>
      <c r="D26" s="168">
        <f>D13-D22</f>
        <v>713.39031906127923</v>
      </c>
      <c r="E26" s="168">
        <f t="shared" ref="E26:G26" si="2">E13-E22</f>
        <v>757.84258743286125</v>
      </c>
      <c r="F26" s="168">
        <f t="shared" si="2"/>
        <v>745.72321304321281</v>
      </c>
      <c r="G26" s="169">
        <f t="shared" si="2"/>
        <v>734.62869384765611</v>
      </c>
    </row>
    <row r="27" spans="2:16" x14ac:dyDescent="0.35">
      <c r="B27" s="251"/>
      <c r="C27" s="168"/>
      <c r="D27" s="168"/>
      <c r="E27" s="168"/>
      <c r="F27" s="168"/>
      <c r="G27" s="169"/>
    </row>
    <row r="28" spans="2:16" x14ac:dyDescent="0.35">
      <c r="B28" s="282" t="s">
        <v>190</v>
      </c>
      <c r="C28" s="11"/>
      <c r="D28" s="11"/>
      <c r="E28" s="11"/>
      <c r="F28" s="11"/>
      <c r="G28" s="148"/>
    </row>
    <row r="29" spans="2:16" x14ac:dyDescent="0.35">
      <c r="B29" s="251" t="s">
        <v>191</v>
      </c>
      <c r="C29" s="16">
        <f>C22</f>
        <v>859.44671905517578</v>
      </c>
      <c r="D29" s="16">
        <f>D22</f>
        <v>895.26459732055662</v>
      </c>
      <c r="E29" s="16">
        <f>E22</f>
        <v>970.95359481811522</v>
      </c>
      <c r="F29" s="16">
        <f>F22</f>
        <v>950.31790328979491</v>
      </c>
      <c r="G29" s="17">
        <f>G22</f>
        <v>892.5205004882813</v>
      </c>
    </row>
    <row r="30" spans="2:16" x14ac:dyDescent="0.35">
      <c r="B30" s="253" t="s">
        <v>188</v>
      </c>
      <c r="C30" s="19">
        <f>C26</f>
        <v>692.35442230224601</v>
      </c>
      <c r="D30" s="19">
        <f>D26</f>
        <v>713.39031906127923</v>
      </c>
      <c r="E30" s="19">
        <f>E26</f>
        <v>757.84258743286125</v>
      </c>
      <c r="F30" s="19">
        <f>F26</f>
        <v>745.72321304321281</v>
      </c>
      <c r="G30" s="20">
        <f>G26</f>
        <v>734.62869384765611</v>
      </c>
    </row>
    <row r="31" spans="2:16" x14ac:dyDescent="0.35">
      <c r="C31" s="5"/>
      <c r="D31" s="5"/>
      <c r="E31" s="5"/>
      <c r="F31" s="5"/>
      <c r="G31" s="5"/>
    </row>
    <row r="32" spans="2:16" ht="18.5" x14ac:dyDescent="0.45">
      <c r="B32" s="163" t="s">
        <v>192</v>
      </c>
      <c r="C32" s="14"/>
      <c r="D32" s="14"/>
      <c r="E32" s="14"/>
      <c r="F32" s="14"/>
      <c r="G32" s="147"/>
    </row>
    <row r="33" spans="2:16" ht="21" customHeight="1" x14ac:dyDescent="0.35">
      <c r="B33" s="523" t="s">
        <v>193</v>
      </c>
      <c r="C33" s="524"/>
      <c r="D33" s="524"/>
      <c r="E33" s="524"/>
      <c r="F33" s="524"/>
      <c r="G33" s="525"/>
    </row>
    <row r="34" spans="2:16" x14ac:dyDescent="0.35">
      <c r="B34" s="15"/>
      <c r="C34" s="11"/>
      <c r="D34" s="11"/>
      <c r="E34" s="11"/>
      <c r="F34" s="11"/>
      <c r="G34" s="148"/>
    </row>
    <row r="35" spans="2:16" x14ac:dyDescent="0.35">
      <c r="B35" s="282" t="s">
        <v>194</v>
      </c>
      <c r="C35" s="11"/>
      <c r="D35" s="11"/>
      <c r="E35" s="11"/>
      <c r="F35" s="11"/>
      <c r="G35" s="148"/>
      <c r="P35" s="12"/>
    </row>
    <row r="36" spans="2:16" x14ac:dyDescent="0.35">
      <c r="B36" s="255" t="str">
        <f>"Canradd Mynediad y farchnad ar gyfer y Prynwyr Tro Cyntaf: "&amp;'Rhaniad y Ddeiliadaeth (Cymru)'!C115</f>
        <v>Canradd Mynediad y farchnad ar gyfer y Prynwyr Tro Cyntaf: 40</v>
      </c>
      <c r="C36" s="278">
        <f>INDEX('Prisiau Tai (De-orllewin)'!AD$4:AD$84,MATCH('Rhaniad y Ddeiliadaeth (De-o)'!C115,'Prisiau Tai (De-orllewin)'!$AC$4:$AC$84,0))</f>
        <v>128904</v>
      </c>
      <c r="D36" s="278">
        <f>INDEX('Prisiau Tai (De-orllewin)'!AE$4:AE$84,MATCH('Rhaniad y Ddeiliadaeth (De-o)'!D115,'Prisiau Tai (De-orllewin)'!$AC$4:$AC$84,0))</f>
        <v>136419.10320000001</v>
      </c>
      <c r="E36" s="278">
        <f>INDEX('Prisiau Tai (De-orllewin)'!AF$4:AF$84,MATCH('Rhaniad y Ddeiliadaeth (De-o)'!E115,'Prisiau Tai (De-orllewin)'!$AC$4:$AC$84,0))</f>
        <v>146055.33009576978</v>
      </c>
      <c r="F36" s="278">
        <f>INDEX('Prisiau Tai (De-orllewin)'!AG$4:AG$84,MATCH('Rhaniad y Ddeiliadaeth (De-o)'!F115,'Prisiau Tai (De-orllewin)'!$AC$4:$AC$84,0))</f>
        <v>154003.78841218425</v>
      </c>
      <c r="G36" s="279">
        <f>INDEX('Prisiau Tai (De-orllewin)'!AH$4:AH$84,MATCH('Rhaniad y Ddeiliadaeth (De-o)'!G115,'Prisiau Tai (De-orllewin)'!$AC$4:$AC$84,0))</f>
        <v>160500.24239760742</v>
      </c>
      <c r="P36" s="12"/>
    </row>
    <row r="37" spans="2:16" x14ac:dyDescent="0.35">
      <c r="B37" s="251" t="s">
        <v>185</v>
      </c>
      <c r="C37" s="278">
        <f>C36/'Rhaniad y Ddeiliadaeth (De-o)'!C114</f>
        <v>31986.104218362281</v>
      </c>
      <c r="D37" s="278">
        <f>D36/'Rhaniad y Ddeiliadaeth (De-o)'!D114</f>
        <v>33850.894094292802</v>
      </c>
      <c r="E37" s="278">
        <f>E36/'Rhaniad y Ddeiliadaeth (De-o)'!E114</f>
        <v>36242.01739349126</v>
      </c>
      <c r="F37" s="278">
        <f>F36/'Rhaniad y Ddeiliadaeth (De-o)'!F114</f>
        <v>38214.339556373263</v>
      </c>
      <c r="G37" s="279">
        <f>G36/'Rhaniad y Ddeiliadaeth (De-o)'!G114</f>
        <v>39826.362877818217</v>
      </c>
      <c r="P37" s="12"/>
    </row>
    <row r="38" spans="2:16" x14ac:dyDescent="0.35">
      <c r="B38" s="251" t="s">
        <v>186</v>
      </c>
      <c r="C38" s="280">
        <f>IFERROR(INDEX('Incwm (De-orllewin)'!$AC$4:$AC$84,MATCH('Cyfrifiadau - De-orllewin'!C37,'Incwm (De-orllewin)'!AD$4:AD$84,1)),10)</f>
        <v>60</v>
      </c>
      <c r="D38" s="280">
        <f>IFERROR(INDEX('Incwm (De-orllewin)'!$AC$4:$AC$84,MATCH('Cyfrifiadau - De-orllewin'!D37,'Incwm (De-orllewin)'!AE$4:AE$84,1)),10)</f>
        <v>61</v>
      </c>
      <c r="E38" s="280">
        <f>IFERROR(INDEX('Incwm (De-orllewin)'!$AC$4:$AC$84,MATCH('Cyfrifiadau - De-orllewin'!E37,'Incwm (De-orllewin)'!AF$4:AF$84,1)),10)</f>
        <v>63</v>
      </c>
      <c r="F38" s="280">
        <f>IFERROR(INDEX('Incwm (De-orllewin)'!$AC$4:$AC$84,MATCH('Cyfrifiadau - De-orllewin'!F37,'Incwm (De-orllewin)'!AG$4:AG$84,1)),10)</f>
        <v>64</v>
      </c>
      <c r="G38" s="281">
        <f>IFERROR(INDEX('Incwm (De-orllewin)'!$AC$4:$AC$84,MATCH('Cyfrifiadau - De-orllewin'!G37,'Incwm (De-orllewin)'!AH$4:AH$84,1)),10)</f>
        <v>64</v>
      </c>
      <c r="P38" s="12"/>
    </row>
    <row r="39" spans="2:16" x14ac:dyDescent="0.35">
      <c r="B39" s="251" t="s">
        <v>187</v>
      </c>
      <c r="C39" s="166">
        <f>(100-C38)/100</f>
        <v>0.4</v>
      </c>
      <c r="D39" s="166">
        <f t="shared" ref="D39:G39" si="3">(100-D38)/100</f>
        <v>0.39</v>
      </c>
      <c r="E39" s="166">
        <f t="shared" si="3"/>
        <v>0.37</v>
      </c>
      <c r="F39" s="166">
        <f t="shared" si="3"/>
        <v>0.36</v>
      </c>
      <c r="G39" s="167">
        <f t="shared" si="3"/>
        <v>0.36</v>
      </c>
      <c r="P39" s="12"/>
    </row>
    <row r="40" spans="2:16" x14ac:dyDescent="0.35">
      <c r="B40" s="251" t="s">
        <v>196</v>
      </c>
      <c r="C40" s="166" t="e">
        <f>C39*'Rhaniad y Ddeiliadaeth (De-o)'!C116</f>
        <v>#VALUE!</v>
      </c>
      <c r="D40" s="166" t="e">
        <f>D39*'Rhaniad y Ddeiliadaeth (De-o)'!D116</f>
        <v>#VALUE!</v>
      </c>
      <c r="E40" s="166" t="e">
        <f>E39*'Rhaniad y Ddeiliadaeth (De-o)'!E116</f>
        <v>#VALUE!</v>
      </c>
      <c r="F40" s="166" t="e">
        <f>F39*'Rhaniad y Ddeiliadaeth (De-o)'!F116</f>
        <v>#VALUE!</v>
      </c>
      <c r="G40" s="167" t="e">
        <f>G39*'Rhaniad y Ddeiliadaeth (De-o)'!G116</f>
        <v>#VALUE!</v>
      </c>
      <c r="P40" s="12"/>
    </row>
    <row r="41" spans="2:16" x14ac:dyDescent="0.35">
      <c r="B41" s="251" t="s">
        <v>194</v>
      </c>
      <c r="C41" s="170" t="e">
        <f>C40*C11</f>
        <v>#VALUE!</v>
      </c>
      <c r="D41" s="170" t="e">
        <f>D40*D11</f>
        <v>#VALUE!</v>
      </c>
      <c r="E41" s="170" t="e">
        <f>E40*E11</f>
        <v>#VALUE!</v>
      </c>
      <c r="F41" s="170" t="e">
        <f>F40*F11</f>
        <v>#VALUE!</v>
      </c>
      <c r="G41" s="171" t="e">
        <f>G40*G11</f>
        <v>#VALUE!</v>
      </c>
      <c r="P41" s="12"/>
    </row>
    <row r="42" spans="2:16" x14ac:dyDescent="0.35">
      <c r="B42" s="251"/>
      <c r="C42" s="170"/>
      <c r="D42" s="170"/>
      <c r="E42" s="170"/>
      <c r="F42" s="170"/>
      <c r="G42" s="171"/>
      <c r="P42" s="12"/>
    </row>
    <row r="43" spans="2:16" x14ac:dyDescent="0.35">
      <c r="B43" s="282" t="s">
        <v>198</v>
      </c>
      <c r="C43" s="170"/>
      <c r="D43" s="170"/>
      <c r="E43" s="170"/>
      <c r="F43" s="170"/>
      <c r="G43" s="171"/>
      <c r="P43" s="12"/>
    </row>
    <row r="44" spans="2:16" ht="29" x14ac:dyDescent="0.35">
      <c r="B44" s="367" t="s">
        <v>199</v>
      </c>
      <c r="C44" s="16" t="e">
        <f>C22-C41</f>
        <v>#VALUE!</v>
      </c>
      <c r="D44" s="16" t="e">
        <f>D22-D41</f>
        <v>#VALUE!</v>
      </c>
      <c r="E44" s="16" t="e">
        <f>E22-E41</f>
        <v>#VALUE!</v>
      </c>
      <c r="F44" s="16" t="e">
        <f>F22-F41</f>
        <v>#VALUE!</v>
      </c>
      <c r="G44" s="17" t="e">
        <f>G22-G41</f>
        <v>#VALUE!</v>
      </c>
      <c r="P44" s="12"/>
    </row>
    <row r="45" spans="2:16" x14ac:dyDescent="0.35">
      <c r="B45" s="251"/>
      <c r="C45" s="16"/>
      <c r="D45" s="16"/>
      <c r="E45" s="16"/>
      <c r="F45" s="16"/>
      <c r="G45" s="17"/>
    </row>
    <row r="46" spans="2:16" x14ac:dyDescent="0.35">
      <c r="B46" s="282" t="s">
        <v>200</v>
      </c>
      <c r="C46" s="11"/>
      <c r="D46" s="11"/>
      <c r="E46" s="11"/>
      <c r="F46" s="11"/>
      <c r="G46" s="148"/>
    </row>
    <row r="47" spans="2:16" x14ac:dyDescent="0.35">
      <c r="B47" s="251" t="s">
        <v>201</v>
      </c>
      <c r="C47" s="278">
        <f>'Rhaniad y Ddeiliadaeth (De-o)'!C113</f>
        <v>5559.495690263403</v>
      </c>
      <c r="D47" s="278">
        <f>'Rhaniad y Ddeiliadaeth (De-o)'!D113</f>
        <v>5729.6213938351821</v>
      </c>
      <c r="E47" s="278">
        <f>'Rhaniad y Ddeiliadaeth (De-o)'!E113</f>
        <v>5908.4566784607196</v>
      </c>
      <c r="F47" s="278">
        <f>'Rhaniad y Ddeiliadaeth (De-o)'!F113</f>
        <v>6095.85194728854</v>
      </c>
      <c r="G47" s="279">
        <f>'Rhaniad y Ddeiliadaeth (De-o)'!G113</f>
        <v>6296.693930764487</v>
      </c>
    </row>
    <row r="48" spans="2:16" x14ac:dyDescent="0.35">
      <c r="B48" s="251" t="s">
        <v>202</v>
      </c>
      <c r="C48" s="278">
        <f>C47/'Rhaniad y Ddeiliadaeth (De-o)'!C117</f>
        <v>15884.273400752581</v>
      </c>
      <c r="D48" s="278">
        <f>D47/'Rhaniad y Ddeiliadaeth (De-o)'!D117</f>
        <v>16370.346839529093</v>
      </c>
      <c r="E48" s="278">
        <f>E47/'Rhaniad y Ddeiliadaeth (De-o)'!E117</f>
        <v>16881.304795602056</v>
      </c>
      <c r="F48" s="278">
        <f>F47/'Rhaniad y Ddeiliadaeth (De-o)'!F117</f>
        <v>17416.719849395831</v>
      </c>
      <c r="G48" s="279">
        <f>G47/'Rhaniad y Ddeiliadaeth (De-o)'!G117</f>
        <v>17990.554087898534</v>
      </c>
    </row>
    <row r="49" spans="2:7" x14ac:dyDescent="0.35">
      <c r="B49" s="251" t="s">
        <v>186</v>
      </c>
      <c r="C49" s="280">
        <f>IFERROR(INDEX('Incwm (De-orllewin)'!$AC$4:$AC$84,MATCH('Cyfrifiadau - De-orllewin'!C48,'Incwm (De-orllewin)'!AD$4:AD$84,1)),10)</f>
        <v>22</v>
      </c>
      <c r="D49" s="280">
        <f>IFERROR(INDEX('Incwm (De-orllewin)'!$AC$4:$AC$84,MATCH('Cyfrifiadau - De-orllewin'!D48,'Incwm (De-orllewin)'!AE$4:AE$84,1)),10)</f>
        <v>23</v>
      </c>
      <c r="E49" s="280">
        <f>IFERROR(INDEX('Incwm (De-orllewin)'!$AC$4:$AC$84,MATCH('Cyfrifiadau - De-orllewin'!E48,'Incwm (De-orllewin)'!AF$4:AF$84,1)),10)</f>
        <v>23</v>
      </c>
      <c r="F49" s="280">
        <f>IFERROR(INDEX('Incwm (De-orllewin)'!$AC$4:$AC$84,MATCH('Cyfrifiadau - De-orllewin'!F48,'Incwm (De-orllewin)'!AG$4:AG$84,1)),10)</f>
        <v>23</v>
      </c>
      <c r="G49" s="281">
        <f>IFERROR(INDEX('Incwm (De-orllewin)'!$AC$4:$AC$84,MATCH('Cyfrifiadau - De-orllewin'!G48,'Incwm (De-orllewin)'!AH$4:AH$84,1)),10)</f>
        <v>24</v>
      </c>
    </row>
    <row r="50" spans="2:7" x14ac:dyDescent="0.35">
      <c r="B50" s="251" t="s">
        <v>366</v>
      </c>
      <c r="C50" s="166">
        <f>C49/100</f>
        <v>0.22</v>
      </c>
      <c r="D50" s="166">
        <f t="shared" ref="D50:G50" si="4">D49/100</f>
        <v>0.23</v>
      </c>
      <c r="E50" s="166">
        <f t="shared" si="4"/>
        <v>0.23</v>
      </c>
      <c r="F50" s="166">
        <f t="shared" si="4"/>
        <v>0.23</v>
      </c>
      <c r="G50" s="167">
        <f t="shared" si="4"/>
        <v>0.24</v>
      </c>
    </row>
    <row r="51" spans="2:7" x14ac:dyDescent="0.35">
      <c r="B51" s="251" t="s">
        <v>367</v>
      </c>
      <c r="C51" s="170">
        <f>C50*C11</f>
        <v>300.12425109863284</v>
      </c>
      <c r="D51" s="170">
        <f>D50*D11</f>
        <v>326.8426307678223</v>
      </c>
      <c r="E51" s="170">
        <f>E50*E11</f>
        <v>354.47512191772461</v>
      </c>
      <c r="F51" s="170">
        <f>F50*F11</f>
        <v>346.94145675659183</v>
      </c>
      <c r="G51" s="171">
        <f>G50*G11</f>
        <v>345.49180664062499</v>
      </c>
    </row>
    <row r="52" spans="2:7" x14ac:dyDescent="0.35">
      <c r="B52" s="251" t="s">
        <v>203</v>
      </c>
      <c r="C52" s="170">
        <f>C12</f>
        <v>187.6</v>
      </c>
      <c r="D52" s="170">
        <f>D12</f>
        <v>187.6</v>
      </c>
      <c r="E52" s="170">
        <f>E12</f>
        <v>187.6</v>
      </c>
      <c r="F52" s="170">
        <f>F12</f>
        <v>187.6</v>
      </c>
      <c r="G52" s="171">
        <f>G12</f>
        <v>187.6</v>
      </c>
    </row>
    <row r="53" spans="2:7" x14ac:dyDescent="0.35">
      <c r="B53" s="251" t="s">
        <v>204</v>
      </c>
      <c r="C53" s="170">
        <f>C52+C51</f>
        <v>487.72425109863286</v>
      </c>
      <c r="D53" s="170">
        <f t="shared" ref="D53:G53" si="5">D52+D51</f>
        <v>514.44263076782227</v>
      </c>
      <c r="E53" s="170">
        <f t="shared" si="5"/>
        <v>542.07512191772457</v>
      </c>
      <c r="F53" s="170">
        <f t="shared" si="5"/>
        <v>534.54145675659186</v>
      </c>
      <c r="G53" s="171">
        <f t="shared" si="5"/>
        <v>533.09180664062501</v>
      </c>
    </row>
    <row r="54" spans="2:7" x14ac:dyDescent="0.35">
      <c r="B54" s="251"/>
      <c r="C54" s="11"/>
      <c r="D54" s="11"/>
      <c r="E54" s="11"/>
      <c r="F54" s="11"/>
      <c r="G54" s="148"/>
    </row>
    <row r="55" spans="2:7" x14ac:dyDescent="0.35">
      <c r="B55" s="282" t="s">
        <v>205</v>
      </c>
      <c r="C55" s="11"/>
      <c r="D55" s="11"/>
      <c r="E55" s="11"/>
      <c r="F55" s="11"/>
      <c r="G55" s="148"/>
    </row>
    <row r="56" spans="2:7" x14ac:dyDescent="0.35">
      <c r="B56" s="251" t="s">
        <v>206</v>
      </c>
      <c r="C56" s="170" t="e">
        <f>C11-C41-C44-C51</f>
        <v>#VALUE!</v>
      </c>
      <c r="D56" s="170" t="e">
        <f>D11-D41-D44-D51</f>
        <v>#VALUE!</v>
      </c>
      <c r="E56" s="170" t="e">
        <f>E11-E41-E44-E51</f>
        <v>#VALUE!</v>
      </c>
      <c r="F56" s="170" t="e">
        <f>F11-F41-F44-F51</f>
        <v>#VALUE!</v>
      </c>
      <c r="G56" s="171" t="e">
        <f>G11-G41-G44-G51</f>
        <v>#VALUE!</v>
      </c>
    </row>
    <row r="57" spans="2:7" x14ac:dyDescent="0.35">
      <c r="B57" s="251"/>
      <c r="C57" s="11"/>
      <c r="D57" s="11"/>
      <c r="E57" s="11"/>
      <c r="F57" s="11"/>
      <c r="G57" s="148"/>
    </row>
    <row r="58" spans="2:7" x14ac:dyDescent="0.35">
      <c r="B58" s="282" t="s">
        <v>190</v>
      </c>
      <c r="C58" s="11"/>
      <c r="D58" s="11"/>
      <c r="E58" s="11"/>
      <c r="F58" s="11"/>
      <c r="G58" s="148"/>
    </row>
    <row r="59" spans="2:7" x14ac:dyDescent="0.35">
      <c r="B59" s="251" t="s">
        <v>207</v>
      </c>
      <c r="C59" s="16" t="e">
        <f>C41</f>
        <v>#VALUE!</v>
      </c>
      <c r="D59" s="16" t="e">
        <f>D41</f>
        <v>#VALUE!</v>
      </c>
      <c r="E59" s="16" t="e">
        <f>E41</f>
        <v>#VALUE!</v>
      </c>
      <c r="F59" s="16" t="e">
        <f>F41</f>
        <v>#VALUE!</v>
      </c>
      <c r="G59" s="17" t="e">
        <f>G41</f>
        <v>#VALUE!</v>
      </c>
    </row>
    <row r="60" spans="2:7" x14ac:dyDescent="0.35">
      <c r="B60" s="251" t="s">
        <v>198</v>
      </c>
      <c r="C60" s="16" t="e">
        <f>C44</f>
        <v>#VALUE!</v>
      </c>
      <c r="D60" s="16" t="e">
        <f>D44</f>
        <v>#VALUE!</v>
      </c>
      <c r="E60" s="16" t="e">
        <f>E44</f>
        <v>#VALUE!</v>
      </c>
      <c r="F60" s="16" t="e">
        <f>F44</f>
        <v>#VALUE!</v>
      </c>
      <c r="G60" s="17" t="e">
        <f>G44</f>
        <v>#VALUE!</v>
      </c>
    </row>
    <row r="61" spans="2:7" x14ac:dyDescent="0.35">
      <c r="B61" s="251" t="s">
        <v>200</v>
      </c>
      <c r="C61" s="16">
        <f>C53</f>
        <v>487.72425109863286</v>
      </c>
      <c r="D61" s="16">
        <f>D53</f>
        <v>514.44263076782227</v>
      </c>
      <c r="E61" s="16">
        <f>E53</f>
        <v>542.07512191772457</v>
      </c>
      <c r="F61" s="16">
        <f>F53</f>
        <v>534.54145675659186</v>
      </c>
      <c r="G61" s="17">
        <f>G53</f>
        <v>533.09180664062501</v>
      </c>
    </row>
    <row r="62" spans="2:7" x14ac:dyDescent="0.35">
      <c r="B62" s="253" t="s">
        <v>205</v>
      </c>
      <c r="C62" s="19" t="e">
        <f>C56</f>
        <v>#VALUE!</v>
      </c>
      <c r="D62" s="19" t="e">
        <f>D56</f>
        <v>#VALUE!</v>
      </c>
      <c r="E62" s="19" t="e">
        <f>E56</f>
        <v>#VALUE!</v>
      </c>
      <c r="F62" s="19" t="e">
        <f>F56</f>
        <v>#VALUE!</v>
      </c>
      <c r="G62" s="20" t="e">
        <f>G56</f>
        <v>#VALUE!</v>
      </c>
    </row>
  </sheetData>
  <mergeCells count="2">
    <mergeCell ref="B3:G6"/>
    <mergeCell ref="B33:G33"/>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sheetPr>
  <dimension ref="B1:P62"/>
  <sheetViews>
    <sheetView showGridLines="0" zoomScale="74" zoomScaleNormal="74" workbookViewId="0">
      <selection activeCell="I15" sqref="I15"/>
    </sheetView>
  </sheetViews>
  <sheetFormatPr defaultColWidth="9.1796875" defaultRowHeight="14.5" x14ac:dyDescent="0.35"/>
  <cols>
    <col min="1" max="1" width="1.7265625" style="1" customWidth="1"/>
    <col min="2" max="2" width="64.26953125" style="1" customWidth="1"/>
    <col min="3" max="7" width="11.54296875" style="1" bestFit="1" customWidth="1"/>
    <col min="8" max="8" width="9.1796875" style="1"/>
    <col min="9" max="9" width="9.1796875" style="12"/>
    <col min="10" max="16384" width="9.1796875" style="1"/>
  </cols>
  <sheetData>
    <row r="1" spans="2:9" ht="18.5" x14ac:dyDescent="0.45">
      <c r="B1" s="292" t="s">
        <v>146</v>
      </c>
    </row>
    <row r="2" spans="2:9" ht="14.25" customHeight="1" x14ac:dyDescent="0.45">
      <c r="B2" s="9"/>
    </row>
    <row r="3" spans="2:9" ht="15" customHeight="1" x14ac:dyDescent="0.35">
      <c r="B3" s="526" t="s">
        <v>262</v>
      </c>
      <c r="C3" s="527"/>
      <c r="D3" s="527"/>
      <c r="E3" s="527"/>
      <c r="F3" s="527"/>
      <c r="G3" s="528"/>
    </row>
    <row r="4" spans="2:9" x14ac:dyDescent="0.35">
      <c r="B4" s="529"/>
      <c r="C4" s="530"/>
      <c r="D4" s="530"/>
      <c r="E4" s="530"/>
      <c r="F4" s="530"/>
      <c r="G4" s="531"/>
    </row>
    <row r="5" spans="2:9" x14ac:dyDescent="0.35">
      <c r="B5" s="529"/>
      <c r="C5" s="530"/>
      <c r="D5" s="530"/>
      <c r="E5" s="530"/>
      <c r="F5" s="530"/>
      <c r="G5" s="531"/>
    </row>
    <row r="6" spans="2:9" x14ac:dyDescent="0.35">
      <c r="B6" s="532"/>
      <c r="C6" s="533"/>
      <c r="D6" s="533"/>
      <c r="E6" s="533"/>
      <c r="F6" s="533"/>
      <c r="G6" s="534"/>
    </row>
    <row r="7" spans="2:9" ht="18.5" x14ac:dyDescent="0.45">
      <c r="B7" s="9"/>
    </row>
    <row r="8" spans="2:9" ht="18.5" x14ac:dyDescent="0.45">
      <c r="B8" s="163" t="s">
        <v>182</v>
      </c>
      <c r="C8" s="14"/>
      <c r="D8" s="14"/>
      <c r="E8" s="14"/>
      <c r="F8" s="14"/>
      <c r="G8" s="147"/>
    </row>
    <row r="9" spans="2:9" ht="18.5" x14ac:dyDescent="0.45">
      <c r="B9" s="208"/>
      <c r="C9" s="11">
        <v>1</v>
      </c>
      <c r="D9" s="11">
        <v>2</v>
      </c>
      <c r="E9" s="11">
        <v>3</v>
      </c>
      <c r="F9" s="24">
        <v>4</v>
      </c>
      <c r="G9" s="148">
        <v>5</v>
      </c>
    </row>
    <row r="10" spans="2:9" x14ac:dyDescent="0.35">
      <c r="B10" s="15"/>
      <c r="C10" s="175" t="str">
        <f>Year1</f>
        <v>2019/20</v>
      </c>
      <c r="D10" s="175" t="str">
        <f>Year2</f>
        <v>2020/21</v>
      </c>
      <c r="E10" s="175" t="str">
        <f>Year3</f>
        <v>2021/22</v>
      </c>
      <c r="F10" s="175" t="str">
        <f>Year4</f>
        <v>2022/23</v>
      </c>
      <c r="G10" s="176" t="str">
        <f>Year5</f>
        <v>2023/24</v>
      </c>
    </row>
    <row r="11" spans="2:9" x14ac:dyDescent="0.35">
      <c r="B11" s="251" t="s">
        <v>363</v>
      </c>
      <c r="C11" s="276">
        <f t="array" ref="C11">INDEX('Angen o''r Newydd'!D8:D27,MATCH(1,($B$1='Angen o''r Newydd'!$C$8:$C$27)*('Rhaniad y Ddeiliadaeth (Cymru)'!$D$6='Angen o''r Newydd'!$B$8:$B$27),0))</f>
        <v>3644.6937942504883</v>
      </c>
      <c r="D11" s="276">
        <f t="array" ref="D11">INDEX('Angen o''r Newydd'!E8:E27,MATCH(1,($B$1='Angen o''r Newydd'!$C$8:$C$27)*('Rhaniad y Ddeiliadaeth (Cymru)'!$D$6='Angen o''r Newydd'!$B$8:$B$27),0))</f>
        <v>3644.6838836669922</v>
      </c>
      <c r="E11" s="276">
        <f t="array" ref="E11">INDEX('Angen o''r Newydd'!F8:F27,MATCH(1,($B$1='Angen o''r Newydd'!$C$8:$C$27)*('Rhaniad y Ddeiliadaeth (Cymru)'!$D$6='Angen o''r Newydd'!$B$8:$B$27),0))</f>
        <v>3882.6975173950195</v>
      </c>
      <c r="F11" s="276">
        <f t="array" ref="F11">INDEX('Angen o''r Newydd'!G8:G27,MATCH(1,($B$1='Angen o''r Newydd'!$C$8:$C$27)*('Rhaniad y Ddeiliadaeth (Cymru)'!$D$6='Angen o''r Newydd'!$B$8:$B$27),0))</f>
        <v>3708.7322807312012</v>
      </c>
      <c r="G11" s="277">
        <f t="array" ref="G11">INDEX('Angen o''r Newydd'!H8:H27,MATCH(1,($B$1='Angen o''r Newydd'!$C$8:$C$27)*('Rhaniad y Ddeiliadaeth (Cymru)'!$D$6='Angen o''r Newydd'!$B$8:$B$27),0))</f>
        <v>3657.401309967041</v>
      </c>
      <c r="H11" s="2"/>
      <c r="I11" s="315"/>
    </row>
    <row r="12" spans="2:9" x14ac:dyDescent="0.35">
      <c r="B12" s="251" t="s">
        <v>165</v>
      </c>
      <c r="C12" s="276">
        <f>IF('Angen Presennol Nas Diwallwyd'!$C$29&gt;='Cyfrifiadau De-ddwyrain'!C9,IF('Rhaniad y Ddeiliadaeth (Cymru)'!$D$7="Amcangyfrifon LlC",'Angen Presennol Nas Diwallwyd'!$C$12/'Angen Presennol Nas Diwallwyd'!$C$29,'Angen Presennol Nas Diwallwyd'!$C$23/'Angen Presennol Nas Diwallwyd'!$C$29),0)</f>
        <v>650.6</v>
      </c>
      <c r="D12" s="276">
        <f>IF('Angen Presennol Nas Diwallwyd'!$C$29&gt;='Cyfrifiadau De-ddwyrain'!D9,IF('Rhaniad y Ddeiliadaeth (Cymru)'!$D$7="Amcangyfrifon LlC",'Angen Presennol Nas Diwallwyd'!$C$12/'Angen Presennol Nas Diwallwyd'!$C$29,'Angen Presennol Nas Diwallwyd'!$C$23/'Angen Presennol Nas Diwallwyd'!$C$29),0)</f>
        <v>650.6</v>
      </c>
      <c r="E12" s="276">
        <f>IF('Angen Presennol Nas Diwallwyd'!$C$29&gt;='Cyfrifiadau De-ddwyrain'!E9,IF('Rhaniad y Ddeiliadaeth (Cymru)'!$D$7="Amcangyfrifon LlC",'Angen Presennol Nas Diwallwyd'!$C$12/'Angen Presennol Nas Diwallwyd'!$C$29,'Angen Presennol Nas Diwallwyd'!$C$23/'Angen Presennol Nas Diwallwyd'!$C$29),0)</f>
        <v>650.6</v>
      </c>
      <c r="F12" s="276">
        <f>IF('Angen Presennol Nas Diwallwyd'!$C$29&gt;='Cyfrifiadau De-ddwyrain'!F9,IF('Rhaniad y Ddeiliadaeth (Cymru)'!$D$7="Amcangyfrifon LlC",'Angen Presennol Nas Diwallwyd'!$C$12/'Angen Presennol Nas Diwallwyd'!$C$29,'Angen Presennol Nas Diwallwyd'!$C$23/'Angen Presennol Nas Diwallwyd'!$C$29),0)</f>
        <v>650.6</v>
      </c>
      <c r="G12" s="277">
        <f>IF('Angen Presennol Nas Diwallwyd'!$C$29&gt;='Cyfrifiadau De-ddwyrain'!G9,IF('Rhaniad y Ddeiliadaeth (Cymru)'!$D$7="Amcangyfrifon LlC",'Angen Presennol Nas Diwallwyd'!$C$12/'Angen Presennol Nas Diwallwyd'!$C$29,'Angen Presennol Nas Diwallwyd'!$C$23/'Angen Presennol Nas Diwallwyd'!$C$29),0)</f>
        <v>650.6</v>
      </c>
      <c r="H12" s="341"/>
      <c r="I12" s="315"/>
    </row>
    <row r="13" spans="2:9" x14ac:dyDescent="0.35">
      <c r="B13" s="253" t="s">
        <v>168</v>
      </c>
      <c r="C13" s="294">
        <f>SUM(C11:C12)</f>
        <v>4295.2937942504886</v>
      </c>
      <c r="D13" s="294">
        <f t="shared" ref="D13:G13" si="0">SUM(D11:D12)</f>
        <v>4295.2838836669926</v>
      </c>
      <c r="E13" s="294">
        <f t="shared" si="0"/>
        <v>4533.2975173950199</v>
      </c>
      <c r="F13" s="294">
        <f t="shared" si="0"/>
        <v>4359.3322807312015</v>
      </c>
      <c r="G13" s="295">
        <f t="shared" si="0"/>
        <v>4308.0013099670414</v>
      </c>
      <c r="H13" s="2"/>
    </row>
    <row r="14" spans="2:9" x14ac:dyDescent="0.35">
      <c r="C14" s="2"/>
      <c r="D14" s="2"/>
      <c r="E14" s="2"/>
      <c r="F14" s="2"/>
      <c r="G14" s="2"/>
    </row>
    <row r="15" spans="2:9" ht="18.5" x14ac:dyDescent="0.45">
      <c r="B15" s="163" t="s">
        <v>183</v>
      </c>
      <c r="C15" s="164"/>
      <c r="D15" s="164"/>
      <c r="E15" s="164"/>
      <c r="F15" s="164"/>
      <c r="G15" s="165"/>
    </row>
    <row r="16" spans="2:9" x14ac:dyDescent="0.35">
      <c r="B16" s="15"/>
      <c r="C16" s="11"/>
      <c r="D16" s="11"/>
      <c r="E16" s="11"/>
      <c r="F16" s="11"/>
      <c r="G16" s="148"/>
    </row>
    <row r="17" spans="2:16" x14ac:dyDescent="0.35">
      <c r="B17" s="282" t="s">
        <v>306</v>
      </c>
      <c r="C17" s="11"/>
      <c r="D17" s="11"/>
      <c r="E17" s="11"/>
      <c r="F17" s="11"/>
      <c r="G17" s="148"/>
    </row>
    <row r="18" spans="2:16" x14ac:dyDescent="0.35">
      <c r="B18" s="251" t="s">
        <v>184</v>
      </c>
      <c r="C18" s="278">
        <f>'Rhaniad y Ddeiliadaeth (De-ddn)'!C112</f>
        <v>6794.9391769886033</v>
      </c>
      <c r="D18" s="278">
        <f>'Rhaniad y Ddeiliadaeth (De-ddn)'!D112</f>
        <v>7002.8705924652222</v>
      </c>
      <c r="E18" s="278">
        <f>'Rhaniad y Ddeiliadaeth (De-ddn)'!E112</f>
        <v>7221.4470514519899</v>
      </c>
      <c r="F18" s="278">
        <f>'Rhaniad y Ddeiliadaeth (De-ddn)'!F112</f>
        <v>7450.4857133526584</v>
      </c>
      <c r="G18" s="279">
        <f>'Rhaniad y Ddeiliadaeth (De-ddn)'!G112</f>
        <v>7695.959248712149</v>
      </c>
    </row>
    <row r="19" spans="2:16" x14ac:dyDescent="0.35">
      <c r="B19" s="251" t="s">
        <v>185</v>
      </c>
      <c r="C19" s="297">
        <f>C18/'Rhaniad y Ddeiliadaeth (De-ddn)'!C108</f>
        <v>22649.797256628677</v>
      </c>
      <c r="D19" s="278">
        <f>D18/'Rhaniad y Ddeiliadaeth (De-ddn)'!D108</f>
        <v>23342.901974884076</v>
      </c>
      <c r="E19" s="278">
        <f>E18/'Rhaniad y Ddeiliadaeth (De-ddn)'!E108</f>
        <v>24071.490171506633</v>
      </c>
      <c r="F19" s="278">
        <f>F18/'Rhaniad y Ddeiliadaeth (De-ddn)'!F108</f>
        <v>24834.952377842197</v>
      </c>
      <c r="G19" s="279">
        <f>G18/'Rhaniad y Ddeiliadaeth (De-ddn)'!G108</f>
        <v>25653.197495707165</v>
      </c>
    </row>
    <row r="20" spans="2:16" x14ac:dyDescent="0.35">
      <c r="B20" s="251" t="s">
        <v>186</v>
      </c>
      <c r="C20" s="280">
        <f>IFERROR(INDEX('Incwm (De-ddwyrain)'!$AC$4:$AC$84,MATCH('Cyfrifiadau De-ddwyrain'!C19,'Incwm (De-ddwyrain)'!AD$4:AD$84,1)),10)</f>
        <v>39</v>
      </c>
      <c r="D20" s="280">
        <f>IFERROR(INDEX('Incwm (De-ddwyrain)'!$AC$4:$AC$84,MATCH('Cyfrifiadau De-ddwyrain'!D19,'Incwm (De-ddwyrain)'!AE$4:AE$84,1)),10)</f>
        <v>39</v>
      </c>
      <c r="E20" s="280">
        <f>IFERROR(INDEX('Incwm (De-ddwyrain)'!$AC$4:$AC$84,MATCH('Cyfrifiadau De-ddwyrain'!E19,'Incwm (De-ddwyrain)'!AF$4:AF$84,1)),10)</f>
        <v>39</v>
      </c>
      <c r="F20" s="280">
        <f>IFERROR(INDEX('Incwm (De-ddwyrain)'!$AC$4:$AC$84,MATCH('Cyfrifiadau De-ddwyrain'!F19,'Incwm (De-ddwyrain)'!AG$4:AG$84,1)),10)</f>
        <v>39</v>
      </c>
      <c r="G20" s="281">
        <f>IFERROR(INDEX('Incwm (De-ddwyrain)'!$AC$4:$AC$84,MATCH('Cyfrifiadau De-ddwyrain'!G19,'Incwm (De-ddwyrain)'!AH$4:AH$84,1)),10)</f>
        <v>39</v>
      </c>
      <c r="P20" s="12"/>
    </row>
    <row r="21" spans="2:16" x14ac:dyDescent="0.35">
      <c r="B21" s="251" t="s">
        <v>364</v>
      </c>
      <c r="C21" s="166">
        <f>(100-C20)/100</f>
        <v>0.61</v>
      </c>
      <c r="D21" s="166">
        <f t="shared" ref="D21:G21" si="1">(100-D20)/100</f>
        <v>0.61</v>
      </c>
      <c r="E21" s="166">
        <f t="shared" si="1"/>
        <v>0.61</v>
      </c>
      <c r="F21" s="166">
        <f t="shared" si="1"/>
        <v>0.61</v>
      </c>
      <c r="G21" s="167">
        <f t="shared" si="1"/>
        <v>0.61</v>
      </c>
    </row>
    <row r="22" spans="2:16" x14ac:dyDescent="0.35">
      <c r="B22" s="251" t="s">
        <v>365</v>
      </c>
      <c r="C22" s="168">
        <f>C21*C11</f>
        <v>2223.2632144927979</v>
      </c>
      <c r="D22" s="168">
        <f>D21*D11</f>
        <v>2223.257169036865</v>
      </c>
      <c r="E22" s="168">
        <f>E21*E11</f>
        <v>2368.4454856109619</v>
      </c>
      <c r="F22" s="168">
        <f>F21*F11</f>
        <v>2262.3266912460326</v>
      </c>
      <c r="G22" s="169">
        <f>G21*G11</f>
        <v>2231.0147990798951</v>
      </c>
    </row>
    <row r="23" spans="2:16" x14ac:dyDescent="0.35">
      <c r="B23" s="251"/>
      <c r="C23" s="11"/>
      <c r="D23" s="11"/>
      <c r="E23" s="11"/>
      <c r="F23" s="11"/>
      <c r="G23" s="148"/>
    </row>
    <row r="24" spans="2:16" x14ac:dyDescent="0.35">
      <c r="B24" s="251"/>
      <c r="C24" s="168"/>
      <c r="D24" s="168"/>
      <c r="E24" s="168"/>
      <c r="F24" s="168"/>
      <c r="G24" s="169"/>
    </row>
    <row r="25" spans="2:16" x14ac:dyDescent="0.35">
      <c r="B25" s="282" t="s">
        <v>188</v>
      </c>
      <c r="C25" s="168"/>
      <c r="D25" s="168"/>
      <c r="E25" s="168"/>
      <c r="F25" s="168"/>
      <c r="G25" s="169"/>
    </row>
    <row r="26" spans="2:16" x14ac:dyDescent="0.35">
      <c r="B26" s="251" t="s">
        <v>189</v>
      </c>
      <c r="C26" s="168">
        <f>C13-C22</f>
        <v>2072.0305797576907</v>
      </c>
      <c r="D26" s="168">
        <f>D13-D22</f>
        <v>2072.0267146301276</v>
      </c>
      <c r="E26" s="168">
        <f t="shared" ref="E26:G26" si="2">E13-E22</f>
        <v>2164.852031784058</v>
      </c>
      <c r="F26" s="168">
        <f t="shared" si="2"/>
        <v>2097.0055894851689</v>
      </c>
      <c r="G26" s="169">
        <f t="shared" si="2"/>
        <v>2076.9865108871463</v>
      </c>
    </row>
    <row r="27" spans="2:16" x14ac:dyDescent="0.35">
      <c r="B27" s="251"/>
      <c r="C27" s="168"/>
      <c r="D27" s="168"/>
      <c r="E27" s="168"/>
      <c r="F27" s="168"/>
      <c r="G27" s="169"/>
    </row>
    <row r="28" spans="2:16" x14ac:dyDescent="0.35">
      <c r="B28" s="282" t="s">
        <v>190</v>
      </c>
      <c r="C28" s="11"/>
      <c r="D28" s="11"/>
      <c r="E28" s="11"/>
      <c r="F28" s="11"/>
      <c r="G28" s="148"/>
    </row>
    <row r="29" spans="2:16" x14ac:dyDescent="0.35">
      <c r="B29" s="251" t="s">
        <v>191</v>
      </c>
      <c r="C29" s="16">
        <f>C22</f>
        <v>2223.2632144927979</v>
      </c>
      <c r="D29" s="16">
        <f>D22</f>
        <v>2223.257169036865</v>
      </c>
      <c r="E29" s="16">
        <f>E22</f>
        <v>2368.4454856109619</v>
      </c>
      <c r="F29" s="16">
        <f>F22</f>
        <v>2262.3266912460326</v>
      </c>
      <c r="G29" s="17">
        <f>G22</f>
        <v>2231.0147990798951</v>
      </c>
    </row>
    <row r="30" spans="2:16" x14ac:dyDescent="0.35">
      <c r="B30" s="253" t="s">
        <v>188</v>
      </c>
      <c r="C30" s="19">
        <f>C26</f>
        <v>2072.0305797576907</v>
      </c>
      <c r="D30" s="19">
        <f>D26</f>
        <v>2072.0267146301276</v>
      </c>
      <c r="E30" s="19">
        <f>E26</f>
        <v>2164.852031784058</v>
      </c>
      <c r="F30" s="19">
        <f>F26</f>
        <v>2097.0055894851689</v>
      </c>
      <c r="G30" s="20">
        <f>G26</f>
        <v>2076.9865108871463</v>
      </c>
    </row>
    <row r="31" spans="2:16" x14ac:dyDescent="0.35">
      <c r="C31" s="5"/>
      <c r="D31" s="5"/>
      <c r="E31" s="5"/>
      <c r="F31" s="5"/>
      <c r="G31" s="5"/>
    </row>
    <row r="32" spans="2:16" ht="18.5" x14ac:dyDescent="0.45">
      <c r="B32" s="163" t="s">
        <v>192</v>
      </c>
      <c r="C32" s="14"/>
      <c r="D32" s="14"/>
      <c r="E32" s="14"/>
      <c r="F32" s="14"/>
      <c r="G32" s="147"/>
    </row>
    <row r="33" spans="2:16" ht="21" customHeight="1" x14ac:dyDescent="0.35">
      <c r="B33" s="523" t="s">
        <v>193</v>
      </c>
      <c r="C33" s="524"/>
      <c r="D33" s="524"/>
      <c r="E33" s="524"/>
      <c r="F33" s="524"/>
      <c r="G33" s="525"/>
    </row>
    <row r="34" spans="2:16" x14ac:dyDescent="0.35">
      <c r="B34" s="15"/>
      <c r="C34" s="11"/>
      <c r="D34" s="11"/>
      <c r="E34" s="11"/>
      <c r="F34" s="11"/>
      <c r="G34" s="148"/>
    </row>
    <row r="35" spans="2:16" x14ac:dyDescent="0.35">
      <c r="B35" s="282" t="s">
        <v>194</v>
      </c>
      <c r="C35" s="11"/>
      <c r="D35" s="11"/>
      <c r="E35" s="11"/>
      <c r="F35" s="11"/>
      <c r="G35" s="148"/>
      <c r="P35" s="12"/>
    </row>
    <row r="36" spans="2:16" x14ac:dyDescent="0.35">
      <c r="B36" s="255" t="str">
        <f>"Canradd Mynediad y farchnad ar gyfer y Prynwyr Tro Cyntaf: "&amp;'Rhaniad y Ddeiliadaeth (Cymru)'!C115</f>
        <v>Canradd Mynediad y farchnad ar gyfer y Prynwyr Tro Cyntaf: 40</v>
      </c>
      <c r="C36" s="278">
        <f>INDEX('Prisiau Tai (De-ddwyrain)'!AD$4:AD$84,MATCH('Rhaniad y Ddeiliadaeth (De-ddn)'!C115,'Prisiau Tai (De-ddwyrain)'!$AC$4:$AC$84,0))</f>
        <v>146720</v>
      </c>
      <c r="D36" s="278">
        <f>INDEX('Prisiau Tai (De-ddwyrain)'!AE$4:AE$84,MATCH('Rhaniad y Ddeiliadaeth (De-ddn)'!D115,'Prisiau Tai (De-ddwyrain)'!$AC$4:$AC$84,0))</f>
        <v>155273.77600000001</v>
      </c>
      <c r="E36" s="278">
        <f>INDEX('Prisiau Tai (De-ddwyrain)'!AF$4:AF$84,MATCH('Rhaniad y Ddeiliadaeth (De-ddn)'!E115,'Prisiau Tai (De-ddwyrain)'!$AC$4:$AC$84,0))</f>
        <v>166241.83913339648</v>
      </c>
      <c r="F36" s="278">
        <f>INDEX('Prisiau Tai (De-ddwyrain)'!AG$4:AG$84,MATCH('Rhaniad y Ddeiliadaeth (De-ddn)'!F115,'Prisiau Tai (De-ddwyrain)'!$AC$4:$AC$84,0))</f>
        <v>175288.86485939671</v>
      </c>
      <c r="G36" s="279">
        <f>INDEX('Prisiau Tai (De-ddwyrain)'!AH$4:AH$84,MATCH('Rhaniad y Ddeiliadaeth (De-ddn)'!G115,'Prisiau Tai (De-ddwyrain)'!$AC$4:$AC$84,0))</f>
        <v>182683.20272898403</v>
      </c>
      <c r="P36" s="12"/>
    </row>
    <row r="37" spans="2:16" x14ac:dyDescent="0.35">
      <c r="B37" s="251" t="s">
        <v>185</v>
      </c>
      <c r="C37" s="278">
        <f>C36/'Rhaniad y Ddeiliadaeth (De-ddn)'!C114</f>
        <v>36406.947890818854</v>
      </c>
      <c r="D37" s="278">
        <f>D36/'Rhaniad y Ddeiliadaeth (De-ddn)'!D114</f>
        <v>38529.472952853597</v>
      </c>
      <c r="E37" s="278">
        <f>E36/'Rhaniad y Ddeiliadaeth (De-ddn)'!E114</f>
        <v>41251.076708038825</v>
      </c>
      <c r="F37" s="278">
        <f>F36/'Rhaniad y Ddeiliadaeth (De-ddn)'!F114</f>
        <v>43495.996243026479</v>
      </c>
      <c r="G37" s="279">
        <f>G36/'Rhaniad y Ddeiliadaeth (De-ddn)'!G114</f>
        <v>45330.819535728042</v>
      </c>
      <c r="P37" s="12"/>
    </row>
    <row r="38" spans="2:16" x14ac:dyDescent="0.35">
      <c r="B38" s="251" t="s">
        <v>186</v>
      </c>
      <c r="C38" s="280">
        <f>IFERROR(INDEX('Incwm (De-ddwyrain)'!$AC$4:$AC$84,MATCH('Cyfrifiadau De-ddwyrain'!C37,'Incwm (De-ddwyrain)'!AD$4:AD$84,1)),10)</f>
        <v>62</v>
      </c>
      <c r="D38" s="280">
        <f>IFERROR(INDEX('Incwm (De-ddwyrain)'!$AC$4:$AC$84,MATCH('Cyfrifiadau De-ddwyrain'!D37,'Incwm (De-ddwyrain)'!AE$4:AE$84,1)),10)</f>
        <v>62</v>
      </c>
      <c r="E38" s="280">
        <f>IFERROR(INDEX('Incwm (De-ddwyrain)'!$AC$4:$AC$84,MATCH('Cyfrifiadau De-ddwyrain'!E37,'Incwm (De-ddwyrain)'!AF$4:AF$84,1)),10)</f>
        <v>64</v>
      </c>
      <c r="F38" s="280">
        <f>IFERROR(INDEX('Incwm (De-ddwyrain)'!$AC$4:$AC$84,MATCH('Cyfrifiadau De-ddwyrain'!F37,'Incwm (De-ddwyrain)'!AG$4:AG$84,1)),10)</f>
        <v>65</v>
      </c>
      <c r="G38" s="281">
        <f>IFERROR(INDEX('Incwm (De-ddwyrain)'!$AC$4:$AC$84,MATCH('Cyfrifiadau De-ddwyrain'!G37,'Incwm (De-ddwyrain)'!AH$4:AH$84,1)),10)</f>
        <v>65</v>
      </c>
      <c r="P38" s="12"/>
    </row>
    <row r="39" spans="2:16" x14ac:dyDescent="0.35">
      <c r="B39" s="251" t="s">
        <v>187</v>
      </c>
      <c r="C39" s="166">
        <f>(100-C38)/100</f>
        <v>0.38</v>
      </c>
      <c r="D39" s="166">
        <f t="shared" ref="D39:G39" si="3">(100-D38)/100</f>
        <v>0.38</v>
      </c>
      <c r="E39" s="166">
        <f t="shared" si="3"/>
        <v>0.36</v>
      </c>
      <c r="F39" s="166">
        <f t="shared" si="3"/>
        <v>0.35</v>
      </c>
      <c r="G39" s="167">
        <f t="shared" si="3"/>
        <v>0.35</v>
      </c>
      <c r="P39" s="12"/>
    </row>
    <row r="40" spans="2:16" x14ac:dyDescent="0.35">
      <c r="B40" s="251" t="s">
        <v>195</v>
      </c>
      <c r="C40" s="166" t="e">
        <f>C39*'Rhaniad y Ddeiliadaeth (De-ddn)'!C116</f>
        <v>#VALUE!</v>
      </c>
      <c r="D40" s="166" t="e">
        <f>D39*'Rhaniad y Ddeiliadaeth (De-ddn)'!D116</f>
        <v>#VALUE!</v>
      </c>
      <c r="E40" s="166" t="e">
        <f>E39*'Rhaniad y Ddeiliadaeth (De-ddn)'!E116</f>
        <v>#VALUE!</v>
      </c>
      <c r="F40" s="166" t="e">
        <f>F39*'Rhaniad y Ddeiliadaeth (De-ddn)'!F116</f>
        <v>#VALUE!</v>
      </c>
      <c r="G40" s="167" t="e">
        <f>G39*'Rhaniad y Ddeiliadaeth (De-ddn)'!G116</f>
        <v>#VALUE!</v>
      </c>
      <c r="P40" s="12"/>
    </row>
    <row r="41" spans="2:16" x14ac:dyDescent="0.35">
      <c r="B41" s="251" t="s">
        <v>194</v>
      </c>
      <c r="C41" s="170" t="e">
        <f>C40*C11</f>
        <v>#VALUE!</v>
      </c>
      <c r="D41" s="170" t="e">
        <f>D40*D11</f>
        <v>#VALUE!</v>
      </c>
      <c r="E41" s="170" t="e">
        <f>E40*E11</f>
        <v>#VALUE!</v>
      </c>
      <c r="F41" s="170" t="e">
        <f>F40*F11</f>
        <v>#VALUE!</v>
      </c>
      <c r="G41" s="171" t="e">
        <f>G40*G11</f>
        <v>#VALUE!</v>
      </c>
      <c r="P41" s="12"/>
    </row>
    <row r="42" spans="2:16" x14ac:dyDescent="0.35">
      <c r="B42" s="251"/>
      <c r="C42" s="170"/>
      <c r="D42" s="170"/>
      <c r="E42" s="170"/>
      <c r="F42" s="170"/>
      <c r="G42" s="171"/>
      <c r="P42" s="12"/>
    </row>
    <row r="43" spans="2:16" x14ac:dyDescent="0.35">
      <c r="B43" s="282" t="s">
        <v>198</v>
      </c>
      <c r="C43" s="170"/>
      <c r="D43" s="170"/>
      <c r="E43" s="170"/>
      <c r="F43" s="170"/>
      <c r="G43" s="171"/>
      <c r="P43" s="12"/>
    </row>
    <row r="44" spans="2:16" ht="29" x14ac:dyDescent="0.35">
      <c r="B44" s="367" t="s">
        <v>199</v>
      </c>
      <c r="C44" s="16" t="e">
        <f>C22-C41</f>
        <v>#VALUE!</v>
      </c>
      <c r="D44" s="16" t="e">
        <f>D22-D41</f>
        <v>#VALUE!</v>
      </c>
      <c r="E44" s="16" t="e">
        <f>E22-E41</f>
        <v>#VALUE!</v>
      </c>
      <c r="F44" s="16" t="e">
        <f>F22-F41</f>
        <v>#VALUE!</v>
      </c>
      <c r="G44" s="17" t="e">
        <f>G22-G41</f>
        <v>#VALUE!</v>
      </c>
      <c r="P44" s="12"/>
    </row>
    <row r="45" spans="2:16" x14ac:dyDescent="0.35">
      <c r="B45" s="251"/>
      <c r="C45" s="16"/>
      <c r="D45" s="16"/>
      <c r="E45" s="16"/>
      <c r="F45" s="16"/>
      <c r="G45" s="17"/>
    </row>
    <row r="46" spans="2:16" x14ac:dyDescent="0.35">
      <c r="B46" s="282" t="s">
        <v>200</v>
      </c>
      <c r="C46" s="11"/>
      <c r="D46" s="11"/>
      <c r="E46" s="11"/>
      <c r="F46" s="11"/>
      <c r="G46" s="148"/>
    </row>
    <row r="47" spans="2:16" x14ac:dyDescent="0.35">
      <c r="B47" s="251" t="s">
        <v>201</v>
      </c>
      <c r="C47" s="278">
        <f>'Rhaniad y Ddeiliadaeth (De-ddn)'!C113</f>
        <v>5868.3565619447036</v>
      </c>
      <c r="D47" s="278">
        <f>'Rhaniad y Ddeiliadaeth (De-ddn)'!D113</f>
        <v>6047.9336934926923</v>
      </c>
      <c r="E47" s="278">
        <f>'Rhaniad y Ddeiliadaeth (De-ddn)'!E113</f>
        <v>6236.7042717085378</v>
      </c>
      <c r="F47" s="278">
        <f>'Rhaniad y Ddeiliadaeth (De-ddn)'!F113</f>
        <v>6434.5103888045705</v>
      </c>
      <c r="G47" s="279">
        <f>'Rhaniad y Ddeiliadaeth (De-ddn)'!G113</f>
        <v>6646.5102602514035</v>
      </c>
    </row>
    <row r="48" spans="2:16" x14ac:dyDescent="0.35">
      <c r="B48" s="251" t="s">
        <v>202</v>
      </c>
      <c r="C48" s="278">
        <f>C47/'Rhaniad y Ddeiliadaeth (De-ddn)'!C117</f>
        <v>16766.733034127727</v>
      </c>
      <c r="D48" s="278">
        <f>D47/'Rhaniad y Ddeiliadaeth (De-ddn)'!D117</f>
        <v>17279.810552836265</v>
      </c>
      <c r="E48" s="278">
        <f>E47/'Rhaniad y Ddeiliadaeth (De-ddn)'!E117</f>
        <v>17819.155062024394</v>
      </c>
      <c r="F48" s="278">
        <f>F47/'Rhaniad y Ddeiliadaeth (De-ddn)'!F117</f>
        <v>18384.315396584487</v>
      </c>
      <c r="G48" s="279">
        <f>G47/'Rhaniad y Ddeiliadaeth (De-ddn)'!G117</f>
        <v>18990.029315004012</v>
      </c>
    </row>
    <row r="49" spans="2:7" x14ac:dyDescent="0.35">
      <c r="B49" s="251" t="s">
        <v>186</v>
      </c>
      <c r="C49" s="280">
        <f>IFERROR(INDEX('Incwm (De-ddwyrain)'!$AC$4:$AC$84,MATCH('Cyfrifiadau De-ddwyrain'!C48,'Incwm (De-ddwyrain)'!AD$4:AD$84,1)),10)</f>
        <v>25</v>
      </c>
      <c r="D49" s="280">
        <f>IFERROR(INDEX('Incwm (De-ddwyrain)'!$AC$4:$AC$84,MATCH('Cyfrifiadau De-ddwyrain'!D48,'Incwm (De-ddwyrain)'!AE$4:AE$84,1)),10)</f>
        <v>25</v>
      </c>
      <c r="E49" s="280">
        <f>IFERROR(INDEX('Incwm (De-ddwyrain)'!$AC$4:$AC$84,MATCH('Cyfrifiadau De-ddwyrain'!E48,'Incwm (De-ddwyrain)'!AF$4:AF$84,1)),10)</f>
        <v>26</v>
      </c>
      <c r="F49" s="280">
        <f>IFERROR(INDEX('Incwm (De-ddwyrain)'!$AC$4:$AC$84,MATCH('Cyfrifiadau De-ddwyrain'!F48,'Incwm (De-ddwyrain)'!AG$4:AG$84,1)),10)</f>
        <v>26</v>
      </c>
      <c r="G49" s="281">
        <f>IFERROR(INDEX('Incwm (De-ddwyrain)'!$AC$4:$AC$84,MATCH('Cyfrifiadau De-ddwyrain'!G48,'Incwm (De-ddwyrain)'!AH$4:AH$84,1)),10)</f>
        <v>26</v>
      </c>
    </row>
    <row r="50" spans="2:7" x14ac:dyDescent="0.35">
      <c r="B50" s="251" t="s">
        <v>366</v>
      </c>
      <c r="C50" s="166">
        <f>C49/100</f>
        <v>0.25</v>
      </c>
      <c r="D50" s="166">
        <f t="shared" ref="D50:G50" si="4">D49/100</f>
        <v>0.25</v>
      </c>
      <c r="E50" s="166">
        <f t="shared" si="4"/>
        <v>0.26</v>
      </c>
      <c r="F50" s="166">
        <f t="shared" si="4"/>
        <v>0.26</v>
      </c>
      <c r="G50" s="167">
        <f t="shared" si="4"/>
        <v>0.26</v>
      </c>
    </row>
    <row r="51" spans="2:7" x14ac:dyDescent="0.35">
      <c r="B51" s="251" t="s">
        <v>367</v>
      </c>
      <c r="C51" s="170">
        <f>C50*C11</f>
        <v>911.17344856262207</v>
      </c>
      <c r="D51" s="170">
        <f>D50*D11</f>
        <v>911.17097091674805</v>
      </c>
      <c r="E51" s="170">
        <f>E50*E11</f>
        <v>1009.5013545227051</v>
      </c>
      <c r="F51" s="170">
        <f>F50*F11</f>
        <v>964.27039299011233</v>
      </c>
      <c r="G51" s="171">
        <f>G50*G11</f>
        <v>950.92434059143068</v>
      </c>
    </row>
    <row r="52" spans="2:7" x14ac:dyDescent="0.35">
      <c r="B52" s="251" t="s">
        <v>203</v>
      </c>
      <c r="C52" s="170">
        <f>C12</f>
        <v>650.6</v>
      </c>
      <c r="D52" s="170">
        <f>D12</f>
        <v>650.6</v>
      </c>
      <c r="E52" s="170">
        <f>E12</f>
        <v>650.6</v>
      </c>
      <c r="F52" s="170">
        <f>F12</f>
        <v>650.6</v>
      </c>
      <c r="G52" s="171">
        <f>G12</f>
        <v>650.6</v>
      </c>
    </row>
    <row r="53" spans="2:7" x14ac:dyDescent="0.35">
      <c r="B53" s="251" t="s">
        <v>204</v>
      </c>
      <c r="C53" s="170">
        <f>C52+C51</f>
        <v>1561.773448562622</v>
      </c>
      <c r="D53" s="170">
        <f t="shared" ref="D53:G53" si="5">D52+D51</f>
        <v>1561.770970916748</v>
      </c>
      <c r="E53" s="170">
        <f t="shared" si="5"/>
        <v>1660.1013545227052</v>
      </c>
      <c r="F53" s="170">
        <f t="shared" si="5"/>
        <v>1614.8703929901124</v>
      </c>
      <c r="G53" s="171">
        <f t="shared" si="5"/>
        <v>1601.5243405914307</v>
      </c>
    </row>
    <row r="54" spans="2:7" x14ac:dyDescent="0.35">
      <c r="B54" s="251"/>
      <c r="C54" s="11"/>
      <c r="D54" s="11"/>
      <c r="E54" s="11"/>
      <c r="F54" s="11"/>
      <c r="G54" s="148"/>
    </row>
    <row r="55" spans="2:7" x14ac:dyDescent="0.35">
      <c r="B55" s="282" t="s">
        <v>205</v>
      </c>
      <c r="C55" s="11"/>
      <c r="D55" s="11"/>
      <c r="E55" s="11"/>
      <c r="F55" s="11"/>
      <c r="G55" s="148"/>
    </row>
    <row r="56" spans="2:7" x14ac:dyDescent="0.35">
      <c r="B56" s="251" t="s">
        <v>206</v>
      </c>
      <c r="C56" s="170" t="e">
        <f>C11-C41-C44-C51</f>
        <v>#VALUE!</v>
      </c>
      <c r="D56" s="170" t="e">
        <f>D11-D41-D44-D51</f>
        <v>#VALUE!</v>
      </c>
      <c r="E56" s="170" t="e">
        <f>E11-E41-E44-E51</f>
        <v>#VALUE!</v>
      </c>
      <c r="F56" s="170" t="e">
        <f>F11-F41-F44-F51</f>
        <v>#VALUE!</v>
      </c>
      <c r="G56" s="171" t="e">
        <f>G11-G41-G44-G51</f>
        <v>#VALUE!</v>
      </c>
    </row>
    <row r="57" spans="2:7" x14ac:dyDescent="0.35">
      <c r="B57" s="251"/>
      <c r="C57" s="11"/>
      <c r="D57" s="11"/>
      <c r="E57" s="11"/>
      <c r="F57" s="11"/>
      <c r="G57" s="148"/>
    </row>
    <row r="58" spans="2:7" x14ac:dyDescent="0.35">
      <c r="B58" s="282" t="s">
        <v>190</v>
      </c>
      <c r="C58" s="11"/>
      <c r="D58" s="11"/>
      <c r="E58" s="11"/>
      <c r="F58" s="11"/>
      <c r="G58" s="148"/>
    </row>
    <row r="59" spans="2:7" x14ac:dyDescent="0.35">
      <c r="B59" s="251" t="s">
        <v>207</v>
      </c>
      <c r="C59" s="16" t="e">
        <f>C41</f>
        <v>#VALUE!</v>
      </c>
      <c r="D59" s="16" t="e">
        <f>D41</f>
        <v>#VALUE!</v>
      </c>
      <c r="E59" s="16" t="e">
        <f>E41</f>
        <v>#VALUE!</v>
      </c>
      <c r="F59" s="16" t="e">
        <f>F41</f>
        <v>#VALUE!</v>
      </c>
      <c r="G59" s="17" t="e">
        <f>G41</f>
        <v>#VALUE!</v>
      </c>
    </row>
    <row r="60" spans="2:7" x14ac:dyDescent="0.35">
      <c r="B60" s="251" t="s">
        <v>198</v>
      </c>
      <c r="C60" s="16" t="e">
        <f>C44</f>
        <v>#VALUE!</v>
      </c>
      <c r="D60" s="16" t="e">
        <f>D44</f>
        <v>#VALUE!</v>
      </c>
      <c r="E60" s="16" t="e">
        <f>E44</f>
        <v>#VALUE!</v>
      </c>
      <c r="F60" s="16" t="e">
        <f>F44</f>
        <v>#VALUE!</v>
      </c>
      <c r="G60" s="17" t="e">
        <f>G44</f>
        <v>#VALUE!</v>
      </c>
    </row>
    <row r="61" spans="2:7" x14ac:dyDescent="0.35">
      <c r="B61" s="251" t="s">
        <v>200</v>
      </c>
      <c r="C61" s="16">
        <f>C53</f>
        <v>1561.773448562622</v>
      </c>
      <c r="D61" s="16">
        <f>D53</f>
        <v>1561.770970916748</v>
      </c>
      <c r="E61" s="16">
        <f>E53</f>
        <v>1660.1013545227052</v>
      </c>
      <c r="F61" s="16">
        <f>F53</f>
        <v>1614.8703929901124</v>
      </c>
      <c r="G61" s="17">
        <f>G53</f>
        <v>1601.5243405914307</v>
      </c>
    </row>
    <row r="62" spans="2:7" x14ac:dyDescent="0.35">
      <c r="B62" s="253" t="s">
        <v>205</v>
      </c>
      <c r="C62" s="19" t="e">
        <f>C56</f>
        <v>#VALUE!</v>
      </c>
      <c r="D62" s="19" t="e">
        <f>D56</f>
        <v>#VALUE!</v>
      </c>
      <c r="E62" s="19" t="e">
        <f>E56</f>
        <v>#VALUE!</v>
      </c>
      <c r="F62" s="19" t="e">
        <f>F56</f>
        <v>#VALUE!</v>
      </c>
      <c r="G62" s="20" t="e">
        <f>G56</f>
        <v>#VALUE!</v>
      </c>
    </row>
  </sheetData>
  <mergeCells count="2">
    <mergeCell ref="B3:G6"/>
    <mergeCell ref="B33:G33"/>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37"/>
  <sheetViews>
    <sheetView showGridLines="0" topLeftCell="C1" zoomScale="60" zoomScaleNormal="60" workbookViewId="0">
      <selection activeCell="J30" sqref="J30"/>
    </sheetView>
  </sheetViews>
  <sheetFormatPr defaultRowHeight="14.5" x14ac:dyDescent="0.35"/>
  <cols>
    <col min="1" max="1" width="2.81640625" style="1" customWidth="1"/>
    <col min="2" max="3" width="29.81640625" bestFit="1" customWidth="1"/>
    <col min="4" max="8" width="13.26953125" bestFit="1" customWidth="1"/>
    <col min="9" max="9" width="13.26953125" customWidth="1"/>
    <col min="10" max="10" width="1.08984375" customWidth="1"/>
  </cols>
  <sheetData>
    <row r="1" spans="2:10" x14ac:dyDescent="0.35">
      <c r="D1" s="271"/>
      <c r="E1" s="271"/>
      <c r="F1" s="271"/>
      <c r="G1" s="271"/>
      <c r="H1" s="271"/>
      <c r="I1" s="320"/>
    </row>
    <row r="2" spans="2:10" s="3" customFormat="1" x14ac:dyDescent="0.35">
      <c r="B2" s="247" t="s">
        <v>175</v>
      </c>
      <c r="C2" s="248" t="s">
        <v>167</v>
      </c>
      <c r="D2" s="319">
        <v>2019</v>
      </c>
      <c r="E2" s="21">
        <f>D2+1</f>
        <v>2020</v>
      </c>
      <c r="F2" s="21">
        <f t="shared" ref="F2:J2" si="0">E2+1</f>
        <v>2021</v>
      </c>
      <c r="G2" s="21">
        <f t="shared" si="0"/>
        <v>2022</v>
      </c>
      <c r="H2" s="21">
        <f t="shared" si="0"/>
        <v>2023</v>
      </c>
      <c r="I2" s="22">
        <f t="shared" si="0"/>
        <v>2024</v>
      </c>
      <c r="J2" s="21">
        <f t="shared" si="0"/>
        <v>2025</v>
      </c>
    </row>
    <row r="3" spans="2:10" x14ac:dyDescent="0.35">
      <c r="B3" s="249" t="s">
        <v>176</v>
      </c>
      <c r="C3" s="250" t="s">
        <v>143</v>
      </c>
      <c r="D3" s="269">
        <v>305906.13901519775</v>
      </c>
      <c r="E3" s="269">
        <v>306820.78165435791</v>
      </c>
      <c r="F3" s="269">
        <v>307780.4220123291</v>
      </c>
      <c r="G3" s="269">
        <v>308834.16090393066</v>
      </c>
      <c r="H3" s="269">
        <v>309815.74437713623</v>
      </c>
      <c r="I3" s="270">
        <v>310778.46298980713</v>
      </c>
      <c r="J3" s="269" t="e">
        <v>#N/A</v>
      </c>
    </row>
    <row r="4" spans="2:10" x14ac:dyDescent="0.35">
      <c r="B4" s="251" t="s">
        <v>176</v>
      </c>
      <c r="C4" s="252" t="s">
        <v>144</v>
      </c>
      <c r="D4" s="271">
        <v>90861.253944396973</v>
      </c>
      <c r="E4" s="271">
        <v>90885.592742919922</v>
      </c>
      <c r="F4" s="271">
        <v>90940.458045959473</v>
      </c>
      <c r="G4" s="271">
        <v>91026.915176391602</v>
      </c>
      <c r="H4" s="271">
        <v>91133.880359649658</v>
      </c>
      <c r="I4" s="272">
        <v>91275.968500137329</v>
      </c>
      <c r="J4" s="269" t="e">
        <v>#N/A</v>
      </c>
    </row>
    <row r="5" spans="2:10" s="1" customFormat="1" x14ac:dyDescent="0.35">
      <c r="B5" s="251" t="s">
        <v>176</v>
      </c>
      <c r="C5" s="252" t="s">
        <v>145</v>
      </c>
      <c r="D5" s="271">
        <v>309498.32466125488</v>
      </c>
      <c r="E5" s="271">
        <v>310862.5258026123</v>
      </c>
      <c r="F5" s="271">
        <v>312283.58071899414</v>
      </c>
      <c r="G5" s="271">
        <v>313824.77690124512</v>
      </c>
      <c r="H5" s="271">
        <v>315333.21801757813</v>
      </c>
      <c r="I5" s="272">
        <v>316772.76721191406</v>
      </c>
      <c r="J5" s="269" t="e">
        <v>#N/A</v>
      </c>
    </row>
    <row r="6" spans="2:10" x14ac:dyDescent="0.35">
      <c r="B6" s="251" t="s">
        <v>176</v>
      </c>
      <c r="C6" s="252" t="s">
        <v>146</v>
      </c>
      <c r="D6" s="271">
        <v>658920.6070022583</v>
      </c>
      <c r="E6" s="271">
        <v>662565.30079650879</v>
      </c>
      <c r="F6" s="271">
        <v>666209.98468017578</v>
      </c>
      <c r="G6" s="271">
        <v>670092.6821975708</v>
      </c>
      <c r="H6" s="271">
        <v>673801.414478302</v>
      </c>
      <c r="I6" s="272">
        <v>677458.81578826904</v>
      </c>
      <c r="J6" s="269" t="e">
        <v>#N/A</v>
      </c>
    </row>
    <row r="7" spans="2:10" x14ac:dyDescent="0.35">
      <c r="B7" s="253" t="s">
        <v>176</v>
      </c>
      <c r="C7" s="254" t="s">
        <v>140</v>
      </c>
      <c r="D7" s="320">
        <v>1365186.3246231079</v>
      </c>
      <c r="E7" s="320">
        <v>1371134.2009963989</v>
      </c>
      <c r="F7" s="320">
        <v>1377214.4454574585</v>
      </c>
      <c r="G7" s="320">
        <v>1383778.5351791382</v>
      </c>
      <c r="H7" s="320">
        <v>1390084.257232666</v>
      </c>
      <c r="I7" s="342">
        <v>1396286.0144901276</v>
      </c>
      <c r="J7" s="19" t="e">
        <f t="shared" ref="J7" si="1">SUM(J3:J6)</f>
        <v>#N/A</v>
      </c>
    </row>
    <row r="8" spans="2:10" x14ac:dyDescent="0.35">
      <c r="B8" s="249" t="s">
        <v>177</v>
      </c>
      <c r="C8" s="250" t="s">
        <v>143</v>
      </c>
      <c r="D8" s="269">
        <v>305909.61682128906</v>
      </c>
      <c r="E8" s="269">
        <v>306975.381980896</v>
      </c>
      <c r="F8" s="269">
        <v>308116.18629455566</v>
      </c>
      <c r="G8" s="269">
        <v>309385.72435760498</v>
      </c>
      <c r="H8" s="269">
        <v>310612.27880096436</v>
      </c>
      <c r="I8" s="270">
        <v>311842.77658081055</v>
      </c>
    </row>
    <row r="9" spans="2:10" x14ac:dyDescent="0.35">
      <c r="B9" s="251" t="s">
        <v>177</v>
      </c>
      <c r="C9" s="252" t="s">
        <v>144</v>
      </c>
      <c r="D9" s="271">
        <v>90862.642032623291</v>
      </c>
      <c r="E9" s="271">
        <v>90930.923480987549</v>
      </c>
      <c r="F9" s="271">
        <v>91038.143463134766</v>
      </c>
      <c r="G9" s="271">
        <v>91186.664169311523</v>
      </c>
      <c r="H9" s="271">
        <v>91364.199348449707</v>
      </c>
      <c r="I9" s="272">
        <v>91583.94317817688</v>
      </c>
    </row>
    <row r="10" spans="2:10" s="1" customFormat="1" x14ac:dyDescent="0.35">
      <c r="B10" s="251" t="s">
        <v>177</v>
      </c>
      <c r="C10" s="252" t="s">
        <v>145</v>
      </c>
      <c r="D10" s="271">
        <v>309501.97967529297</v>
      </c>
      <c r="E10" s="271">
        <v>311020.32986450195</v>
      </c>
      <c r="F10" s="271">
        <v>312625.51818847656</v>
      </c>
      <c r="G10" s="271">
        <v>314385.47877502441</v>
      </c>
      <c r="H10" s="271">
        <v>316142.11930847168</v>
      </c>
      <c r="I10" s="272">
        <v>317852.74971008301</v>
      </c>
    </row>
    <row r="11" spans="2:10" x14ac:dyDescent="0.35">
      <c r="B11" s="251" t="s">
        <v>177</v>
      </c>
      <c r="C11" s="252" t="s">
        <v>146</v>
      </c>
      <c r="D11" s="271">
        <v>658930.06652069092</v>
      </c>
      <c r="E11" s="271">
        <v>662896.18860626221</v>
      </c>
      <c r="F11" s="271">
        <v>666941.6653175354</v>
      </c>
      <c r="G11" s="271">
        <v>671314.97611999512</v>
      </c>
      <c r="H11" s="271">
        <v>675589.45773696899</v>
      </c>
      <c r="I11" s="272">
        <v>679871.48732376099</v>
      </c>
    </row>
    <row r="12" spans="2:10" x14ac:dyDescent="0.35">
      <c r="B12" s="253" t="s">
        <v>177</v>
      </c>
      <c r="C12" s="254" t="s">
        <v>140</v>
      </c>
      <c r="D12" s="320">
        <v>1365204.3050498962</v>
      </c>
      <c r="E12" s="320">
        <v>1371822.8239326477</v>
      </c>
      <c r="F12" s="320">
        <v>1378721.5132637024</v>
      </c>
      <c r="G12" s="320">
        <v>1386272.843421936</v>
      </c>
      <c r="H12" s="320">
        <v>1393708.0551948547</v>
      </c>
      <c r="I12" s="342">
        <v>1401150.9567928314</v>
      </c>
    </row>
    <row r="13" spans="2:10" x14ac:dyDescent="0.35">
      <c r="B13" s="249" t="s">
        <v>178</v>
      </c>
      <c r="C13" s="250" t="s">
        <v>143</v>
      </c>
      <c r="D13" s="269">
        <v>305902.90811920166</v>
      </c>
      <c r="E13" s="269">
        <v>306635.1324005127</v>
      </c>
      <c r="F13" s="269">
        <v>307372.13306427002</v>
      </c>
      <c r="G13" s="269">
        <v>308163.24922180176</v>
      </c>
      <c r="H13" s="269">
        <v>308842.50839233398</v>
      </c>
      <c r="I13" s="270">
        <v>309461.37059020996</v>
      </c>
    </row>
    <row r="14" spans="2:10" x14ac:dyDescent="0.35">
      <c r="B14" s="251" t="s">
        <v>178</v>
      </c>
      <c r="C14" s="252" t="s">
        <v>144</v>
      </c>
      <c r="D14" s="271">
        <v>90859.967945098877</v>
      </c>
      <c r="E14" s="271">
        <v>90832.705471038818</v>
      </c>
      <c r="F14" s="271">
        <v>90825.138572692871</v>
      </c>
      <c r="G14" s="271">
        <v>90838.237728118896</v>
      </c>
      <c r="H14" s="271">
        <v>90860.899089813232</v>
      </c>
      <c r="I14" s="272">
        <v>90906.961778640747</v>
      </c>
    </row>
    <row r="15" spans="2:10" s="1" customFormat="1" x14ac:dyDescent="0.35">
      <c r="B15" s="251" t="s">
        <v>178</v>
      </c>
      <c r="C15" s="252" t="s">
        <v>145</v>
      </c>
      <c r="D15" s="271">
        <v>309494.93272399902</v>
      </c>
      <c r="E15" s="271">
        <v>310673.51110839844</v>
      </c>
      <c r="F15" s="271">
        <v>311868.51286315918</v>
      </c>
      <c r="G15" s="271">
        <v>313143.53074645996</v>
      </c>
      <c r="H15" s="271">
        <v>314345.61448669434</v>
      </c>
      <c r="I15" s="272">
        <v>315436.6918182373</v>
      </c>
    </row>
    <row r="16" spans="2:10" x14ac:dyDescent="0.35">
      <c r="B16" s="251" t="s">
        <v>178</v>
      </c>
      <c r="C16" s="252" t="s">
        <v>146</v>
      </c>
      <c r="D16" s="271">
        <v>658911.84258651733</v>
      </c>
      <c r="E16" s="271">
        <v>662156.40494537354</v>
      </c>
      <c r="F16" s="271">
        <v>665295.03763961792</v>
      </c>
      <c r="G16" s="271">
        <v>668567.81982421875</v>
      </c>
      <c r="H16" s="271">
        <v>671564.10346603394</v>
      </c>
      <c r="I16" s="272">
        <v>674403.61668014526</v>
      </c>
    </row>
    <row r="17" spans="2:11" x14ac:dyDescent="0.35">
      <c r="B17" s="253" t="s">
        <v>178</v>
      </c>
      <c r="C17" s="254" t="s">
        <v>140</v>
      </c>
      <c r="D17" s="320">
        <v>1365169.6513748169</v>
      </c>
      <c r="E17" s="320">
        <v>1370297.7539253235</v>
      </c>
      <c r="F17" s="320">
        <v>1375360.82213974</v>
      </c>
      <c r="G17" s="320">
        <v>1380712.8375205994</v>
      </c>
      <c r="H17" s="320">
        <v>1385613.1254348755</v>
      </c>
      <c r="I17" s="342">
        <v>1390208.6408672333</v>
      </c>
    </row>
    <row r="18" spans="2:11" x14ac:dyDescent="0.35">
      <c r="B18" s="273" t="s">
        <v>179</v>
      </c>
      <c r="C18" s="273" t="s">
        <v>143</v>
      </c>
      <c r="D18" s="410"/>
      <c r="E18" s="410"/>
      <c r="F18" s="410"/>
      <c r="G18" s="410"/>
      <c r="H18" s="410"/>
      <c r="I18" s="411"/>
      <c r="J18">
        <f>COUNTA(D18:I18)</f>
        <v>0</v>
      </c>
      <c r="K18" s="10" t="str">
        <f>IF(OR('Rhaniad y Ddeiliadaeth (Gog)'!$F$6='Rhaniad y Ddeiliadaeth (Gog)'!$B$194,'Rhaniad y Ddeiliadaeth (Gog)'!$F$6='Rhaniad y Ddeiliadaeth (Gog)'!$B$195,'Rhaniad y Ddeiliadaeth (Gog)'!$F$6='Rhaniad y Ddeiliadaeth (Gog)'!$B$196),"","&lt;&lt; Rhowch y data yma")</f>
        <v/>
      </c>
    </row>
    <row r="19" spans="2:11" x14ac:dyDescent="0.35">
      <c r="B19" s="274" t="s">
        <v>179</v>
      </c>
      <c r="C19" s="274" t="s">
        <v>144</v>
      </c>
      <c r="D19" s="316"/>
      <c r="E19" s="316"/>
      <c r="F19" s="316"/>
      <c r="G19" s="316"/>
      <c r="H19" s="316"/>
      <c r="I19" s="412"/>
      <c r="J19" s="1">
        <f t="shared" ref="J19:J22" si="2">COUNTA(D19:I19)</f>
        <v>0</v>
      </c>
      <c r="K19" s="10" t="str">
        <f>IF(OR('Rhaniad y Ddeiliadaeth (Gog)'!$F$6='Rhaniad y Ddeiliadaeth (Gog)'!$B$194,'Rhaniad y Ddeiliadaeth (Gog)'!$F$6='Rhaniad y Ddeiliadaeth (Gog)'!$B$195,'Rhaniad y Ddeiliadaeth (Gog)'!$F$6='Rhaniad y Ddeiliadaeth (Gog)'!$B$196),"","&lt;&lt; Rhowch y data yma")</f>
        <v/>
      </c>
    </row>
    <row r="20" spans="2:11" s="1" customFormat="1" x14ac:dyDescent="0.35">
      <c r="B20" s="274" t="s">
        <v>179</v>
      </c>
      <c r="C20" s="274" t="s">
        <v>145</v>
      </c>
      <c r="D20" s="316"/>
      <c r="E20" s="316"/>
      <c r="F20" s="316"/>
      <c r="G20" s="316"/>
      <c r="H20" s="316"/>
      <c r="I20" s="412"/>
      <c r="J20" s="1">
        <f t="shared" si="2"/>
        <v>0</v>
      </c>
      <c r="K20" s="10" t="str">
        <f>IF(OR('Rhaniad y Ddeiliadaeth (Gog)'!$F$6='Rhaniad y Ddeiliadaeth (Gog)'!$B$194,'Rhaniad y Ddeiliadaeth (Gog)'!$F$6='Rhaniad y Ddeiliadaeth (Gog)'!$B$195,'Rhaniad y Ddeiliadaeth (Gog)'!$F$6='Rhaniad y Ddeiliadaeth (Gog)'!$B$196),"","&lt;&lt; Rhowch y data yma")</f>
        <v/>
      </c>
    </row>
    <row r="21" spans="2:11" x14ac:dyDescent="0.35">
      <c r="B21" s="274" t="s">
        <v>179</v>
      </c>
      <c r="C21" s="274" t="s">
        <v>146</v>
      </c>
      <c r="D21" s="316"/>
      <c r="E21" s="316"/>
      <c r="F21" s="316"/>
      <c r="G21" s="316"/>
      <c r="H21" s="316"/>
      <c r="I21" s="412"/>
      <c r="J21" s="1">
        <f t="shared" si="2"/>
        <v>0</v>
      </c>
      <c r="K21" s="10" t="str">
        <f>IF(OR('Rhaniad y Ddeiliadaeth (Gog)'!$F$6='Rhaniad y Ddeiliadaeth (Gog)'!$B$194,'Rhaniad y Ddeiliadaeth (Gog)'!$F$6='Rhaniad y Ddeiliadaeth (Gog)'!$B$195,'Rhaniad y Ddeiliadaeth (Gog)'!$F$6='Rhaniad y Ddeiliadaeth (Gog)'!$B$196),"","&lt;&lt; Rhowch y data yma")</f>
        <v/>
      </c>
    </row>
    <row r="22" spans="2:11" x14ac:dyDescent="0.35">
      <c r="B22" s="275" t="s">
        <v>179</v>
      </c>
      <c r="C22" s="275" t="s">
        <v>140</v>
      </c>
      <c r="D22" s="413"/>
      <c r="E22" s="413"/>
      <c r="F22" s="413"/>
      <c r="G22" s="413"/>
      <c r="H22" s="413"/>
      <c r="I22" s="414"/>
      <c r="J22" s="1">
        <f t="shared" si="2"/>
        <v>0</v>
      </c>
      <c r="K22" s="10" t="str">
        <f>IF(OR('Rhaniad y Ddeiliadaeth (Gog)'!$F$6='Rhaniad y Ddeiliadaeth (Gog)'!$B$194,'Rhaniad y Ddeiliadaeth (Gog)'!$F$6='Rhaniad y Ddeiliadaeth (Gog)'!$B$195,'Rhaniad y Ddeiliadaeth (Gog)'!$F$6='Rhaniad y Ddeiliadaeth (Gog)'!$B$196),"","&lt;&lt; Rhowch y data yma")</f>
        <v/>
      </c>
    </row>
    <row r="24" spans="2:11" x14ac:dyDescent="0.35">
      <c r="B24" s="24" t="s">
        <v>368</v>
      </c>
      <c r="D24" s="2"/>
    </row>
    <row r="37" spans="4:9" x14ac:dyDescent="0.35">
      <c r="D37" s="409"/>
      <c r="E37" s="409"/>
      <c r="F37" s="409"/>
      <c r="G37" s="409"/>
      <c r="H37" s="409"/>
      <c r="I37" s="409"/>
    </row>
  </sheetData>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J30"/>
  <sheetViews>
    <sheetView showGridLines="0" zoomScale="60" zoomScaleNormal="60" workbookViewId="0">
      <selection activeCell="I23" sqref="I23"/>
    </sheetView>
  </sheetViews>
  <sheetFormatPr defaultColWidth="9.1796875" defaultRowHeight="14.5" x14ac:dyDescent="0.35"/>
  <cols>
    <col min="1" max="1" width="2.81640625" style="1" customWidth="1"/>
    <col min="2" max="3" width="29.81640625" style="1" bestFit="1" customWidth="1"/>
    <col min="4" max="8" width="13.26953125" style="1" bestFit="1" customWidth="1"/>
    <col min="9" max="9" width="9.1796875" style="1"/>
    <col min="10" max="10" width="20" style="111" customWidth="1"/>
    <col min="11" max="16384" width="9.1796875" style="1"/>
  </cols>
  <sheetData>
    <row r="2" spans="1:10" x14ac:dyDescent="0.35">
      <c r="B2" s="526" t="s">
        <v>369</v>
      </c>
      <c r="C2" s="527"/>
      <c r="D2" s="527"/>
      <c r="E2" s="527"/>
      <c r="F2" s="527"/>
      <c r="G2" s="528"/>
    </row>
    <row r="3" spans="1:10" x14ac:dyDescent="0.35">
      <c r="B3" s="529"/>
      <c r="C3" s="530"/>
      <c r="D3" s="530"/>
      <c r="E3" s="530"/>
      <c r="F3" s="530"/>
      <c r="G3" s="531"/>
    </row>
    <row r="4" spans="1:10" x14ac:dyDescent="0.35">
      <c r="B4" s="529"/>
      <c r="C4" s="530"/>
      <c r="D4" s="530"/>
      <c r="E4" s="530"/>
      <c r="F4" s="530"/>
      <c r="G4" s="531"/>
    </row>
    <row r="5" spans="1:10" x14ac:dyDescent="0.35">
      <c r="B5" s="529"/>
      <c r="C5" s="530"/>
      <c r="D5" s="530"/>
      <c r="E5" s="530"/>
      <c r="F5" s="530"/>
      <c r="G5" s="531"/>
    </row>
    <row r="6" spans="1:10" x14ac:dyDescent="0.35">
      <c r="B6" s="193"/>
      <c r="C6" s="193"/>
      <c r="D6" s="193"/>
      <c r="E6" s="193"/>
      <c r="F6" s="193"/>
      <c r="G6" s="193"/>
    </row>
    <row r="7" spans="1:10" s="3" customFormat="1" ht="40.5" customHeight="1" x14ac:dyDescent="0.35">
      <c r="B7" s="407" t="s">
        <v>363</v>
      </c>
      <c r="C7" s="397" t="s">
        <v>167</v>
      </c>
      <c r="D7" s="398" t="str">
        <f>Year1</f>
        <v>2019/20</v>
      </c>
      <c r="E7" s="398" t="str">
        <f>Year2</f>
        <v>2020/21</v>
      </c>
      <c r="F7" s="398" t="str">
        <f>Year3</f>
        <v>2021/22</v>
      </c>
      <c r="G7" s="398" t="str">
        <f>Year4</f>
        <v>2022/23</v>
      </c>
      <c r="H7" s="399" t="str">
        <f>Year5</f>
        <v>2023/24</v>
      </c>
      <c r="J7" s="291"/>
    </row>
    <row r="8" spans="1:10" x14ac:dyDescent="0.35">
      <c r="B8" s="401" t="s">
        <v>350</v>
      </c>
      <c r="C8" s="300" t="s">
        <v>143</v>
      </c>
      <c r="D8" s="288">
        <f>MAX('Amcanestyniadau Aelwydydd'!E3-'Amcanestyniadau Aelwydydd'!D3,0)</f>
        <v>914.64263916015625</v>
      </c>
      <c r="E8" s="288">
        <f>MAX('Amcanestyniadau Aelwydydd'!F3-'Amcanestyniadau Aelwydydd'!E3,0)</f>
        <v>959.64035797119141</v>
      </c>
      <c r="F8" s="288">
        <f>MAX('Amcanestyniadau Aelwydydd'!G3-'Amcanestyniadau Aelwydydd'!F3,0)</f>
        <v>1053.7388916015625</v>
      </c>
      <c r="G8" s="288">
        <f>MAX('Amcanestyniadau Aelwydydd'!H3-'Amcanestyniadau Aelwydydd'!G3,0)</f>
        <v>981.58347320556641</v>
      </c>
      <c r="H8" s="289">
        <f>MAX('Amcanestyniadau Aelwydydd'!I3-'Amcanestyniadau Aelwydydd'!H3,0)</f>
        <v>962.71861267089844</v>
      </c>
      <c r="J8" s="290"/>
    </row>
    <row r="9" spans="1:10" x14ac:dyDescent="0.35">
      <c r="B9" s="402" t="s">
        <v>350</v>
      </c>
      <c r="C9" s="301" t="s">
        <v>144</v>
      </c>
      <c r="D9" s="276">
        <f>MAX('Amcanestyniadau Aelwydydd'!E4-'Amcanestyniadau Aelwydydd'!D4,0)</f>
        <v>24.338798522949219</v>
      </c>
      <c r="E9" s="276">
        <f>MAX('Amcanestyniadau Aelwydydd'!F4-'Amcanestyniadau Aelwydydd'!E4,0)</f>
        <v>54.865303039550781</v>
      </c>
      <c r="F9" s="276">
        <f>MAX('Amcanestyniadau Aelwydydd'!G4-'Amcanestyniadau Aelwydydd'!F4,0)</f>
        <v>86.457130432128906</v>
      </c>
      <c r="G9" s="276">
        <f>MAX('Amcanestyniadau Aelwydydd'!H4-'Amcanestyniadau Aelwydydd'!G4,0)</f>
        <v>106.96518325805664</v>
      </c>
      <c r="H9" s="277">
        <f>MAX('Amcanestyniadau Aelwydydd'!I4-'Amcanestyniadau Aelwydydd'!H4,0)</f>
        <v>142.0881404876709</v>
      </c>
      <c r="J9" s="290"/>
    </row>
    <row r="10" spans="1:10" x14ac:dyDescent="0.35">
      <c r="B10" s="402" t="s">
        <v>350</v>
      </c>
      <c r="C10" s="301" t="s">
        <v>145</v>
      </c>
      <c r="D10" s="276">
        <f>MAX('Amcanestyniadau Aelwydydd'!E5-'Amcanestyniadau Aelwydydd'!D5,0)</f>
        <v>1364.2011413574219</v>
      </c>
      <c r="E10" s="276">
        <f>MAX('Amcanestyniadau Aelwydydd'!F5-'Amcanestyniadau Aelwydydd'!E5,0)</f>
        <v>1421.0549163818359</v>
      </c>
      <c r="F10" s="276">
        <f>MAX('Amcanestyniadau Aelwydydd'!G5-'Amcanestyniadau Aelwydydd'!F5,0)</f>
        <v>1541.1961822509766</v>
      </c>
      <c r="G10" s="276">
        <f>MAX('Amcanestyniadau Aelwydydd'!H5-'Amcanestyniadau Aelwydydd'!G5,0)</f>
        <v>1508.4411163330078</v>
      </c>
      <c r="H10" s="277">
        <f>MAX('Amcanestyniadau Aelwydydd'!I5-'Amcanestyniadau Aelwydydd'!H5,0)</f>
        <v>1439.5491943359375</v>
      </c>
      <c r="J10" s="290"/>
    </row>
    <row r="11" spans="1:10" x14ac:dyDescent="0.35">
      <c r="B11" s="402" t="s">
        <v>350</v>
      </c>
      <c r="C11" s="301" t="s">
        <v>146</v>
      </c>
      <c r="D11" s="276">
        <f>MAX('Amcanestyniadau Aelwydydd'!E6-'Amcanestyniadau Aelwydydd'!D6,0)</f>
        <v>3644.6937942504883</v>
      </c>
      <c r="E11" s="276">
        <f>MAX('Amcanestyniadau Aelwydydd'!F6-'Amcanestyniadau Aelwydydd'!E6,0)</f>
        <v>3644.6838836669922</v>
      </c>
      <c r="F11" s="276">
        <f>MAX('Amcanestyniadau Aelwydydd'!G6-'Amcanestyniadau Aelwydydd'!F6,0)</f>
        <v>3882.6975173950195</v>
      </c>
      <c r="G11" s="276">
        <f>MAX('Amcanestyniadau Aelwydydd'!H6-'Amcanestyniadau Aelwydydd'!G6,0)</f>
        <v>3708.7322807312012</v>
      </c>
      <c r="H11" s="277">
        <f>MAX('Amcanestyniadau Aelwydydd'!I6-'Amcanestyniadau Aelwydydd'!H6,0)</f>
        <v>3657.401309967041</v>
      </c>
      <c r="J11" s="290"/>
    </row>
    <row r="12" spans="1:10" x14ac:dyDescent="0.35">
      <c r="A12" s="303"/>
      <c r="B12" s="403" t="s">
        <v>350</v>
      </c>
      <c r="C12" s="302" t="s">
        <v>140</v>
      </c>
      <c r="D12" s="400">
        <f>MAX('Amcanestyniadau Aelwydydd'!E7-'Amcanestyniadau Aelwydydd'!D7,0)</f>
        <v>5947.8763732910156</v>
      </c>
      <c r="E12" s="400">
        <f>MAX('Amcanestyniadau Aelwydydd'!F7-'Amcanestyniadau Aelwydydd'!E7,0)</f>
        <v>6080.2444610595703</v>
      </c>
      <c r="F12" s="400">
        <f>MAX('Amcanestyniadau Aelwydydd'!G7-'Amcanestyniadau Aelwydydd'!F7,0)</f>
        <v>6564.0897216796875</v>
      </c>
      <c r="G12" s="400">
        <f>MAX('Amcanestyniadau Aelwydydd'!H7-'Amcanestyniadau Aelwydydd'!G7,0)</f>
        <v>6305.722053527832</v>
      </c>
      <c r="H12" s="333">
        <f>MAX('Amcanestyniadau Aelwydydd'!I7-'Amcanestyniadau Aelwydydd'!H7,0)</f>
        <v>6201.7572574615479</v>
      </c>
      <c r="J12" s="290"/>
    </row>
    <row r="13" spans="1:10" x14ac:dyDescent="0.35">
      <c r="B13" s="401" t="s">
        <v>376</v>
      </c>
      <c r="C13" s="300" t="str">
        <f>C8</f>
        <v>Gogledd Cymru</v>
      </c>
      <c r="D13" s="288">
        <f>MAX('Amcanestyniadau Aelwydydd'!E8-'Amcanestyniadau Aelwydydd'!D8,0)</f>
        <v>1065.7651596069336</v>
      </c>
      <c r="E13" s="288">
        <f>MAX('Amcanestyniadau Aelwydydd'!F8-'Amcanestyniadau Aelwydydd'!E8,0)</f>
        <v>1140.804313659668</v>
      </c>
      <c r="F13" s="288">
        <f>MAX('Amcanestyniadau Aelwydydd'!G8-'Amcanestyniadau Aelwydydd'!F8,0)</f>
        <v>1269.5380630493164</v>
      </c>
      <c r="G13" s="288">
        <f>MAX('Amcanestyniadau Aelwydydd'!H8-'Amcanestyniadau Aelwydydd'!G8,0)</f>
        <v>1226.554443359375</v>
      </c>
      <c r="H13" s="289">
        <f>MAX('Amcanestyniadau Aelwydydd'!I8-'Amcanestyniadau Aelwydydd'!H8,0)</f>
        <v>1230.4977798461914</v>
      </c>
      <c r="J13" s="290"/>
    </row>
    <row r="14" spans="1:10" x14ac:dyDescent="0.35">
      <c r="B14" s="402" t="s">
        <v>376</v>
      </c>
      <c r="C14" s="301" t="str">
        <f t="shared" ref="C14:C22" si="0">C9</f>
        <v>Canolbarth Cymru</v>
      </c>
      <c r="D14" s="276">
        <f>MAX('Amcanestyniadau Aelwydydd'!E9-'Amcanestyniadau Aelwydydd'!D9,0)</f>
        <v>68.281448364257813</v>
      </c>
      <c r="E14" s="276">
        <f>MAX('Amcanestyniadau Aelwydydd'!F9-'Amcanestyniadau Aelwydydd'!E9,0)</f>
        <v>107.2199821472168</v>
      </c>
      <c r="F14" s="276">
        <f>MAX('Amcanestyniadau Aelwydydd'!G9-'Amcanestyniadau Aelwydydd'!F9,0)</f>
        <v>148.52070617675781</v>
      </c>
      <c r="G14" s="276">
        <f>MAX('Amcanestyniadau Aelwydydd'!H9-'Amcanestyniadau Aelwydydd'!G9,0)</f>
        <v>177.53517913818359</v>
      </c>
      <c r="H14" s="277">
        <f>MAX('Amcanestyniadau Aelwydydd'!I9-'Amcanestyniadau Aelwydydd'!H9,0)</f>
        <v>219.74382972717285</v>
      </c>
      <c r="J14" s="290"/>
    </row>
    <row r="15" spans="1:10" x14ac:dyDescent="0.35">
      <c r="B15" s="402" t="s">
        <v>376</v>
      </c>
      <c r="C15" s="301" t="str">
        <f t="shared" si="0"/>
        <v>De-orllewin Cymru</v>
      </c>
      <c r="D15" s="276">
        <f>MAX('Amcanestyniadau Aelwydydd'!E10-'Amcanestyniadau Aelwydydd'!D10,0)</f>
        <v>1518.3501892089844</v>
      </c>
      <c r="E15" s="276">
        <f>MAX('Amcanestyniadau Aelwydydd'!F10-'Amcanestyniadau Aelwydydd'!E10,0)</f>
        <v>1605.1883239746094</v>
      </c>
      <c r="F15" s="276">
        <f>MAX('Amcanestyniadau Aelwydydd'!G10-'Amcanestyniadau Aelwydydd'!F10,0)</f>
        <v>1759.9605865478516</v>
      </c>
      <c r="G15" s="276">
        <f>MAX('Amcanestyniadau Aelwydydd'!H10-'Amcanestyniadau Aelwydydd'!G10,0)</f>
        <v>1756.6405334472656</v>
      </c>
      <c r="H15" s="277">
        <f>MAX('Amcanestyniadau Aelwydydd'!I10-'Amcanestyniadau Aelwydydd'!H10,0)</f>
        <v>1710.6304016113281</v>
      </c>
      <c r="J15" s="290"/>
    </row>
    <row r="16" spans="1:10" x14ac:dyDescent="0.35">
      <c r="B16" s="402" t="s">
        <v>376</v>
      </c>
      <c r="C16" s="301" t="str">
        <f t="shared" si="0"/>
        <v>De-ddwyrain Cymru</v>
      </c>
      <c r="D16" s="276">
        <f>MAX('Amcanestyniadau Aelwydydd'!E11-'Amcanestyniadau Aelwydydd'!D11,0)</f>
        <v>3966.1220855712891</v>
      </c>
      <c r="E16" s="276">
        <f>MAX('Amcanestyniadau Aelwydydd'!F11-'Amcanestyniadau Aelwydydd'!E11,0)</f>
        <v>4045.4767112731934</v>
      </c>
      <c r="F16" s="276">
        <f>MAX('Amcanestyniadau Aelwydydd'!G11-'Amcanestyniadau Aelwydydd'!F11,0)</f>
        <v>4373.3108024597168</v>
      </c>
      <c r="G16" s="276">
        <f>MAX('Amcanestyniadau Aelwydydd'!H11-'Amcanestyniadau Aelwydydd'!G11,0)</f>
        <v>4274.481616973877</v>
      </c>
      <c r="H16" s="277">
        <f>MAX('Amcanestyniadau Aelwydydd'!I11-'Amcanestyniadau Aelwydydd'!H11,0)</f>
        <v>4282.0295867919922</v>
      </c>
      <c r="J16" s="290"/>
    </row>
    <row r="17" spans="2:10" x14ac:dyDescent="0.35">
      <c r="B17" s="403" t="s">
        <v>376</v>
      </c>
      <c r="C17" s="302" t="str">
        <f t="shared" si="0"/>
        <v>Cymru</v>
      </c>
      <c r="D17" s="400">
        <f>MAX('Amcanestyniadau Aelwydydd'!E12-'Amcanestyniadau Aelwydydd'!D12,0)</f>
        <v>6618.5188827514648</v>
      </c>
      <c r="E17" s="400">
        <f>MAX('Amcanestyniadau Aelwydydd'!F12-'Amcanestyniadau Aelwydydd'!E12,0)</f>
        <v>6898.6893310546875</v>
      </c>
      <c r="F17" s="400">
        <f>MAX('Amcanestyniadau Aelwydydd'!G12-'Amcanestyniadau Aelwydydd'!F12,0)</f>
        <v>7551.3301582336426</v>
      </c>
      <c r="G17" s="400">
        <f>MAX('Amcanestyniadau Aelwydydd'!H12-'Amcanestyniadau Aelwydydd'!G12,0)</f>
        <v>7435.2117729187012</v>
      </c>
      <c r="H17" s="333">
        <f>MAX('Amcanestyniadau Aelwydydd'!I12-'Amcanestyniadau Aelwydydd'!H12,0)</f>
        <v>7442.9015979766846</v>
      </c>
      <c r="J17" s="290"/>
    </row>
    <row r="18" spans="2:10" x14ac:dyDescent="0.35">
      <c r="B18" s="401" t="s">
        <v>377</v>
      </c>
      <c r="C18" s="300" t="str">
        <f>C13</f>
        <v>Gogledd Cymru</v>
      </c>
      <c r="D18" s="288">
        <f>MAX('Amcanestyniadau Aelwydydd'!E13-'Amcanestyniadau Aelwydydd'!D13,0)</f>
        <v>732.22428131103516</v>
      </c>
      <c r="E18" s="288">
        <f>MAX('Amcanestyniadau Aelwydydd'!F13-'Amcanestyniadau Aelwydydd'!E13,0)</f>
        <v>737.00066375732422</v>
      </c>
      <c r="F18" s="288">
        <f>MAX('Amcanestyniadau Aelwydydd'!G13-'Amcanestyniadau Aelwydydd'!F13,0)</f>
        <v>791.11615753173828</v>
      </c>
      <c r="G18" s="288">
        <f>MAX('Amcanestyniadau Aelwydydd'!H13-'Amcanestyniadau Aelwydydd'!G13,0)</f>
        <v>679.25917053222656</v>
      </c>
      <c r="H18" s="289">
        <f>MAX('Amcanestyniadau Aelwydydd'!I13-'Amcanestyniadau Aelwydydd'!H13,0)</f>
        <v>618.86219787597656</v>
      </c>
      <c r="J18" s="290"/>
    </row>
    <row r="19" spans="2:10" x14ac:dyDescent="0.35">
      <c r="B19" s="402" t="s">
        <v>377</v>
      </c>
      <c r="C19" s="301" t="str">
        <f t="shared" si="0"/>
        <v>Canolbarth Cymru</v>
      </c>
      <c r="D19" s="276">
        <f>MAX('Amcanestyniadau Aelwydydd'!E14-'Amcanestyniadau Aelwydydd'!D14,0)</f>
        <v>0</v>
      </c>
      <c r="E19" s="276">
        <f>MAX('Amcanestyniadau Aelwydydd'!F14-'Amcanestyniadau Aelwydydd'!E14,0)</f>
        <v>0</v>
      </c>
      <c r="F19" s="276">
        <f>MAX('Amcanestyniadau Aelwydydd'!G14-'Amcanestyniadau Aelwydydd'!F14,0)</f>
        <v>13.099155426025391</v>
      </c>
      <c r="G19" s="276">
        <f>MAX('Amcanestyniadau Aelwydydd'!H14-'Amcanestyniadau Aelwydydd'!G14,0)</f>
        <v>22.661361694335938</v>
      </c>
      <c r="H19" s="277">
        <f>MAX('Amcanestyniadau Aelwydydd'!I14-'Amcanestyniadau Aelwydydd'!H14,0)</f>
        <v>46.062688827514648</v>
      </c>
      <c r="J19" s="290"/>
    </row>
    <row r="20" spans="2:10" x14ac:dyDescent="0.35">
      <c r="B20" s="402" t="s">
        <v>377</v>
      </c>
      <c r="C20" s="301" t="str">
        <f t="shared" si="0"/>
        <v>De-orllewin Cymru</v>
      </c>
      <c r="D20" s="276">
        <f>MAX('Amcanestyniadau Aelwydydd'!E15-'Amcanestyniadau Aelwydydd'!D15,0)</f>
        <v>1178.5783843994141</v>
      </c>
      <c r="E20" s="276">
        <f>MAX('Amcanestyniadau Aelwydydd'!F15-'Amcanestyniadau Aelwydydd'!E15,0)</f>
        <v>1195.0017547607422</v>
      </c>
      <c r="F20" s="276">
        <f>MAX('Amcanestyniadau Aelwydydd'!G15-'Amcanestyniadau Aelwydydd'!F15,0)</f>
        <v>1275.0178833007813</v>
      </c>
      <c r="G20" s="276">
        <f>MAX('Amcanestyniadau Aelwydydd'!H15-'Amcanestyniadau Aelwydydd'!G15,0)</f>
        <v>1202.083740234375</v>
      </c>
      <c r="H20" s="277">
        <f>MAX('Amcanestyniadau Aelwydydd'!I15-'Amcanestyniadau Aelwydydd'!H15,0)</f>
        <v>1091.0773315429688</v>
      </c>
      <c r="J20" s="290"/>
    </row>
    <row r="21" spans="2:10" x14ac:dyDescent="0.35">
      <c r="B21" s="402" t="s">
        <v>377</v>
      </c>
      <c r="C21" s="301" t="str">
        <f t="shared" si="0"/>
        <v>De-ddwyrain Cymru</v>
      </c>
      <c r="D21" s="276">
        <f>MAX('Amcanestyniadau Aelwydydd'!E16-'Amcanestyniadau Aelwydydd'!D16,0)</f>
        <v>3244.5623588562012</v>
      </c>
      <c r="E21" s="276">
        <f>MAX('Amcanestyniadau Aelwydydd'!F16-'Amcanestyniadau Aelwydydd'!E16,0)</f>
        <v>3138.6326942443848</v>
      </c>
      <c r="F21" s="276">
        <f>MAX('Amcanestyniadau Aelwydydd'!G16-'Amcanestyniadau Aelwydydd'!F16,0)</f>
        <v>3272.7821846008301</v>
      </c>
      <c r="G21" s="276">
        <f>MAX('Amcanestyniadau Aelwydydd'!H16-'Amcanestyniadau Aelwydydd'!G16,0)</f>
        <v>2996.2836418151855</v>
      </c>
      <c r="H21" s="277">
        <f>MAX('Amcanestyniadau Aelwydydd'!I16-'Amcanestyniadau Aelwydydd'!H16,0)</f>
        <v>2839.5132141113281</v>
      </c>
      <c r="J21" s="290"/>
    </row>
    <row r="22" spans="2:10" x14ac:dyDescent="0.35">
      <c r="B22" s="402" t="s">
        <v>377</v>
      </c>
      <c r="C22" s="301" t="str">
        <f t="shared" si="0"/>
        <v>Cymru</v>
      </c>
      <c r="D22" s="276">
        <f>MAX('Amcanestyniadau Aelwydydd'!E17-'Amcanestyniadau Aelwydydd'!D17,0)</f>
        <v>5128.1025505065918</v>
      </c>
      <c r="E22" s="276">
        <f>MAX('Amcanestyniadau Aelwydydd'!F17-'Amcanestyniadau Aelwydydd'!E17,0)</f>
        <v>5063.0682144165039</v>
      </c>
      <c r="F22" s="276">
        <f>MAX('Amcanestyniadau Aelwydydd'!G17-'Amcanestyniadau Aelwydydd'!F17,0)</f>
        <v>5352.015380859375</v>
      </c>
      <c r="G22" s="276">
        <f>MAX('Amcanestyniadau Aelwydydd'!H17-'Amcanestyniadau Aelwydydd'!G17,0)</f>
        <v>4900.287914276123</v>
      </c>
      <c r="H22" s="277">
        <f>MAX('Amcanestyniadau Aelwydydd'!I17-'Amcanestyniadau Aelwydydd'!H17,0)</f>
        <v>4595.5154323577881</v>
      </c>
      <c r="J22" s="290">
        <f>SUM(D22:H22)+'Amcanestyniadau Aelwydydd'!D17-'Amcanestyniadau Aelwydydd'!I17</f>
        <v>0</v>
      </c>
    </row>
    <row r="23" spans="2:10" x14ac:dyDescent="0.35">
      <c r="B23" s="404" t="s">
        <v>378</v>
      </c>
      <c r="C23" s="300" t="str">
        <f>C18</f>
        <v>Gogledd Cymru</v>
      </c>
      <c r="D23" s="288">
        <f>MAX('Amcanestyniadau Aelwydydd'!E18-'Amcanestyniadau Aelwydydd'!D18,0)</f>
        <v>0</v>
      </c>
      <c r="E23" s="288">
        <f>MAX('Amcanestyniadau Aelwydydd'!F18-'Amcanestyniadau Aelwydydd'!E18,0)</f>
        <v>0</v>
      </c>
      <c r="F23" s="288">
        <f>MAX('Amcanestyniadau Aelwydydd'!G18-'Amcanestyniadau Aelwydydd'!F18,0)</f>
        <v>0</v>
      </c>
      <c r="G23" s="288">
        <f>MAX('Amcanestyniadau Aelwydydd'!H18-'Amcanestyniadau Aelwydydd'!G18,0)</f>
        <v>0</v>
      </c>
      <c r="H23" s="289">
        <f>MAX('Amcanestyniadau Aelwydydd'!I18-'Amcanestyniadau Aelwydydd'!H18,0)</f>
        <v>0</v>
      </c>
      <c r="J23" s="290"/>
    </row>
    <row r="24" spans="2:10" x14ac:dyDescent="0.35">
      <c r="B24" s="405" t="s">
        <v>378</v>
      </c>
      <c r="C24" s="301" t="str">
        <f t="shared" ref="C24:C27" si="1">C19</f>
        <v>Canolbarth Cymru</v>
      </c>
      <c r="D24" s="276">
        <f>MAX('Amcanestyniadau Aelwydydd'!E19-'Amcanestyniadau Aelwydydd'!D19,0)</f>
        <v>0</v>
      </c>
      <c r="E24" s="276">
        <f>MAX('Amcanestyniadau Aelwydydd'!F19-'Amcanestyniadau Aelwydydd'!E19,0)</f>
        <v>0</v>
      </c>
      <c r="F24" s="276">
        <f>MAX('Amcanestyniadau Aelwydydd'!G19-'Amcanestyniadau Aelwydydd'!F19,0)</f>
        <v>0</v>
      </c>
      <c r="G24" s="276">
        <f>MAX('Amcanestyniadau Aelwydydd'!H19-'Amcanestyniadau Aelwydydd'!G19,0)</f>
        <v>0</v>
      </c>
      <c r="H24" s="277">
        <f>MAX('Amcanestyniadau Aelwydydd'!I19-'Amcanestyniadau Aelwydydd'!H19,0)</f>
        <v>0</v>
      </c>
      <c r="J24" s="290"/>
    </row>
    <row r="25" spans="2:10" x14ac:dyDescent="0.35">
      <c r="B25" s="405" t="s">
        <v>378</v>
      </c>
      <c r="C25" s="301" t="str">
        <f t="shared" si="1"/>
        <v>De-orllewin Cymru</v>
      </c>
      <c r="D25" s="276">
        <f>MAX('Amcanestyniadau Aelwydydd'!E20-'Amcanestyniadau Aelwydydd'!D20,0)</f>
        <v>0</v>
      </c>
      <c r="E25" s="276">
        <f>MAX('Amcanestyniadau Aelwydydd'!F20-'Amcanestyniadau Aelwydydd'!E20,0)</f>
        <v>0</v>
      </c>
      <c r="F25" s="276">
        <f>MAX('Amcanestyniadau Aelwydydd'!G20-'Amcanestyniadau Aelwydydd'!F20,0)</f>
        <v>0</v>
      </c>
      <c r="G25" s="276">
        <f>MAX('Amcanestyniadau Aelwydydd'!H20-'Amcanestyniadau Aelwydydd'!G20,0)</f>
        <v>0</v>
      </c>
      <c r="H25" s="277">
        <f>MAX('Amcanestyniadau Aelwydydd'!I20-'Amcanestyniadau Aelwydydd'!H20,0)</f>
        <v>0</v>
      </c>
      <c r="J25" s="290"/>
    </row>
    <row r="26" spans="2:10" x14ac:dyDescent="0.35">
      <c r="B26" s="405" t="s">
        <v>378</v>
      </c>
      <c r="C26" s="301" t="str">
        <f t="shared" si="1"/>
        <v>De-ddwyrain Cymru</v>
      </c>
      <c r="D26" s="276">
        <f>MAX('Amcanestyniadau Aelwydydd'!E21-'Amcanestyniadau Aelwydydd'!D21,0)</f>
        <v>0</v>
      </c>
      <c r="E26" s="276">
        <f>MAX('Amcanestyniadau Aelwydydd'!F21-'Amcanestyniadau Aelwydydd'!E21,0)</f>
        <v>0</v>
      </c>
      <c r="F26" s="276">
        <f>MAX('Amcanestyniadau Aelwydydd'!G21-'Amcanestyniadau Aelwydydd'!F21,0)</f>
        <v>0</v>
      </c>
      <c r="G26" s="276">
        <f>MAX('Amcanestyniadau Aelwydydd'!H21-'Amcanestyniadau Aelwydydd'!G21,0)</f>
        <v>0</v>
      </c>
      <c r="H26" s="277">
        <f>MAX('Amcanestyniadau Aelwydydd'!I21-'Amcanestyniadau Aelwydydd'!H21,0)</f>
        <v>0</v>
      </c>
      <c r="J26" s="290"/>
    </row>
    <row r="27" spans="2:10" x14ac:dyDescent="0.35">
      <c r="B27" s="406" t="s">
        <v>378</v>
      </c>
      <c r="C27" s="302" t="str">
        <f t="shared" si="1"/>
        <v>Cymru</v>
      </c>
      <c r="D27" s="331">
        <f>SUM(D23:D26)</f>
        <v>0</v>
      </c>
      <c r="E27" s="331">
        <f t="shared" ref="E27:H27" si="2">SUM(E23:E26)</f>
        <v>0</v>
      </c>
      <c r="F27" s="331">
        <f t="shared" si="2"/>
        <v>0</v>
      </c>
      <c r="G27" s="331">
        <f t="shared" si="2"/>
        <v>0</v>
      </c>
      <c r="H27" s="331">
        <f t="shared" si="2"/>
        <v>0</v>
      </c>
      <c r="J27" s="290"/>
    </row>
    <row r="29" spans="2:10" ht="60" customHeight="1" x14ac:dyDescent="0.35">
      <c r="B29" s="535" t="s">
        <v>390</v>
      </c>
      <c r="C29" s="535"/>
      <c r="D29" s="535"/>
      <c r="E29" s="535"/>
      <c r="F29" s="535"/>
      <c r="G29" s="535"/>
      <c r="H29" s="535"/>
    </row>
    <row r="30" spans="2:10" x14ac:dyDescent="0.35">
      <c r="B30" s="256"/>
    </row>
  </sheetData>
  <mergeCells count="2">
    <mergeCell ref="B2:G5"/>
    <mergeCell ref="B29:H29"/>
  </mergeCells>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2:H29"/>
  <sheetViews>
    <sheetView showGridLines="0" zoomScale="60" zoomScaleNormal="60" workbookViewId="0">
      <selection activeCell="C33" sqref="C33"/>
    </sheetView>
  </sheetViews>
  <sheetFormatPr defaultColWidth="9.1796875" defaultRowHeight="14.5" x14ac:dyDescent="0.35"/>
  <cols>
    <col min="1" max="1" width="3.26953125" style="1" customWidth="1"/>
    <col min="2" max="2" width="38.36328125" style="1" customWidth="1"/>
    <col min="3" max="3" width="24" style="1" customWidth="1"/>
    <col min="4" max="4" width="28.81640625" style="1" bestFit="1" customWidth="1"/>
    <col min="5" max="5" width="30.7265625" style="1" bestFit="1" customWidth="1"/>
    <col min="6" max="6" width="11.453125" style="1" customWidth="1"/>
    <col min="7" max="16384" width="9.1796875" style="1"/>
  </cols>
  <sheetData>
    <row r="2" spans="2:8" x14ac:dyDescent="0.35">
      <c r="B2" s="536" t="s">
        <v>164</v>
      </c>
      <c r="C2" s="537"/>
      <c r="D2" s="537"/>
      <c r="E2" s="537"/>
      <c r="F2" s="537"/>
      <c r="G2" s="537"/>
      <c r="H2" s="538"/>
    </row>
    <row r="3" spans="2:8" x14ac:dyDescent="0.35">
      <c r="B3" s="539"/>
      <c r="C3" s="540"/>
      <c r="D3" s="540"/>
      <c r="E3" s="540"/>
      <c r="F3" s="540"/>
      <c r="G3" s="540"/>
      <c r="H3" s="541"/>
    </row>
    <row r="4" spans="2:8" x14ac:dyDescent="0.35">
      <c r="B4" s="539"/>
      <c r="C4" s="540"/>
      <c r="D4" s="540"/>
      <c r="E4" s="540"/>
      <c r="F4" s="540"/>
      <c r="G4" s="540"/>
      <c r="H4" s="541"/>
    </row>
    <row r="5" spans="2:8" x14ac:dyDescent="0.35">
      <c r="B5" s="542"/>
      <c r="C5" s="543"/>
      <c r="D5" s="543"/>
      <c r="E5" s="543"/>
      <c r="F5" s="543"/>
      <c r="G5" s="543"/>
      <c r="H5" s="544"/>
    </row>
    <row r="6" spans="2:8" ht="18.5" x14ac:dyDescent="0.45">
      <c r="B6" s="9" t="s">
        <v>165</v>
      </c>
    </row>
    <row r="7" spans="2:8" ht="15.5" x14ac:dyDescent="0.35">
      <c r="B7" s="8" t="s">
        <v>166</v>
      </c>
    </row>
    <row r="8" spans="2:8" s="25" customFormat="1" ht="31.5" customHeight="1" x14ac:dyDescent="0.35">
      <c r="B8" s="26" t="s">
        <v>167</v>
      </c>
      <c r="C8" s="27" t="s">
        <v>168</v>
      </c>
      <c r="D8" s="29" t="s">
        <v>370</v>
      </c>
      <c r="E8" s="30" t="s">
        <v>371</v>
      </c>
    </row>
    <row r="9" spans="2:8" x14ac:dyDescent="0.35">
      <c r="B9" s="15" t="s">
        <v>169</v>
      </c>
      <c r="C9" s="242">
        <f>D9+E9</f>
        <v>1284</v>
      </c>
      <c r="D9" s="343">
        <v>735</v>
      </c>
      <c r="E9" s="344">
        <v>549</v>
      </c>
    </row>
    <row r="10" spans="2:8" x14ac:dyDescent="0.35">
      <c r="B10" s="15" t="s">
        <v>170</v>
      </c>
      <c r="C10" s="243">
        <f t="shared" ref="C10:C13" si="0">D10+E10</f>
        <v>251</v>
      </c>
      <c r="D10" s="345">
        <v>167</v>
      </c>
      <c r="E10" s="346">
        <v>84</v>
      </c>
    </row>
    <row r="11" spans="2:8" x14ac:dyDescent="0.35">
      <c r="B11" s="15" t="s">
        <v>171</v>
      </c>
      <c r="C11" s="243">
        <f t="shared" si="0"/>
        <v>938</v>
      </c>
      <c r="D11" s="345">
        <v>695</v>
      </c>
      <c r="E11" s="346">
        <v>243</v>
      </c>
    </row>
    <row r="12" spans="2:8" x14ac:dyDescent="0.35">
      <c r="B12" s="15" t="s">
        <v>172</v>
      </c>
      <c r="C12" s="243">
        <f t="shared" si="0"/>
        <v>3253</v>
      </c>
      <c r="D12" s="347">
        <v>1906</v>
      </c>
      <c r="E12" s="348">
        <v>1347</v>
      </c>
    </row>
    <row r="13" spans="2:8" x14ac:dyDescent="0.35">
      <c r="B13" s="18" t="s">
        <v>140</v>
      </c>
      <c r="C13" s="244">
        <f t="shared" si="0"/>
        <v>5732</v>
      </c>
      <c r="D13" s="349">
        <v>3503</v>
      </c>
      <c r="E13" s="350">
        <v>2229</v>
      </c>
    </row>
    <row r="14" spans="2:8" x14ac:dyDescent="0.35">
      <c r="B14" s="11"/>
      <c r="C14" s="32"/>
      <c r="D14" s="33"/>
      <c r="E14" s="396" t="s">
        <v>389</v>
      </c>
    </row>
    <row r="15" spans="2:8" x14ac:dyDescent="0.35">
      <c r="B15" s="11"/>
      <c r="C15" s="32"/>
      <c r="D15" s="33"/>
      <c r="E15" s="396"/>
    </row>
    <row r="16" spans="2:8" x14ac:dyDescent="0.35">
      <c r="B16" s="34" t="s">
        <v>173</v>
      </c>
      <c r="C16" s="245">
        <v>5</v>
      </c>
      <c r="D16" s="33"/>
      <c r="E16" s="33"/>
    </row>
    <row r="18" spans="2:4" ht="15.5" x14ac:dyDescent="0.35">
      <c r="B18" s="8" t="s">
        <v>174</v>
      </c>
    </row>
    <row r="19" spans="2:4" s="31" customFormat="1" ht="31.5" customHeight="1" x14ac:dyDescent="0.35">
      <c r="B19" s="139" t="s">
        <v>167</v>
      </c>
      <c r="C19" s="140" t="s">
        <v>168</v>
      </c>
    </row>
    <row r="20" spans="2:4" x14ac:dyDescent="0.35">
      <c r="B20" s="141" t="s">
        <v>169</v>
      </c>
      <c r="C20" s="198"/>
      <c r="D20" s="10" t="str">
        <f>IF(AND('Rhaniad y Ddeiliadaeth (Gog)'!$D$7="Other",ISBLANK(C20)),"&lt;&lt; Rhowch y data yma","")</f>
        <v/>
      </c>
    </row>
    <row r="21" spans="2:4" x14ac:dyDescent="0.35">
      <c r="B21" s="141" t="s">
        <v>170</v>
      </c>
      <c r="C21" s="198"/>
      <c r="D21" s="10" t="str">
        <f>IF(AND('Rhaniad y Ddeiliadaeth (Gog)'!$D$7="Other",ISBLANK(C21)),"&lt;&lt; Rhowch y data yma","")</f>
        <v/>
      </c>
    </row>
    <row r="22" spans="2:4" x14ac:dyDescent="0.35">
      <c r="B22" s="141" t="s">
        <v>171</v>
      </c>
      <c r="C22" s="198"/>
      <c r="D22" s="10" t="str">
        <f>IF(AND('Rhaniad y Ddeiliadaeth (Gog)'!$D$7="Other",ISBLANK(C22)),"&lt;&lt; Rhowch y data yma","")</f>
        <v/>
      </c>
    </row>
    <row r="23" spans="2:4" x14ac:dyDescent="0.35">
      <c r="B23" s="141" t="s">
        <v>172</v>
      </c>
      <c r="C23" s="198"/>
      <c r="D23" s="10" t="str">
        <f>IF(AND('Rhaniad y Ddeiliadaeth (Gog)'!$D$7="Other",ISBLANK(C23)),"&lt;&lt; Rhowch y data yma","")</f>
        <v/>
      </c>
    </row>
    <row r="24" spans="2:4" x14ac:dyDescent="0.35">
      <c r="B24" s="142" t="s">
        <v>267</v>
      </c>
      <c r="C24" s="199"/>
      <c r="D24" s="10" t="str">
        <f>IF(AND('Rhaniad y Ddeiliadaeth (Gog)'!$D$7="Other",ISBLANK(C24)),"&lt;&lt; Rhowch y data yma","")</f>
        <v/>
      </c>
    </row>
    <row r="25" spans="2:4" x14ac:dyDescent="0.35">
      <c r="B25" s="24"/>
      <c r="C25" s="24"/>
      <c r="D25" s="10"/>
    </row>
    <row r="27" spans="2:4" x14ac:dyDescent="0.35">
      <c r="B27" s="138" t="s">
        <v>173</v>
      </c>
      <c r="C27" s="200"/>
      <c r="D27" s="10" t="str">
        <f>IF(OR('Rhaniad y Ddeiliadaeth (Cymru)'!F12='Rhaniad y Ddeiliadaeth (Cymru)'!$B$194,'Rhaniad y Ddeiliadaeth (Cymru)'!F12='Rhaniad y Ddeiliadaeth (Cymru)'!$B$195,'Rhaniad y Ddeiliadaeth (Cymru)'!F12='Rhaniad y Ddeiliadaeth (Cymru)'!$B$196),"","&lt;&lt; Rhowch y data yma")</f>
        <v/>
      </c>
    </row>
    <row r="29" spans="2:4" x14ac:dyDescent="0.35">
      <c r="B29" s="246" t="s">
        <v>266</v>
      </c>
      <c r="C29" s="1">
        <f>IF('Rhaniad y Ddeiliadaeth (Cymru)'!D12="Wedi'i ragosod",C16,C27)</f>
        <v>5</v>
      </c>
    </row>
  </sheetData>
  <mergeCells count="1">
    <mergeCell ref="B2:H5"/>
  </mergeCells>
  <dataValidations count="2">
    <dataValidation type="whole" operator="greaterThan" allowBlank="1" showInputMessage="1" showErrorMessage="1" sqref="C27">
      <formula1>0</formula1>
    </dataValidation>
    <dataValidation type="whole" operator="greaterThanOrEqual" allowBlank="1" showInputMessage="1" showErrorMessage="1" sqref="C20:C24">
      <formula1>0</formula1>
    </dataValidation>
  </dataValidations>
  <pageMargins left="0.7" right="0.7" top="0.75" bottom="0.75" header="0.3" footer="0.3"/>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2:M29"/>
  <sheetViews>
    <sheetView showGridLines="0" zoomScale="60" zoomScaleNormal="60" workbookViewId="0">
      <selection activeCell="E27" sqref="E27"/>
    </sheetView>
  </sheetViews>
  <sheetFormatPr defaultRowHeight="14.5" x14ac:dyDescent="0.35"/>
  <cols>
    <col min="1" max="1" width="1.7265625" customWidth="1"/>
    <col min="2" max="2" width="20" customWidth="1"/>
    <col min="3" max="3" width="20.7265625" customWidth="1"/>
    <col min="4" max="4" width="9.1796875" style="43"/>
    <col min="5" max="5" width="50.08984375" customWidth="1"/>
    <col min="12" max="12" width="13.26953125" customWidth="1"/>
  </cols>
  <sheetData>
    <row r="2" spans="2:12" ht="15" customHeight="1" x14ac:dyDescent="0.35">
      <c r="B2" s="536" t="s">
        <v>156</v>
      </c>
      <c r="C2" s="537"/>
      <c r="D2" s="537"/>
      <c r="E2" s="537"/>
      <c r="F2" s="537"/>
      <c r="G2" s="537"/>
      <c r="H2" s="537"/>
      <c r="I2" s="538"/>
    </row>
    <row r="3" spans="2:12" s="1" customFormat="1" x14ac:dyDescent="0.35">
      <c r="B3" s="539"/>
      <c r="C3" s="540"/>
      <c r="D3" s="540"/>
      <c r="E3" s="540"/>
      <c r="F3" s="540"/>
      <c r="G3" s="540"/>
      <c r="H3" s="540"/>
      <c r="I3" s="541"/>
    </row>
    <row r="4" spans="2:12" s="1" customFormat="1" x14ac:dyDescent="0.35">
      <c r="B4" s="539"/>
      <c r="C4" s="540"/>
      <c r="D4" s="540"/>
      <c r="E4" s="540"/>
      <c r="F4" s="540"/>
      <c r="G4" s="540"/>
      <c r="H4" s="540"/>
      <c r="I4" s="541"/>
    </row>
    <row r="5" spans="2:12" s="1" customFormat="1" x14ac:dyDescent="0.35">
      <c r="B5" s="542"/>
      <c r="C5" s="543"/>
      <c r="D5" s="543"/>
      <c r="E5" s="543"/>
      <c r="F5" s="543"/>
      <c r="G5" s="543"/>
      <c r="H5" s="543"/>
      <c r="I5" s="544"/>
    </row>
    <row r="6" spans="2:12" s="1" customFormat="1" x14ac:dyDescent="0.35">
      <c r="D6" s="43"/>
    </row>
    <row r="7" spans="2:12" ht="16.5" customHeight="1" x14ac:dyDescent="0.35">
      <c r="B7" s="545" t="s">
        <v>157</v>
      </c>
      <c r="C7" s="217" t="s">
        <v>70</v>
      </c>
      <c r="D7" s="14"/>
      <c r="E7" s="214"/>
    </row>
    <row r="8" spans="2:12" ht="30" customHeight="1" x14ac:dyDescent="0.35">
      <c r="B8" s="546"/>
      <c r="C8" s="15" t="s">
        <v>159</v>
      </c>
      <c r="D8" s="268">
        <v>0.3</v>
      </c>
      <c r="E8" s="28"/>
    </row>
    <row r="9" spans="2:12" ht="27.5" customHeight="1" x14ac:dyDescent="0.35">
      <c r="B9" s="547"/>
      <c r="C9" s="145" t="s">
        <v>162</v>
      </c>
      <c r="D9" s="215"/>
      <c r="E9" s="216" t="str">
        <f>IF(OR('Rhaniad y Ddeiliadaeth (Cymru)'!F11='Rhaniad y Ddeiliadaeth (Cymru)'!$B$194,'Rhaniad y Ddeiliadaeth (Cymru)'!F11='Rhaniad y Ddeiliadaeth (Cymru)'!$B$195,'Rhaniad y Ddeiliadaeth (Cymru)'!F11='Rhaniad y Ddeiliadaeth (Cymru)'!$B$196),"","&lt;&lt; Rhowch y data yma")</f>
        <v/>
      </c>
    </row>
    <row r="10" spans="2:12" ht="15.5" x14ac:dyDescent="0.35">
      <c r="B10" s="548" t="s">
        <v>158</v>
      </c>
      <c r="C10" s="217" t="s">
        <v>346</v>
      </c>
      <c r="D10" s="14"/>
      <c r="E10" s="214"/>
    </row>
    <row r="11" spans="2:12" ht="15" customHeight="1" x14ac:dyDescent="0.35">
      <c r="B11" s="549"/>
      <c r="C11" s="15" t="s">
        <v>159</v>
      </c>
      <c r="D11" s="361">
        <v>4.03</v>
      </c>
      <c r="E11" s="299"/>
    </row>
    <row r="12" spans="2:12" x14ac:dyDescent="0.35">
      <c r="B12" s="549"/>
      <c r="C12" s="145" t="s">
        <v>162</v>
      </c>
      <c r="D12" s="191"/>
      <c r="E12" s="216" t="str">
        <f>IF(OR('Rhaniad y Ddeiliadaeth (Cymru)'!F20='Rhaniad y Ddeiliadaeth (Cymru)'!$B$194,'Rhaniad y Ddeiliadaeth (Cymru)'!F20='Rhaniad y Ddeiliadaeth (Cymru)'!$B$195,'Rhaniad y Ddeiliadaeth (Cymru)'!F20='Rhaniad y Ddeiliadaeth (Cymru)'!$B$196),"","&lt;&lt; Rhowch y data yma")</f>
        <v/>
      </c>
    </row>
    <row r="13" spans="2:12" ht="15.5" x14ac:dyDescent="0.35">
      <c r="B13" s="549"/>
      <c r="C13" s="218" t="s">
        <v>93</v>
      </c>
      <c r="D13" s="14"/>
      <c r="E13" s="214"/>
    </row>
    <row r="14" spans="2:12" x14ac:dyDescent="0.35">
      <c r="B14" s="549"/>
      <c r="C14" s="15" t="s">
        <v>160</v>
      </c>
      <c r="D14" s="256">
        <v>25</v>
      </c>
      <c r="E14" s="28"/>
      <c r="F14" s="11"/>
      <c r="G14" s="11"/>
      <c r="H14" s="11"/>
      <c r="I14" s="11"/>
      <c r="J14" s="11"/>
      <c r="K14" s="11"/>
      <c r="L14" s="11"/>
    </row>
    <row r="15" spans="2:12" x14ac:dyDescent="0.35">
      <c r="B15" s="549"/>
      <c r="C15" s="15" t="s">
        <v>161</v>
      </c>
      <c r="D15" s="256">
        <v>40</v>
      </c>
      <c r="E15" s="28"/>
      <c r="F15" s="11"/>
      <c r="G15" s="351"/>
      <c r="H15" s="11"/>
      <c r="I15" s="11"/>
      <c r="J15" s="11"/>
      <c r="K15" s="11"/>
      <c r="L15" s="11"/>
    </row>
    <row r="16" spans="2:12" x14ac:dyDescent="0.35">
      <c r="B16" s="549"/>
      <c r="C16" s="145" t="s">
        <v>162</v>
      </c>
      <c r="D16" s="191"/>
      <c r="E16" s="216" t="str">
        <f>IF(OR('Rhaniad y Ddeiliadaeth (Cymru)'!F21='Rhaniad y Ddeiliadaeth (Cymru)'!$B$194,'Rhaniad y Ddeiliadaeth (Cymru)'!F21='Rhaniad y Ddeiliadaeth (Cymru)'!$B$195,'Rhaniad y Ddeiliadaeth (Cymru)'!F21='Rhaniad y Ddeiliadaeth (Cymru)'!$B$196),"","&lt;&lt; Rhowch y data yma")</f>
        <v/>
      </c>
      <c r="F16" s="11"/>
      <c r="G16" s="11"/>
      <c r="H16" s="11"/>
      <c r="I16" s="11"/>
      <c r="J16" s="11"/>
      <c r="K16" s="11"/>
      <c r="L16" s="11"/>
    </row>
    <row r="17" spans="2:13" ht="15.5" x14ac:dyDescent="0.35">
      <c r="B17" s="549"/>
      <c r="C17" s="217" t="s">
        <v>163</v>
      </c>
      <c r="D17" s="14"/>
      <c r="E17" s="214"/>
      <c r="F17" s="11"/>
      <c r="G17" s="11"/>
      <c r="H17" s="11"/>
      <c r="I17" s="11"/>
      <c r="J17" s="11"/>
      <c r="K17" s="11"/>
      <c r="L17" s="352"/>
    </row>
    <row r="18" spans="2:13" x14ac:dyDescent="0.35">
      <c r="B18" s="549"/>
      <c r="C18" s="145" t="s">
        <v>162</v>
      </c>
      <c r="D18" s="215"/>
      <c r="E18" s="391" t="str">
        <f>IF(OR('Rhaniad y Ddeiliadaeth (Cymru)'!F22='Rhaniad y Ddeiliadaeth (Cymru)'!$B$194,'Rhaniad y Ddeiliadaeth (Cymru)'!F22='Rhaniad y Ddeiliadaeth (Cymru)'!$B$195,'Rhaniad y Ddeiliadaeth (Cymru)'!F22='Rhaniad y Ddeiliadaeth (Cymru)'!$B$196),"","&lt;&lt; Rhowch y data yma")</f>
        <v>&lt;&lt; Rhowch y data yma</v>
      </c>
      <c r="F18" s="11"/>
      <c r="G18" s="351"/>
      <c r="H18" s="11"/>
      <c r="I18" s="11"/>
      <c r="J18" s="11"/>
      <c r="K18" s="11"/>
      <c r="L18" s="11"/>
    </row>
    <row r="19" spans="2:13" ht="15.5" x14ac:dyDescent="0.35">
      <c r="B19" s="549"/>
      <c r="C19" s="217" t="s">
        <v>95</v>
      </c>
      <c r="D19" s="14"/>
      <c r="E19" s="214"/>
      <c r="F19" s="11"/>
      <c r="G19" s="11"/>
      <c r="H19" s="11"/>
      <c r="I19" s="11"/>
      <c r="J19" s="11"/>
      <c r="K19" s="11"/>
      <c r="L19" s="11"/>
    </row>
    <row r="20" spans="2:13" x14ac:dyDescent="0.35">
      <c r="B20" s="549"/>
      <c r="C20" s="15" t="s">
        <v>159</v>
      </c>
      <c r="D20" s="268">
        <v>0.35</v>
      </c>
      <c r="E20" s="28"/>
      <c r="F20" s="11"/>
      <c r="G20" s="11"/>
      <c r="H20" s="11"/>
      <c r="I20" s="11"/>
      <c r="J20" s="11"/>
      <c r="K20" s="11"/>
      <c r="L20" s="352"/>
    </row>
    <row r="21" spans="2:13" x14ac:dyDescent="0.35">
      <c r="B21" s="550"/>
      <c r="C21" s="145" t="s">
        <v>162</v>
      </c>
      <c r="D21" s="215"/>
      <c r="E21" s="216" t="str">
        <f>IF(OR('Rhaniad y Ddeiliadaeth (Cymru)'!F23='Rhaniad y Ddeiliadaeth (Cymru)'!$B$194,'Rhaniad y Ddeiliadaeth (Cymru)'!F23='Rhaniad y Ddeiliadaeth (Cymru)'!$B$195,'Rhaniad y Ddeiliadaeth (Cymru)'!F23='Rhaniad y Ddeiliadaeth (Cymru)'!$B$196),"","&lt;&lt; Rhowch y data yma")</f>
        <v/>
      </c>
      <c r="F21" s="11"/>
      <c r="G21" s="11"/>
      <c r="H21" s="11"/>
      <c r="I21" s="11"/>
      <c r="J21" s="11"/>
      <c r="K21" s="11"/>
      <c r="L21" s="11"/>
    </row>
    <row r="22" spans="2:13" x14ac:dyDescent="0.35">
      <c r="D22"/>
      <c r="E22" s="43"/>
      <c r="F22" s="11"/>
      <c r="G22" s="11"/>
      <c r="H22" s="11"/>
      <c r="I22" s="11"/>
      <c r="J22" s="11"/>
      <c r="K22" s="11"/>
      <c r="L22" s="11"/>
    </row>
    <row r="23" spans="2:13" x14ac:dyDescent="0.35">
      <c r="F23" s="312"/>
      <c r="G23" s="312"/>
      <c r="H23" s="312"/>
      <c r="I23" s="312"/>
      <c r="J23" s="312"/>
      <c r="K23" s="312"/>
      <c r="L23" s="301"/>
      <c r="M23" s="311"/>
    </row>
    <row r="24" spans="2:13" x14ac:dyDescent="0.35">
      <c r="F24" s="312"/>
      <c r="G24" s="312"/>
      <c r="H24" s="312"/>
      <c r="I24" s="312"/>
      <c r="J24" s="312"/>
      <c r="K24" s="312"/>
      <c r="L24" s="301"/>
      <c r="M24" s="311"/>
    </row>
    <row r="25" spans="2:13" x14ac:dyDescent="0.35">
      <c r="F25" s="312"/>
      <c r="G25" s="313"/>
      <c r="H25" s="312"/>
      <c r="I25" s="312"/>
      <c r="J25" s="312"/>
      <c r="K25" s="312"/>
      <c r="L25" s="301"/>
      <c r="M25" s="311"/>
    </row>
    <row r="26" spans="2:13" x14ac:dyDescent="0.35">
      <c r="F26" s="312"/>
      <c r="G26" s="312"/>
      <c r="H26" s="312"/>
      <c r="I26" s="312"/>
      <c r="J26" s="312"/>
      <c r="K26" s="312"/>
      <c r="L26" s="301"/>
      <c r="M26" s="311"/>
    </row>
    <row r="27" spans="2:13" x14ac:dyDescent="0.35">
      <c r="F27" s="312"/>
      <c r="G27" s="312"/>
      <c r="H27" s="312"/>
      <c r="I27" s="312"/>
      <c r="J27" s="312"/>
      <c r="K27" s="312"/>
      <c r="L27" s="301"/>
      <c r="M27" s="311"/>
    </row>
    <row r="28" spans="2:13" x14ac:dyDescent="0.35">
      <c r="F28" s="11"/>
      <c r="G28" s="11"/>
      <c r="H28" s="11"/>
      <c r="I28" s="11"/>
      <c r="J28" s="11"/>
      <c r="K28" s="11"/>
      <c r="L28" s="11"/>
    </row>
    <row r="29" spans="2:13" x14ac:dyDescent="0.35">
      <c r="F29" s="11"/>
      <c r="G29" s="11"/>
      <c r="H29" s="11"/>
      <c r="I29" s="11"/>
      <c r="J29" s="11"/>
      <c r="K29" s="11"/>
      <c r="L29" s="11"/>
    </row>
  </sheetData>
  <mergeCells count="3">
    <mergeCell ref="B2:I5"/>
    <mergeCell ref="B7:B9"/>
    <mergeCell ref="B10:B21"/>
  </mergeCells>
  <dataValidations count="3">
    <dataValidation type="decimal" operator="greaterThan" allowBlank="1" showInputMessage="1" showErrorMessage="1" sqref="D12">
      <formula1>0</formula1>
    </dataValidation>
    <dataValidation type="whole" allowBlank="1" showInputMessage="1" showErrorMessage="1" sqref="D16">
      <formula1>0</formula1>
      <formula2>99</formula2>
    </dataValidation>
    <dataValidation type="decimal" allowBlank="1" showInputMessage="1" showErrorMessage="1" sqref="D18 D9 D21">
      <formula1>0</formula1>
      <formula2>1</formula2>
    </dataValidation>
  </dataValidations>
  <pageMargins left="0.7" right="0.7" top="0.75" bottom="0.75" header="0.3" footer="0.3"/>
  <pageSetup paperSize="9"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V34"/>
  <sheetViews>
    <sheetView showGridLines="0" topLeftCell="B13" zoomScale="70" zoomScaleNormal="70" workbookViewId="0">
      <selection activeCell="I13" sqref="I1:I1048576"/>
    </sheetView>
  </sheetViews>
  <sheetFormatPr defaultRowHeight="14.5" x14ac:dyDescent="0.35"/>
  <cols>
    <col min="1" max="1" width="2.54296875" style="1" customWidth="1"/>
    <col min="2" max="2" width="40.81640625" customWidth="1"/>
    <col min="3" max="3" width="7.81640625" style="1" hidden="1" customWidth="1"/>
    <col min="4" max="4" width="10.81640625" bestFit="1" customWidth="1"/>
    <col min="5" max="5" width="13.81640625" customWidth="1"/>
    <col min="6" max="6" width="12.7265625" customWidth="1"/>
    <col min="7" max="7" width="12" customWidth="1"/>
    <col min="8" max="8" width="12.1796875" customWidth="1"/>
    <col min="9" max="9" width="1.90625" style="1" hidden="1" customWidth="1"/>
    <col min="10" max="10" width="3.453125" customWidth="1"/>
    <col min="11" max="11" width="8.54296875" customWidth="1"/>
  </cols>
  <sheetData>
    <row r="1" spans="2:22" s="1" customFormat="1" x14ac:dyDescent="0.35"/>
    <row r="2" spans="2:22" s="1" customFormat="1" x14ac:dyDescent="0.35">
      <c r="B2" s="536" t="s">
        <v>148</v>
      </c>
      <c r="C2" s="537"/>
      <c r="D2" s="537"/>
      <c r="E2" s="537"/>
      <c r="F2" s="537"/>
      <c r="G2" s="538"/>
    </row>
    <row r="3" spans="2:22" s="1" customFormat="1" x14ac:dyDescent="0.35">
      <c r="B3" s="539"/>
      <c r="C3" s="540"/>
      <c r="D3" s="540"/>
      <c r="E3" s="540"/>
      <c r="F3" s="540"/>
      <c r="G3" s="541"/>
    </row>
    <row r="4" spans="2:22" s="1" customFormat="1" x14ac:dyDescent="0.35">
      <c r="B4" s="539"/>
      <c r="C4" s="540"/>
      <c r="D4" s="540"/>
      <c r="E4" s="540"/>
      <c r="F4" s="540"/>
      <c r="G4" s="541"/>
    </row>
    <row r="5" spans="2:22" s="1" customFormat="1" x14ac:dyDescent="0.35">
      <c r="B5" s="542"/>
      <c r="C5" s="543"/>
      <c r="D5" s="543"/>
      <c r="E5" s="543"/>
      <c r="F5" s="543"/>
      <c r="G5" s="544"/>
    </row>
    <row r="6" spans="2:22" s="1" customFormat="1" x14ac:dyDescent="0.35"/>
    <row r="7" spans="2:22" ht="23.5" x14ac:dyDescent="0.55000000000000004">
      <c r="B7" s="265" t="s">
        <v>147</v>
      </c>
      <c r="C7" s="8"/>
      <c r="D7" s="175" t="str">
        <f>Year1</f>
        <v>2019/20</v>
      </c>
      <c r="E7" s="175" t="str">
        <f>Year2</f>
        <v>2020/21</v>
      </c>
      <c r="F7" s="175" t="str">
        <f>Year3</f>
        <v>2021/22</v>
      </c>
      <c r="G7" s="175" t="str">
        <f>Year4</f>
        <v>2022/23</v>
      </c>
      <c r="H7" s="175" t="str">
        <f>Year5</f>
        <v>2023/24</v>
      </c>
    </row>
    <row r="8" spans="2:22" s="1" customFormat="1" ht="15.5" x14ac:dyDescent="0.35">
      <c r="B8" s="266" t="s">
        <v>149</v>
      </c>
    </row>
    <row r="9" spans="2:22" x14ac:dyDescent="0.35">
      <c r="B9" s="372" t="s">
        <v>268</v>
      </c>
      <c r="D9" s="305"/>
      <c r="E9" s="305"/>
      <c r="F9" s="305"/>
      <c r="G9" s="305"/>
      <c r="H9" s="305"/>
      <c r="I9" s="318"/>
      <c r="J9" s="318"/>
      <c r="P9" s="246"/>
      <c r="Q9" s="246"/>
      <c r="R9" s="246"/>
      <c r="S9" s="246"/>
      <c r="T9" s="246"/>
      <c r="U9" s="246"/>
      <c r="V9" s="246"/>
    </row>
    <row r="10" spans="2:22" x14ac:dyDescent="0.35">
      <c r="B10" s="260" t="s">
        <v>23</v>
      </c>
      <c r="C10" s="1" t="s">
        <v>159</v>
      </c>
      <c r="D10" s="337">
        <v>2.2446185800604201E-2</v>
      </c>
      <c r="E10" s="263">
        <v>3.4273974138698815E-2</v>
      </c>
      <c r="F10" s="263">
        <v>3.4178288789832534E-2</v>
      </c>
      <c r="G10" s="263">
        <v>3.468526742495337E-2</v>
      </c>
      <c r="H10" s="263">
        <v>3.4498109627313145E-2</v>
      </c>
      <c r="I10" s="408"/>
      <c r="J10" s="318"/>
      <c r="P10" s="246"/>
      <c r="Q10" s="246"/>
      <c r="R10" s="246"/>
      <c r="S10" s="246"/>
      <c r="T10" s="246"/>
      <c r="U10" s="246"/>
      <c r="V10" s="246"/>
    </row>
    <row r="11" spans="2:22" x14ac:dyDescent="0.35">
      <c r="B11" s="267" t="s">
        <v>150</v>
      </c>
      <c r="C11" s="144" t="s">
        <v>142</v>
      </c>
      <c r="D11" s="196"/>
      <c r="E11" s="196"/>
      <c r="F11" s="196"/>
      <c r="G11" s="196"/>
      <c r="H11" s="196"/>
      <c r="I11" s="1">
        <f>COUNTA(D11:H11)</f>
        <v>0</v>
      </c>
      <c r="K11" s="10" t="str">
        <f>IF(OR('Rhaniad y Ddeiliadaeth (Cymru)'!F14='Rhaniad y Ddeiliadaeth (Cymru)'!$B$194,'Rhaniad y Ddeiliadaeth (Cymru)'!F14='Rhaniad y Ddeiliadaeth (Cymru)'!$B$195,'Rhaniad y Ddeiliadaeth (Cymru)'!F14='Rhaniad y Ddeiliadaeth (Cymru)'!$B$196),"","&lt;&lt; Rhowch eich data yma")</f>
        <v/>
      </c>
      <c r="P11" s="246"/>
      <c r="Q11" s="246"/>
      <c r="R11" s="246"/>
      <c r="S11" s="246"/>
      <c r="T11" s="246"/>
      <c r="U11" s="246"/>
      <c r="V11" s="246"/>
    </row>
    <row r="12" spans="2:22" x14ac:dyDescent="0.35">
      <c r="B12" s="260"/>
      <c r="D12" s="6"/>
      <c r="E12" s="6"/>
      <c r="F12" s="6"/>
      <c r="G12" s="6"/>
      <c r="H12" s="6"/>
    </row>
    <row r="13" spans="2:22" ht="15.5" x14ac:dyDescent="0.35">
      <c r="B13" s="266" t="s">
        <v>151</v>
      </c>
      <c r="D13" s="6"/>
      <c r="E13" s="6"/>
      <c r="F13" s="6"/>
      <c r="G13" s="6"/>
      <c r="H13" s="6"/>
    </row>
    <row r="14" spans="2:22" x14ac:dyDescent="0.35">
      <c r="B14" s="260" t="s">
        <v>155</v>
      </c>
      <c r="C14" s="1" t="s">
        <v>375</v>
      </c>
      <c r="D14" s="263">
        <v>0.01</v>
      </c>
      <c r="E14" s="263">
        <f>D14</f>
        <v>0.01</v>
      </c>
      <c r="F14" s="263">
        <f>D14</f>
        <v>0.01</v>
      </c>
      <c r="G14" s="263">
        <f>D14</f>
        <v>0.01</v>
      </c>
      <c r="H14" s="263">
        <f>D14</f>
        <v>0.01</v>
      </c>
    </row>
    <row r="15" spans="2:22" x14ac:dyDescent="0.35">
      <c r="B15" s="260" t="s">
        <v>154</v>
      </c>
      <c r="C15" s="1" t="s">
        <v>374</v>
      </c>
      <c r="D15" s="263">
        <v>0</v>
      </c>
      <c r="E15" s="263">
        <v>0</v>
      </c>
      <c r="F15" s="263">
        <v>0</v>
      </c>
      <c r="G15" s="263">
        <v>0</v>
      </c>
      <c r="H15" s="263">
        <v>0</v>
      </c>
      <c r="L15" s="212"/>
    </row>
    <row r="16" spans="2:22" x14ac:dyDescent="0.35">
      <c r="B16" s="267" t="s">
        <v>150</v>
      </c>
      <c r="C16" s="144" t="s">
        <v>142</v>
      </c>
      <c r="D16" s="196"/>
      <c r="E16" s="196"/>
      <c r="F16" s="196"/>
      <c r="G16" s="196"/>
      <c r="H16" s="196"/>
      <c r="I16" s="1">
        <f>COUNTA(D16:H16)</f>
        <v>0</v>
      </c>
      <c r="J16" s="1"/>
      <c r="K16" s="10" t="str">
        <f>IF(OR('Rhaniad y Ddeiliadaeth (Cymru)'!F15='Rhaniad y Ddeiliadaeth (Cymru)'!$B$194,'Rhaniad y Ddeiliadaeth (Cymru)'!F15='Rhaniad y Ddeiliadaeth (Cymru)'!$B$195,'Rhaniad y Ddeiliadaeth (Cymru)'!F15='Rhaniad y Ddeiliadaeth (Cymru)'!$B$196),"","&lt;&lt; Rhowch eich data yma")</f>
        <v/>
      </c>
    </row>
    <row r="17" spans="2:13" x14ac:dyDescent="0.35">
      <c r="B17" s="260"/>
      <c r="D17" s="6"/>
      <c r="E17" s="6"/>
      <c r="F17" s="6"/>
      <c r="G17" s="6"/>
      <c r="H17" s="6"/>
      <c r="K17" s="318"/>
      <c r="L17" s="334"/>
    </row>
    <row r="18" spans="2:13" ht="23.5" x14ac:dyDescent="0.55000000000000004">
      <c r="B18" s="265" t="s">
        <v>55</v>
      </c>
    </row>
    <row r="19" spans="2:13" ht="15.5" x14ac:dyDescent="0.35">
      <c r="B19" s="266" t="s">
        <v>372</v>
      </c>
      <c r="D19" s="6"/>
      <c r="E19" s="6"/>
      <c r="F19" s="6"/>
      <c r="G19" s="6"/>
      <c r="H19" s="6"/>
    </row>
    <row r="20" spans="2:13" x14ac:dyDescent="0.35">
      <c r="B20" s="372" t="s">
        <v>269</v>
      </c>
      <c r="D20" s="6"/>
      <c r="E20" s="6"/>
      <c r="F20" s="6"/>
      <c r="G20" s="6"/>
      <c r="H20" s="6"/>
    </row>
    <row r="21" spans="2:13" x14ac:dyDescent="0.35">
      <c r="B21" s="260" t="s">
        <v>24</v>
      </c>
      <c r="C21" s="1" t="s">
        <v>159</v>
      </c>
      <c r="D21" s="263">
        <v>2.95362389376672E-2</v>
      </c>
      <c r="E21" s="263">
        <v>3.06009237258206E-2</v>
      </c>
      <c r="F21" s="263">
        <v>3.1212408697362796E-2</v>
      </c>
      <c r="G21" s="263">
        <v>3.1716449662899202E-2</v>
      </c>
      <c r="H21" s="263">
        <v>3.2947319786085505E-2</v>
      </c>
      <c r="J21" s="1"/>
      <c r="M21" s="6"/>
    </row>
    <row r="22" spans="2:13" x14ac:dyDescent="0.35">
      <c r="B22" s="267" t="s">
        <v>150</v>
      </c>
      <c r="C22" s="144" t="s">
        <v>142</v>
      </c>
      <c r="D22" s="196"/>
      <c r="E22" s="196"/>
      <c r="F22" s="196"/>
      <c r="G22" s="196"/>
      <c r="H22" s="196"/>
      <c r="I22" s="1">
        <f>COUNTA(D22:H22)</f>
        <v>0</v>
      </c>
      <c r="J22" s="1"/>
      <c r="K22" s="10" t="str">
        <f>IF(OR('Rhaniad y Ddeiliadaeth (Cymru)'!F16='Rhaniad y Ddeiliadaeth (Cymru)'!$B$194,'Rhaniad y Ddeiliadaeth (Cymru)'!F16='Rhaniad y Ddeiliadaeth (Cymru)'!$B$195,'Rhaniad y Ddeiliadaeth (Cymru)'!F16='Rhaniad y Ddeiliadaeth (Cymru)'!$B$196),"","&lt;&lt;Rhowch eich data yma")</f>
        <v/>
      </c>
      <c r="M22" s="6"/>
    </row>
    <row r="23" spans="2:13" s="1" customFormat="1" x14ac:dyDescent="0.35">
      <c r="B23" s="260"/>
      <c r="D23" s="6"/>
      <c r="E23" s="6"/>
      <c r="F23" s="6"/>
      <c r="G23" s="6"/>
      <c r="H23" s="6"/>
    </row>
    <row r="24" spans="2:13" ht="23.5" x14ac:dyDescent="0.55000000000000004">
      <c r="B24" s="265" t="s">
        <v>153</v>
      </c>
      <c r="M24" s="6"/>
    </row>
    <row r="25" spans="2:13" ht="15.5" x14ac:dyDescent="0.35">
      <c r="B25" s="266" t="s">
        <v>152</v>
      </c>
      <c r="D25" s="6"/>
      <c r="E25" s="6"/>
      <c r="F25" s="6"/>
      <c r="G25" s="6"/>
      <c r="H25" s="6"/>
      <c r="I25" s="318"/>
      <c r="J25" s="318"/>
      <c r="M25" s="6"/>
    </row>
    <row r="26" spans="2:13" x14ac:dyDescent="0.35">
      <c r="B26" s="372" t="s">
        <v>270</v>
      </c>
      <c r="D26" s="264"/>
      <c r="E26" s="264"/>
      <c r="F26" s="6"/>
      <c r="G26" s="6"/>
      <c r="H26" s="6"/>
      <c r="I26" s="318"/>
      <c r="J26" s="318"/>
      <c r="M26" s="6"/>
    </row>
    <row r="27" spans="2:13" x14ac:dyDescent="0.35">
      <c r="B27" s="260" t="s">
        <v>26</v>
      </c>
      <c r="C27" s="1" t="s">
        <v>159</v>
      </c>
      <c r="D27" s="338">
        <v>4.8000000000000001E-2</v>
      </c>
      <c r="E27" s="338">
        <v>5.8299999999999998E-2</v>
      </c>
      <c r="F27" s="336">
        <v>7.0636931849950499E-2</v>
      </c>
      <c r="G27" s="336">
        <v>5.44208712629837E-2</v>
      </c>
      <c r="H27" s="336">
        <v>4.2183728416054896E-2</v>
      </c>
      <c r="I27" s="335"/>
      <c r="J27" s="335"/>
    </row>
    <row r="28" spans="2:13" x14ac:dyDescent="0.35">
      <c r="B28" s="267" t="s">
        <v>150</v>
      </c>
      <c r="C28" s="144" t="s">
        <v>142</v>
      </c>
      <c r="D28" s="196"/>
      <c r="E28" s="196"/>
      <c r="F28" s="196"/>
      <c r="G28" s="196"/>
      <c r="H28" s="196"/>
      <c r="I28" s="1">
        <f>COUNTA(D28:H28)</f>
        <v>0</v>
      </c>
      <c r="J28" s="1"/>
      <c r="K28" s="10" t="str">
        <f>IF(OR('Rhaniad y Ddeiliadaeth (Cymru)'!F25='Rhaniad y Ddeiliadaeth (Cymru)'!$B$194,'Rhaniad y Ddeiliadaeth (Cymru)'!F25='Rhaniad y Ddeiliadaeth (Cymru)'!$B$195,'Rhaniad y Ddeiliadaeth (Cymru)'!F25='Rhaniad y Ddeiliadaeth (Cymru)'!$B$196),"","&lt;&lt; Rhowch eich data yma")</f>
        <v/>
      </c>
    </row>
    <row r="29" spans="2:13" x14ac:dyDescent="0.35">
      <c r="B29" s="1"/>
      <c r="C29"/>
      <c r="D29" s="1"/>
    </row>
    <row r="30" spans="2:13" x14ac:dyDescent="0.35">
      <c r="D30" s="317"/>
      <c r="E30" s="317"/>
      <c r="F30" s="317"/>
      <c r="G30" s="317"/>
      <c r="H30" s="317"/>
    </row>
    <row r="31" spans="2:13" x14ac:dyDescent="0.35">
      <c r="D31" s="305"/>
      <c r="E31" s="305"/>
      <c r="F31" s="305"/>
      <c r="G31" s="305"/>
      <c r="H31" s="305"/>
      <c r="I31" s="318"/>
      <c r="J31" s="318"/>
    </row>
    <row r="32" spans="2:13" x14ac:dyDescent="0.35">
      <c r="B32" s="213"/>
      <c r="D32" s="305"/>
      <c r="E32" s="305"/>
      <c r="F32" s="305"/>
      <c r="G32" s="305"/>
      <c r="H32" s="305"/>
    </row>
    <row r="33" spans="4:8" x14ac:dyDescent="0.35">
      <c r="D33" s="6"/>
      <c r="E33" s="305"/>
      <c r="F33" s="305"/>
      <c r="G33" s="305"/>
      <c r="H33" s="305"/>
    </row>
    <row r="34" spans="4:8" x14ac:dyDescent="0.35">
      <c r="D34" s="6"/>
      <c r="E34" s="305"/>
      <c r="F34" s="305"/>
      <c r="G34" s="305"/>
      <c r="H34" s="305"/>
    </row>
  </sheetData>
  <mergeCells count="1">
    <mergeCell ref="B2:G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R70"/>
  <sheetViews>
    <sheetView showGridLines="0" tabSelected="1" zoomScale="60" zoomScaleNormal="60" workbookViewId="0">
      <selection activeCell="B1" sqref="B1"/>
    </sheetView>
  </sheetViews>
  <sheetFormatPr defaultColWidth="9.1796875" defaultRowHeight="14.5" x14ac:dyDescent="0.35"/>
  <cols>
    <col min="1" max="1" width="1.54296875" style="7" customWidth="1"/>
    <col min="2" max="2" width="38.08984375" style="7" customWidth="1"/>
    <col min="3" max="3" width="10.81640625" style="7" customWidth="1"/>
    <col min="4" max="16" width="9.1796875" style="7"/>
    <col min="17" max="17" width="13.26953125" style="7" customWidth="1"/>
    <col min="18" max="18" width="10.81640625" style="7" bestFit="1" customWidth="1"/>
    <col min="19" max="16384" width="9.1796875" style="7"/>
  </cols>
  <sheetData>
    <row r="1" spans="2:18" ht="23.5" x14ac:dyDescent="0.55000000000000004">
      <c r="B1" s="237" t="s">
        <v>379</v>
      </c>
    </row>
    <row r="2" spans="2:18" ht="15" customHeight="1" x14ac:dyDescent="0.35">
      <c r="C2" s="235"/>
    </row>
    <row r="3" spans="2:18" x14ac:dyDescent="0.35">
      <c r="B3" s="7" t="s">
        <v>27</v>
      </c>
      <c r="C3" s="392">
        <v>44056</v>
      </c>
      <c r="R3" s="236"/>
    </row>
    <row r="4" spans="2:18" x14ac:dyDescent="0.35">
      <c r="B4" s="7" t="s">
        <v>28</v>
      </c>
      <c r="C4" s="212" t="s">
        <v>29</v>
      </c>
    </row>
    <row r="6" spans="2:18" ht="18.5" x14ac:dyDescent="0.45">
      <c r="B6" s="9" t="s">
        <v>30</v>
      </c>
    </row>
    <row r="7" spans="2:18" ht="19.5" customHeight="1" x14ac:dyDescent="0.35">
      <c r="B7" s="426" t="s">
        <v>386</v>
      </c>
      <c r="C7" s="427"/>
      <c r="D7" s="427"/>
      <c r="E7" s="427"/>
      <c r="F7" s="427"/>
      <c r="G7" s="427"/>
      <c r="H7" s="427"/>
      <c r="I7" s="427"/>
      <c r="J7" s="427"/>
      <c r="K7" s="427"/>
      <c r="L7" s="427"/>
      <c r="M7" s="428"/>
    </row>
    <row r="8" spans="2:18" ht="19.5" customHeight="1" x14ac:dyDescent="0.35">
      <c r="B8" s="429"/>
      <c r="C8" s="430"/>
      <c r="D8" s="430"/>
      <c r="E8" s="430"/>
      <c r="F8" s="430"/>
      <c r="G8" s="430"/>
      <c r="H8" s="430"/>
      <c r="I8" s="430"/>
      <c r="J8" s="430"/>
      <c r="K8" s="430"/>
      <c r="L8" s="430"/>
      <c r="M8" s="431"/>
    </row>
    <row r="9" spans="2:18" ht="21" customHeight="1" x14ac:dyDescent="0.35">
      <c r="B9" s="429"/>
      <c r="C9" s="430"/>
      <c r="D9" s="430"/>
      <c r="E9" s="430"/>
      <c r="F9" s="430"/>
      <c r="G9" s="430"/>
      <c r="H9" s="430"/>
      <c r="I9" s="430"/>
      <c r="J9" s="430"/>
      <c r="K9" s="430"/>
      <c r="L9" s="430"/>
      <c r="M9" s="431"/>
    </row>
    <row r="10" spans="2:18" ht="19.5" customHeight="1" x14ac:dyDescent="0.35">
      <c r="B10" s="429"/>
      <c r="C10" s="430"/>
      <c r="D10" s="430"/>
      <c r="E10" s="430"/>
      <c r="F10" s="430"/>
      <c r="G10" s="430"/>
      <c r="H10" s="430"/>
      <c r="I10" s="430"/>
      <c r="J10" s="430"/>
      <c r="K10" s="430"/>
      <c r="L10" s="430"/>
      <c r="M10" s="431"/>
    </row>
    <row r="11" spans="2:18" ht="19.5" customHeight="1" x14ac:dyDescent="0.35">
      <c r="B11" s="429"/>
      <c r="C11" s="430"/>
      <c r="D11" s="430"/>
      <c r="E11" s="430"/>
      <c r="F11" s="430"/>
      <c r="G11" s="430"/>
      <c r="H11" s="430"/>
      <c r="I11" s="430"/>
      <c r="J11" s="430"/>
      <c r="K11" s="430"/>
      <c r="L11" s="430"/>
      <c r="M11" s="431"/>
    </row>
    <row r="12" spans="2:18" ht="19.5" customHeight="1" x14ac:dyDescent="0.35">
      <c r="B12" s="429"/>
      <c r="C12" s="430"/>
      <c r="D12" s="430"/>
      <c r="E12" s="430"/>
      <c r="F12" s="430"/>
      <c r="G12" s="430"/>
      <c r="H12" s="430"/>
      <c r="I12" s="430"/>
      <c r="J12" s="430"/>
      <c r="K12" s="430"/>
      <c r="L12" s="430"/>
      <c r="M12" s="431"/>
    </row>
    <row r="13" spans="2:18" ht="19.5" customHeight="1" x14ac:dyDescent="0.35">
      <c r="B13" s="429"/>
      <c r="C13" s="430"/>
      <c r="D13" s="430"/>
      <c r="E13" s="430"/>
      <c r="F13" s="430"/>
      <c r="G13" s="430"/>
      <c r="H13" s="430"/>
      <c r="I13" s="430"/>
      <c r="J13" s="430"/>
      <c r="K13" s="430"/>
      <c r="L13" s="430"/>
      <c r="M13" s="431"/>
    </row>
    <row r="14" spans="2:18" ht="19.5" customHeight="1" x14ac:dyDescent="0.35">
      <c r="B14" s="429"/>
      <c r="C14" s="430"/>
      <c r="D14" s="430"/>
      <c r="E14" s="430"/>
      <c r="F14" s="430"/>
      <c r="G14" s="430"/>
      <c r="H14" s="430"/>
      <c r="I14" s="430"/>
      <c r="J14" s="430"/>
      <c r="K14" s="430"/>
      <c r="L14" s="430"/>
      <c r="M14" s="431"/>
    </row>
    <row r="15" spans="2:18" ht="19.5" customHeight="1" x14ac:dyDescent="0.35">
      <c r="B15" s="429"/>
      <c r="C15" s="430"/>
      <c r="D15" s="430"/>
      <c r="E15" s="430"/>
      <c r="F15" s="430"/>
      <c r="G15" s="430"/>
      <c r="H15" s="430"/>
      <c r="I15" s="430"/>
      <c r="J15" s="430"/>
      <c r="K15" s="430"/>
      <c r="L15" s="430"/>
      <c r="M15" s="431"/>
    </row>
    <row r="16" spans="2:18" ht="19.5" customHeight="1" x14ac:dyDescent="0.35">
      <c r="B16" s="429"/>
      <c r="C16" s="430"/>
      <c r="D16" s="430"/>
      <c r="E16" s="430"/>
      <c r="F16" s="430"/>
      <c r="G16" s="430"/>
      <c r="H16" s="430"/>
      <c r="I16" s="430"/>
      <c r="J16" s="430"/>
      <c r="K16" s="430"/>
      <c r="L16" s="430"/>
      <c r="M16" s="431"/>
    </row>
    <row r="17" spans="2:13" ht="19.5" customHeight="1" x14ac:dyDescent="0.35">
      <c r="B17" s="429"/>
      <c r="C17" s="430"/>
      <c r="D17" s="430"/>
      <c r="E17" s="430"/>
      <c r="F17" s="430"/>
      <c r="G17" s="430"/>
      <c r="H17" s="430"/>
      <c r="I17" s="430"/>
      <c r="J17" s="430"/>
      <c r="K17" s="430"/>
      <c r="L17" s="430"/>
      <c r="M17" s="431"/>
    </row>
    <row r="18" spans="2:13" ht="19.5" customHeight="1" x14ac:dyDescent="0.35">
      <c r="B18" s="429"/>
      <c r="C18" s="430"/>
      <c r="D18" s="430"/>
      <c r="E18" s="430"/>
      <c r="F18" s="430"/>
      <c r="G18" s="430"/>
      <c r="H18" s="430"/>
      <c r="I18" s="430"/>
      <c r="J18" s="430"/>
      <c r="K18" s="430"/>
      <c r="L18" s="430"/>
      <c r="M18" s="431"/>
    </row>
    <row r="19" spans="2:13" ht="19.5" customHeight="1" x14ac:dyDescent="0.35">
      <c r="B19" s="429"/>
      <c r="C19" s="430"/>
      <c r="D19" s="430"/>
      <c r="E19" s="430"/>
      <c r="F19" s="430"/>
      <c r="G19" s="430"/>
      <c r="H19" s="430"/>
      <c r="I19" s="430"/>
      <c r="J19" s="430"/>
      <c r="K19" s="430"/>
      <c r="L19" s="430"/>
      <c r="M19" s="431"/>
    </row>
    <row r="20" spans="2:13" ht="19.5" customHeight="1" x14ac:dyDescent="0.35">
      <c r="B20" s="429"/>
      <c r="C20" s="430"/>
      <c r="D20" s="430"/>
      <c r="E20" s="430"/>
      <c r="F20" s="430"/>
      <c r="G20" s="430"/>
      <c r="H20" s="430"/>
      <c r="I20" s="430"/>
      <c r="J20" s="430"/>
      <c r="K20" s="430"/>
      <c r="L20" s="430"/>
      <c r="M20" s="431"/>
    </row>
    <row r="21" spans="2:13" ht="19.5" customHeight="1" x14ac:dyDescent="0.35">
      <c r="B21" s="429"/>
      <c r="C21" s="430"/>
      <c r="D21" s="430"/>
      <c r="E21" s="430"/>
      <c r="F21" s="430"/>
      <c r="G21" s="430"/>
      <c r="H21" s="430"/>
      <c r="I21" s="430"/>
      <c r="J21" s="430"/>
      <c r="K21" s="430"/>
      <c r="L21" s="430"/>
      <c r="M21" s="431"/>
    </row>
    <row r="22" spans="2:13" ht="71" customHeight="1" x14ac:dyDescent="0.35">
      <c r="B22" s="432"/>
      <c r="C22" s="433"/>
      <c r="D22" s="433"/>
      <c r="E22" s="433"/>
      <c r="F22" s="433"/>
      <c r="G22" s="433"/>
      <c r="H22" s="433"/>
      <c r="I22" s="433"/>
      <c r="J22" s="433"/>
      <c r="K22" s="433"/>
      <c r="L22" s="433"/>
      <c r="M22" s="434"/>
    </row>
    <row r="23" spans="2:13" ht="14.5" customHeight="1" x14ac:dyDescent="0.35">
      <c r="B23" s="178"/>
      <c r="C23" s="178"/>
      <c r="D23" s="178"/>
      <c r="E23" s="178"/>
      <c r="F23" s="178"/>
      <c r="G23" s="178"/>
      <c r="H23" s="178"/>
      <c r="I23" s="178"/>
      <c r="J23" s="178"/>
      <c r="K23" s="178"/>
      <c r="L23" s="178"/>
      <c r="M23" s="178"/>
    </row>
    <row r="24" spans="2:13" x14ac:dyDescent="0.35">
      <c r="B24" s="3" t="s">
        <v>32</v>
      </c>
      <c r="C24" s="178"/>
      <c r="D24" s="178"/>
      <c r="E24" s="178"/>
      <c r="F24" s="178"/>
      <c r="G24" s="178"/>
      <c r="H24" s="178"/>
      <c r="I24" s="178"/>
      <c r="J24" s="178"/>
      <c r="K24" s="178"/>
      <c r="L24" s="178"/>
      <c r="M24" s="178"/>
    </row>
    <row r="25" spans="2:13" ht="14.5" customHeight="1" x14ac:dyDescent="0.35">
      <c r="B25" s="437" t="s">
        <v>335</v>
      </c>
      <c r="C25" s="438"/>
      <c r="D25" s="438"/>
      <c r="E25" s="438"/>
      <c r="F25" s="438"/>
      <c r="G25" s="438"/>
      <c r="H25" s="438"/>
      <c r="I25" s="438"/>
      <c r="J25" s="438"/>
      <c r="K25" s="438"/>
      <c r="L25" s="438"/>
      <c r="M25" s="439"/>
    </row>
    <row r="26" spans="2:13" x14ac:dyDescent="0.35">
      <c r="B26" s="440"/>
      <c r="C26" s="441"/>
      <c r="D26" s="441"/>
      <c r="E26" s="441"/>
      <c r="F26" s="441"/>
      <c r="G26" s="441"/>
      <c r="H26" s="441"/>
      <c r="I26" s="441"/>
      <c r="J26" s="441"/>
      <c r="K26" s="441"/>
      <c r="L26" s="441"/>
      <c r="M26" s="442"/>
    </row>
    <row r="27" spans="2:13" x14ac:dyDescent="0.35">
      <c r="B27" s="440"/>
      <c r="C27" s="441"/>
      <c r="D27" s="441"/>
      <c r="E27" s="441"/>
      <c r="F27" s="441"/>
      <c r="G27" s="441"/>
      <c r="H27" s="441"/>
      <c r="I27" s="441"/>
      <c r="J27" s="441"/>
      <c r="K27" s="441"/>
      <c r="L27" s="441"/>
      <c r="M27" s="442"/>
    </row>
    <row r="28" spans="2:13" x14ac:dyDescent="0.35">
      <c r="B28" s="443"/>
      <c r="C28" s="444"/>
      <c r="D28" s="444"/>
      <c r="E28" s="444"/>
      <c r="F28" s="444"/>
      <c r="G28" s="444"/>
      <c r="H28" s="444"/>
      <c r="I28" s="444"/>
      <c r="J28" s="444"/>
      <c r="K28" s="444"/>
      <c r="L28" s="444"/>
      <c r="M28" s="445"/>
    </row>
    <row r="30" spans="2:13" x14ac:dyDescent="0.35">
      <c r="B30" s="3" t="s">
        <v>31</v>
      </c>
    </row>
    <row r="31" spans="2:13" x14ac:dyDescent="0.35">
      <c r="B31" s="417" t="s">
        <v>336</v>
      </c>
      <c r="C31" s="418"/>
      <c r="D31" s="418"/>
      <c r="E31" s="418"/>
      <c r="F31" s="418"/>
      <c r="G31" s="418"/>
      <c r="H31" s="418"/>
      <c r="I31" s="418"/>
      <c r="J31" s="418"/>
      <c r="K31" s="418"/>
      <c r="L31" s="418"/>
      <c r="M31" s="419"/>
    </row>
    <row r="32" spans="2:13" x14ac:dyDescent="0.35">
      <c r="B32" s="420"/>
      <c r="C32" s="421"/>
      <c r="D32" s="421"/>
      <c r="E32" s="421"/>
      <c r="F32" s="421"/>
      <c r="G32" s="421"/>
      <c r="H32" s="421"/>
      <c r="I32" s="421"/>
      <c r="J32" s="421"/>
      <c r="K32" s="421"/>
      <c r="L32" s="421"/>
      <c r="M32" s="422"/>
    </row>
    <row r="33" spans="2:17" x14ac:dyDescent="0.35">
      <c r="B33" s="420"/>
      <c r="C33" s="421"/>
      <c r="D33" s="421"/>
      <c r="E33" s="421"/>
      <c r="F33" s="421"/>
      <c r="G33" s="421"/>
      <c r="H33" s="421"/>
      <c r="I33" s="421"/>
      <c r="J33" s="421"/>
      <c r="K33" s="421"/>
      <c r="L33" s="421"/>
      <c r="M33" s="422"/>
    </row>
    <row r="34" spans="2:17" ht="46" customHeight="1" x14ac:dyDescent="0.35">
      <c r="B34" s="423"/>
      <c r="C34" s="424"/>
      <c r="D34" s="424"/>
      <c r="E34" s="424"/>
      <c r="F34" s="424"/>
      <c r="G34" s="424"/>
      <c r="H34" s="424"/>
      <c r="I34" s="424"/>
      <c r="J34" s="424"/>
      <c r="K34" s="424"/>
      <c r="L34" s="424"/>
      <c r="M34" s="425"/>
    </row>
    <row r="36" spans="2:17" x14ac:dyDescent="0.35">
      <c r="B36" s="369" t="s">
        <v>56</v>
      </c>
    </row>
    <row r="37" spans="2:17" s="179" customFormat="1" ht="23.25" customHeight="1" x14ac:dyDescent="0.35">
      <c r="B37" s="180" t="s">
        <v>58</v>
      </c>
      <c r="C37" s="181" t="s">
        <v>57</v>
      </c>
      <c r="D37" s="181"/>
      <c r="E37" s="182"/>
      <c r="F37" s="182"/>
      <c r="G37" s="182"/>
      <c r="H37" s="182"/>
      <c r="I37" s="182"/>
      <c r="J37" s="182"/>
      <c r="K37" s="182"/>
      <c r="L37" s="182"/>
      <c r="M37" s="182"/>
      <c r="N37" s="182"/>
      <c r="O37" s="182"/>
      <c r="P37" s="182"/>
      <c r="Q37" s="183"/>
    </row>
    <row r="38" spans="2:17" ht="14.25" customHeight="1" x14ac:dyDescent="0.35">
      <c r="B38" s="184" t="s">
        <v>209</v>
      </c>
      <c r="C38" s="448" t="s">
        <v>234</v>
      </c>
      <c r="D38" s="448"/>
      <c r="E38" s="448"/>
      <c r="F38" s="448"/>
      <c r="G38" s="448"/>
      <c r="H38" s="448"/>
      <c r="I38" s="448"/>
      <c r="J38" s="448"/>
      <c r="K38" s="448"/>
      <c r="L38" s="448"/>
      <c r="M38" s="448"/>
      <c r="N38" s="448"/>
      <c r="O38" s="448"/>
      <c r="P38" s="448"/>
      <c r="Q38" s="449"/>
    </row>
    <row r="39" spans="2:17" ht="27.5" customHeight="1" x14ac:dyDescent="0.35">
      <c r="B39" s="378" t="s">
        <v>210</v>
      </c>
      <c r="C39" s="446" t="s">
        <v>235</v>
      </c>
      <c r="D39" s="446"/>
      <c r="E39" s="446"/>
      <c r="F39" s="446"/>
      <c r="G39" s="446"/>
      <c r="H39" s="446"/>
      <c r="I39" s="446"/>
      <c r="J39" s="446"/>
      <c r="K39" s="446"/>
      <c r="L39" s="446"/>
      <c r="M39" s="446"/>
      <c r="N39" s="446"/>
      <c r="O39" s="446"/>
      <c r="P39" s="446"/>
      <c r="Q39" s="447"/>
    </row>
    <row r="40" spans="2:17" ht="26.5" customHeight="1" x14ac:dyDescent="0.35">
      <c r="B40" s="378" t="s">
        <v>211</v>
      </c>
      <c r="C40" s="446" t="s">
        <v>236</v>
      </c>
      <c r="D40" s="446"/>
      <c r="E40" s="446"/>
      <c r="F40" s="446"/>
      <c r="G40" s="446"/>
      <c r="H40" s="446"/>
      <c r="I40" s="446"/>
      <c r="J40" s="446"/>
      <c r="K40" s="446"/>
      <c r="L40" s="446"/>
      <c r="M40" s="446"/>
      <c r="N40" s="446"/>
      <c r="O40" s="446"/>
      <c r="P40" s="446"/>
      <c r="Q40" s="447"/>
    </row>
    <row r="41" spans="2:17" ht="27.5" customHeight="1" x14ac:dyDescent="0.35">
      <c r="B41" s="378" t="s">
        <v>212</v>
      </c>
      <c r="C41" s="446" t="s">
        <v>237</v>
      </c>
      <c r="D41" s="446"/>
      <c r="E41" s="446"/>
      <c r="F41" s="446"/>
      <c r="G41" s="446"/>
      <c r="H41" s="446"/>
      <c r="I41" s="446"/>
      <c r="J41" s="446"/>
      <c r="K41" s="446"/>
      <c r="L41" s="446"/>
      <c r="M41" s="446"/>
      <c r="N41" s="446"/>
      <c r="O41" s="446"/>
      <c r="P41" s="446"/>
      <c r="Q41" s="447"/>
    </row>
    <row r="42" spans="2:17" ht="27" customHeight="1" x14ac:dyDescent="0.35">
      <c r="B42" s="378" t="s">
        <v>213</v>
      </c>
      <c r="C42" s="446" t="s">
        <v>256</v>
      </c>
      <c r="D42" s="446"/>
      <c r="E42" s="446"/>
      <c r="F42" s="446"/>
      <c r="G42" s="446"/>
      <c r="H42" s="446"/>
      <c r="I42" s="446"/>
      <c r="J42" s="446"/>
      <c r="K42" s="446"/>
      <c r="L42" s="446"/>
      <c r="M42" s="446"/>
      <c r="N42" s="446"/>
      <c r="O42" s="446"/>
      <c r="P42" s="446"/>
      <c r="Q42" s="447"/>
    </row>
    <row r="43" spans="2:17" ht="29" customHeight="1" x14ac:dyDescent="0.35">
      <c r="B43" s="378" t="s">
        <v>214</v>
      </c>
      <c r="C43" s="446" t="s">
        <v>238</v>
      </c>
      <c r="D43" s="446"/>
      <c r="E43" s="446"/>
      <c r="F43" s="446"/>
      <c r="G43" s="446"/>
      <c r="H43" s="446"/>
      <c r="I43" s="446"/>
      <c r="J43" s="446"/>
      <c r="K43" s="446"/>
      <c r="L43" s="446"/>
      <c r="M43" s="446"/>
      <c r="N43" s="446"/>
      <c r="O43" s="446"/>
      <c r="P43" s="446"/>
      <c r="Q43" s="447"/>
    </row>
    <row r="44" spans="2:17" ht="14.25" customHeight="1" x14ac:dyDescent="0.35">
      <c r="B44" s="185" t="s">
        <v>215</v>
      </c>
      <c r="C44" s="435" t="s">
        <v>239</v>
      </c>
      <c r="D44" s="435"/>
      <c r="E44" s="435"/>
      <c r="F44" s="435"/>
      <c r="G44" s="435"/>
      <c r="H44" s="435"/>
      <c r="I44" s="435"/>
      <c r="J44" s="435"/>
      <c r="K44" s="435"/>
      <c r="L44" s="435"/>
      <c r="M44" s="435"/>
      <c r="N44" s="435"/>
      <c r="O44" s="435"/>
      <c r="P44" s="435"/>
      <c r="Q44" s="436"/>
    </row>
    <row r="45" spans="2:17" ht="14.25" customHeight="1" x14ac:dyDescent="0.35">
      <c r="B45" s="185" t="s">
        <v>216</v>
      </c>
      <c r="C45" s="435" t="s">
        <v>240</v>
      </c>
      <c r="D45" s="435"/>
      <c r="E45" s="435"/>
      <c r="F45" s="435"/>
      <c r="G45" s="435"/>
      <c r="H45" s="435"/>
      <c r="I45" s="435"/>
      <c r="J45" s="435"/>
      <c r="K45" s="435"/>
      <c r="L45" s="435"/>
      <c r="M45" s="435"/>
      <c r="N45" s="435"/>
      <c r="O45" s="435"/>
      <c r="P45" s="435"/>
      <c r="Q45" s="436"/>
    </row>
    <row r="46" spans="2:17" ht="14.25" customHeight="1" x14ac:dyDescent="0.35">
      <c r="B46" s="185" t="s">
        <v>217</v>
      </c>
      <c r="C46" s="435" t="s">
        <v>241</v>
      </c>
      <c r="D46" s="435"/>
      <c r="E46" s="435"/>
      <c r="F46" s="435"/>
      <c r="G46" s="435"/>
      <c r="H46" s="435"/>
      <c r="I46" s="435"/>
      <c r="J46" s="435"/>
      <c r="K46" s="435"/>
      <c r="L46" s="435"/>
      <c r="M46" s="435"/>
      <c r="N46" s="435"/>
      <c r="O46" s="435"/>
      <c r="P46" s="435"/>
      <c r="Q46" s="436"/>
    </row>
    <row r="47" spans="2:17" ht="14.25" customHeight="1" x14ac:dyDescent="0.35">
      <c r="B47" s="185" t="s">
        <v>218</v>
      </c>
      <c r="C47" s="435" t="s">
        <v>242</v>
      </c>
      <c r="D47" s="435"/>
      <c r="E47" s="435"/>
      <c r="F47" s="435"/>
      <c r="G47" s="435"/>
      <c r="H47" s="435"/>
      <c r="I47" s="435"/>
      <c r="J47" s="435"/>
      <c r="K47" s="435"/>
      <c r="L47" s="435"/>
      <c r="M47" s="435"/>
      <c r="N47" s="435"/>
      <c r="O47" s="435"/>
      <c r="P47" s="435"/>
      <c r="Q47" s="436"/>
    </row>
    <row r="48" spans="2:17" ht="14.25" customHeight="1" x14ac:dyDescent="0.35">
      <c r="B48" s="185" t="s">
        <v>219</v>
      </c>
      <c r="C48" s="435" t="s">
        <v>243</v>
      </c>
      <c r="D48" s="435"/>
      <c r="E48" s="435"/>
      <c r="F48" s="435"/>
      <c r="G48" s="435"/>
      <c r="H48" s="435"/>
      <c r="I48" s="435"/>
      <c r="J48" s="435"/>
      <c r="K48" s="435"/>
      <c r="L48" s="435"/>
      <c r="M48" s="435"/>
      <c r="N48" s="435"/>
      <c r="O48" s="435"/>
      <c r="P48" s="435"/>
      <c r="Q48" s="436"/>
    </row>
    <row r="49" spans="2:17" ht="14.25" customHeight="1" x14ac:dyDescent="0.35">
      <c r="B49" s="185" t="s">
        <v>175</v>
      </c>
      <c r="C49" s="435" t="s">
        <v>337</v>
      </c>
      <c r="D49" s="435"/>
      <c r="E49" s="435"/>
      <c r="F49" s="435"/>
      <c r="G49" s="435"/>
      <c r="H49" s="435"/>
      <c r="I49" s="435"/>
      <c r="J49" s="435"/>
      <c r="K49" s="435"/>
      <c r="L49" s="435"/>
      <c r="M49" s="435"/>
      <c r="N49" s="435"/>
      <c r="O49" s="435"/>
      <c r="P49" s="435"/>
      <c r="Q49" s="436"/>
    </row>
    <row r="50" spans="2:17" ht="14.25" customHeight="1" x14ac:dyDescent="0.35">
      <c r="B50" s="185" t="s">
        <v>180</v>
      </c>
      <c r="C50" s="435" t="s">
        <v>244</v>
      </c>
      <c r="D50" s="435"/>
      <c r="E50" s="435"/>
      <c r="F50" s="435"/>
      <c r="G50" s="435"/>
      <c r="H50" s="435"/>
      <c r="I50" s="435"/>
      <c r="J50" s="435"/>
      <c r="K50" s="435"/>
      <c r="L50" s="435"/>
      <c r="M50" s="435"/>
      <c r="N50" s="435"/>
      <c r="O50" s="435"/>
      <c r="P50" s="435"/>
      <c r="Q50" s="436"/>
    </row>
    <row r="51" spans="2:17" ht="14.25" customHeight="1" x14ac:dyDescent="0.35">
      <c r="B51" s="185" t="s">
        <v>165</v>
      </c>
      <c r="C51" s="435" t="s">
        <v>245</v>
      </c>
      <c r="D51" s="435"/>
      <c r="E51" s="435"/>
      <c r="F51" s="435"/>
      <c r="G51" s="435"/>
      <c r="H51" s="435"/>
      <c r="I51" s="435"/>
      <c r="J51" s="435"/>
      <c r="K51" s="435"/>
      <c r="L51" s="435"/>
      <c r="M51" s="435"/>
      <c r="N51" s="435"/>
      <c r="O51" s="435"/>
      <c r="P51" s="435"/>
      <c r="Q51" s="436"/>
    </row>
    <row r="52" spans="2:17" ht="14.25" customHeight="1" x14ac:dyDescent="0.35">
      <c r="B52" s="185" t="s">
        <v>221</v>
      </c>
      <c r="C52" s="435" t="s">
        <v>246</v>
      </c>
      <c r="D52" s="435"/>
      <c r="E52" s="435"/>
      <c r="F52" s="435"/>
      <c r="G52" s="435"/>
      <c r="H52" s="435"/>
      <c r="I52" s="435"/>
      <c r="J52" s="435"/>
      <c r="K52" s="435"/>
      <c r="L52" s="435"/>
      <c r="M52" s="435"/>
      <c r="N52" s="435"/>
      <c r="O52" s="435"/>
      <c r="P52" s="435"/>
      <c r="Q52" s="436"/>
    </row>
    <row r="53" spans="2:17" ht="14.25" customHeight="1" x14ac:dyDescent="0.35">
      <c r="B53" s="185" t="s">
        <v>222</v>
      </c>
      <c r="C53" s="435" t="s">
        <v>247</v>
      </c>
      <c r="D53" s="435"/>
      <c r="E53" s="435"/>
      <c r="F53" s="435"/>
      <c r="G53" s="435"/>
      <c r="H53" s="435"/>
      <c r="I53" s="435"/>
      <c r="J53" s="435"/>
      <c r="K53" s="435"/>
      <c r="L53" s="435"/>
      <c r="M53" s="435"/>
      <c r="N53" s="435"/>
      <c r="O53" s="435"/>
      <c r="P53" s="435"/>
      <c r="Q53" s="436"/>
    </row>
    <row r="54" spans="2:17" ht="14.25" customHeight="1" x14ac:dyDescent="0.35">
      <c r="B54" s="185" t="s">
        <v>55</v>
      </c>
      <c r="C54" s="435" t="s">
        <v>248</v>
      </c>
      <c r="D54" s="435"/>
      <c r="E54" s="435"/>
      <c r="F54" s="435"/>
      <c r="G54" s="435"/>
      <c r="H54" s="435"/>
      <c r="I54" s="435"/>
      <c r="J54" s="435"/>
      <c r="K54" s="435"/>
      <c r="L54" s="435"/>
      <c r="M54" s="435"/>
      <c r="N54" s="435"/>
      <c r="O54" s="435"/>
      <c r="P54" s="435"/>
      <c r="Q54" s="436"/>
    </row>
    <row r="55" spans="2:17" ht="14.25" customHeight="1" x14ac:dyDescent="0.35">
      <c r="B55" s="185" t="s">
        <v>223</v>
      </c>
      <c r="C55" s="435" t="s">
        <v>249</v>
      </c>
      <c r="D55" s="435"/>
      <c r="E55" s="435"/>
      <c r="F55" s="435"/>
      <c r="G55" s="435"/>
      <c r="H55" s="435"/>
      <c r="I55" s="435"/>
      <c r="J55" s="435"/>
      <c r="K55" s="435"/>
      <c r="L55" s="435"/>
      <c r="M55" s="435"/>
      <c r="N55" s="435"/>
      <c r="O55" s="435"/>
      <c r="P55" s="435"/>
      <c r="Q55" s="436"/>
    </row>
    <row r="56" spans="2:17" ht="14.25" customHeight="1" x14ac:dyDescent="0.35">
      <c r="B56" s="185" t="s">
        <v>233</v>
      </c>
      <c r="C56" s="435" t="s">
        <v>250</v>
      </c>
      <c r="D56" s="435"/>
      <c r="E56" s="435"/>
      <c r="F56" s="435"/>
      <c r="G56" s="435"/>
      <c r="H56" s="435"/>
      <c r="I56" s="435"/>
      <c r="J56" s="435"/>
      <c r="K56" s="435"/>
      <c r="L56" s="435"/>
      <c r="M56" s="435"/>
      <c r="N56" s="435"/>
      <c r="O56" s="435"/>
      <c r="P56" s="435"/>
      <c r="Q56" s="436"/>
    </row>
    <row r="57" spans="2:17" ht="14.25" customHeight="1" x14ac:dyDescent="0.35">
      <c r="B57" s="185" t="s">
        <v>224</v>
      </c>
      <c r="C57" s="435" t="s">
        <v>251</v>
      </c>
      <c r="D57" s="435"/>
      <c r="E57" s="435"/>
      <c r="F57" s="435"/>
      <c r="G57" s="435"/>
      <c r="H57" s="435"/>
      <c r="I57" s="435"/>
      <c r="J57" s="435"/>
      <c r="K57" s="435"/>
      <c r="L57" s="435"/>
      <c r="M57" s="435"/>
      <c r="N57" s="435"/>
      <c r="O57" s="435"/>
      <c r="P57" s="435"/>
      <c r="Q57" s="436"/>
    </row>
    <row r="58" spans="2:17" ht="14.25" customHeight="1" x14ac:dyDescent="0.35">
      <c r="B58" s="185" t="s">
        <v>225</v>
      </c>
      <c r="C58" s="435" t="s">
        <v>252</v>
      </c>
      <c r="D58" s="435"/>
      <c r="E58" s="435"/>
      <c r="F58" s="435"/>
      <c r="G58" s="435"/>
      <c r="H58" s="435"/>
      <c r="I58" s="435"/>
      <c r="J58" s="435"/>
      <c r="K58" s="435"/>
      <c r="L58" s="435"/>
      <c r="M58" s="435"/>
      <c r="N58" s="435"/>
      <c r="O58" s="435"/>
      <c r="P58" s="435"/>
      <c r="Q58" s="436"/>
    </row>
    <row r="59" spans="2:17" ht="14.25" customHeight="1" x14ac:dyDescent="0.35">
      <c r="B59" s="185" t="s">
        <v>226</v>
      </c>
      <c r="C59" s="435" t="s">
        <v>253</v>
      </c>
      <c r="D59" s="435"/>
      <c r="E59" s="435"/>
      <c r="F59" s="435"/>
      <c r="G59" s="435"/>
      <c r="H59" s="435"/>
      <c r="I59" s="435"/>
      <c r="J59" s="435"/>
      <c r="K59" s="435"/>
      <c r="L59" s="435"/>
      <c r="M59" s="435"/>
      <c r="N59" s="435"/>
      <c r="O59" s="435"/>
      <c r="P59" s="435"/>
      <c r="Q59" s="436"/>
    </row>
    <row r="60" spans="2:17" ht="14.25" customHeight="1" x14ac:dyDescent="0.35">
      <c r="B60" s="185" t="s">
        <v>228</v>
      </c>
      <c r="C60" s="435" t="s">
        <v>254</v>
      </c>
      <c r="D60" s="435"/>
      <c r="E60" s="435"/>
      <c r="F60" s="435"/>
      <c r="G60" s="435"/>
      <c r="H60" s="435"/>
      <c r="I60" s="435"/>
      <c r="J60" s="435"/>
      <c r="K60" s="435"/>
      <c r="L60" s="435"/>
      <c r="M60" s="435"/>
      <c r="N60" s="435"/>
      <c r="O60" s="435"/>
      <c r="P60" s="435"/>
      <c r="Q60" s="436"/>
    </row>
    <row r="61" spans="2:17" ht="14.25" customHeight="1" x14ac:dyDescent="0.35">
      <c r="B61" s="185" t="s">
        <v>229</v>
      </c>
      <c r="C61" s="435" t="s">
        <v>255</v>
      </c>
      <c r="D61" s="435"/>
      <c r="E61" s="435"/>
      <c r="F61" s="435"/>
      <c r="G61" s="435"/>
      <c r="H61" s="435"/>
      <c r="I61" s="435"/>
      <c r="J61" s="435"/>
      <c r="K61" s="435"/>
      <c r="L61" s="435"/>
      <c r="M61" s="435"/>
      <c r="N61" s="435"/>
      <c r="O61" s="435"/>
      <c r="P61" s="435"/>
      <c r="Q61" s="436"/>
    </row>
    <row r="62" spans="2:17" ht="14.25" customHeight="1" x14ac:dyDescent="0.35">
      <c r="B62" s="185" t="s">
        <v>230</v>
      </c>
      <c r="C62" s="435" t="s">
        <v>257</v>
      </c>
      <c r="D62" s="435"/>
      <c r="E62" s="435"/>
      <c r="F62" s="435"/>
      <c r="G62" s="435"/>
      <c r="H62" s="435"/>
      <c r="I62" s="435"/>
      <c r="J62" s="435"/>
      <c r="K62" s="435"/>
      <c r="L62" s="435"/>
      <c r="M62" s="435"/>
      <c r="N62" s="435"/>
      <c r="O62" s="435"/>
      <c r="P62" s="435"/>
      <c r="Q62" s="436"/>
    </row>
    <row r="63" spans="2:17" ht="14.25" customHeight="1" x14ac:dyDescent="0.35">
      <c r="B63" s="185" t="s">
        <v>231</v>
      </c>
      <c r="C63" s="435" t="s">
        <v>258</v>
      </c>
      <c r="D63" s="435"/>
      <c r="E63" s="435"/>
      <c r="F63" s="435"/>
      <c r="G63" s="435"/>
      <c r="H63" s="435"/>
      <c r="I63" s="435"/>
      <c r="J63" s="435"/>
      <c r="K63" s="435"/>
      <c r="L63" s="435"/>
      <c r="M63" s="435"/>
      <c r="N63" s="435"/>
      <c r="O63" s="435"/>
      <c r="P63" s="435"/>
      <c r="Q63" s="436"/>
    </row>
    <row r="64" spans="2:17" ht="14.25" customHeight="1" x14ac:dyDescent="0.35">
      <c r="B64" s="185" t="s">
        <v>232</v>
      </c>
      <c r="C64" s="435" t="s">
        <v>259</v>
      </c>
      <c r="D64" s="435"/>
      <c r="E64" s="435"/>
      <c r="F64" s="435"/>
      <c r="G64" s="435"/>
      <c r="H64" s="435"/>
      <c r="I64" s="435"/>
      <c r="J64" s="435"/>
      <c r="K64" s="435"/>
      <c r="L64" s="435"/>
      <c r="M64" s="435"/>
      <c r="N64" s="435"/>
      <c r="O64" s="435"/>
      <c r="P64" s="435"/>
      <c r="Q64" s="436"/>
    </row>
    <row r="65" spans="2:17" x14ac:dyDescent="0.35">
      <c r="B65" s="370" t="s">
        <v>227</v>
      </c>
      <c r="C65" s="194" t="s">
        <v>260</v>
      </c>
      <c r="D65" s="194"/>
      <c r="E65" s="194"/>
      <c r="F65" s="194"/>
      <c r="G65" s="194"/>
      <c r="H65" s="194"/>
      <c r="I65" s="194"/>
      <c r="J65" s="194"/>
      <c r="K65" s="194"/>
      <c r="L65" s="194"/>
      <c r="M65" s="194"/>
      <c r="N65" s="194"/>
      <c r="O65" s="194"/>
      <c r="P65" s="194"/>
      <c r="Q65" s="195"/>
    </row>
    <row r="67" spans="2:17" x14ac:dyDescent="0.35">
      <c r="B67" s="3" t="s">
        <v>59</v>
      </c>
    </row>
    <row r="68" spans="2:17" x14ac:dyDescent="0.35">
      <c r="B68" s="186" t="s">
        <v>60</v>
      </c>
    </row>
    <row r="69" spans="2:17" x14ac:dyDescent="0.35">
      <c r="B69" s="186" t="s">
        <v>61</v>
      </c>
    </row>
    <row r="70" spans="2:17" x14ac:dyDescent="0.35">
      <c r="B70" s="415" t="s">
        <v>392</v>
      </c>
    </row>
  </sheetData>
  <mergeCells count="30">
    <mergeCell ref="C54:Q54"/>
    <mergeCell ref="C51:Q51"/>
    <mergeCell ref="C64:Q64"/>
    <mergeCell ref="C45:Q45"/>
    <mergeCell ref="C46:Q46"/>
    <mergeCell ref="C48:Q48"/>
    <mergeCell ref="C49:Q49"/>
    <mergeCell ref="C52:Q52"/>
    <mergeCell ref="C63:Q63"/>
    <mergeCell ref="C61:Q61"/>
    <mergeCell ref="C62:Q62"/>
    <mergeCell ref="C59:Q59"/>
    <mergeCell ref="C60:Q60"/>
    <mergeCell ref="C58:Q58"/>
    <mergeCell ref="B31:M34"/>
    <mergeCell ref="B7:M22"/>
    <mergeCell ref="C56:Q56"/>
    <mergeCell ref="C57:Q57"/>
    <mergeCell ref="C55:Q55"/>
    <mergeCell ref="B25:M28"/>
    <mergeCell ref="C42:Q42"/>
    <mergeCell ref="C47:Q47"/>
    <mergeCell ref="C50:Q50"/>
    <mergeCell ref="C38:Q38"/>
    <mergeCell ref="C39:Q39"/>
    <mergeCell ref="C40:Q40"/>
    <mergeCell ref="C41:Q41"/>
    <mergeCell ref="C43:Q43"/>
    <mergeCell ref="C44:Q44"/>
    <mergeCell ref="C53:Q53"/>
  </mergeCells>
  <hyperlinks>
    <hyperlink ref="B38" location="'Canllawiau ar Newidynnau'!A1" display="Canllawiau ar Newidynnau"/>
    <hyperlink ref="B39" location="'Rhaniad y Ddeiliadaeth (Cymru)'!A1" display="Rhaniad y Ddeiliadaeth (Cymru)"/>
    <hyperlink ref="B40" location="'Cyfrifiadau - Gogledd'!A1" display="Rhaniad y Ddeiliadaeth (Gogledd)"/>
    <hyperlink ref="B41" location="'Rhaniad y Ddeiliadaeth (Canol)'!A1" display="Rhaniad y Ddeiliadaeth (Canolbarth)"/>
    <hyperlink ref="B43" location="'Rhaniad y Ddeiliadaeth (De-ddn)'!A1" display="Rhaniad y Ddeiliadaeth (De-ddwyrain)"/>
    <hyperlink ref="B44" location="'Cyfrifiadau - Cymru'!A1" display="Cyfrifiadau - Cymru"/>
    <hyperlink ref="B45" location="'Cyfrifiadau - Gogledd'!A1" display="Cyfrifiadau - Gogledd"/>
    <hyperlink ref="B46" location="'Cyfrifiadau - Canolbarth'!A1" display="Cyfrifiadau - Canolbarth"/>
    <hyperlink ref="B48" location="'Cyfrifiadau De-ddwyrain'!A1" display="Cyfrifiadau - De-ddwyrain"/>
    <hyperlink ref="B49" location="'Amcanestyniadau o Aelwyd'!A1" display="Amcanestyniadau o Aelwyd"/>
    <hyperlink ref="B52" location="'Rhagdybiaeth Blynyddol'!A1" display="Rhagdybiaeth Blynyddol"/>
    <hyperlink ref="B53" location="'Rhagolygon y Dyfodol'!A1" display="Rhagolygon y Dyfodol"/>
    <hyperlink ref="B54" location="'Prisiau Rhenti'!A1" display="Prisiau Rhenti"/>
    <hyperlink ref="B51" location="'Angen Presennol Nas Diwallwyd'!A1" display="Angen Presennol Nas Diwallwyd"/>
    <hyperlink ref="B55" location="'Incwm (Cymru)'!A1" display="Incwm (Cymru)"/>
    <hyperlink ref="B56" location="'Incwm (Gogledd)'!A1" display="Incwm (Gogledd)"/>
    <hyperlink ref="B57" location="'Incwm (Canolbarth)'!A1" display="Incwm (Canolbarth)"/>
    <hyperlink ref="B59" location="'Incwm (De-ddwyrain)'!A1" display="Incwm (De-ddwyrain)"/>
    <hyperlink ref="B60" location="'Prisiau Tai (Cymru)'!A1" display="Prisiau Tai (Cymru)"/>
    <hyperlink ref="B61" location="'Prisiau Tai (Gogledd)'!A1" display="Prisiau Tai (Gogledd)"/>
    <hyperlink ref="B62" location="'Prisiau Tai (Canolbarth)'!A1" display="Prisiau Tai (Canolbarth)"/>
    <hyperlink ref="B64" location="'Prisiau Tai (De-orllewin)'!A1" display="Prisiau Tai (De-ddwyrain)"/>
    <hyperlink ref="C4" r:id="rId1"/>
    <hyperlink ref="B42" location="'Rhaniad y Ddeiliadaeth (De-o)'!A1" display="Rhaniad y Ddeiliadaeth (De-orllewin)"/>
    <hyperlink ref="B47" location="'Cyfrifiadau - De-orllewin'!A1" display="Cyfrifiadau - De-orllewin"/>
    <hyperlink ref="B58" location="'Incwm (De-orllewin)'!A1" display="Incwm (De-orllewin)"/>
    <hyperlink ref="B63" location="'Prisiau Tai (De-orllewin)'!A1" display="Prisiau Tai (De-orllewin)"/>
    <hyperlink ref="B50" location="'Angen Sydd Newydd Ymddangos'!A1" display="Angen Sydd Newydd Ymddangos"/>
    <hyperlink ref="B68" r:id="rId2"/>
    <hyperlink ref="B69" r:id="rId3"/>
    <hyperlink ref="B65" location="'Map Rhanbarthol'!A1" display="Map Rhanbarthol"/>
    <hyperlink ref="B70" r:id="rId4" display="Erthylg ystadegol ar Amcangyfrifon o'r Angen ychwanegol am Dai (sail-2019)"/>
  </hyperlinks>
  <pageMargins left="0.7" right="0.7" top="0.75" bottom="0.75" header="0.3" footer="0.3"/>
  <pageSetup paperSize="9" orientation="portrait" horizontalDpi="300" verticalDpi="300" r:id="rId5"/>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1:H30"/>
  <sheetViews>
    <sheetView showGridLines="0" zoomScale="69" zoomScaleNormal="69" workbookViewId="0">
      <selection activeCell="F29" sqref="F29"/>
    </sheetView>
  </sheetViews>
  <sheetFormatPr defaultRowHeight="14.5" x14ac:dyDescent="0.35"/>
  <cols>
    <col min="1" max="1" width="2.1796875" customWidth="1"/>
    <col min="2" max="2" width="13.453125" customWidth="1"/>
    <col min="3" max="3" width="14.54296875" bestFit="1" customWidth="1"/>
    <col min="4" max="4" width="10.81640625" bestFit="1" customWidth="1"/>
    <col min="5" max="5" width="13.81640625" customWidth="1"/>
  </cols>
  <sheetData>
    <row r="1" spans="2:8" s="1" customFormat="1" x14ac:dyDescent="0.35"/>
    <row r="2" spans="2:8" s="1" customFormat="1" ht="15" customHeight="1" x14ac:dyDescent="0.35">
      <c r="B2" s="551" t="s">
        <v>139</v>
      </c>
      <c r="C2" s="552"/>
      <c r="D2" s="552"/>
      <c r="E2" s="552"/>
      <c r="F2" s="552"/>
      <c r="G2" s="552"/>
      <c r="H2" s="553"/>
    </row>
    <row r="3" spans="2:8" s="1" customFormat="1" x14ac:dyDescent="0.35">
      <c r="B3" s="554"/>
      <c r="C3" s="555"/>
      <c r="D3" s="555"/>
      <c r="E3" s="555"/>
      <c r="F3" s="555"/>
      <c r="G3" s="555"/>
      <c r="H3" s="556"/>
    </row>
    <row r="4" spans="2:8" x14ac:dyDescent="0.35">
      <c r="B4" s="554"/>
      <c r="C4" s="555"/>
      <c r="D4" s="555"/>
      <c r="E4" s="555"/>
      <c r="F4" s="555"/>
      <c r="G4" s="555"/>
      <c r="H4" s="556"/>
    </row>
    <row r="5" spans="2:8" ht="27.5" customHeight="1" x14ac:dyDescent="0.35">
      <c r="B5" s="557"/>
      <c r="C5" s="558"/>
      <c r="D5" s="558"/>
      <c r="E5" s="558"/>
      <c r="F5" s="558"/>
      <c r="G5" s="558"/>
      <c r="H5" s="559"/>
    </row>
    <row r="7" spans="2:8" x14ac:dyDescent="0.35">
      <c r="B7" s="3" t="s">
        <v>140</v>
      </c>
      <c r="C7" s="560" t="s">
        <v>21</v>
      </c>
      <c r="D7" s="560"/>
      <c r="E7" s="560"/>
      <c r="F7" s="560"/>
    </row>
    <row r="8" spans="2:8" x14ac:dyDescent="0.35">
      <c r="C8" t="s">
        <v>141</v>
      </c>
      <c r="D8" t="s">
        <v>373</v>
      </c>
      <c r="E8" s="1"/>
      <c r="F8" s="1"/>
    </row>
    <row r="9" spans="2:8" x14ac:dyDescent="0.35">
      <c r="B9" t="s">
        <v>55</v>
      </c>
      <c r="C9" s="353">
        <v>5700</v>
      </c>
      <c r="D9" s="353">
        <v>6300</v>
      </c>
      <c r="E9" s="284"/>
      <c r="F9" s="284"/>
    </row>
    <row r="10" spans="2:8" x14ac:dyDescent="0.35">
      <c r="B10" s="144" t="s">
        <v>142</v>
      </c>
      <c r="C10" s="197"/>
      <c r="D10" s="197"/>
      <c r="E10" s="285"/>
      <c r="F10" s="284"/>
    </row>
    <row r="11" spans="2:8" x14ac:dyDescent="0.35">
      <c r="E11" s="284"/>
      <c r="F11" s="284"/>
    </row>
    <row r="12" spans="2:8" x14ac:dyDescent="0.35">
      <c r="B12" s="3" t="s">
        <v>143</v>
      </c>
      <c r="C12" s="1"/>
      <c r="D12" s="1"/>
      <c r="E12" s="284"/>
      <c r="F12" s="284"/>
    </row>
    <row r="13" spans="2:8" x14ac:dyDescent="0.35">
      <c r="B13" s="1"/>
      <c r="C13" s="1" t="s">
        <v>141</v>
      </c>
      <c r="D13" s="1" t="s">
        <v>373</v>
      </c>
      <c r="E13" s="284"/>
      <c r="F13" s="284"/>
    </row>
    <row r="14" spans="2:8" x14ac:dyDescent="0.35">
      <c r="B14" s="1" t="s">
        <v>55</v>
      </c>
      <c r="C14" s="353">
        <v>6000</v>
      </c>
      <c r="D14" s="353">
        <v>6600</v>
      </c>
      <c r="E14" s="284"/>
      <c r="F14" s="284"/>
    </row>
    <row r="15" spans="2:8" x14ac:dyDescent="0.35">
      <c r="B15" s="144" t="s">
        <v>142</v>
      </c>
      <c r="C15" s="197"/>
      <c r="D15" s="197"/>
      <c r="E15" s="285"/>
      <c r="F15" s="284"/>
    </row>
    <row r="16" spans="2:8" x14ac:dyDescent="0.35">
      <c r="E16" s="284"/>
      <c r="F16" s="284"/>
    </row>
    <row r="17" spans="2:6" x14ac:dyDescent="0.35">
      <c r="B17" s="3" t="s">
        <v>144</v>
      </c>
      <c r="C17" s="1"/>
      <c r="D17" s="1"/>
      <c r="E17" s="284"/>
      <c r="F17" s="284"/>
    </row>
    <row r="18" spans="2:6" x14ac:dyDescent="0.35">
      <c r="B18" s="1"/>
      <c r="C18" s="1" t="s">
        <v>141</v>
      </c>
      <c r="D18" s="1" t="s">
        <v>373</v>
      </c>
      <c r="E18" s="284"/>
      <c r="F18" s="284"/>
    </row>
    <row r="19" spans="2:6" x14ac:dyDescent="0.35">
      <c r="B19" s="1" t="s">
        <v>55</v>
      </c>
      <c r="C19" s="353">
        <v>5400</v>
      </c>
      <c r="D19" s="353">
        <v>6240</v>
      </c>
      <c r="E19" s="284"/>
      <c r="F19" s="284"/>
    </row>
    <row r="20" spans="2:6" x14ac:dyDescent="0.35">
      <c r="B20" s="144" t="s">
        <v>142</v>
      </c>
      <c r="C20" s="197"/>
      <c r="D20" s="197"/>
      <c r="E20" s="285"/>
      <c r="F20" s="284"/>
    </row>
    <row r="21" spans="2:6" x14ac:dyDescent="0.35">
      <c r="E21" s="284"/>
      <c r="F21" s="284"/>
    </row>
    <row r="22" spans="2:6" x14ac:dyDescent="0.35">
      <c r="B22" s="3" t="s">
        <v>145</v>
      </c>
      <c r="C22" s="1"/>
      <c r="D22" s="1"/>
      <c r="E22" s="284"/>
      <c r="F22" s="284"/>
    </row>
    <row r="23" spans="2:6" x14ac:dyDescent="0.35">
      <c r="B23" s="1"/>
      <c r="C23" s="1" t="s">
        <v>141</v>
      </c>
      <c r="D23" s="1" t="s">
        <v>373</v>
      </c>
      <c r="E23" s="284"/>
      <c r="F23" s="284"/>
    </row>
    <row r="24" spans="2:6" x14ac:dyDescent="0.35">
      <c r="B24" s="1" t="s">
        <v>55</v>
      </c>
      <c r="C24" s="353">
        <v>5400</v>
      </c>
      <c r="D24" s="353">
        <v>6000</v>
      </c>
      <c r="E24" s="284"/>
      <c r="F24" s="284"/>
    </row>
    <row r="25" spans="2:6" x14ac:dyDescent="0.35">
      <c r="B25" s="144" t="s">
        <v>142</v>
      </c>
      <c r="C25" s="197"/>
      <c r="D25" s="197"/>
      <c r="E25" s="285"/>
      <c r="F25" s="284"/>
    </row>
    <row r="26" spans="2:6" x14ac:dyDescent="0.35">
      <c r="E26" s="284"/>
      <c r="F26" s="284"/>
    </row>
    <row r="27" spans="2:6" x14ac:dyDescent="0.35">
      <c r="B27" s="3" t="s">
        <v>146</v>
      </c>
      <c r="C27" s="1"/>
      <c r="D27" s="1"/>
      <c r="E27" s="284"/>
      <c r="F27" s="284"/>
    </row>
    <row r="28" spans="2:6" x14ac:dyDescent="0.35">
      <c r="B28" s="1"/>
      <c r="C28" s="1" t="s">
        <v>141</v>
      </c>
      <c r="D28" s="1" t="s">
        <v>373</v>
      </c>
      <c r="E28" s="284"/>
      <c r="F28" s="284"/>
    </row>
    <row r="29" spans="2:6" x14ac:dyDescent="0.35">
      <c r="B29" s="1" t="s">
        <v>55</v>
      </c>
      <c r="C29" s="353">
        <v>5700</v>
      </c>
      <c r="D29" s="353">
        <v>6600</v>
      </c>
      <c r="E29" s="284"/>
      <c r="F29" s="284"/>
    </row>
    <row r="30" spans="2:6" x14ac:dyDescent="0.35">
      <c r="B30" s="144" t="s">
        <v>142</v>
      </c>
      <c r="C30" s="197"/>
      <c r="D30" s="197"/>
      <c r="E30" s="284"/>
      <c r="F30" s="284"/>
    </row>
  </sheetData>
  <mergeCells count="3">
    <mergeCell ref="B2:H5"/>
    <mergeCell ref="C7:D7"/>
    <mergeCell ref="E7:F7"/>
  </mergeCells>
  <dataValidations count="1">
    <dataValidation type="decimal" operator="greaterThan" allowBlank="1" showInputMessage="1" showErrorMessage="1" sqref="C10:D10 C20:D20 C15:D15 C25:D25 C30:D30">
      <formula1>0</formula1>
    </dataValidation>
  </dataValidations>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H85"/>
  <sheetViews>
    <sheetView showGridLines="0" zoomScale="70" zoomScaleNormal="70" workbookViewId="0"/>
  </sheetViews>
  <sheetFormatPr defaultRowHeight="14.5" x14ac:dyDescent="0.35"/>
  <cols>
    <col min="1" max="1" width="2.1796875" style="1" customWidth="1"/>
    <col min="2" max="2" width="10.1796875" bestFit="1" customWidth="1"/>
    <col min="4" max="4" width="8.7265625" style="1"/>
    <col min="5" max="9" width="10.1796875" bestFit="1" customWidth="1"/>
    <col min="11" max="11" width="53.81640625" customWidth="1"/>
    <col min="13" max="13" width="10.1796875" customWidth="1"/>
    <col min="15" max="15" width="9.1796875" style="1" hidden="1" customWidth="1"/>
    <col min="20" max="20" width="0" hidden="1" customWidth="1"/>
    <col min="21" max="21" width="9.1796875" hidden="1" customWidth="1"/>
    <col min="22" max="27" width="10.1796875" hidden="1" customWidth="1"/>
    <col min="28" max="28" width="9.1796875" hidden="1" customWidth="1"/>
    <col min="29" max="29" width="9.1796875" customWidth="1"/>
    <col min="30" max="30" width="10.1796875" customWidth="1"/>
    <col min="31" max="34" width="9.1796875" customWidth="1"/>
  </cols>
  <sheetData>
    <row r="1" spans="2:34" s="1" customFormat="1" ht="9.75" customHeight="1" x14ac:dyDescent="0.35"/>
    <row r="2" spans="2:34" ht="26.25" customHeight="1" x14ac:dyDescent="0.35">
      <c r="B2" s="561" t="s">
        <v>129</v>
      </c>
      <c r="C2" s="562"/>
      <c r="D2" s="562"/>
      <c r="E2" s="562"/>
      <c r="F2" s="562"/>
      <c r="G2" s="562"/>
      <c r="H2" s="562"/>
      <c r="I2" s="563"/>
      <c r="K2" s="564" t="s">
        <v>130</v>
      </c>
      <c r="L2" s="565"/>
      <c r="M2" s="565"/>
      <c r="N2" s="566"/>
      <c r="O2" s="39"/>
      <c r="V2" t="s">
        <v>4</v>
      </c>
      <c r="AC2" s="366" t="s">
        <v>128</v>
      </c>
    </row>
    <row r="3" spans="2:34" s="1" customFormat="1" x14ac:dyDescent="0.35">
      <c r="B3" s="257" t="s">
        <v>122</v>
      </c>
      <c r="C3" s="325" t="s">
        <v>22</v>
      </c>
      <c r="D3" s="325" t="s">
        <v>21</v>
      </c>
      <c r="E3" s="326" t="s">
        <v>0</v>
      </c>
      <c r="F3" s="326" t="s">
        <v>1</v>
      </c>
      <c r="G3" s="326" t="s">
        <v>2</v>
      </c>
      <c r="H3" s="326" t="s">
        <v>3</v>
      </c>
      <c r="I3" s="38" t="s">
        <v>20</v>
      </c>
      <c r="M3" s="23" t="s">
        <v>122</v>
      </c>
      <c r="N3" s="38">
        <f>L4</f>
        <v>0</v>
      </c>
      <c r="O3" s="40" t="s">
        <v>5</v>
      </c>
      <c r="V3" s="1">
        <v>2017</v>
      </c>
      <c r="W3" s="1">
        <v>2018</v>
      </c>
      <c r="X3" s="1">
        <v>2019</v>
      </c>
      <c r="Y3" s="1">
        <v>2020</v>
      </c>
      <c r="Z3" s="1">
        <v>2021</v>
      </c>
      <c r="AA3" s="1">
        <v>2022</v>
      </c>
      <c r="AD3" s="324" t="str">
        <f>E3</f>
        <v>2019/20</v>
      </c>
      <c r="AE3" s="324" t="str">
        <f t="shared" ref="AE3:AH3" si="0">F3</f>
        <v>2020/21</v>
      </c>
      <c r="AF3" s="324" t="str">
        <f t="shared" si="0"/>
        <v>2021/22</v>
      </c>
      <c r="AG3" s="324" t="str">
        <f t="shared" si="0"/>
        <v>2022/23</v>
      </c>
      <c r="AH3" s="324" t="str">
        <f t="shared" si="0"/>
        <v>2023/24</v>
      </c>
    </row>
    <row r="4" spans="2:34" x14ac:dyDescent="0.35">
      <c r="B4" s="251">
        <v>10</v>
      </c>
      <c r="C4" s="258">
        <v>11621</v>
      </c>
      <c r="D4" s="258">
        <v>11903.497979452464</v>
      </c>
      <c r="E4" s="278">
        <f>D4*(1+'Rhaniad y Ddeiliadaeth (Cymru)'!C$109)+(D$44*(-(50-$B4)*('Rhaniad y Ddeiliadaeth (Cymru)'!C$110/40)))</f>
        <v>11905.568565681468</v>
      </c>
      <c r="F4" s="278">
        <f>E4*(1+'Rhaniad y Ddeiliadaeth (Cymru)'!D$109)+(E$44*(-(50-$B4)*('Rhaniad y Ddeiliadaeth (Cymru)'!D$110/40)))</f>
        <v>12042.55129612682</v>
      </c>
      <c r="G4" s="278">
        <f>F4*(1+'Rhaniad y Ddeiliadaeth (Cymru)'!E$109)+(F$44*(-(50-$B4)*('Rhaniad y Ddeiliadaeth (Cymru)'!E$110/40)))</f>
        <v>12173.786081439193</v>
      </c>
      <c r="H4" s="278">
        <f>G4*(1+'Rhaniad y Ddeiliadaeth (Cymru)'!F$109)+(G$44*(-(50-$B4)*('Rhaniad y Ddeiliadaeth (Cymru)'!F$110/40)))</f>
        <v>12306.095905364135</v>
      </c>
      <c r="I4" s="279">
        <f>H4*(1+'Rhaniad y Ddeiliadaeth (Cymru)'!G$109)+(H$44*(-(50-$B4)*('Rhaniad y Ddeiliadaeth (Cymru)'!G$110/40)))</f>
        <v>12430.635060982808</v>
      </c>
      <c r="J4" s="4"/>
      <c r="K4" s="41" t="str">
        <f>IF('Rhaniad y Ddeiliadaeth (Cymru)'!D8="Arall","Dewiswch data ar gyfer pa flwyddyn:","")</f>
        <v/>
      </c>
      <c r="L4" s="201"/>
      <c r="M4" s="36" t="str">
        <f t="shared" ref="M4:M35" si="1">IF(ISBLANK($L$4),"",B4)</f>
        <v/>
      </c>
      <c r="N4" s="190"/>
      <c r="O4" s="13">
        <f>IF(ISBLANK(N4),1,0)</f>
        <v>1</v>
      </c>
      <c r="P4" s="10" t="str">
        <f>IF(K4="","","&lt;&lt; Rhowch y gwerthoedd yma.")</f>
        <v/>
      </c>
      <c r="U4">
        <f t="shared" ref="U4:U35" si="2">B4</f>
        <v>10</v>
      </c>
      <c r="V4" s="4" t="str">
        <f t="shared" ref="V4:V35" si="3">IF($N$3=$V$3,N4,"")</f>
        <v/>
      </c>
      <c r="W4" s="4" t="e">
        <f>IF($W$3=$N$3,N4,V4*(1+'Rhaniad y Ddeiliadaeth (Cymru)'!C$109)+(V$44*(-(50-$U4)*('Rhaniad y Ddeiliadaeth (Cymru)'!C$110/40))))</f>
        <v>#VALUE!</v>
      </c>
      <c r="X4" s="4" t="e">
        <f>W4*(1+'Rhaniad y Ddeiliadaeth (Cymru)'!D$109)+(W$44*(-(50-$U4)*('Rhaniad y Ddeiliadaeth (Cymru)'!D$110/40)))</f>
        <v>#VALUE!</v>
      </c>
      <c r="Y4" s="4" t="e">
        <f>X4*(1+'Rhaniad y Ddeiliadaeth (Cymru)'!E$109)+(X$44*(-(50-$U4)*('Rhaniad y Ddeiliadaeth (Cymru)'!E$110/40)))</f>
        <v>#VALUE!</v>
      </c>
      <c r="Z4" s="4" t="e">
        <f>Y4*(1+'Rhaniad y Ddeiliadaeth (Cymru)'!F$109)+(Y$44*(-(50-$U4)*('Rhaniad y Ddeiliadaeth (Cymru)'!F$110/40)))</f>
        <v>#VALUE!</v>
      </c>
      <c r="AA4" s="4" t="e">
        <f>Z4*(1+'Rhaniad y Ddeiliadaeth (Cymru)'!G$109)+(Z$44*(-(50-$U4)*('Rhaniad y Ddeiliadaeth (Cymru)'!G$110/40)))</f>
        <v>#VALUE!</v>
      </c>
      <c r="AC4">
        <v>10</v>
      </c>
      <c r="AD4" s="4">
        <f>IF('Rhaniad y Ddeiliadaeth (Cymru)'!$D$8="Amcangyfrifon LlC",'Incwm (Cymru)'!E4,'Incwm (Cymru)'!W4)</f>
        <v>11905.568565681468</v>
      </c>
      <c r="AE4" s="4">
        <f>IF('Rhaniad y Ddeiliadaeth (Cymru)'!$D$8="Amcangyfrifon LlC",'Incwm (Cymru)'!F4,'Incwm (Cymru)'!X4)</f>
        <v>12042.55129612682</v>
      </c>
      <c r="AF4" s="4">
        <f>IF('Rhaniad y Ddeiliadaeth (Cymru)'!$D$8="Amcangyfrifon LlC",'Incwm (Cymru)'!G4,'Incwm (Cymru)'!Y4)</f>
        <v>12173.786081439193</v>
      </c>
      <c r="AG4" s="4">
        <f>IF('Rhaniad y Ddeiliadaeth (Cymru)'!$D$8="Amcangyfrifon LlC",'Incwm (Cymru)'!H4,'Incwm (Cymru)'!Z4)</f>
        <v>12306.095905364135</v>
      </c>
      <c r="AH4" s="4">
        <f>IF('Rhaniad y Ddeiliadaeth (Cymru)'!$D$8="Amcangyfrifon LlC",'Incwm (Cymru)'!I4,'Incwm (Cymru)'!AA4)</f>
        <v>12430.635060982808</v>
      </c>
    </row>
    <row r="5" spans="2:34" x14ac:dyDescent="0.35">
      <c r="B5" s="251">
        <v>11</v>
      </c>
      <c r="C5" s="258">
        <v>12235</v>
      </c>
      <c r="D5" s="258">
        <v>12532.423868737707</v>
      </c>
      <c r="E5" s="278">
        <f>D5*(1+'Rhaniad y Ddeiliadaeth (Cymru)'!C$109)+(D$44*(-(50-$B5)*('Rhaniad y Ddeiliadaeth (Cymru)'!C$110/40)))</f>
        <v>12555.23938085979</v>
      </c>
      <c r="F5" s="278">
        <f>E5*(1+'Rhaniad y Ddeiliadaeth (Cymru)'!D$109)+(E$44*(-(50-$B5)*('Rhaniad y Ddeiliadaeth (Cymru)'!D$110/40)))</f>
        <v>12721.265622490264</v>
      </c>
      <c r="G5" s="278">
        <f>F5*(1+'Rhaniad y Ddeiliadaeth (Cymru)'!E$109)+(F$44*(-(50-$B5)*('Rhaniad y Ddeiliadaeth (Cymru)'!E$110/40)))</f>
        <v>12882.70667732121</v>
      </c>
      <c r="H5" s="278">
        <f>G5*(1+'Rhaniad y Ddeiliadaeth (Cymru)'!F$109)+(G$44*(-(50-$B5)*('Rhaniad y Ddeiliadaeth (Cymru)'!F$110/40)))</f>
        <v>13046.854131744476</v>
      </c>
      <c r="I5" s="279">
        <f>H5*(1+'Rhaniad y Ddeiliadaeth (Cymru)'!G$109)+(H$44*(-(50-$B5)*('Rhaniad y Ddeiliadaeth (Cymru)'!G$110/40)))</f>
        <v>13204.447993114372</v>
      </c>
      <c r="K5" s="42" t="str">
        <f>IF(K4="","","Dim ond data ar gyfer un blwyddyn sydd angen (naill ai 2017 neu 2018)")</f>
        <v/>
      </c>
      <c r="M5" s="36" t="str">
        <f t="shared" si="1"/>
        <v/>
      </c>
      <c r="N5" s="190"/>
      <c r="O5" s="13">
        <f t="shared" ref="O5:O68" si="4">IF(ISBLANK(N5),1,0)</f>
        <v>1</v>
      </c>
      <c r="U5" s="1">
        <f t="shared" si="2"/>
        <v>11</v>
      </c>
      <c r="V5" s="4" t="str">
        <f t="shared" si="3"/>
        <v/>
      </c>
      <c r="W5" s="4" t="e">
        <f>IF($W$3=$N$3,N5,V5*(1+'Rhaniad y Ddeiliadaeth (Cymru)'!C$109)+(V$44*(-(50-$U5)*('Rhaniad y Ddeiliadaeth (Cymru)'!C$110/40))))</f>
        <v>#VALUE!</v>
      </c>
      <c r="X5" s="4" t="e">
        <f>W5*(1+'Rhaniad y Ddeiliadaeth (Cymru)'!D$109)+(W$44*(-(50-$U5)*('Rhaniad y Ddeiliadaeth (Cymru)'!D$110/40)))</f>
        <v>#VALUE!</v>
      </c>
      <c r="Y5" s="4" t="e">
        <f>X5*(1+'Rhaniad y Ddeiliadaeth (Cymru)'!E$109)+(X$44*(-(50-$U5)*('Rhaniad y Ddeiliadaeth (Cymru)'!E$110/40)))</f>
        <v>#VALUE!</v>
      </c>
      <c r="Z5" s="4" t="e">
        <f>Y5*(1+'Rhaniad y Ddeiliadaeth (Cymru)'!F$109)+(Y$44*(-(50-$U5)*('Rhaniad y Ddeiliadaeth (Cymru)'!F$110/40)))</f>
        <v>#VALUE!</v>
      </c>
      <c r="AA5" s="4" t="e">
        <f>Z5*(1+'Rhaniad y Ddeiliadaeth (Cymru)'!G$109)+(Z$44*(-(50-$U5)*('Rhaniad y Ddeiliadaeth (Cymru)'!G$110/40)))</f>
        <v>#VALUE!</v>
      </c>
      <c r="AC5">
        <v>11</v>
      </c>
      <c r="AD5" s="4">
        <f>IF('Rhaniad y Ddeiliadaeth (Cymru)'!$D$8="Amcangyfrifon LlC",'Incwm (Cymru)'!E5,'Incwm (Cymru)'!W5)</f>
        <v>12555.23938085979</v>
      </c>
      <c r="AE5" s="4">
        <f>IF('Rhaniad y Ddeiliadaeth (Cymru)'!$D$8="Amcangyfrifon LlC",'Incwm (Cymru)'!F5,'Incwm (Cymru)'!X5)</f>
        <v>12721.265622490264</v>
      </c>
      <c r="AF5" s="4">
        <f>IF('Rhaniad y Ddeiliadaeth (Cymru)'!$D$8="Amcangyfrifon LlC",'Incwm (Cymru)'!G5,'Incwm (Cymru)'!Y5)</f>
        <v>12882.70667732121</v>
      </c>
      <c r="AG5" s="4">
        <f>IF('Rhaniad y Ddeiliadaeth (Cymru)'!$D$8="Amcangyfrifon LlC",'Incwm (Cymru)'!H5,'Incwm (Cymru)'!Z5)</f>
        <v>13046.854131744476</v>
      </c>
      <c r="AH5" s="4">
        <f>IF('Rhaniad y Ddeiliadaeth (Cymru)'!$D$8="Amcangyfrifon LlC",'Incwm (Cymru)'!I5,'Incwm (Cymru)'!AA5)</f>
        <v>13204.447993114372</v>
      </c>
    </row>
    <row r="6" spans="2:34" x14ac:dyDescent="0.35">
      <c r="B6" s="251">
        <v>12</v>
      </c>
      <c r="C6" s="258">
        <v>12633</v>
      </c>
      <c r="D6" s="258">
        <v>12940.098956580585</v>
      </c>
      <c r="E6" s="278">
        <f>D6*(1+'Rhaniad y Ddeiliadaeth (Cymru)'!C$109)+(D$44*(-(50-$B6)*('Rhaniad y Ddeiliadaeth (Cymru)'!C$110/40)))</f>
        <v>12978.693157998039</v>
      </c>
      <c r="F6" s="278">
        <f>E6*(1+'Rhaniad y Ddeiliadaeth (Cymru)'!D$109)+(E$44*(-(50-$B6)*('Rhaniad y Ddeiliadaeth (Cymru)'!D$110/40)))</f>
        <v>13166.009553902117</v>
      </c>
      <c r="G6" s="278">
        <f>F6*(1+'Rhaniad y Ddeiliadaeth (Cymru)'!E$109)+(F$44*(-(50-$B6)*('Rhaniad y Ddeiliadaeth (Cymru)'!E$110/40)))</f>
        <v>13349.660170524707</v>
      </c>
      <c r="H6" s="278">
        <f>G6*(1+'Rhaniad y Ddeiliadaeth (Cymru)'!F$109)+(G$44*(-(50-$B6)*('Rhaniad y Ddeiliadaeth (Cymru)'!F$110/40)))</f>
        <v>13537.25256178185</v>
      </c>
      <c r="I6" s="279">
        <f>H6*(1+'Rhaniad y Ddeiliadaeth (Cymru)'!G$109)+(H$44*(-(50-$B6)*('Rhaniad y Ddeiliadaeth (Cymru)'!G$110/40)))</f>
        <v>13719.264189202457</v>
      </c>
      <c r="K6" s="1"/>
      <c r="M6" s="36" t="str">
        <f t="shared" si="1"/>
        <v/>
      </c>
      <c r="N6" s="190"/>
      <c r="O6" s="13">
        <f t="shared" si="4"/>
        <v>1</v>
      </c>
      <c r="U6" s="1">
        <f t="shared" si="2"/>
        <v>12</v>
      </c>
      <c r="V6" s="4" t="str">
        <f t="shared" si="3"/>
        <v/>
      </c>
      <c r="W6" s="4" t="e">
        <f>IF($W$3=$N$3,N6,V6*(1+'Rhaniad y Ddeiliadaeth (Cymru)'!C$109)+(V$44*(-(50-$U6)*('Rhaniad y Ddeiliadaeth (Cymru)'!C$110/40))))</f>
        <v>#VALUE!</v>
      </c>
      <c r="X6" s="4" t="e">
        <f>W6*(1+'Rhaniad y Ddeiliadaeth (Cymru)'!D$109)+(W$44*(-(50-$U6)*('Rhaniad y Ddeiliadaeth (Cymru)'!D$110/40)))</f>
        <v>#VALUE!</v>
      </c>
      <c r="Y6" s="4" t="e">
        <f>X6*(1+'Rhaniad y Ddeiliadaeth (Cymru)'!E$109)+(X$44*(-(50-$U6)*('Rhaniad y Ddeiliadaeth (Cymru)'!E$110/40)))</f>
        <v>#VALUE!</v>
      </c>
      <c r="Z6" s="4" t="e">
        <f>Y6*(1+'Rhaniad y Ddeiliadaeth (Cymru)'!F$109)+(Y$44*(-(50-$U6)*('Rhaniad y Ddeiliadaeth (Cymru)'!F$110/40)))</f>
        <v>#VALUE!</v>
      </c>
      <c r="AA6" s="4" t="e">
        <f>Z6*(1+'Rhaniad y Ddeiliadaeth (Cymru)'!G$109)+(Z$44*(-(50-$U6)*('Rhaniad y Ddeiliadaeth (Cymru)'!G$110/40)))</f>
        <v>#VALUE!</v>
      </c>
      <c r="AC6">
        <v>12</v>
      </c>
      <c r="AD6" s="4">
        <f>IF('Rhaniad y Ddeiliadaeth (Cymru)'!$D$8="Amcangyfrifon LlC",'Incwm (Cymru)'!E6,'Incwm (Cymru)'!W6)</f>
        <v>12978.693157998039</v>
      </c>
      <c r="AE6" s="4">
        <f>IF('Rhaniad y Ddeiliadaeth (Cymru)'!$D$8="Amcangyfrifon LlC",'Incwm (Cymru)'!F6,'Incwm (Cymru)'!X6)</f>
        <v>13166.009553902117</v>
      </c>
      <c r="AF6" s="4">
        <f>IF('Rhaniad y Ddeiliadaeth (Cymru)'!$D$8="Amcangyfrifon LlC",'Incwm (Cymru)'!G6,'Incwm (Cymru)'!Y6)</f>
        <v>13349.660170524707</v>
      </c>
      <c r="AG6" s="4">
        <f>IF('Rhaniad y Ddeiliadaeth (Cymru)'!$D$8="Amcangyfrifon LlC",'Incwm (Cymru)'!H6,'Incwm (Cymru)'!Z6)</f>
        <v>13537.25256178185</v>
      </c>
      <c r="AH6" s="4">
        <f>IF('Rhaniad y Ddeiliadaeth (Cymru)'!$D$8="Amcangyfrifon LlC",'Incwm (Cymru)'!I6,'Incwm (Cymru)'!AA6)</f>
        <v>13719.264189202457</v>
      </c>
    </row>
    <row r="7" spans="2:34" x14ac:dyDescent="0.35">
      <c r="B7" s="251">
        <v>13</v>
      </c>
      <c r="C7" s="258">
        <v>12919.2</v>
      </c>
      <c r="D7" s="258">
        <v>13233.256268491721</v>
      </c>
      <c r="E7" s="278">
        <f>D7*(1+'Rhaniad y Ddeiliadaeth (Cymru)'!C$109)+(D$44*(-(50-$B7)*('Rhaniad y Ddeiliadaeth (Cymru)'!C$110/40)))</f>
        <v>13285.058671928511</v>
      </c>
      <c r="F7" s="278">
        <f>E7*(1+'Rhaniad y Ddeiliadaeth (Cymru)'!D$109)+(E$44*(-(50-$B7)*('Rhaniad y Ddeiliadaeth (Cymru)'!D$110/40)))</f>
        <v>13489.652142001065</v>
      </c>
      <c r="G7" s="278">
        <f>F7*(1+'Rhaniad y Ddeiliadaeth (Cymru)'!E$109)+(F$44*(-(50-$B7)*('Rhaniad y Ddeiliadaeth (Cymru)'!E$110/40)))</f>
        <v>13691.373283730716</v>
      </c>
      <c r="H7" s="278">
        <f>G7*(1+'Rhaniad y Ddeiliadaeth (Cymru)'!F$109)+(G$44*(-(50-$B7)*('Rhaniad y Ddeiliadaeth (Cymru)'!F$110/40)))</f>
        <v>13898.066615749123</v>
      </c>
      <c r="I7" s="279">
        <f>H7*(1+'Rhaniad y Ddeiliadaeth (Cymru)'!G$109)+(H$44*(-(50-$B7)*('Rhaniad y Ddeiliadaeth (Cymru)'!G$110/40)))</f>
        <v>14100.025593208789</v>
      </c>
      <c r="K7" s="10" t="str">
        <f>IF(K4="","",IF(O85=1,"Dewis defnyddiwr anghyflawn",IF(O85=0,"Dewis defnyddiwr yn gyflawn","")))</f>
        <v/>
      </c>
      <c r="M7" s="36" t="str">
        <f t="shared" si="1"/>
        <v/>
      </c>
      <c r="N7" s="190"/>
      <c r="O7" s="13">
        <f t="shared" si="4"/>
        <v>1</v>
      </c>
      <c r="U7" s="1">
        <f t="shared" si="2"/>
        <v>13</v>
      </c>
      <c r="V7" s="4" t="str">
        <f t="shared" si="3"/>
        <v/>
      </c>
      <c r="W7" s="4" t="e">
        <f>IF($W$3=$N$3,N7,V7*(1+'Rhaniad y Ddeiliadaeth (Cymru)'!C$109)+(V$44*(-(50-$U7)*('Rhaniad y Ddeiliadaeth (Cymru)'!C$110/40))))</f>
        <v>#VALUE!</v>
      </c>
      <c r="X7" s="4" t="e">
        <f>W7*(1+'Rhaniad y Ddeiliadaeth (Cymru)'!D$109)+(W$44*(-(50-$U7)*('Rhaniad y Ddeiliadaeth (Cymru)'!D$110/40)))</f>
        <v>#VALUE!</v>
      </c>
      <c r="Y7" s="4" t="e">
        <f>X7*(1+'Rhaniad y Ddeiliadaeth (Cymru)'!E$109)+(X$44*(-(50-$U7)*('Rhaniad y Ddeiliadaeth (Cymru)'!E$110/40)))</f>
        <v>#VALUE!</v>
      </c>
      <c r="Z7" s="4" t="e">
        <f>Y7*(1+'Rhaniad y Ddeiliadaeth (Cymru)'!F$109)+(Y$44*(-(50-$U7)*('Rhaniad y Ddeiliadaeth (Cymru)'!F$110/40)))</f>
        <v>#VALUE!</v>
      </c>
      <c r="AA7" s="4" t="e">
        <f>Z7*(1+'Rhaniad y Ddeiliadaeth (Cymru)'!G$109)+(Z$44*(-(50-$U7)*('Rhaniad y Ddeiliadaeth (Cymru)'!G$110/40)))</f>
        <v>#VALUE!</v>
      </c>
      <c r="AC7">
        <v>13</v>
      </c>
      <c r="AD7" s="4">
        <f>IF('Rhaniad y Ddeiliadaeth (Cymru)'!$D$8="Amcangyfrifon LlC",'Incwm (Cymru)'!E7,'Incwm (Cymru)'!W7)</f>
        <v>13285.058671928511</v>
      </c>
      <c r="AE7" s="4">
        <f>IF('Rhaniad y Ddeiliadaeth (Cymru)'!$D$8="Amcangyfrifon LlC",'Incwm (Cymru)'!F7,'Incwm (Cymru)'!X7)</f>
        <v>13489.652142001065</v>
      </c>
      <c r="AF7" s="4">
        <f>IF('Rhaniad y Ddeiliadaeth (Cymru)'!$D$8="Amcangyfrifon LlC",'Incwm (Cymru)'!G7,'Incwm (Cymru)'!Y7)</f>
        <v>13691.373283730716</v>
      </c>
      <c r="AG7" s="4">
        <f>IF('Rhaniad y Ddeiliadaeth (Cymru)'!$D$8="Amcangyfrifon LlC",'Incwm (Cymru)'!H7,'Incwm (Cymru)'!Z7)</f>
        <v>13898.066615749123</v>
      </c>
      <c r="AH7" s="4">
        <f>IF('Rhaniad y Ddeiliadaeth (Cymru)'!$D$8="Amcangyfrifon LlC",'Incwm (Cymru)'!I7,'Incwm (Cymru)'!AA7)</f>
        <v>14100.025593208789</v>
      </c>
    </row>
    <row r="8" spans="2:34" x14ac:dyDescent="0.35">
      <c r="B8" s="251">
        <v>14</v>
      </c>
      <c r="C8" s="258">
        <v>12974.75</v>
      </c>
      <c r="D8" s="258">
        <v>13290.156648214514</v>
      </c>
      <c r="E8" s="278">
        <f>D8*(1+'Rhaniad y Ddeiliadaeth (Cymru)'!C$109)+(D$44*(-(50-$B8)*('Rhaniad y Ddeiliadaeth (Cymru)'!C$110/40)))</f>
        <v>13349.864186674058</v>
      </c>
      <c r="F8" s="278">
        <f>E8*(1+'Rhaniad y Ddeiliadaeth (Cymru)'!D$109)+(E$44*(-(50-$B8)*('Rhaniad y Ddeiliadaeth (Cymru)'!D$110/40)))</f>
        <v>13563.455509750078</v>
      </c>
      <c r="G8" s="278">
        <f>F8*(1+'Rhaniad y Ddeiliadaeth (Cymru)'!E$109)+(F$44*(-(50-$B8)*('Rhaniad y Ddeiliadaeth (Cymru)'!E$110/40)))</f>
        <v>13774.708099562644</v>
      </c>
      <c r="H8" s="278">
        <f>G8*(1+'Rhaniad y Ddeiliadaeth (Cymru)'!F$109)+(G$44*(-(50-$B8)*('Rhaniad y Ddeiliadaeth (Cymru)'!F$110/40)))</f>
        <v>13991.540452001089</v>
      </c>
      <c r="I8" s="279">
        <f>H8*(1+'Rhaniad y Ddeiliadaeth (Cymru)'!G$109)+(H$44*(-(50-$B8)*('Rhaniad y Ddeiliadaeth (Cymru)'!G$110/40)))</f>
        <v>14204.22404736128</v>
      </c>
      <c r="M8" s="36" t="str">
        <f t="shared" si="1"/>
        <v/>
      </c>
      <c r="N8" s="190"/>
      <c r="O8" s="13">
        <f t="shared" si="4"/>
        <v>1</v>
      </c>
      <c r="U8" s="1">
        <f t="shared" si="2"/>
        <v>14</v>
      </c>
      <c r="V8" s="4" t="str">
        <f t="shared" si="3"/>
        <v/>
      </c>
      <c r="W8" s="4" t="e">
        <f>IF($W$3=$N$3,N8,V8*(1+'Rhaniad y Ddeiliadaeth (Cymru)'!C$109)+(V$44*(-(50-$U8)*('Rhaniad y Ddeiliadaeth (Cymru)'!C$110/40))))</f>
        <v>#VALUE!</v>
      </c>
      <c r="X8" s="4" t="e">
        <f>W8*(1+'Rhaniad y Ddeiliadaeth (Cymru)'!D$109)+(W$44*(-(50-$U8)*('Rhaniad y Ddeiliadaeth (Cymru)'!D$110/40)))</f>
        <v>#VALUE!</v>
      </c>
      <c r="Y8" s="4" t="e">
        <f>X8*(1+'Rhaniad y Ddeiliadaeth (Cymru)'!E$109)+(X$44*(-(50-$U8)*('Rhaniad y Ddeiliadaeth (Cymru)'!E$110/40)))</f>
        <v>#VALUE!</v>
      </c>
      <c r="Z8" s="4" t="e">
        <f>Y8*(1+'Rhaniad y Ddeiliadaeth (Cymru)'!F$109)+(Y$44*(-(50-$U8)*('Rhaniad y Ddeiliadaeth (Cymru)'!F$110/40)))</f>
        <v>#VALUE!</v>
      </c>
      <c r="AA8" s="4" t="e">
        <f>Z8*(1+'Rhaniad y Ddeiliadaeth (Cymru)'!G$109)+(Z$44*(-(50-$U8)*('Rhaniad y Ddeiliadaeth (Cymru)'!G$110/40)))</f>
        <v>#VALUE!</v>
      </c>
      <c r="AC8">
        <v>14</v>
      </c>
      <c r="AD8" s="4">
        <f>IF('Rhaniad y Ddeiliadaeth (Cymru)'!$D$8="Amcangyfrifon LlC",'Incwm (Cymru)'!E8,'Incwm (Cymru)'!W8)</f>
        <v>13349.864186674058</v>
      </c>
      <c r="AE8" s="4">
        <f>IF('Rhaniad y Ddeiliadaeth (Cymru)'!$D$8="Amcangyfrifon LlC",'Incwm (Cymru)'!F8,'Incwm (Cymru)'!X8)</f>
        <v>13563.455509750078</v>
      </c>
      <c r="AF8" s="4">
        <f>IF('Rhaniad y Ddeiliadaeth (Cymru)'!$D$8="Amcangyfrifon LlC",'Incwm (Cymru)'!G8,'Incwm (Cymru)'!Y8)</f>
        <v>13774.708099562644</v>
      </c>
      <c r="AG8" s="4">
        <f>IF('Rhaniad y Ddeiliadaeth (Cymru)'!$D$8="Amcangyfrifon LlC",'Incwm (Cymru)'!H8,'Incwm (Cymru)'!Z8)</f>
        <v>13991.540452001089</v>
      </c>
      <c r="AH8" s="4">
        <f>IF('Rhaniad y Ddeiliadaeth (Cymru)'!$D$8="Amcangyfrifon LlC",'Incwm (Cymru)'!I8,'Incwm (Cymru)'!AA8)</f>
        <v>14204.22404736128</v>
      </c>
    </row>
    <row r="9" spans="2:34" x14ac:dyDescent="0.35">
      <c r="B9" s="251">
        <v>15</v>
      </c>
      <c r="C9" s="258">
        <v>13210.1</v>
      </c>
      <c r="D9" s="258">
        <v>13531.227833952758</v>
      </c>
      <c r="E9" s="278">
        <f>D9*(1+'Rhaniad y Ddeiliadaeth (Cymru)'!C$109)+(D$44*(-(50-$B9)*('Rhaniad y Ddeiliadaeth (Cymru)'!C$110/40)))</f>
        <v>13602.974439565929</v>
      </c>
      <c r="F9" s="278">
        <f>E9*(1+'Rhaniad y Ddeiliadaeth (Cymru)'!D$109)+(E$44*(-(50-$B9)*('Rhaniad y Ddeiliadaeth (Cymru)'!D$110/40)))</f>
        <v>13832.017567370838</v>
      </c>
      <c r="G9" s="278">
        <f>F9*(1+'Rhaniad y Ddeiliadaeth (Cymru)'!E$109)+(F$44*(-(50-$B9)*('Rhaniad y Ddeiliadaeth (Cymru)'!E$110/40)))</f>
        <v>14059.458124013081</v>
      </c>
      <c r="H9" s="278">
        <f>G9*(1+'Rhaniad y Ddeiliadaeth (Cymru)'!F$109)+(G$44*(-(50-$B9)*('Rhaniad y Ddeiliadaeth (Cymru)'!F$110/40)))</f>
        <v>14293.415637245949</v>
      </c>
      <c r="I9" s="279">
        <f>H9*(1+'Rhaniad y Ddeiliadaeth (Cymru)'!G$109)+(H$44*(-(50-$B9)*('Rhaniad y Ddeiliadaeth (Cymru)'!G$110/40)))</f>
        <v>14524.013303090704</v>
      </c>
      <c r="K9" s="567" t="str">
        <f>IF(K4="","Os ydych am ddefnyddio eich dosraniad data incwm eich hunan, newidiwch y dewis yn y blwch","")</f>
        <v>Os ydych am ddefnyddio eich dosraniad data incwm eich hunan, newidiwch y dewis yn y blwch</v>
      </c>
      <c r="M9" s="36" t="str">
        <f t="shared" si="1"/>
        <v/>
      </c>
      <c r="N9" s="190"/>
      <c r="O9" s="13">
        <f t="shared" si="4"/>
        <v>1</v>
      </c>
      <c r="U9" s="1">
        <f t="shared" si="2"/>
        <v>15</v>
      </c>
      <c r="V9" s="4" t="str">
        <f t="shared" si="3"/>
        <v/>
      </c>
      <c r="W9" s="4" t="e">
        <f>IF($W$3=$N$3,N9,V9*(1+'Rhaniad y Ddeiliadaeth (Cymru)'!C$109)+(V$44*(-(50-$U9)*('Rhaniad y Ddeiliadaeth (Cymru)'!C$110/40))))</f>
        <v>#VALUE!</v>
      </c>
      <c r="X9" s="4" t="e">
        <f>W9*(1+'Rhaniad y Ddeiliadaeth (Cymru)'!D$109)+(W$44*(-(50-$U9)*('Rhaniad y Ddeiliadaeth (Cymru)'!D$110/40)))</f>
        <v>#VALUE!</v>
      </c>
      <c r="Y9" s="4" t="e">
        <f>X9*(1+'Rhaniad y Ddeiliadaeth (Cymru)'!E$109)+(X$44*(-(50-$U9)*('Rhaniad y Ddeiliadaeth (Cymru)'!E$110/40)))</f>
        <v>#VALUE!</v>
      </c>
      <c r="Z9" s="4" t="e">
        <f>Y9*(1+'Rhaniad y Ddeiliadaeth (Cymru)'!F$109)+(Y$44*(-(50-$U9)*('Rhaniad y Ddeiliadaeth (Cymru)'!F$110/40)))</f>
        <v>#VALUE!</v>
      </c>
      <c r="AA9" s="4" t="e">
        <f>Z9*(1+'Rhaniad y Ddeiliadaeth (Cymru)'!G$109)+(Z$44*(-(50-$U9)*('Rhaniad y Ddeiliadaeth (Cymru)'!G$110/40)))</f>
        <v>#VALUE!</v>
      </c>
      <c r="AC9">
        <v>15</v>
      </c>
      <c r="AD9" s="4">
        <f>IF('Rhaniad y Ddeiliadaeth (Cymru)'!$D$8="Amcangyfrifon LlC",'Incwm (Cymru)'!E9,'Incwm (Cymru)'!W9)</f>
        <v>13602.974439565929</v>
      </c>
      <c r="AE9" s="4">
        <f>IF('Rhaniad y Ddeiliadaeth (Cymru)'!$D$8="Amcangyfrifon LlC",'Incwm (Cymru)'!F9,'Incwm (Cymru)'!X9)</f>
        <v>13832.017567370838</v>
      </c>
      <c r="AF9" s="4">
        <f>IF('Rhaniad y Ddeiliadaeth (Cymru)'!$D$8="Amcangyfrifon LlC",'Incwm (Cymru)'!G9,'Incwm (Cymru)'!Y9)</f>
        <v>14059.458124013081</v>
      </c>
      <c r="AG9" s="4">
        <f>IF('Rhaniad y Ddeiliadaeth (Cymru)'!$D$8="Amcangyfrifon LlC",'Incwm (Cymru)'!H9,'Incwm (Cymru)'!Z9)</f>
        <v>14293.415637245949</v>
      </c>
      <c r="AH9" s="4">
        <f>IF('Rhaniad y Ddeiliadaeth (Cymru)'!$D$8="Amcangyfrifon LlC",'Incwm (Cymru)'!I9,'Incwm (Cymru)'!AA9)</f>
        <v>14524.013303090704</v>
      </c>
    </row>
    <row r="10" spans="2:34" x14ac:dyDescent="0.35">
      <c r="B10" s="251">
        <v>16</v>
      </c>
      <c r="C10" s="258">
        <v>13605.1</v>
      </c>
      <c r="D10" s="258">
        <v>13935.829993997826</v>
      </c>
      <c r="E10" s="278">
        <f>D10*(1+'Rhaniad y Ddeiliadaeth (Cymru)'!C$109)+(D$44*(-(50-$B10)*('Rhaniad y Ddeiliadaeth (Cymru)'!C$110/40)))</f>
        <v>14023.286313398066</v>
      </c>
      <c r="F10" s="278">
        <f>E10*(1+'Rhaniad y Ddeiliadaeth (Cymru)'!D$109)+(E$44*(-(50-$B10)*('Rhaniad y Ddeiliadaeth (Cymru)'!D$110/40)))</f>
        <v>14273.511909963918</v>
      </c>
      <c r="G10" s="278">
        <f>F10*(1+'Rhaniad y Ddeiliadaeth (Cymru)'!E$109)+(F$44*(-(50-$B10)*('Rhaniad y Ddeiliadaeth (Cymru)'!E$110/40)))</f>
        <v>14523.050963012711</v>
      </c>
      <c r="H10" s="278">
        <f>G10*(1+'Rhaniad y Ddeiliadaeth (Cymru)'!F$109)+(G$44*(-(50-$B10)*('Rhaniad y Ddeiliadaeth (Cymru)'!F$110/40)))</f>
        <v>14780.336847889675</v>
      </c>
      <c r="I10" s="279">
        <f>H10*(1+'Rhaniad y Ddeiliadaeth (Cymru)'!G$109)+(H$44*(-(50-$B10)*('Rhaniad y Ddeiliadaeth (Cymru)'!G$110/40)))</f>
        <v>15035.232322289303</v>
      </c>
      <c r="K10" s="567"/>
      <c r="M10" s="36" t="str">
        <f t="shared" si="1"/>
        <v/>
      </c>
      <c r="N10" s="190"/>
      <c r="O10" s="13">
        <f t="shared" si="4"/>
        <v>1</v>
      </c>
      <c r="U10" s="1">
        <f t="shared" si="2"/>
        <v>16</v>
      </c>
      <c r="V10" s="4" t="str">
        <f t="shared" si="3"/>
        <v/>
      </c>
      <c r="W10" s="4" t="e">
        <f>IF($W$3=$N$3,N10,V10*(1+'Rhaniad y Ddeiliadaeth (Cymru)'!C$109)+(V$44*(-(50-$U10)*('Rhaniad y Ddeiliadaeth (Cymru)'!C$110/40))))</f>
        <v>#VALUE!</v>
      </c>
      <c r="X10" s="4" t="e">
        <f>W10*(1+'Rhaniad y Ddeiliadaeth (Cymru)'!D$109)+(W$44*(-(50-$U10)*('Rhaniad y Ddeiliadaeth (Cymru)'!D$110/40)))</f>
        <v>#VALUE!</v>
      </c>
      <c r="Y10" s="4" t="e">
        <f>X10*(1+'Rhaniad y Ddeiliadaeth (Cymru)'!E$109)+(X$44*(-(50-$U10)*('Rhaniad y Ddeiliadaeth (Cymru)'!E$110/40)))</f>
        <v>#VALUE!</v>
      </c>
      <c r="Z10" s="4" t="e">
        <f>Y10*(1+'Rhaniad y Ddeiliadaeth (Cymru)'!F$109)+(Y$44*(-(50-$U10)*('Rhaniad y Ddeiliadaeth (Cymru)'!F$110/40)))</f>
        <v>#VALUE!</v>
      </c>
      <c r="AA10" s="4" t="e">
        <f>Z10*(1+'Rhaniad y Ddeiliadaeth (Cymru)'!G$109)+(Z$44*(-(50-$U10)*('Rhaniad y Ddeiliadaeth (Cymru)'!G$110/40)))</f>
        <v>#VALUE!</v>
      </c>
      <c r="AC10">
        <v>16</v>
      </c>
      <c r="AD10" s="4">
        <f>IF('Rhaniad y Ddeiliadaeth (Cymru)'!$D$8="Amcangyfrifon LlC",'Incwm (Cymru)'!E10,'Incwm (Cymru)'!W10)</f>
        <v>14023.286313398066</v>
      </c>
      <c r="AE10" s="4">
        <f>IF('Rhaniad y Ddeiliadaeth (Cymru)'!$D$8="Amcangyfrifon LlC",'Incwm (Cymru)'!F10,'Incwm (Cymru)'!X10)</f>
        <v>14273.511909963918</v>
      </c>
      <c r="AF10" s="4">
        <f>IF('Rhaniad y Ddeiliadaeth (Cymru)'!$D$8="Amcangyfrifon LlC",'Incwm (Cymru)'!G10,'Incwm (Cymru)'!Y10)</f>
        <v>14523.050963012711</v>
      </c>
      <c r="AG10" s="4">
        <f>IF('Rhaniad y Ddeiliadaeth (Cymru)'!$D$8="Amcangyfrifon LlC",'Incwm (Cymru)'!H10,'Incwm (Cymru)'!Z10)</f>
        <v>14780.336847889675</v>
      </c>
      <c r="AH10" s="4">
        <f>IF('Rhaniad y Ddeiliadaeth (Cymru)'!$D$8="Amcangyfrifon LlC",'Incwm (Cymru)'!I10,'Incwm (Cymru)'!AA10)</f>
        <v>15035.232322289303</v>
      </c>
    </row>
    <row r="11" spans="2:34" x14ac:dyDescent="0.35">
      <c r="B11" s="251">
        <v>17</v>
      </c>
      <c r="C11" s="258">
        <v>13977.5</v>
      </c>
      <c r="D11" s="258">
        <v>14317.282764632719</v>
      </c>
      <c r="E11" s="278">
        <f>D11*(1+'Rhaniad y Ddeiliadaeth (Cymru)'!C$109)+(D$44*(-(50-$B11)*('Rhaniad y Ddeiliadaeth (Cymru)'!C$110/40)))</f>
        <v>14419.929182324156</v>
      </c>
      <c r="F11" s="278">
        <f>E11*(1+'Rhaniad y Ddeiliadaeth (Cymru)'!D$109)+(E$44*(-(50-$B11)*('Rhaniad y Ddeiliadaeth (Cymru)'!D$110/40)))</f>
        <v>14690.526016788914</v>
      </c>
      <c r="G11" s="278">
        <f>F11*(1+'Rhaniad y Ddeiliadaeth (Cymru)'!E$109)+(F$44*(-(50-$B11)*('Rhaniad y Ddeiliadaeth (Cymru)'!E$110/40)))</f>
        <v>14961.326873676531</v>
      </c>
      <c r="H11" s="278">
        <f>G11*(1+'Rhaniad y Ddeiliadaeth (Cymru)'!F$109)+(G$44*(-(50-$B11)*('Rhaniad y Ddeiliadaeth (Cymru)'!F$110/40)))</f>
        <v>15241.063005767883</v>
      </c>
      <c r="I11" s="279">
        <f>H11*(1+'Rhaniad y Ddeiliadaeth (Cymru)'!G$109)+(H$44*(-(50-$B11)*('Rhaniad y Ddeiliadaeth (Cymru)'!G$110/40)))</f>
        <v>15519.352608920382</v>
      </c>
      <c r="K11" s="246"/>
      <c r="M11" s="36" t="str">
        <f t="shared" si="1"/>
        <v/>
      </c>
      <c r="N11" s="190"/>
      <c r="O11" s="13">
        <f t="shared" si="4"/>
        <v>1</v>
      </c>
      <c r="U11" s="1">
        <f t="shared" si="2"/>
        <v>17</v>
      </c>
      <c r="V11" s="4" t="str">
        <f t="shared" si="3"/>
        <v/>
      </c>
      <c r="W11" s="4" t="e">
        <f>IF($W$3=$N$3,N11,V11*(1+'Rhaniad y Ddeiliadaeth (Cymru)'!C$109)+(V$44*(-(50-$U11)*('Rhaniad y Ddeiliadaeth (Cymru)'!C$110/40))))</f>
        <v>#VALUE!</v>
      </c>
      <c r="X11" s="4" t="e">
        <f>W11*(1+'Rhaniad y Ddeiliadaeth (Cymru)'!D$109)+(W$44*(-(50-$U11)*('Rhaniad y Ddeiliadaeth (Cymru)'!D$110/40)))</f>
        <v>#VALUE!</v>
      </c>
      <c r="Y11" s="4" t="e">
        <f>X11*(1+'Rhaniad y Ddeiliadaeth (Cymru)'!E$109)+(X$44*(-(50-$U11)*('Rhaniad y Ddeiliadaeth (Cymru)'!E$110/40)))</f>
        <v>#VALUE!</v>
      </c>
      <c r="Z11" s="4" t="e">
        <f>Y11*(1+'Rhaniad y Ddeiliadaeth (Cymru)'!F$109)+(Y$44*(-(50-$U11)*('Rhaniad y Ddeiliadaeth (Cymru)'!F$110/40)))</f>
        <v>#VALUE!</v>
      </c>
      <c r="AA11" s="4" t="e">
        <f>Z11*(1+'Rhaniad y Ddeiliadaeth (Cymru)'!G$109)+(Z$44*(-(50-$U11)*('Rhaniad y Ddeiliadaeth (Cymru)'!G$110/40)))</f>
        <v>#VALUE!</v>
      </c>
      <c r="AC11">
        <v>17</v>
      </c>
      <c r="AD11" s="4">
        <f>IF('Rhaniad y Ddeiliadaeth (Cymru)'!$D$8="Amcangyfrifon LlC",'Incwm (Cymru)'!E11,'Incwm (Cymru)'!W11)</f>
        <v>14419.929182324156</v>
      </c>
      <c r="AE11" s="4">
        <f>IF('Rhaniad y Ddeiliadaeth (Cymru)'!$D$8="Amcangyfrifon LlC",'Incwm (Cymru)'!F11,'Incwm (Cymru)'!X11)</f>
        <v>14690.526016788914</v>
      </c>
      <c r="AF11" s="4">
        <f>IF('Rhaniad y Ddeiliadaeth (Cymru)'!$D$8="Amcangyfrifon LlC",'Incwm (Cymru)'!G11,'Incwm (Cymru)'!Y11)</f>
        <v>14961.326873676531</v>
      </c>
      <c r="AG11" s="4">
        <f>IF('Rhaniad y Ddeiliadaeth (Cymru)'!$D$8="Amcangyfrifon LlC",'Incwm (Cymru)'!H11,'Incwm (Cymru)'!Z11)</f>
        <v>15241.063005767883</v>
      </c>
      <c r="AH11" s="4">
        <f>IF('Rhaniad y Ddeiliadaeth (Cymru)'!$D$8="Amcangyfrifon LlC",'Incwm (Cymru)'!I11,'Incwm (Cymru)'!AA11)</f>
        <v>15519.352608920382</v>
      </c>
    </row>
    <row r="12" spans="2:34" x14ac:dyDescent="0.35">
      <c r="B12" s="251">
        <v>18</v>
      </c>
      <c r="C12" s="258">
        <v>14242.75</v>
      </c>
      <c r="D12" s="258">
        <v>14588.980797422475</v>
      </c>
      <c r="E12" s="278">
        <f>D12*(1+'Rhaniad y Ddeiliadaeth (Cymru)'!C$109)+(D$44*(-(50-$B12)*('Rhaniad y Ddeiliadaeth (Cymru)'!C$110/40)))</f>
        <v>14704.353738166945</v>
      </c>
      <c r="F12" s="278">
        <f>E12*(1+'Rhaniad y Ddeiliadaeth (Cymru)'!D$109)+(E$44*(-(50-$B12)*('Rhaniad y Ddeiliadaeth (Cymru)'!D$110/40)))</f>
        <v>14991.475642970103</v>
      </c>
      <c r="G12" s="278">
        <f>F12*(1+'Rhaniad y Ddeiliadaeth (Cymru)'!E$109)+(F$44*(-(50-$B12)*('Rhaniad y Ddeiliadaeth (Cymru)'!E$110/40)))</f>
        <v>15279.571418358859</v>
      </c>
      <c r="H12" s="278">
        <f>G12*(1+'Rhaniad y Ddeiliadaeth (Cymru)'!F$109)+(G$44*(-(50-$B12)*('Rhaniad y Ddeiliadaeth (Cymru)'!F$110/40)))</f>
        <v>15577.59447763615</v>
      </c>
      <c r="I12" s="279">
        <f>H12*(1+'Rhaniad y Ddeiliadaeth (Cymru)'!G$109)+(H$44*(-(50-$B12)*('Rhaniad y Ddeiliadaeth (Cymru)'!G$110/40)))</f>
        <v>15874.993727648423</v>
      </c>
      <c r="M12" s="36" t="str">
        <f t="shared" si="1"/>
        <v/>
      </c>
      <c r="N12" s="190"/>
      <c r="O12" s="13">
        <f t="shared" si="4"/>
        <v>1</v>
      </c>
      <c r="U12" s="1">
        <f t="shared" si="2"/>
        <v>18</v>
      </c>
      <c r="V12" s="4" t="str">
        <f t="shared" si="3"/>
        <v/>
      </c>
      <c r="W12" s="4" t="e">
        <f>IF($W$3=$N$3,N12,V12*(1+'Rhaniad y Ddeiliadaeth (Cymru)'!C$109)+(V$44*(-(50-$U12)*('Rhaniad y Ddeiliadaeth (Cymru)'!C$110/40))))</f>
        <v>#VALUE!</v>
      </c>
      <c r="X12" s="4" t="e">
        <f>W12*(1+'Rhaniad y Ddeiliadaeth (Cymru)'!D$109)+(W$44*(-(50-$U12)*('Rhaniad y Ddeiliadaeth (Cymru)'!D$110/40)))</f>
        <v>#VALUE!</v>
      </c>
      <c r="Y12" s="4" t="e">
        <f>X12*(1+'Rhaniad y Ddeiliadaeth (Cymru)'!E$109)+(X$44*(-(50-$U12)*('Rhaniad y Ddeiliadaeth (Cymru)'!E$110/40)))</f>
        <v>#VALUE!</v>
      </c>
      <c r="Z12" s="4" t="e">
        <f>Y12*(1+'Rhaniad y Ddeiliadaeth (Cymru)'!F$109)+(Y$44*(-(50-$U12)*('Rhaniad y Ddeiliadaeth (Cymru)'!F$110/40)))</f>
        <v>#VALUE!</v>
      </c>
      <c r="AA12" s="4" t="e">
        <f>Z12*(1+'Rhaniad y Ddeiliadaeth (Cymru)'!G$109)+(Z$44*(-(50-$U12)*('Rhaniad y Ddeiliadaeth (Cymru)'!G$110/40)))</f>
        <v>#VALUE!</v>
      </c>
      <c r="AC12">
        <v>18</v>
      </c>
      <c r="AD12" s="4">
        <f>IF('Rhaniad y Ddeiliadaeth (Cymru)'!$D$8="Amcangyfrifon LlC",'Incwm (Cymru)'!E12,'Incwm (Cymru)'!W12)</f>
        <v>14704.353738166945</v>
      </c>
      <c r="AE12" s="4">
        <f>IF('Rhaniad y Ddeiliadaeth (Cymru)'!$D$8="Amcangyfrifon LlC",'Incwm (Cymru)'!F12,'Incwm (Cymru)'!X12)</f>
        <v>14991.475642970103</v>
      </c>
      <c r="AF12" s="4">
        <f>IF('Rhaniad y Ddeiliadaeth (Cymru)'!$D$8="Amcangyfrifon LlC",'Incwm (Cymru)'!G12,'Incwm (Cymru)'!Y12)</f>
        <v>15279.571418358859</v>
      </c>
      <c r="AG12" s="4">
        <f>IF('Rhaniad y Ddeiliadaeth (Cymru)'!$D$8="Amcangyfrifon LlC",'Incwm (Cymru)'!H12,'Incwm (Cymru)'!Z12)</f>
        <v>15577.59447763615</v>
      </c>
      <c r="AH12" s="4">
        <f>IF('Rhaniad y Ddeiliadaeth (Cymru)'!$D$8="Amcangyfrifon LlC",'Incwm (Cymru)'!I12,'Incwm (Cymru)'!AA12)</f>
        <v>15874.993727648423</v>
      </c>
    </row>
    <row r="13" spans="2:34" x14ac:dyDescent="0.35">
      <c r="B13" s="251">
        <v>19</v>
      </c>
      <c r="C13" s="258">
        <v>14642.5</v>
      </c>
      <c r="D13" s="258">
        <v>14998.448426480742</v>
      </c>
      <c r="E13" s="278">
        <f>D13*(1+'Rhaniad y Ddeiliadaeth (Cymru)'!C$109)+(D$44*(-(50-$B13)*('Rhaniad y Ddeiliadaeth (Cymru)'!C$110/40)))</f>
        <v>15129.640292233757</v>
      </c>
      <c r="F13" s="278">
        <f>E13*(1+'Rhaniad y Ddeiliadaeth (Cymru)'!D$109)+(E$44*(-(50-$B13)*('Rhaniad y Ddeiliadaeth (Cymru)'!D$110/40)))</f>
        <v>15438.115167859571</v>
      </c>
      <c r="G13" s="278">
        <f>F13*(1+'Rhaniad y Ddeiliadaeth (Cymru)'!E$109)+(F$44*(-(50-$B13)*('Rhaniad y Ddeiliadaeth (Cymru)'!E$110/40)))</f>
        <v>15748.485293181278</v>
      </c>
      <c r="H13" s="278">
        <f>G13*(1+'Rhaniad y Ddeiliadaeth (Cymru)'!F$109)+(G$44*(-(50-$B13)*('Rhaniad y Ddeiliadaeth (Cymru)'!F$110/40)))</f>
        <v>16070.021285653154</v>
      </c>
      <c r="I13" s="279">
        <f>H13*(1+'Rhaniad y Ddeiliadaeth (Cymru)'!G$109)+(H$44*(-(50-$B13)*('Rhaniad y Ddeiliadaeth (Cymru)'!G$110/40)))</f>
        <v>16391.908276922048</v>
      </c>
      <c r="M13" s="36" t="str">
        <f t="shared" si="1"/>
        <v/>
      </c>
      <c r="N13" s="190"/>
      <c r="O13" s="13">
        <f t="shared" si="4"/>
        <v>1</v>
      </c>
      <c r="U13" s="1">
        <f t="shared" si="2"/>
        <v>19</v>
      </c>
      <c r="V13" s="4" t="str">
        <f t="shared" si="3"/>
        <v/>
      </c>
      <c r="W13" s="4" t="e">
        <f>IF($W$3=$N$3,N13,V13*(1+'Rhaniad y Ddeiliadaeth (Cymru)'!C$109)+(V$44*(-(50-$U13)*('Rhaniad y Ddeiliadaeth (Cymru)'!C$110/40))))</f>
        <v>#VALUE!</v>
      </c>
      <c r="X13" s="4" t="e">
        <f>W13*(1+'Rhaniad y Ddeiliadaeth (Cymru)'!D$109)+(W$44*(-(50-$U13)*('Rhaniad y Ddeiliadaeth (Cymru)'!D$110/40)))</f>
        <v>#VALUE!</v>
      </c>
      <c r="Y13" s="4" t="e">
        <f>X13*(1+'Rhaniad y Ddeiliadaeth (Cymru)'!E$109)+(X$44*(-(50-$U13)*('Rhaniad y Ddeiliadaeth (Cymru)'!E$110/40)))</f>
        <v>#VALUE!</v>
      </c>
      <c r="Z13" s="4" t="e">
        <f>Y13*(1+'Rhaniad y Ddeiliadaeth (Cymru)'!F$109)+(Y$44*(-(50-$U13)*('Rhaniad y Ddeiliadaeth (Cymru)'!F$110/40)))</f>
        <v>#VALUE!</v>
      </c>
      <c r="AA13" s="4" t="e">
        <f>Z13*(1+'Rhaniad y Ddeiliadaeth (Cymru)'!G$109)+(Z$44*(-(50-$U13)*('Rhaniad y Ddeiliadaeth (Cymru)'!G$110/40)))</f>
        <v>#VALUE!</v>
      </c>
      <c r="AC13">
        <v>19</v>
      </c>
      <c r="AD13" s="4">
        <f>IF('Rhaniad y Ddeiliadaeth (Cymru)'!$D$8="Amcangyfrifon LlC",'Incwm (Cymru)'!E13,'Incwm (Cymru)'!W13)</f>
        <v>15129.640292233757</v>
      </c>
      <c r="AE13" s="4">
        <f>IF('Rhaniad y Ddeiliadaeth (Cymru)'!$D$8="Amcangyfrifon LlC",'Incwm (Cymru)'!F13,'Incwm (Cymru)'!X13)</f>
        <v>15438.115167859571</v>
      </c>
      <c r="AF13" s="4">
        <f>IF('Rhaniad y Ddeiliadaeth (Cymru)'!$D$8="Amcangyfrifon LlC",'Incwm (Cymru)'!G13,'Incwm (Cymru)'!Y13)</f>
        <v>15748.485293181278</v>
      </c>
      <c r="AG13" s="4">
        <f>IF('Rhaniad y Ddeiliadaeth (Cymru)'!$D$8="Amcangyfrifon LlC",'Incwm (Cymru)'!H13,'Incwm (Cymru)'!Z13)</f>
        <v>16070.021285653154</v>
      </c>
      <c r="AH13" s="4">
        <f>IF('Rhaniad y Ddeiliadaeth (Cymru)'!$D$8="Amcangyfrifon LlC",'Incwm (Cymru)'!I13,'Incwm (Cymru)'!AA13)</f>
        <v>16391.908276922048</v>
      </c>
    </row>
    <row r="14" spans="2:34" x14ac:dyDescent="0.35">
      <c r="B14" s="251">
        <v>20</v>
      </c>
      <c r="C14" s="258">
        <v>14900</v>
      </c>
      <c r="D14" s="258">
        <v>15281.528041955418</v>
      </c>
      <c r="E14" s="278">
        <f>D14*(1+'Rhaniad y Ddeiliadaeth (Cymru)'!C$109)+(D$44*(-(50-$B14)*('Rhaniad y Ddeiliadaeth (Cymru)'!C$110/40)))</f>
        <v>15425.701903881114</v>
      </c>
      <c r="F14" s="278">
        <f>E14*(1+'Rhaniad y Ddeiliadaeth (Cymru)'!D$109)+(E$44*(-(50-$B14)*('Rhaniad y Ddeiliadaeth (Cymru)'!D$110/40)))</f>
        <v>15751.100697995023</v>
      </c>
      <c r="G14" s="278">
        <f>F14*(1+'Rhaniad y Ddeiliadaeth (Cymru)'!E$109)+(F$44*(-(50-$B14)*('Rhaniad y Ddeiliadaeth (Cymru)'!E$110/40)))</f>
        <v>16079.177108419066</v>
      </c>
      <c r="H14" s="278">
        <f>G14*(1+'Rhaniad y Ddeiliadaeth (Cymru)'!F$109)+(G$44*(-(50-$B14)*('Rhaniad y Ddeiliadaeth (Cymru)'!F$110/40)))</f>
        <v>16419.431764984805</v>
      </c>
      <c r="I14" s="279">
        <f>H14*(1+'Rhaniad y Ddeiliadaeth (Cymru)'!G$109)+(H$44*(-(50-$B14)*('Rhaniad y Ddeiliadaeth (Cymru)'!G$110/40)))</f>
        <v>16760.872704524834</v>
      </c>
      <c r="M14" s="36" t="str">
        <f t="shared" si="1"/>
        <v/>
      </c>
      <c r="N14" s="190"/>
      <c r="O14" s="13">
        <f t="shared" si="4"/>
        <v>1</v>
      </c>
      <c r="U14" s="1">
        <f t="shared" si="2"/>
        <v>20</v>
      </c>
      <c r="V14" s="4" t="str">
        <f t="shared" si="3"/>
        <v/>
      </c>
      <c r="W14" s="4" t="e">
        <f>IF($W$3=$N$3,N14,V14*(1+'Rhaniad y Ddeiliadaeth (Cymru)'!C$109)+(V$44*(-(50-$U14)*('Rhaniad y Ddeiliadaeth (Cymru)'!C$110/40))))</f>
        <v>#VALUE!</v>
      </c>
      <c r="X14" s="4" t="e">
        <f>W14*(1+'Rhaniad y Ddeiliadaeth (Cymru)'!D$109)+(W$44*(-(50-$U14)*('Rhaniad y Ddeiliadaeth (Cymru)'!D$110/40)))</f>
        <v>#VALUE!</v>
      </c>
      <c r="Y14" s="4" t="e">
        <f>X14*(1+'Rhaniad y Ddeiliadaeth (Cymru)'!E$109)+(X$44*(-(50-$U14)*('Rhaniad y Ddeiliadaeth (Cymru)'!E$110/40)))</f>
        <v>#VALUE!</v>
      </c>
      <c r="Z14" s="4" t="e">
        <f>Y14*(1+'Rhaniad y Ddeiliadaeth (Cymru)'!F$109)+(Y$44*(-(50-$U14)*('Rhaniad y Ddeiliadaeth (Cymru)'!F$110/40)))</f>
        <v>#VALUE!</v>
      </c>
      <c r="AA14" s="4" t="e">
        <f>Z14*(1+'Rhaniad y Ddeiliadaeth (Cymru)'!G$109)+(Z$44*(-(50-$U14)*('Rhaniad y Ddeiliadaeth (Cymru)'!G$110/40)))</f>
        <v>#VALUE!</v>
      </c>
      <c r="AC14">
        <v>20</v>
      </c>
      <c r="AD14" s="4">
        <f>IF('Rhaniad y Ddeiliadaeth (Cymru)'!$D$8="Amcangyfrifon LlC",'Incwm (Cymru)'!E14,'Incwm (Cymru)'!W14)</f>
        <v>15425.701903881114</v>
      </c>
      <c r="AE14" s="4">
        <f>IF('Rhaniad y Ddeiliadaeth (Cymru)'!$D$8="Amcangyfrifon LlC",'Incwm (Cymru)'!F14,'Incwm (Cymru)'!X14)</f>
        <v>15751.100697995023</v>
      </c>
      <c r="AF14" s="4">
        <f>IF('Rhaniad y Ddeiliadaeth (Cymru)'!$D$8="Amcangyfrifon LlC",'Incwm (Cymru)'!G14,'Incwm (Cymru)'!Y14)</f>
        <v>16079.177108419066</v>
      </c>
      <c r="AG14" s="4">
        <f>IF('Rhaniad y Ddeiliadaeth (Cymru)'!$D$8="Amcangyfrifon LlC",'Incwm (Cymru)'!H14,'Incwm (Cymru)'!Z14)</f>
        <v>16419.431764984805</v>
      </c>
      <c r="AH14" s="4">
        <f>IF('Rhaniad y Ddeiliadaeth (Cymru)'!$D$8="Amcangyfrifon LlC",'Incwm (Cymru)'!I14,'Incwm (Cymru)'!AA14)</f>
        <v>16760.872704524834</v>
      </c>
    </row>
    <row r="15" spans="2:34" x14ac:dyDescent="0.35">
      <c r="B15" s="251">
        <v>21</v>
      </c>
      <c r="C15" s="258">
        <v>14970.1</v>
      </c>
      <c r="D15" s="258">
        <v>15353.423016166229</v>
      </c>
      <c r="E15" s="278">
        <f>D15*(1+'Rhaniad y Ddeiliadaeth (Cymru)'!C$109)+(D$44*(-(50-$B15)*('Rhaniad y Ddeiliadaeth (Cymru)'!C$110/40)))</f>
        <v>15505.838584568564</v>
      </c>
      <c r="F15" s="278">
        <f>E15*(1+'Rhaniad y Ddeiliadaeth (Cymru)'!D$109)+(E$44*(-(50-$B15)*('Rhaniad y Ddeiliadaeth (Cymru)'!D$110/40)))</f>
        <v>15840.76069167095</v>
      </c>
      <c r="G15" s="278">
        <f>F15*(1+'Rhaniad y Ddeiliadaeth (Cymru)'!E$109)+(F$44*(-(50-$B15)*('Rhaniad y Ddeiliadaeth (Cymru)'!E$110/40)))</f>
        <v>16178.910502518067</v>
      </c>
      <c r="H15" s="278">
        <f>G15*(1+'Rhaniad y Ddeiliadaeth (Cymru)'!F$109)+(G$44*(-(50-$B15)*('Rhaniad y Ddeiliadaeth (Cymru)'!F$110/40)))</f>
        <v>16529.872968576427</v>
      </c>
      <c r="I15" s="279">
        <f>H15*(1+'Rhaniad y Ddeiliadaeth (Cymru)'!G$109)+(H$44*(-(50-$B15)*('Rhaniad y Ddeiliadaeth (Cymru)'!G$110/40)))</f>
        <v>16882.623868115552</v>
      </c>
      <c r="M15" s="36" t="str">
        <f t="shared" si="1"/>
        <v/>
      </c>
      <c r="N15" s="190"/>
      <c r="O15" s="13">
        <f t="shared" si="4"/>
        <v>1</v>
      </c>
      <c r="U15" s="1">
        <f t="shared" si="2"/>
        <v>21</v>
      </c>
      <c r="V15" s="4" t="str">
        <f t="shared" si="3"/>
        <v/>
      </c>
      <c r="W15" s="4" t="e">
        <f>IF($W$3=$N$3,N15,V15*(1+'Rhaniad y Ddeiliadaeth (Cymru)'!C$109)+(V$44*(-(50-$U15)*('Rhaniad y Ddeiliadaeth (Cymru)'!C$110/40))))</f>
        <v>#VALUE!</v>
      </c>
      <c r="X15" s="4" t="e">
        <f>W15*(1+'Rhaniad y Ddeiliadaeth (Cymru)'!D$109)+(W$44*(-(50-$U15)*('Rhaniad y Ddeiliadaeth (Cymru)'!D$110/40)))</f>
        <v>#VALUE!</v>
      </c>
      <c r="Y15" s="4" t="e">
        <f>X15*(1+'Rhaniad y Ddeiliadaeth (Cymru)'!E$109)+(X$44*(-(50-$U15)*('Rhaniad y Ddeiliadaeth (Cymru)'!E$110/40)))</f>
        <v>#VALUE!</v>
      </c>
      <c r="Z15" s="4" t="e">
        <f>Y15*(1+'Rhaniad y Ddeiliadaeth (Cymru)'!F$109)+(Y$44*(-(50-$U15)*('Rhaniad y Ddeiliadaeth (Cymru)'!F$110/40)))</f>
        <v>#VALUE!</v>
      </c>
      <c r="AA15" s="4" t="e">
        <f>Z15*(1+'Rhaniad y Ddeiliadaeth (Cymru)'!G$109)+(Z$44*(-(50-$U15)*('Rhaniad y Ddeiliadaeth (Cymru)'!G$110/40)))</f>
        <v>#VALUE!</v>
      </c>
      <c r="AC15">
        <v>21</v>
      </c>
      <c r="AD15" s="4">
        <f>IF('Rhaniad y Ddeiliadaeth (Cymru)'!$D$8="Amcangyfrifon LlC",'Incwm (Cymru)'!E15,'Incwm (Cymru)'!W15)</f>
        <v>15505.838584568564</v>
      </c>
      <c r="AE15" s="4">
        <f>IF('Rhaniad y Ddeiliadaeth (Cymru)'!$D$8="Amcangyfrifon LlC",'Incwm (Cymru)'!F15,'Incwm (Cymru)'!X15)</f>
        <v>15840.76069167095</v>
      </c>
      <c r="AF15" s="4">
        <f>IF('Rhaniad y Ddeiliadaeth (Cymru)'!$D$8="Amcangyfrifon LlC",'Incwm (Cymru)'!G15,'Incwm (Cymru)'!Y15)</f>
        <v>16178.910502518067</v>
      </c>
      <c r="AG15" s="4">
        <f>IF('Rhaniad y Ddeiliadaeth (Cymru)'!$D$8="Amcangyfrifon LlC",'Incwm (Cymru)'!H15,'Incwm (Cymru)'!Z15)</f>
        <v>16529.872968576427</v>
      </c>
      <c r="AH15" s="4">
        <f>IF('Rhaniad y Ddeiliadaeth (Cymru)'!$D$8="Amcangyfrifon LlC",'Incwm (Cymru)'!I15,'Incwm (Cymru)'!AA15)</f>
        <v>16882.623868115552</v>
      </c>
    </row>
    <row r="16" spans="2:34" x14ac:dyDescent="0.35">
      <c r="B16" s="251">
        <v>22</v>
      </c>
      <c r="C16" s="258">
        <v>15070.1</v>
      </c>
      <c r="D16" s="258">
        <v>15455.983607051836</v>
      </c>
      <c r="E16" s="278">
        <f>D16*(1+'Rhaniad y Ddeiliadaeth (Cymru)'!C$109)+(D$44*(-(50-$B16)*('Rhaniad y Ddeiliadaeth (Cymru)'!C$110/40)))</f>
        <v>15617.329208060381</v>
      </c>
      <c r="F16" s="278">
        <f>E16*(1+'Rhaniad y Ddeiliadaeth (Cymru)'!D$109)+(E$44*(-(50-$B16)*('Rhaniad y Ddeiliadaeth (Cymru)'!D$110/40)))</f>
        <v>15962.849252376065</v>
      </c>
      <c r="G16" s="278">
        <f>F16*(1+'Rhaniad y Ddeiliadaeth (Cymru)'!E$109)+(F$44*(-(50-$B16)*('Rhaniad y Ddeiliadaeth (Cymru)'!E$110/40)))</f>
        <v>16312.180816575223</v>
      </c>
      <c r="H16" s="278">
        <f>G16*(1+'Rhaniad y Ddeiliadaeth (Cymru)'!F$109)+(G$44*(-(50-$B16)*('Rhaniad y Ddeiliadaeth (Cymru)'!F$110/40)))</f>
        <v>16675.014329163561</v>
      </c>
      <c r="I16" s="279">
        <f>H16*(1+'Rhaniad y Ddeiliadaeth (Cymru)'!G$109)+(H$44*(-(50-$B16)*('Rhaniad y Ddeiliadaeth (Cymru)'!G$110/40)))</f>
        <v>17040.272278521898</v>
      </c>
      <c r="M16" s="36" t="str">
        <f t="shared" si="1"/>
        <v/>
      </c>
      <c r="N16" s="190"/>
      <c r="O16" s="13">
        <f t="shared" si="4"/>
        <v>1</v>
      </c>
      <c r="U16" s="1">
        <f t="shared" si="2"/>
        <v>22</v>
      </c>
      <c r="V16" s="4" t="str">
        <f t="shared" si="3"/>
        <v/>
      </c>
      <c r="W16" s="4" t="e">
        <f>IF($W$3=$N$3,N16,V16*(1+'Rhaniad y Ddeiliadaeth (Cymru)'!C$109)+(V$44*(-(50-$U16)*('Rhaniad y Ddeiliadaeth (Cymru)'!C$110/40))))</f>
        <v>#VALUE!</v>
      </c>
      <c r="X16" s="4" t="e">
        <f>W16*(1+'Rhaniad y Ddeiliadaeth (Cymru)'!D$109)+(W$44*(-(50-$U16)*('Rhaniad y Ddeiliadaeth (Cymru)'!D$110/40)))</f>
        <v>#VALUE!</v>
      </c>
      <c r="Y16" s="4" t="e">
        <f>X16*(1+'Rhaniad y Ddeiliadaeth (Cymru)'!E$109)+(X$44*(-(50-$U16)*('Rhaniad y Ddeiliadaeth (Cymru)'!E$110/40)))</f>
        <v>#VALUE!</v>
      </c>
      <c r="Z16" s="4" t="e">
        <f>Y16*(1+'Rhaniad y Ddeiliadaeth (Cymru)'!F$109)+(Y$44*(-(50-$U16)*('Rhaniad y Ddeiliadaeth (Cymru)'!F$110/40)))</f>
        <v>#VALUE!</v>
      </c>
      <c r="AA16" s="4" t="e">
        <f>Z16*(1+'Rhaniad y Ddeiliadaeth (Cymru)'!G$109)+(Z$44*(-(50-$U16)*('Rhaniad y Ddeiliadaeth (Cymru)'!G$110/40)))</f>
        <v>#VALUE!</v>
      </c>
      <c r="AC16">
        <v>22</v>
      </c>
      <c r="AD16" s="4">
        <f>IF('Rhaniad y Ddeiliadaeth (Cymru)'!$D$8="Amcangyfrifon LlC",'Incwm (Cymru)'!E16,'Incwm (Cymru)'!W16)</f>
        <v>15617.329208060381</v>
      </c>
      <c r="AE16" s="4">
        <f>IF('Rhaniad y Ddeiliadaeth (Cymru)'!$D$8="Amcangyfrifon LlC",'Incwm (Cymru)'!F16,'Incwm (Cymru)'!X16)</f>
        <v>15962.849252376065</v>
      </c>
      <c r="AF16" s="4">
        <f>IF('Rhaniad y Ddeiliadaeth (Cymru)'!$D$8="Amcangyfrifon LlC",'Incwm (Cymru)'!G16,'Incwm (Cymru)'!Y16)</f>
        <v>16312.180816575223</v>
      </c>
      <c r="AG16" s="4">
        <f>IF('Rhaniad y Ddeiliadaeth (Cymru)'!$D$8="Amcangyfrifon LlC",'Incwm (Cymru)'!H16,'Incwm (Cymru)'!Z16)</f>
        <v>16675.014329163561</v>
      </c>
      <c r="AH16" s="4">
        <f>IF('Rhaniad y Ddeiliadaeth (Cymru)'!$D$8="Amcangyfrifon LlC",'Incwm (Cymru)'!I16,'Incwm (Cymru)'!AA16)</f>
        <v>17040.272278521898</v>
      </c>
    </row>
    <row r="17" spans="2:34" x14ac:dyDescent="0.35">
      <c r="B17" s="251">
        <v>23</v>
      </c>
      <c r="C17" s="258">
        <v>15280</v>
      </c>
      <c r="D17" s="258">
        <v>15671.258287320723</v>
      </c>
      <c r="E17" s="278">
        <f>D17*(1+'Rhaniad y Ddeiliadaeth (Cymru)'!C$109)+(D$44*(-(50-$B17)*('Rhaniad y Ddeiliadaeth (Cymru)'!C$110/40)))</f>
        <v>15844.063922328121</v>
      </c>
      <c r="F17" s="278">
        <f>E17*(1+'Rhaniad y Ddeiliadaeth (Cymru)'!D$109)+(E$44*(-(50-$B17)*('Rhaniad y Ddeiliadaeth (Cymru)'!D$110/40)))</f>
        <v>16204.131776843995</v>
      </c>
      <c r="G17" s="278">
        <f>F17*(1+'Rhaniad y Ddeiliadaeth (Cymru)'!E$109)+(F$44*(-(50-$B17)*('Rhaniad y Ddeiliadaeth (Cymru)'!E$110/40)))</f>
        <v>16568.718940110684</v>
      </c>
      <c r="H17" s="278">
        <f>G17*(1+'Rhaniad y Ddeiliadaeth (Cymru)'!F$109)+(G$44*(-(50-$B17)*('Rhaniad y Ddeiliadaeth (Cymru)'!F$110/40)))</f>
        <v>16947.699076165645</v>
      </c>
      <c r="I17" s="279">
        <f>H17*(1+'Rhaniad y Ddeiliadaeth (Cymru)'!G$109)+(H$44*(-(50-$B17)*('Rhaniad y Ddeiliadaeth (Cymru)'!G$110/40)))</f>
        <v>17329.864081069976</v>
      </c>
      <c r="M17" s="36" t="str">
        <f t="shared" si="1"/>
        <v/>
      </c>
      <c r="N17" s="190"/>
      <c r="O17" s="13">
        <f t="shared" si="4"/>
        <v>1</v>
      </c>
      <c r="U17" s="1">
        <f t="shared" si="2"/>
        <v>23</v>
      </c>
      <c r="V17" s="4" t="str">
        <f t="shared" si="3"/>
        <v/>
      </c>
      <c r="W17" s="4" t="e">
        <f>IF($W$3=$N$3,N17,V17*(1+'Rhaniad y Ddeiliadaeth (Cymru)'!C$109)+(V$44*(-(50-$U17)*('Rhaniad y Ddeiliadaeth (Cymru)'!C$110/40))))</f>
        <v>#VALUE!</v>
      </c>
      <c r="X17" s="4" t="e">
        <f>W17*(1+'Rhaniad y Ddeiliadaeth (Cymru)'!D$109)+(W$44*(-(50-$U17)*('Rhaniad y Ddeiliadaeth (Cymru)'!D$110/40)))</f>
        <v>#VALUE!</v>
      </c>
      <c r="Y17" s="4" t="e">
        <f>X17*(1+'Rhaniad y Ddeiliadaeth (Cymru)'!E$109)+(X$44*(-(50-$U17)*('Rhaniad y Ddeiliadaeth (Cymru)'!E$110/40)))</f>
        <v>#VALUE!</v>
      </c>
      <c r="Z17" s="4" t="e">
        <f>Y17*(1+'Rhaniad y Ddeiliadaeth (Cymru)'!F$109)+(Y$44*(-(50-$U17)*('Rhaniad y Ddeiliadaeth (Cymru)'!F$110/40)))</f>
        <v>#VALUE!</v>
      </c>
      <c r="AA17" s="4" t="e">
        <f>Z17*(1+'Rhaniad y Ddeiliadaeth (Cymru)'!G$109)+(Z$44*(-(50-$U17)*('Rhaniad y Ddeiliadaeth (Cymru)'!G$110/40)))</f>
        <v>#VALUE!</v>
      </c>
      <c r="AC17">
        <v>23</v>
      </c>
      <c r="AD17" s="4">
        <f>IF('Rhaniad y Ddeiliadaeth (Cymru)'!$D$8="Amcangyfrifon LlC",'Incwm (Cymru)'!E17,'Incwm (Cymru)'!W17)</f>
        <v>15844.063922328121</v>
      </c>
      <c r="AE17" s="4">
        <f>IF('Rhaniad y Ddeiliadaeth (Cymru)'!$D$8="Amcangyfrifon LlC",'Incwm (Cymru)'!F17,'Incwm (Cymru)'!X17)</f>
        <v>16204.131776843995</v>
      </c>
      <c r="AF17" s="4">
        <f>IF('Rhaniad y Ddeiliadaeth (Cymru)'!$D$8="Amcangyfrifon LlC",'Incwm (Cymru)'!G17,'Incwm (Cymru)'!Y17)</f>
        <v>16568.718940110684</v>
      </c>
      <c r="AG17" s="4">
        <f>IF('Rhaniad y Ddeiliadaeth (Cymru)'!$D$8="Amcangyfrifon LlC",'Incwm (Cymru)'!H17,'Incwm (Cymru)'!Z17)</f>
        <v>16947.699076165645</v>
      </c>
      <c r="AH17" s="4">
        <f>IF('Rhaniad y Ddeiliadaeth (Cymru)'!$D$8="Amcangyfrifon LlC",'Incwm (Cymru)'!I17,'Incwm (Cymru)'!AA17)</f>
        <v>17329.864081069976</v>
      </c>
    </row>
    <row r="18" spans="2:34" x14ac:dyDescent="0.35">
      <c r="B18" s="251">
        <v>24</v>
      </c>
      <c r="C18" s="258">
        <v>15600</v>
      </c>
      <c r="D18" s="258">
        <v>15999.452178154665</v>
      </c>
      <c r="E18" s="278">
        <f>D18*(1+'Rhaniad y Ddeiliadaeth (Cymru)'!C$109)+(D$44*(-(50-$B18)*('Rhaniad y Ddeiliadaeth (Cymru)'!C$110/40)))</f>
        <v>16186.252452741719</v>
      </c>
      <c r="F18" s="278">
        <f>E18*(1+'Rhaniad y Ddeiliadaeth (Cymru)'!D$109)+(E$44*(-(50-$B18)*('Rhaniad y Ddeiliadaeth (Cymru)'!D$110/40)))</f>
        <v>16564.825178566582</v>
      </c>
      <c r="G18" s="278">
        <f>F18*(1+'Rhaniad y Ddeiliadaeth (Cymru)'!E$109)+(F$44*(-(50-$B18)*('Rhaniad y Ddeiliadaeth (Cymru)'!E$110/40)))</f>
        <v>16948.749200348258</v>
      </c>
      <c r="H18" s="278">
        <f>G18*(1+'Rhaniad y Ddeiliadaeth (Cymru)'!F$109)+(G$44*(-(50-$B18)*('Rhaniad y Ddeiliadaeth (Cymru)'!F$110/40)))</f>
        <v>17348.159317656235</v>
      </c>
      <c r="I18" s="279">
        <f>H18*(1+'Rhaniad y Ddeiliadaeth (Cymru)'!G$109)+(H$44*(-(50-$B18)*('Rhaniad y Ddeiliadaeth (Cymru)'!G$110/40)))</f>
        <v>17751.639391123106</v>
      </c>
      <c r="M18" s="36" t="str">
        <f t="shared" si="1"/>
        <v/>
      </c>
      <c r="N18" s="190"/>
      <c r="O18" s="13">
        <f t="shared" si="4"/>
        <v>1</v>
      </c>
      <c r="U18" s="1">
        <f t="shared" si="2"/>
        <v>24</v>
      </c>
      <c r="V18" s="4" t="str">
        <f t="shared" si="3"/>
        <v/>
      </c>
      <c r="W18" s="4" t="e">
        <f>IF($W$3=$N$3,N18,V18*(1+'Rhaniad y Ddeiliadaeth (Cymru)'!C$109)+(V$44*(-(50-$U18)*('Rhaniad y Ddeiliadaeth (Cymru)'!C$110/40))))</f>
        <v>#VALUE!</v>
      </c>
      <c r="X18" s="4" t="e">
        <f>W18*(1+'Rhaniad y Ddeiliadaeth (Cymru)'!D$109)+(W$44*(-(50-$U18)*('Rhaniad y Ddeiliadaeth (Cymru)'!D$110/40)))</f>
        <v>#VALUE!</v>
      </c>
      <c r="Y18" s="4" t="e">
        <f>X18*(1+'Rhaniad y Ddeiliadaeth (Cymru)'!E$109)+(X$44*(-(50-$U18)*('Rhaniad y Ddeiliadaeth (Cymru)'!E$110/40)))</f>
        <v>#VALUE!</v>
      </c>
      <c r="Z18" s="4" t="e">
        <f>Y18*(1+'Rhaniad y Ddeiliadaeth (Cymru)'!F$109)+(Y$44*(-(50-$U18)*('Rhaniad y Ddeiliadaeth (Cymru)'!F$110/40)))</f>
        <v>#VALUE!</v>
      </c>
      <c r="AA18" s="4" t="e">
        <f>Z18*(1+'Rhaniad y Ddeiliadaeth (Cymru)'!G$109)+(Z$44*(-(50-$U18)*('Rhaniad y Ddeiliadaeth (Cymru)'!G$110/40)))</f>
        <v>#VALUE!</v>
      </c>
      <c r="AC18">
        <v>24</v>
      </c>
      <c r="AD18" s="4">
        <f>IF('Rhaniad y Ddeiliadaeth (Cymru)'!$D$8="Amcangyfrifon LlC",'Incwm (Cymru)'!E18,'Incwm (Cymru)'!W18)</f>
        <v>16186.252452741719</v>
      </c>
      <c r="AE18" s="4">
        <f>IF('Rhaniad y Ddeiliadaeth (Cymru)'!$D$8="Amcangyfrifon LlC",'Incwm (Cymru)'!F18,'Incwm (Cymru)'!X18)</f>
        <v>16564.825178566582</v>
      </c>
      <c r="AF18" s="4">
        <f>IF('Rhaniad y Ddeiliadaeth (Cymru)'!$D$8="Amcangyfrifon LlC",'Incwm (Cymru)'!G18,'Incwm (Cymru)'!Y18)</f>
        <v>16948.749200348258</v>
      </c>
      <c r="AG18" s="4">
        <f>IF('Rhaniad y Ddeiliadaeth (Cymru)'!$D$8="Amcangyfrifon LlC",'Incwm (Cymru)'!H18,'Incwm (Cymru)'!Z18)</f>
        <v>17348.159317656235</v>
      </c>
      <c r="AH18" s="4">
        <f>IF('Rhaniad y Ddeiliadaeth (Cymru)'!$D$8="Amcangyfrifon LlC",'Incwm (Cymru)'!I18,'Incwm (Cymru)'!AA18)</f>
        <v>17751.639391123106</v>
      </c>
    </row>
    <row r="19" spans="2:34" x14ac:dyDescent="0.35">
      <c r="B19" s="251">
        <v>25</v>
      </c>
      <c r="C19" s="258">
        <v>15838</v>
      </c>
      <c r="D19" s="258">
        <v>16243.54638446241</v>
      </c>
      <c r="E19" s="278">
        <f>D19*(1+'Rhaniad y Ddeiliadaeth (Cymru)'!C$109)+(D$44*(-(50-$B19)*('Rhaniad y Ddeiliadaeth (Cymru)'!C$110/40)))</f>
        <v>16442.453581484471</v>
      </c>
      <c r="F19" s="278">
        <f>E19*(1+'Rhaniad y Ddeiliadaeth (Cymru)'!D$109)+(E$44*(-(50-$B19)*('Rhaniad y Ddeiliadaeth (Cymru)'!D$110/40)))</f>
        <v>16836.5840486372</v>
      </c>
      <c r="G19" s="278">
        <f>F19*(1+'Rhaniad y Ddeiliadaeth (Cymru)'!E$109)+(F$44*(-(50-$B19)*('Rhaniad y Ddeiliadaeth (Cymru)'!E$110/40)))</f>
        <v>17236.805298827672</v>
      </c>
      <c r="H19" s="278">
        <f>G19*(1+'Rhaniad y Ddeiliadaeth (Cymru)'!F$109)+(G$44*(-(50-$B19)*('Rhaniad y Ddeiliadaeth (Cymru)'!F$110/40)))</f>
        <v>17653.455248991893</v>
      </c>
      <c r="I19" s="279">
        <f>H19*(1+'Rhaniad y Ddeiliadaeth (Cymru)'!G$109)+(H$44*(-(50-$B19)*('Rhaniad y Ddeiliadaeth (Cymru)'!G$110/40)))</f>
        <v>18074.967402216975</v>
      </c>
      <c r="M19" s="36" t="str">
        <f t="shared" si="1"/>
        <v/>
      </c>
      <c r="N19" s="190"/>
      <c r="O19" s="13">
        <f t="shared" si="4"/>
        <v>1</v>
      </c>
      <c r="U19" s="1">
        <f t="shared" si="2"/>
        <v>25</v>
      </c>
      <c r="V19" s="4" t="str">
        <f t="shared" si="3"/>
        <v/>
      </c>
      <c r="W19" s="4" t="e">
        <f>IF($W$3=$N$3,N19,V19*(1+'Rhaniad y Ddeiliadaeth (Cymru)'!C$109)+(V$44*(-(50-$U19)*('Rhaniad y Ddeiliadaeth (Cymru)'!C$110/40))))</f>
        <v>#VALUE!</v>
      </c>
      <c r="X19" s="4" t="e">
        <f>W19*(1+'Rhaniad y Ddeiliadaeth (Cymru)'!D$109)+(W$44*(-(50-$U19)*('Rhaniad y Ddeiliadaeth (Cymru)'!D$110/40)))</f>
        <v>#VALUE!</v>
      </c>
      <c r="Y19" s="4" t="e">
        <f>X19*(1+'Rhaniad y Ddeiliadaeth (Cymru)'!E$109)+(X$44*(-(50-$U19)*('Rhaniad y Ddeiliadaeth (Cymru)'!E$110/40)))</f>
        <v>#VALUE!</v>
      </c>
      <c r="Z19" s="4" t="e">
        <f>Y19*(1+'Rhaniad y Ddeiliadaeth (Cymru)'!F$109)+(Y$44*(-(50-$U19)*('Rhaniad y Ddeiliadaeth (Cymru)'!F$110/40)))</f>
        <v>#VALUE!</v>
      </c>
      <c r="AA19" s="4" t="e">
        <f>Z19*(1+'Rhaniad y Ddeiliadaeth (Cymru)'!G$109)+(Z$44*(-(50-$U19)*('Rhaniad y Ddeiliadaeth (Cymru)'!G$110/40)))</f>
        <v>#VALUE!</v>
      </c>
      <c r="AC19">
        <v>25</v>
      </c>
      <c r="AD19" s="4">
        <f>IF('Rhaniad y Ddeiliadaeth (Cymru)'!$D$8="Amcangyfrifon LlC",'Incwm (Cymru)'!E19,'Incwm (Cymru)'!W19)</f>
        <v>16442.453581484471</v>
      </c>
      <c r="AE19" s="4">
        <f>IF('Rhaniad y Ddeiliadaeth (Cymru)'!$D$8="Amcangyfrifon LlC",'Incwm (Cymru)'!F19,'Incwm (Cymru)'!X19)</f>
        <v>16836.5840486372</v>
      </c>
      <c r="AF19" s="4">
        <f>IF('Rhaniad y Ddeiliadaeth (Cymru)'!$D$8="Amcangyfrifon LlC",'Incwm (Cymru)'!G19,'Incwm (Cymru)'!Y19)</f>
        <v>17236.805298827672</v>
      </c>
      <c r="AG19" s="4">
        <f>IF('Rhaniad y Ddeiliadaeth (Cymru)'!$D$8="Amcangyfrifon LlC",'Incwm (Cymru)'!H19,'Incwm (Cymru)'!Z19)</f>
        <v>17653.455248991893</v>
      </c>
      <c r="AH19" s="4">
        <f>IF('Rhaniad y Ddeiliadaeth (Cymru)'!$D$8="Amcangyfrifon LlC",'Incwm (Cymru)'!I19,'Incwm (Cymru)'!AA19)</f>
        <v>18074.967402216975</v>
      </c>
    </row>
    <row r="20" spans="2:34" x14ac:dyDescent="0.35">
      <c r="B20" s="251">
        <v>26</v>
      </c>
      <c r="C20" s="258">
        <v>16122.6</v>
      </c>
      <c r="D20" s="258">
        <v>16535.433826122848</v>
      </c>
      <c r="E20" s="278">
        <f>D20*(1+'Rhaniad y Ddeiliadaeth (Cymru)'!C$109)+(D$44*(-(50-$B20)*('Rhaniad y Ddeiliadaeth (Cymru)'!C$110/40)))</f>
        <v>16747.520721420657</v>
      </c>
      <c r="F20" s="278">
        <f>E20*(1+'Rhaniad y Ddeiliadaeth (Cymru)'!D$109)+(E$44*(-(50-$B20)*('Rhaniad y Ddeiliadaeth (Cymru)'!D$110/40)))</f>
        <v>17158.883762305159</v>
      </c>
      <c r="G20" s="278">
        <f>F20*(1+'Rhaniad y Ddeiliadaeth (Cymru)'!E$109)+(F$44*(-(50-$B20)*('Rhaniad y Ddeiliadaeth (Cymru)'!E$110/40)))</f>
        <v>17577.129640452578</v>
      </c>
      <c r="H20" s="278">
        <f>G20*(1+'Rhaniad y Ddeiliadaeth (Cymru)'!F$109)+(G$44*(-(50-$B20)*('Rhaniad y Ddeiliadaeth (Cymru)'!F$110/40)))</f>
        <v>18012.832361464381</v>
      </c>
      <c r="I20" s="279">
        <f>H20*(1+'Rhaniad y Ddeiliadaeth (Cymru)'!G$109)+(H$44*(-(50-$B20)*('Rhaniad y Ddeiliadaeth (Cymru)'!G$110/40)))</f>
        <v>18454.242292963307</v>
      </c>
      <c r="M20" s="36" t="str">
        <f t="shared" si="1"/>
        <v/>
      </c>
      <c r="N20" s="190"/>
      <c r="O20" s="13">
        <f t="shared" si="4"/>
        <v>1</v>
      </c>
      <c r="U20" s="1">
        <f t="shared" si="2"/>
        <v>26</v>
      </c>
      <c r="V20" s="4" t="str">
        <f t="shared" si="3"/>
        <v/>
      </c>
      <c r="W20" s="4" t="e">
        <f>IF($W$3=$N$3,N20,V20*(1+'Rhaniad y Ddeiliadaeth (Cymru)'!C$109)+(V$44*(-(50-$U20)*('Rhaniad y Ddeiliadaeth (Cymru)'!C$110/40))))</f>
        <v>#VALUE!</v>
      </c>
      <c r="X20" s="4" t="e">
        <f>W20*(1+'Rhaniad y Ddeiliadaeth (Cymru)'!D$109)+(W$44*(-(50-$U20)*('Rhaniad y Ddeiliadaeth (Cymru)'!D$110/40)))</f>
        <v>#VALUE!</v>
      </c>
      <c r="Y20" s="4" t="e">
        <f>X20*(1+'Rhaniad y Ddeiliadaeth (Cymru)'!E$109)+(X$44*(-(50-$U20)*('Rhaniad y Ddeiliadaeth (Cymru)'!E$110/40)))</f>
        <v>#VALUE!</v>
      </c>
      <c r="Z20" s="4" t="e">
        <f>Y20*(1+'Rhaniad y Ddeiliadaeth (Cymru)'!F$109)+(Y$44*(-(50-$U20)*('Rhaniad y Ddeiliadaeth (Cymru)'!F$110/40)))</f>
        <v>#VALUE!</v>
      </c>
      <c r="AA20" s="4" t="e">
        <f>Z20*(1+'Rhaniad y Ddeiliadaeth (Cymru)'!G$109)+(Z$44*(-(50-$U20)*('Rhaniad y Ddeiliadaeth (Cymru)'!G$110/40)))</f>
        <v>#VALUE!</v>
      </c>
      <c r="AC20">
        <v>26</v>
      </c>
      <c r="AD20" s="4">
        <f>IF('Rhaniad y Ddeiliadaeth (Cymru)'!$D$8="Amcangyfrifon LlC",'Incwm (Cymru)'!E20,'Incwm (Cymru)'!W20)</f>
        <v>16747.520721420657</v>
      </c>
      <c r="AE20" s="4">
        <f>IF('Rhaniad y Ddeiliadaeth (Cymru)'!$D$8="Amcangyfrifon LlC",'Incwm (Cymru)'!F20,'Incwm (Cymru)'!X20)</f>
        <v>17158.883762305159</v>
      </c>
      <c r="AF20" s="4">
        <f>IF('Rhaniad y Ddeiliadaeth (Cymru)'!$D$8="Amcangyfrifon LlC",'Incwm (Cymru)'!G20,'Incwm (Cymru)'!Y20)</f>
        <v>17577.129640452578</v>
      </c>
      <c r="AG20" s="4">
        <f>IF('Rhaniad y Ddeiliadaeth (Cymru)'!$D$8="Amcangyfrifon LlC",'Incwm (Cymru)'!H20,'Incwm (Cymru)'!Z20)</f>
        <v>18012.832361464381</v>
      </c>
      <c r="AH20" s="4">
        <f>IF('Rhaniad y Ddeiliadaeth (Cymru)'!$D$8="Amcangyfrifon LlC",'Incwm (Cymru)'!I20,'Incwm (Cymru)'!AA20)</f>
        <v>18454.242292963307</v>
      </c>
    </row>
    <row r="21" spans="2:34" x14ac:dyDescent="0.35">
      <c r="B21" s="251">
        <v>27</v>
      </c>
      <c r="C21" s="258">
        <v>16424</v>
      </c>
      <c r="D21" s="258">
        <v>16844.551447052065</v>
      </c>
      <c r="E21" s="278">
        <f>D21*(1+'Rhaniad y Ddeiliadaeth (Cymru)'!C$109)+(D$44*(-(50-$B21)*('Rhaniad y Ddeiliadaeth (Cymru)'!C$110/40)))</f>
        <v>17070.204792430861</v>
      </c>
      <c r="F21" s="278">
        <f>E21*(1+'Rhaniad y Ddeiliadaeth (Cymru)'!D$109)+(E$44*(-(50-$B21)*('Rhaniad y Ddeiliadaeth (Cymru)'!D$110/40)))</f>
        <v>17499.404209287171</v>
      </c>
      <c r="G21" s="278">
        <f>F21*(1+'Rhaniad y Ddeiliadaeth (Cymru)'!E$109)+(F$44*(-(50-$B21)*('Rhaniad y Ddeiliadaeth (Cymru)'!E$110/40)))</f>
        <v>17936.297468876714</v>
      </c>
      <c r="H21" s="278">
        <f>G21*(1+'Rhaniad y Ddeiliadaeth (Cymru)'!F$109)+(G$44*(-(50-$B21)*('Rhaniad y Ddeiliadaeth (Cymru)'!F$110/40)))</f>
        <v>18391.706552114945</v>
      </c>
      <c r="I21" s="279">
        <f>H21*(1+'Rhaniad y Ddeiliadaeth (Cymru)'!G$109)+(H$44*(-(50-$B21)*('Rhaniad y Ddeiliadaeth (Cymru)'!G$110/40)))</f>
        <v>18853.686874228115</v>
      </c>
      <c r="M21" s="36" t="str">
        <f t="shared" si="1"/>
        <v/>
      </c>
      <c r="N21" s="190"/>
      <c r="O21" s="13">
        <f t="shared" si="4"/>
        <v>1</v>
      </c>
      <c r="U21" s="1">
        <f t="shared" si="2"/>
        <v>27</v>
      </c>
      <c r="V21" s="4" t="str">
        <f t="shared" si="3"/>
        <v/>
      </c>
      <c r="W21" s="4" t="e">
        <f>IF($W$3=$N$3,N21,V21*(1+'Rhaniad y Ddeiliadaeth (Cymru)'!C$109)+(V$44*(-(50-$U21)*('Rhaniad y Ddeiliadaeth (Cymru)'!C$110/40))))</f>
        <v>#VALUE!</v>
      </c>
      <c r="X21" s="4" t="e">
        <f>W21*(1+'Rhaniad y Ddeiliadaeth (Cymru)'!D$109)+(W$44*(-(50-$U21)*('Rhaniad y Ddeiliadaeth (Cymru)'!D$110/40)))</f>
        <v>#VALUE!</v>
      </c>
      <c r="Y21" s="4" t="e">
        <f>X21*(1+'Rhaniad y Ddeiliadaeth (Cymru)'!E$109)+(X$44*(-(50-$U21)*('Rhaniad y Ddeiliadaeth (Cymru)'!E$110/40)))</f>
        <v>#VALUE!</v>
      </c>
      <c r="Z21" s="4" t="e">
        <f>Y21*(1+'Rhaniad y Ddeiliadaeth (Cymru)'!F$109)+(Y$44*(-(50-$U21)*('Rhaniad y Ddeiliadaeth (Cymru)'!F$110/40)))</f>
        <v>#VALUE!</v>
      </c>
      <c r="AA21" s="4" t="e">
        <f>Z21*(1+'Rhaniad y Ddeiliadaeth (Cymru)'!G$109)+(Z$44*(-(50-$U21)*('Rhaniad y Ddeiliadaeth (Cymru)'!G$110/40)))</f>
        <v>#VALUE!</v>
      </c>
      <c r="AC21">
        <v>27</v>
      </c>
      <c r="AD21" s="4">
        <f>IF('Rhaniad y Ddeiliadaeth (Cymru)'!$D$8="Amcangyfrifon LlC",'Incwm (Cymru)'!E21,'Incwm (Cymru)'!W21)</f>
        <v>17070.204792430861</v>
      </c>
      <c r="AE21" s="4">
        <f>IF('Rhaniad y Ddeiliadaeth (Cymru)'!$D$8="Amcangyfrifon LlC",'Incwm (Cymru)'!F21,'Incwm (Cymru)'!X21)</f>
        <v>17499.404209287171</v>
      </c>
      <c r="AF21" s="4">
        <f>IF('Rhaniad y Ddeiliadaeth (Cymru)'!$D$8="Amcangyfrifon LlC",'Incwm (Cymru)'!G21,'Incwm (Cymru)'!Y21)</f>
        <v>17936.297468876714</v>
      </c>
      <c r="AG21" s="4">
        <f>IF('Rhaniad y Ddeiliadaeth (Cymru)'!$D$8="Amcangyfrifon LlC",'Incwm (Cymru)'!H21,'Incwm (Cymru)'!Z21)</f>
        <v>18391.706552114945</v>
      </c>
      <c r="AH21" s="4">
        <f>IF('Rhaniad y Ddeiliadaeth (Cymru)'!$D$8="Amcangyfrifon LlC",'Incwm (Cymru)'!I21,'Incwm (Cymru)'!AA21)</f>
        <v>18853.686874228115</v>
      </c>
    </row>
    <row r="22" spans="2:34" x14ac:dyDescent="0.35">
      <c r="B22" s="251">
        <v>28</v>
      </c>
      <c r="C22" s="258">
        <v>16703.599999999999</v>
      </c>
      <c r="D22" s="258">
        <v>17131.310859168221</v>
      </c>
      <c r="E22" s="278">
        <f>D22*(1+'Rhaniad y Ddeiliadaeth (Cymru)'!C$109)+(D$44*(-(50-$B22)*('Rhaniad y Ddeiliadaeth (Cymru)'!C$110/40)))</f>
        <v>17370.028798118823</v>
      </c>
      <c r="F22" s="278">
        <f>E22*(1+'Rhaniad y Ddeiliadaeth (Cymru)'!D$109)+(E$44*(-(50-$B22)*('Rhaniad y Ddeiliadaeth (Cymru)'!D$110/40)))</f>
        <v>17816.281085659277</v>
      </c>
      <c r="G22" s="278">
        <f>F22*(1+'Rhaniad y Ddeiliadaeth (Cymru)'!E$109)+(F$44*(-(50-$B22)*('Rhaniad y Ddeiliadaeth (Cymru)'!E$110/40)))</f>
        <v>18271.013629906611</v>
      </c>
      <c r="H22" s="278">
        <f>G22*(1+'Rhaniad y Ddeiliadaeth (Cymru)'!F$109)+(G$44*(-(50-$B22)*('Rhaniad y Ddeiliadaeth (Cymru)'!F$110/40)))</f>
        <v>18745.280962748715</v>
      </c>
      <c r="I22" s="279">
        <f>H22*(1+'Rhaniad y Ddeiliadaeth (Cymru)'!G$109)+(H$44*(-(50-$B22)*('Rhaniad y Ddeiliadaeth (Cymru)'!G$110/40)))</f>
        <v>19226.958880891561</v>
      </c>
      <c r="M22" s="36" t="str">
        <f t="shared" si="1"/>
        <v/>
      </c>
      <c r="N22" s="190"/>
      <c r="O22" s="13">
        <f t="shared" si="4"/>
        <v>1</v>
      </c>
      <c r="U22" s="1">
        <f t="shared" si="2"/>
        <v>28</v>
      </c>
      <c r="V22" s="4" t="str">
        <f t="shared" si="3"/>
        <v/>
      </c>
      <c r="W22" s="4" t="e">
        <f>IF($W$3=$N$3,N22,V22*(1+'Rhaniad y Ddeiliadaeth (Cymru)'!C$109)+(V$44*(-(50-$U22)*('Rhaniad y Ddeiliadaeth (Cymru)'!C$110/40))))</f>
        <v>#VALUE!</v>
      </c>
      <c r="X22" s="4" t="e">
        <f>W22*(1+'Rhaniad y Ddeiliadaeth (Cymru)'!D$109)+(W$44*(-(50-$U22)*('Rhaniad y Ddeiliadaeth (Cymru)'!D$110/40)))</f>
        <v>#VALUE!</v>
      </c>
      <c r="Y22" s="4" t="e">
        <f>X22*(1+'Rhaniad y Ddeiliadaeth (Cymru)'!E$109)+(X$44*(-(50-$U22)*('Rhaniad y Ddeiliadaeth (Cymru)'!E$110/40)))</f>
        <v>#VALUE!</v>
      </c>
      <c r="Z22" s="4" t="e">
        <f>Y22*(1+'Rhaniad y Ddeiliadaeth (Cymru)'!F$109)+(Y$44*(-(50-$U22)*('Rhaniad y Ddeiliadaeth (Cymru)'!F$110/40)))</f>
        <v>#VALUE!</v>
      </c>
      <c r="AA22" s="4" t="e">
        <f>Z22*(1+'Rhaniad y Ddeiliadaeth (Cymru)'!G$109)+(Z$44*(-(50-$U22)*('Rhaniad y Ddeiliadaeth (Cymru)'!G$110/40)))</f>
        <v>#VALUE!</v>
      </c>
      <c r="AC22">
        <v>28</v>
      </c>
      <c r="AD22" s="4">
        <f>IF('Rhaniad y Ddeiliadaeth (Cymru)'!$D$8="Amcangyfrifon LlC",'Incwm (Cymru)'!E22,'Incwm (Cymru)'!W22)</f>
        <v>17370.028798118823</v>
      </c>
      <c r="AE22" s="4">
        <f>IF('Rhaniad y Ddeiliadaeth (Cymru)'!$D$8="Amcangyfrifon LlC",'Incwm (Cymru)'!F22,'Incwm (Cymru)'!X22)</f>
        <v>17816.281085659277</v>
      </c>
      <c r="AF22" s="4">
        <f>IF('Rhaniad y Ddeiliadaeth (Cymru)'!$D$8="Amcangyfrifon LlC",'Incwm (Cymru)'!G22,'Incwm (Cymru)'!Y22)</f>
        <v>18271.013629906611</v>
      </c>
      <c r="AG22" s="4">
        <f>IF('Rhaniad y Ddeiliadaeth (Cymru)'!$D$8="Amcangyfrifon LlC",'Incwm (Cymru)'!H22,'Incwm (Cymru)'!Z22)</f>
        <v>18745.280962748715</v>
      </c>
      <c r="AH22" s="4">
        <f>IF('Rhaniad y Ddeiliadaeth (Cymru)'!$D$8="Amcangyfrifon LlC",'Incwm (Cymru)'!I22,'Incwm (Cymru)'!AA22)</f>
        <v>19226.958880891561</v>
      </c>
    </row>
    <row r="23" spans="2:34" x14ac:dyDescent="0.35">
      <c r="B23" s="251">
        <v>29</v>
      </c>
      <c r="C23" s="258">
        <v>17070</v>
      </c>
      <c r="D23" s="258">
        <v>17507.092864173086</v>
      </c>
      <c r="E23" s="278">
        <f>D23*(1+'Rhaniad y Ddeiliadaeth (Cymru)'!C$109)+(D$44*(-(50-$B23)*('Rhaniad y Ddeiliadaeth (Cymru)'!C$110/40)))</f>
        <v>17760.873614355922</v>
      </c>
      <c r="F23" s="278">
        <f>E23*(1+'Rhaniad y Ddeiliadaeth (Cymru)'!D$109)+(E$44*(-(50-$B23)*('Rhaniad y Ddeiliadaeth (Cymru)'!D$110/40)))</f>
        <v>18227.298417487364</v>
      </c>
      <c r="G23" s="278">
        <f>F23*(1+'Rhaniad y Ddeiliadaeth (Cymru)'!E$109)+(F$44*(-(50-$B23)*('Rhaniad y Ddeiliadaeth (Cymru)'!E$110/40)))</f>
        <v>18703.087806065869</v>
      </c>
      <c r="H23" s="278">
        <f>G23*(1+'Rhaniad y Ddeiliadaeth (Cymru)'!F$109)+(G$44*(-(50-$B23)*('Rhaniad y Ddeiliadaeth (Cymru)'!F$110/40)))</f>
        <v>19199.590277302574</v>
      </c>
      <c r="I23" s="279">
        <f>H23*(1+'Rhaniad y Ddeiliadaeth (Cymru)'!G$109)+(H$44*(-(50-$B23)*('Rhaniad y Ddeiliadaeth (Cymru)'!G$110/40)))</f>
        <v>19704.440955233829</v>
      </c>
      <c r="M23" s="36" t="str">
        <f t="shared" si="1"/>
        <v/>
      </c>
      <c r="N23" s="190"/>
      <c r="O23" s="13">
        <f t="shared" si="4"/>
        <v>1</v>
      </c>
      <c r="U23" s="1">
        <f t="shared" si="2"/>
        <v>29</v>
      </c>
      <c r="V23" s="4" t="str">
        <f t="shared" si="3"/>
        <v/>
      </c>
      <c r="W23" s="4" t="e">
        <f>IF($W$3=$N$3,N23,V23*(1+'Rhaniad y Ddeiliadaeth (Cymru)'!C$109)+(V$44*(-(50-$U23)*('Rhaniad y Ddeiliadaeth (Cymru)'!C$110/40))))</f>
        <v>#VALUE!</v>
      </c>
      <c r="X23" s="4" t="e">
        <f>W23*(1+'Rhaniad y Ddeiliadaeth (Cymru)'!D$109)+(W$44*(-(50-$U23)*('Rhaniad y Ddeiliadaeth (Cymru)'!D$110/40)))</f>
        <v>#VALUE!</v>
      </c>
      <c r="Y23" s="4" t="e">
        <f>X23*(1+'Rhaniad y Ddeiliadaeth (Cymru)'!E$109)+(X$44*(-(50-$U23)*('Rhaniad y Ddeiliadaeth (Cymru)'!E$110/40)))</f>
        <v>#VALUE!</v>
      </c>
      <c r="Z23" s="4" t="e">
        <f>Y23*(1+'Rhaniad y Ddeiliadaeth (Cymru)'!F$109)+(Y$44*(-(50-$U23)*('Rhaniad y Ddeiliadaeth (Cymru)'!F$110/40)))</f>
        <v>#VALUE!</v>
      </c>
      <c r="AA23" s="4" t="e">
        <f>Z23*(1+'Rhaniad y Ddeiliadaeth (Cymru)'!G$109)+(Z$44*(-(50-$U23)*('Rhaniad y Ddeiliadaeth (Cymru)'!G$110/40)))</f>
        <v>#VALUE!</v>
      </c>
      <c r="AC23">
        <v>29</v>
      </c>
      <c r="AD23" s="4">
        <f>IF('Rhaniad y Ddeiliadaeth (Cymru)'!$D$8="Amcangyfrifon LlC",'Incwm (Cymru)'!E23,'Incwm (Cymru)'!W23)</f>
        <v>17760.873614355922</v>
      </c>
      <c r="AE23" s="4">
        <f>IF('Rhaniad y Ddeiliadaeth (Cymru)'!$D$8="Amcangyfrifon LlC",'Incwm (Cymru)'!F23,'Incwm (Cymru)'!X23)</f>
        <v>18227.298417487364</v>
      </c>
      <c r="AF23" s="4">
        <f>IF('Rhaniad y Ddeiliadaeth (Cymru)'!$D$8="Amcangyfrifon LlC",'Incwm (Cymru)'!G23,'Incwm (Cymru)'!Y23)</f>
        <v>18703.087806065869</v>
      </c>
      <c r="AG23" s="4">
        <f>IF('Rhaniad y Ddeiliadaeth (Cymru)'!$D$8="Amcangyfrifon LlC",'Incwm (Cymru)'!H23,'Incwm (Cymru)'!Z23)</f>
        <v>19199.590277302574</v>
      </c>
      <c r="AH23" s="4">
        <f>IF('Rhaniad y Ddeiliadaeth (Cymru)'!$D$8="Amcangyfrifon LlC",'Incwm (Cymru)'!I23,'Incwm (Cymru)'!AA23)</f>
        <v>19704.440955233829</v>
      </c>
    </row>
    <row r="24" spans="2:34" x14ac:dyDescent="0.35">
      <c r="B24" s="251">
        <v>30</v>
      </c>
      <c r="C24" s="258">
        <v>17411</v>
      </c>
      <c r="D24" s="258">
        <v>17807.244565014676</v>
      </c>
      <c r="E24" s="278">
        <f>D24*(1+'Rhaniad y Ddeiliadaeth (Cymru)'!C$109)+(D$44*(-(50-$B24)*('Rhaniad y Ddeiliadaeth (Cymru)'!C$110/40)))</f>
        <v>18074.390514570343</v>
      </c>
      <c r="F24" s="278">
        <f>E24*(1+'Rhaniad y Ddeiliadaeth (Cymru)'!D$109)+(E$44*(-(50-$B24)*('Rhaniad y Ddeiliadaeth (Cymru)'!D$110/40)))</f>
        <v>18558.337498298813</v>
      </c>
      <c r="G24" s="278">
        <f>F24*(1+'Rhaniad y Ddeiliadaeth (Cymru)'!E$109)+(F$44*(-(50-$B24)*('Rhaniad y Ddeiliadaeth (Cymru)'!E$110/40)))</f>
        <v>19052.45021144834</v>
      </c>
      <c r="H24" s="278">
        <f>G24*(1+'Rhaniad y Ddeiliadaeth (Cymru)'!F$109)+(G$44*(-(50-$B24)*('Rhaniad y Ddeiliadaeth (Cymru)'!F$110/40)))</f>
        <v>19568.318941191061</v>
      </c>
      <c r="I24" s="279">
        <f>H24*(1+'Rhaniad y Ddeiliadaeth (Cymru)'!G$109)+(H$44*(-(50-$B24)*('Rhaniad y Ddeiliadaeth (Cymru)'!G$110/40)))</f>
        <v>20093.390008242095</v>
      </c>
      <c r="M24" s="36" t="str">
        <f t="shared" si="1"/>
        <v/>
      </c>
      <c r="N24" s="190"/>
      <c r="O24" s="13">
        <f t="shared" si="4"/>
        <v>1</v>
      </c>
      <c r="U24" s="1">
        <f t="shared" si="2"/>
        <v>30</v>
      </c>
      <c r="V24" s="4" t="str">
        <f t="shared" si="3"/>
        <v/>
      </c>
      <c r="W24" s="4" t="e">
        <f>IF($W$3=$N$3,N24,V24*(1+'Rhaniad y Ddeiliadaeth (Cymru)'!C$109)+(V$44*(-(50-$U24)*('Rhaniad y Ddeiliadaeth (Cymru)'!C$110/40))))</f>
        <v>#VALUE!</v>
      </c>
      <c r="X24" s="4" t="e">
        <f>W24*(1+'Rhaniad y Ddeiliadaeth (Cymru)'!D$109)+(W$44*(-(50-$U24)*('Rhaniad y Ddeiliadaeth (Cymru)'!D$110/40)))</f>
        <v>#VALUE!</v>
      </c>
      <c r="Y24" s="4" t="e">
        <f>X24*(1+'Rhaniad y Ddeiliadaeth (Cymru)'!E$109)+(X$44*(-(50-$U24)*('Rhaniad y Ddeiliadaeth (Cymru)'!E$110/40)))</f>
        <v>#VALUE!</v>
      </c>
      <c r="Z24" s="4" t="e">
        <f>Y24*(1+'Rhaniad y Ddeiliadaeth (Cymru)'!F$109)+(Y$44*(-(50-$U24)*('Rhaniad y Ddeiliadaeth (Cymru)'!F$110/40)))</f>
        <v>#VALUE!</v>
      </c>
      <c r="AA24" s="4" t="e">
        <f>Z24*(1+'Rhaniad y Ddeiliadaeth (Cymru)'!G$109)+(Z$44*(-(50-$U24)*('Rhaniad y Ddeiliadaeth (Cymru)'!G$110/40)))</f>
        <v>#VALUE!</v>
      </c>
      <c r="AC24">
        <v>30</v>
      </c>
      <c r="AD24" s="4">
        <f>IF('Rhaniad y Ddeiliadaeth (Cymru)'!$D$8="Amcangyfrifon LlC",'Incwm (Cymru)'!E24,'Incwm (Cymru)'!W24)</f>
        <v>18074.390514570343</v>
      </c>
      <c r="AE24" s="4">
        <f>IF('Rhaniad y Ddeiliadaeth (Cymru)'!$D$8="Amcangyfrifon LlC",'Incwm (Cymru)'!F24,'Incwm (Cymru)'!X24)</f>
        <v>18558.337498298813</v>
      </c>
      <c r="AF24" s="4">
        <f>IF('Rhaniad y Ddeiliadaeth (Cymru)'!$D$8="Amcangyfrifon LlC",'Incwm (Cymru)'!G24,'Incwm (Cymru)'!Y24)</f>
        <v>19052.45021144834</v>
      </c>
      <c r="AG24" s="4">
        <f>IF('Rhaniad y Ddeiliadaeth (Cymru)'!$D$8="Amcangyfrifon LlC",'Incwm (Cymru)'!H24,'Incwm (Cymru)'!Z24)</f>
        <v>19568.318941191061</v>
      </c>
      <c r="AH24" s="4">
        <f>IF('Rhaniad y Ddeiliadaeth (Cymru)'!$D$8="Amcangyfrifon LlC",'Incwm (Cymru)'!I24,'Incwm (Cymru)'!AA24)</f>
        <v>20093.390008242095</v>
      </c>
    </row>
    <row r="25" spans="2:34" x14ac:dyDescent="0.35">
      <c r="B25" s="251">
        <v>31</v>
      </c>
      <c r="C25" s="258">
        <v>17727.45</v>
      </c>
      <c r="D25" s="258">
        <v>18130.896425482133</v>
      </c>
      <c r="E25" s="278">
        <f>D25*(1+'Rhaniad y Ddeiliadaeth (Cymru)'!C$109)+(D$44*(-(50-$B25)*('Rhaniad y Ddeiliadaeth (Cymru)'!C$110/40)))</f>
        <v>18411.935063359935</v>
      </c>
      <c r="F25" s="278">
        <f>E25*(1+'Rhaniad y Ddeiliadaeth (Cymru)'!D$109)+(E$44*(-(50-$B25)*('Rhaniad y Ddeiliadaeth (Cymru)'!D$110/40)))</f>
        <v>18914.227750691309</v>
      </c>
      <c r="G25" s="278">
        <f>F25*(1+'Rhaniad y Ddeiliadaeth (Cymru)'!E$109)+(F$44*(-(50-$B25)*('Rhaniad y Ddeiliadaeth (Cymru)'!E$110/40)))</f>
        <v>19427.513158930913</v>
      </c>
      <c r="H25" s="278">
        <f>G25*(1+'Rhaniad y Ddeiliadaeth (Cymru)'!F$109)+(G$44*(-(50-$B25)*('Rhaniad y Ddeiliadaeth (Cymru)'!F$110/40)))</f>
        <v>19963.639577355356</v>
      </c>
      <c r="I25" s="279">
        <f>H25*(1+'Rhaniad y Ddeiliadaeth (Cymru)'!G$109)+(H$44*(-(50-$B25)*('Rhaniad y Ddeiliadaeth (Cymru)'!G$110/40)))</f>
        <v>20509.848406300945</v>
      </c>
      <c r="M25" s="36" t="str">
        <f t="shared" si="1"/>
        <v/>
      </c>
      <c r="N25" s="190"/>
      <c r="O25" s="13">
        <f t="shared" si="4"/>
        <v>1</v>
      </c>
      <c r="U25" s="1">
        <f t="shared" si="2"/>
        <v>31</v>
      </c>
      <c r="V25" s="4" t="str">
        <f t="shared" si="3"/>
        <v/>
      </c>
      <c r="W25" s="4" t="e">
        <f>IF($W$3=$N$3,N25,V25*(1+'Rhaniad y Ddeiliadaeth (Cymru)'!C$109)+(V$44*(-(50-$U25)*('Rhaniad y Ddeiliadaeth (Cymru)'!C$110/40))))</f>
        <v>#VALUE!</v>
      </c>
      <c r="X25" s="4" t="e">
        <f>W25*(1+'Rhaniad y Ddeiliadaeth (Cymru)'!D$109)+(W$44*(-(50-$U25)*('Rhaniad y Ddeiliadaeth (Cymru)'!D$110/40)))</f>
        <v>#VALUE!</v>
      </c>
      <c r="Y25" s="4" t="e">
        <f>X25*(1+'Rhaniad y Ddeiliadaeth (Cymru)'!E$109)+(X$44*(-(50-$U25)*('Rhaniad y Ddeiliadaeth (Cymru)'!E$110/40)))</f>
        <v>#VALUE!</v>
      </c>
      <c r="Z25" s="4" t="e">
        <f>Y25*(1+'Rhaniad y Ddeiliadaeth (Cymru)'!F$109)+(Y$44*(-(50-$U25)*('Rhaniad y Ddeiliadaeth (Cymru)'!F$110/40)))</f>
        <v>#VALUE!</v>
      </c>
      <c r="AA25" s="4" t="e">
        <f>Z25*(1+'Rhaniad y Ddeiliadaeth (Cymru)'!G$109)+(Z$44*(-(50-$U25)*('Rhaniad y Ddeiliadaeth (Cymru)'!G$110/40)))</f>
        <v>#VALUE!</v>
      </c>
      <c r="AC25">
        <v>31</v>
      </c>
      <c r="AD25" s="4">
        <f>IF('Rhaniad y Ddeiliadaeth (Cymru)'!$D$8="Amcangyfrifon LlC",'Incwm (Cymru)'!E25,'Incwm (Cymru)'!W25)</f>
        <v>18411.935063359935</v>
      </c>
      <c r="AE25" s="4">
        <f>IF('Rhaniad y Ddeiliadaeth (Cymru)'!$D$8="Amcangyfrifon LlC",'Incwm (Cymru)'!F25,'Incwm (Cymru)'!X25)</f>
        <v>18914.227750691309</v>
      </c>
      <c r="AF25" s="4">
        <f>IF('Rhaniad y Ddeiliadaeth (Cymru)'!$D$8="Amcangyfrifon LlC",'Incwm (Cymru)'!G25,'Incwm (Cymru)'!Y25)</f>
        <v>19427.513158930913</v>
      </c>
      <c r="AG25" s="4">
        <f>IF('Rhaniad y Ddeiliadaeth (Cymru)'!$D$8="Amcangyfrifon LlC",'Incwm (Cymru)'!H25,'Incwm (Cymru)'!Z25)</f>
        <v>19963.639577355356</v>
      </c>
      <c r="AH25" s="4">
        <f>IF('Rhaniad y Ddeiliadaeth (Cymru)'!$D$8="Amcangyfrifon LlC",'Incwm (Cymru)'!I25,'Incwm (Cymru)'!AA25)</f>
        <v>20509.848406300945</v>
      </c>
    </row>
    <row r="26" spans="2:34" x14ac:dyDescent="0.35">
      <c r="B26" s="251">
        <v>32</v>
      </c>
      <c r="C26" s="258">
        <v>18145.5</v>
      </c>
      <c r="D26" s="258">
        <v>18558.46052808419</v>
      </c>
      <c r="E26" s="278">
        <f>D26*(1+'Rhaniad y Ddeiliadaeth (Cymru)'!C$109)+(D$44*(-(50-$B26)*('Rhaniad y Ddeiliadaeth (Cymru)'!C$110/40)))</f>
        <v>18855.724287778041</v>
      </c>
      <c r="F26" s="278">
        <f>E26*(1+'Rhaniad y Ddeiliadaeth (Cymru)'!D$109)+(E$44*(-(50-$B26)*('Rhaniad y Ddeiliadaeth (Cymru)'!D$110/40)))</f>
        <v>19380.00410597719</v>
      </c>
      <c r="G26" s="278">
        <f>F26*(1+'Rhaniad y Ddeiliadaeth (Cymru)'!E$109)+(F$44*(-(50-$B26)*('Rhaniad y Ddeiliadaeth (Cymru)'!E$110/40)))</f>
        <v>19916.21792826556</v>
      </c>
      <c r="H26" s="278">
        <f>G26*(1+'Rhaniad y Ddeiliadaeth (Cymru)'!F$109)+(G$44*(-(50-$B26)*('Rhaniad y Ddeiliadaeth (Cymru)'!F$110/40)))</f>
        <v>20476.543732353322</v>
      </c>
      <c r="I26" s="279">
        <f>H26*(1+'Rhaniad y Ddeiliadaeth (Cymru)'!G$109)+(H$44*(-(50-$B26)*('Rhaniad y Ddeiliadaeth (Cymru)'!G$110/40)))</f>
        <v>21047.946732316555</v>
      </c>
      <c r="M26" s="36" t="str">
        <f t="shared" si="1"/>
        <v/>
      </c>
      <c r="N26" s="190"/>
      <c r="O26" s="13">
        <f t="shared" si="4"/>
        <v>1</v>
      </c>
      <c r="U26" s="1">
        <f t="shared" si="2"/>
        <v>32</v>
      </c>
      <c r="V26" s="4" t="str">
        <f t="shared" si="3"/>
        <v/>
      </c>
      <c r="W26" s="4" t="e">
        <f>IF($W$3=$N$3,N26,V26*(1+'Rhaniad y Ddeiliadaeth (Cymru)'!C$109)+(V$44*(-(50-$U26)*('Rhaniad y Ddeiliadaeth (Cymru)'!C$110/40))))</f>
        <v>#VALUE!</v>
      </c>
      <c r="X26" s="4" t="e">
        <f>W26*(1+'Rhaniad y Ddeiliadaeth (Cymru)'!D$109)+(W$44*(-(50-$U26)*('Rhaniad y Ddeiliadaeth (Cymru)'!D$110/40)))</f>
        <v>#VALUE!</v>
      </c>
      <c r="Y26" s="4" t="e">
        <f>X26*(1+'Rhaniad y Ddeiliadaeth (Cymru)'!E$109)+(X$44*(-(50-$U26)*('Rhaniad y Ddeiliadaeth (Cymru)'!E$110/40)))</f>
        <v>#VALUE!</v>
      </c>
      <c r="Z26" s="4" t="e">
        <f>Y26*(1+'Rhaniad y Ddeiliadaeth (Cymru)'!F$109)+(Y$44*(-(50-$U26)*('Rhaniad y Ddeiliadaeth (Cymru)'!F$110/40)))</f>
        <v>#VALUE!</v>
      </c>
      <c r="AA26" s="4" t="e">
        <f>Z26*(1+'Rhaniad y Ddeiliadaeth (Cymru)'!G$109)+(Z$44*(-(50-$U26)*('Rhaniad y Ddeiliadaeth (Cymru)'!G$110/40)))</f>
        <v>#VALUE!</v>
      </c>
      <c r="AC26">
        <v>32</v>
      </c>
      <c r="AD26" s="4">
        <f>IF('Rhaniad y Ddeiliadaeth (Cymru)'!$D$8="Amcangyfrifon LlC",'Incwm (Cymru)'!E26,'Incwm (Cymru)'!W26)</f>
        <v>18855.724287778041</v>
      </c>
      <c r="AE26" s="4">
        <f>IF('Rhaniad y Ddeiliadaeth (Cymru)'!$D$8="Amcangyfrifon LlC",'Incwm (Cymru)'!F26,'Incwm (Cymru)'!X26)</f>
        <v>19380.00410597719</v>
      </c>
      <c r="AF26" s="4">
        <f>IF('Rhaniad y Ddeiliadaeth (Cymru)'!$D$8="Amcangyfrifon LlC",'Incwm (Cymru)'!G26,'Incwm (Cymru)'!Y26)</f>
        <v>19916.21792826556</v>
      </c>
      <c r="AG26" s="4">
        <f>IF('Rhaniad y Ddeiliadaeth (Cymru)'!$D$8="Amcangyfrifon LlC",'Incwm (Cymru)'!H26,'Incwm (Cymru)'!Z26)</f>
        <v>20476.543732353322</v>
      </c>
      <c r="AH26" s="4">
        <f>IF('Rhaniad y Ddeiliadaeth (Cymru)'!$D$8="Amcangyfrifon LlC",'Incwm (Cymru)'!I26,'Incwm (Cymru)'!AA26)</f>
        <v>21047.946732316555</v>
      </c>
    </row>
    <row r="27" spans="2:34" x14ac:dyDescent="0.35">
      <c r="B27" s="251">
        <v>33</v>
      </c>
      <c r="C27" s="258">
        <v>18572</v>
      </c>
      <c r="D27" s="258">
        <v>18994.666938225982</v>
      </c>
      <c r="E27" s="278">
        <f>D27*(1+'Rhaniad y Ddeiliadaeth (Cymru)'!C$109)+(D$44*(-(50-$B27)*('Rhaniad y Ddeiliadaeth (Cymru)'!C$110/40)))</f>
        <v>19308.349806576662</v>
      </c>
      <c r="F27" s="278">
        <f>E27*(1+'Rhaniad y Ddeiliadaeth (Cymru)'!D$109)+(E$44*(-(50-$B27)*('Rhaniad y Ddeiliadaeth (Cymru)'!D$110/40)))</f>
        <v>19854.919610568661</v>
      </c>
      <c r="G27" s="278">
        <f>F27*(1+'Rhaniad y Ddeiliadaeth (Cymru)'!E$109)+(F$44*(-(50-$B27)*('Rhaniad y Ddeiliadaeth (Cymru)'!E$110/40)))</f>
        <v>20414.37420739005</v>
      </c>
      <c r="H27" s="278">
        <f>G27*(1+'Rhaniad y Ddeiliadaeth (Cymru)'!F$109)+(G$44*(-(50-$B27)*('Rhaniad y Ddeiliadaeth (Cymru)'!F$110/40)))</f>
        <v>20999.227225285762</v>
      </c>
      <c r="I27" s="279">
        <f>H27*(1+'Rhaniad y Ddeiliadaeth (Cymru)'!G$109)+(H$44*(-(50-$B27)*('Rhaniad y Ddeiliadaeth (Cymru)'!G$110/40)))</f>
        <v>21596.161764938784</v>
      </c>
      <c r="M27" s="36" t="str">
        <f t="shared" si="1"/>
        <v/>
      </c>
      <c r="N27" s="190"/>
      <c r="O27" s="13">
        <f t="shared" si="4"/>
        <v>1</v>
      </c>
      <c r="U27" s="1">
        <f t="shared" si="2"/>
        <v>33</v>
      </c>
      <c r="V27" s="4" t="str">
        <f t="shared" si="3"/>
        <v/>
      </c>
      <c r="W27" s="4" t="e">
        <f>IF($W$3=$N$3,N27,V27*(1+'Rhaniad y Ddeiliadaeth (Cymru)'!C$109)+(V$44*(-(50-$U27)*('Rhaniad y Ddeiliadaeth (Cymru)'!C$110/40))))</f>
        <v>#VALUE!</v>
      </c>
      <c r="X27" s="4" t="e">
        <f>W27*(1+'Rhaniad y Ddeiliadaeth (Cymru)'!D$109)+(W$44*(-(50-$U27)*('Rhaniad y Ddeiliadaeth (Cymru)'!D$110/40)))</f>
        <v>#VALUE!</v>
      </c>
      <c r="Y27" s="4" t="e">
        <f>X27*(1+'Rhaniad y Ddeiliadaeth (Cymru)'!E$109)+(X$44*(-(50-$U27)*('Rhaniad y Ddeiliadaeth (Cymru)'!E$110/40)))</f>
        <v>#VALUE!</v>
      </c>
      <c r="Z27" s="4" t="e">
        <f>Y27*(1+'Rhaniad y Ddeiliadaeth (Cymru)'!F$109)+(Y$44*(-(50-$U27)*('Rhaniad y Ddeiliadaeth (Cymru)'!F$110/40)))</f>
        <v>#VALUE!</v>
      </c>
      <c r="AA27" s="4" t="e">
        <f>Z27*(1+'Rhaniad y Ddeiliadaeth (Cymru)'!G$109)+(Z$44*(-(50-$U27)*('Rhaniad y Ddeiliadaeth (Cymru)'!G$110/40)))</f>
        <v>#VALUE!</v>
      </c>
      <c r="AC27">
        <v>33</v>
      </c>
      <c r="AD27" s="4">
        <f>IF('Rhaniad y Ddeiliadaeth (Cymru)'!$D$8="Amcangyfrifon LlC",'Incwm (Cymru)'!E27,'Incwm (Cymru)'!W27)</f>
        <v>19308.349806576662</v>
      </c>
      <c r="AE27" s="4">
        <f>IF('Rhaniad y Ddeiliadaeth (Cymru)'!$D$8="Amcangyfrifon LlC",'Incwm (Cymru)'!F27,'Incwm (Cymru)'!X27)</f>
        <v>19854.919610568661</v>
      </c>
      <c r="AF27" s="4">
        <f>IF('Rhaniad y Ddeiliadaeth (Cymru)'!$D$8="Amcangyfrifon LlC",'Incwm (Cymru)'!G27,'Incwm (Cymru)'!Y27)</f>
        <v>20414.37420739005</v>
      </c>
      <c r="AG27" s="4">
        <f>IF('Rhaniad y Ddeiliadaeth (Cymru)'!$D$8="Amcangyfrifon LlC",'Incwm (Cymru)'!H27,'Incwm (Cymru)'!Z27)</f>
        <v>20999.227225285762</v>
      </c>
      <c r="AH27" s="4">
        <f>IF('Rhaniad y Ddeiliadaeth (Cymru)'!$D$8="Amcangyfrifon LlC",'Incwm (Cymru)'!I27,'Incwm (Cymru)'!AA27)</f>
        <v>21596.161764938784</v>
      </c>
    </row>
    <row r="28" spans="2:34" x14ac:dyDescent="0.35">
      <c r="B28" s="251">
        <v>34</v>
      </c>
      <c r="C28" s="258">
        <v>18966.22</v>
      </c>
      <c r="D28" s="258">
        <v>19397.85871080769</v>
      </c>
      <c r="E28" s="278">
        <f>D28*(1+'Rhaniad y Ddeiliadaeth (Cymru)'!C$109)+(D$44*(-(50-$B28)*('Rhaniad y Ddeiliadaeth (Cymru)'!C$110/40)))</f>
        <v>19727.219635126385</v>
      </c>
      <c r="F28" s="278">
        <f>E28*(1+'Rhaniad y Ddeiliadaeth (Cymru)'!D$109)+(E$44*(-(50-$B28)*('Rhaniad y Ddeiliadaeth (Cymru)'!D$110/40)))</f>
        <v>20294.922483256611</v>
      </c>
      <c r="G28" s="278">
        <f>F28*(1+'Rhaniad y Ddeiliadaeth (Cymru)'!E$109)+(F$44*(-(50-$B28)*('Rhaniad y Ddeiliadaeth (Cymru)'!E$110/40)))</f>
        <v>20876.424600595412</v>
      </c>
      <c r="H28" s="278">
        <f>G28*(1+'Rhaniad y Ddeiliadaeth (Cymru)'!F$109)+(G$44*(-(50-$B28)*('Rhaniad y Ddeiliadaeth (Cymru)'!F$110/40)))</f>
        <v>21484.552489990361</v>
      </c>
      <c r="I28" s="279">
        <f>H28*(1+'Rhaniad y Ddeiliadaeth (Cymru)'!G$109)+(H$44*(-(50-$B28)*('Rhaniad y Ddeiliadaeth (Cymru)'!G$110/40)))</f>
        <v>22105.729781080288</v>
      </c>
      <c r="M28" s="36" t="str">
        <f t="shared" si="1"/>
        <v/>
      </c>
      <c r="N28" s="190"/>
      <c r="O28" s="13">
        <f t="shared" si="4"/>
        <v>1</v>
      </c>
      <c r="U28" s="1">
        <f t="shared" si="2"/>
        <v>34</v>
      </c>
      <c r="V28" s="4" t="str">
        <f t="shared" si="3"/>
        <v/>
      </c>
      <c r="W28" s="4" t="e">
        <f>IF($W$3=$N$3,N28,V28*(1+'Rhaniad y Ddeiliadaeth (Cymru)'!C$109)+(V$44*(-(50-$U28)*('Rhaniad y Ddeiliadaeth (Cymru)'!C$110/40))))</f>
        <v>#VALUE!</v>
      </c>
      <c r="X28" s="4" t="e">
        <f>W28*(1+'Rhaniad y Ddeiliadaeth (Cymru)'!D$109)+(W$44*(-(50-$U28)*('Rhaniad y Ddeiliadaeth (Cymru)'!D$110/40)))</f>
        <v>#VALUE!</v>
      </c>
      <c r="Y28" s="4" t="e">
        <f>X28*(1+'Rhaniad y Ddeiliadaeth (Cymru)'!E$109)+(X$44*(-(50-$U28)*('Rhaniad y Ddeiliadaeth (Cymru)'!E$110/40)))</f>
        <v>#VALUE!</v>
      </c>
      <c r="Z28" s="4" t="e">
        <f>Y28*(1+'Rhaniad y Ddeiliadaeth (Cymru)'!F$109)+(Y$44*(-(50-$U28)*('Rhaniad y Ddeiliadaeth (Cymru)'!F$110/40)))</f>
        <v>#VALUE!</v>
      </c>
      <c r="AA28" s="4" t="e">
        <f>Z28*(1+'Rhaniad y Ddeiliadaeth (Cymru)'!G$109)+(Z$44*(-(50-$U28)*('Rhaniad y Ddeiliadaeth (Cymru)'!G$110/40)))</f>
        <v>#VALUE!</v>
      </c>
      <c r="AC28">
        <v>34</v>
      </c>
      <c r="AD28" s="4">
        <f>IF('Rhaniad y Ddeiliadaeth (Cymru)'!$D$8="Amcangyfrifon LlC",'Incwm (Cymru)'!E28,'Incwm (Cymru)'!W28)</f>
        <v>19727.219635126385</v>
      </c>
      <c r="AE28" s="4">
        <f>IF('Rhaniad y Ddeiliadaeth (Cymru)'!$D$8="Amcangyfrifon LlC",'Incwm (Cymru)'!F28,'Incwm (Cymru)'!X28)</f>
        <v>20294.922483256611</v>
      </c>
      <c r="AF28" s="4">
        <f>IF('Rhaniad y Ddeiliadaeth (Cymru)'!$D$8="Amcangyfrifon LlC",'Incwm (Cymru)'!G28,'Incwm (Cymru)'!Y28)</f>
        <v>20876.424600595412</v>
      </c>
      <c r="AG28" s="4">
        <f>IF('Rhaniad y Ddeiliadaeth (Cymru)'!$D$8="Amcangyfrifon LlC",'Incwm (Cymru)'!H28,'Incwm (Cymru)'!Z28)</f>
        <v>21484.552489990361</v>
      </c>
      <c r="AH28" s="4">
        <f>IF('Rhaniad y Ddeiliadaeth (Cymru)'!$D$8="Amcangyfrifon LlC",'Incwm (Cymru)'!I28,'Incwm (Cymru)'!AA28)</f>
        <v>22105.729781080288</v>
      </c>
    </row>
    <row r="29" spans="2:34" x14ac:dyDescent="0.35">
      <c r="B29" s="251">
        <v>35</v>
      </c>
      <c r="C29" s="258">
        <v>19362.75</v>
      </c>
      <c r="D29" s="258">
        <v>19803.413055036352</v>
      </c>
      <c r="E29" s="278">
        <f>D29*(1+'Rhaniad y Ddeiliadaeth (Cymru)'!C$109)+(D$44*(-(50-$B29)*('Rhaniad y Ddeiliadaeth (Cymru)'!C$110/40)))</f>
        <v>20148.505066045222</v>
      </c>
      <c r="F29" s="278">
        <f>E29*(1+'Rhaniad y Ddeiliadaeth (Cymru)'!D$109)+(E$44*(-(50-$B29)*('Rhaniad y Ddeiliadaeth (Cymru)'!D$110/40)))</f>
        <v>20737.423750606802</v>
      </c>
      <c r="G29" s="278">
        <f>F29*(1+'Rhaniad y Ddeiliadaeth (Cymru)'!E$109)+(F$44*(-(50-$B29)*('Rhaniad y Ddeiliadaeth (Cymru)'!E$110/40)))</f>
        <v>21341.058779317293</v>
      </c>
      <c r="H29" s="278">
        <f>G29*(1+'Rhaniad y Ddeiliadaeth (Cymru)'!F$109)+(G$44*(-(50-$B29)*('Rhaniad y Ddeiliadaeth (Cymru)'!F$110/40)))</f>
        <v>21972.55115950308</v>
      </c>
      <c r="I29" s="279">
        <f>H29*(1+'Rhaniad y Ddeiliadaeth (Cymru)'!G$109)+(H$44*(-(50-$B29)*('Rhaniad y Ddeiliadaeth (Cymru)'!G$110/40)))</f>
        <v>22618.06342944206</v>
      </c>
      <c r="M29" s="36" t="str">
        <f t="shared" si="1"/>
        <v/>
      </c>
      <c r="N29" s="190"/>
      <c r="O29" s="13">
        <f t="shared" si="4"/>
        <v>1</v>
      </c>
      <c r="U29" s="1">
        <f t="shared" si="2"/>
        <v>35</v>
      </c>
      <c r="V29" s="4" t="str">
        <f t="shared" si="3"/>
        <v/>
      </c>
      <c r="W29" s="4" t="e">
        <f>IF($W$3=$N$3,N29,V29*(1+'Rhaniad y Ddeiliadaeth (Cymru)'!C$109)+(V$44*(-(50-$U29)*('Rhaniad y Ddeiliadaeth (Cymru)'!C$110/40))))</f>
        <v>#VALUE!</v>
      </c>
      <c r="X29" s="4" t="e">
        <f>W29*(1+'Rhaniad y Ddeiliadaeth (Cymru)'!D$109)+(W$44*(-(50-$U29)*('Rhaniad y Ddeiliadaeth (Cymru)'!D$110/40)))</f>
        <v>#VALUE!</v>
      </c>
      <c r="Y29" s="4" t="e">
        <f>X29*(1+'Rhaniad y Ddeiliadaeth (Cymru)'!E$109)+(X$44*(-(50-$U29)*('Rhaniad y Ddeiliadaeth (Cymru)'!E$110/40)))</f>
        <v>#VALUE!</v>
      </c>
      <c r="Z29" s="4" t="e">
        <f>Y29*(1+'Rhaniad y Ddeiliadaeth (Cymru)'!F$109)+(Y$44*(-(50-$U29)*('Rhaniad y Ddeiliadaeth (Cymru)'!F$110/40)))</f>
        <v>#VALUE!</v>
      </c>
      <c r="AA29" s="4" t="e">
        <f>Z29*(1+'Rhaniad y Ddeiliadaeth (Cymru)'!G$109)+(Z$44*(-(50-$U29)*('Rhaniad y Ddeiliadaeth (Cymru)'!G$110/40)))</f>
        <v>#VALUE!</v>
      </c>
      <c r="AC29">
        <v>35</v>
      </c>
      <c r="AD29" s="4">
        <f>IF('Rhaniad y Ddeiliadaeth (Cymru)'!$D$8="Amcangyfrifon LlC",'Incwm (Cymru)'!E29,'Incwm (Cymru)'!W29)</f>
        <v>20148.505066045222</v>
      </c>
      <c r="AE29" s="4">
        <f>IF('Rhaniad y Ddeiliadaeth (Cymru)'!$D$8="Amcangyfrifon LlC",'Incwm (Cymru)'!F29,'Incwm (Cymru)'!X29)</f>
        <v>20737.423750606802</v>
      </c>
      <c r="AF29" s="4">
        <f>IF('Rhaniad y Ddeiliadaeth (Cymru)'!$D$8="Amcangyfrifon LlC",'Incwm (Cymru)'!G29,'Incwm (Cymru)'!Y29)</f>
        <v>21341.058779317293</v>
      </c>
      <c r="AG29" s="4">
        <f>IF('Rhaniad y Ddeiliadaeth (Cymru)'!$D$8="Amcangyfrifon LlC",'Incwm (Cymru)'!H29,'Incwm (Cymru)'!Z29)</f>
        <v>21972.55115950308</v>
      </c>
      <c r="AH29" s="4">
        <f>IF('Rhaniad y Ddeiliadaeth (Cymru)'!$D$8="Amcangyfrifon LlC",'Incwm (Cymru)'!I29,'Incwm (Cymru)'!AA29)</f>
        <v>22618.06342944206</v>
      </c>
    </row>
    <row r="30" spans="2:34" x14ac:dyDescent="0.35">
      <c r="B30" s="251">
        <v>36</v>
      </c>
      <c r="C30" s="258">
        <v>19692.5</v>
      </c>
      <c r="D30" s="258">
        <v>20140.667600743869</v>
      </c>
      <c r="E30" s="278">
        <f>D30*(1+'Rhaniad y Ddeiliadaeth (Cymru)'!C$109)+(D$44*(-(50-$B30)*('Rhaniad y Ddeiliadaeth (Cymru)'!C$110/40)))</f>
        <v>20499.95762847516</v>
      </c>
      <c r="F30" s="278">
        <f>E30*(1+'Rhaniad y Ddeiliadaeth (Cymru)'!D$109)+(E$44*(-(50-$B30)*('Rhaniad y Ddeiliadaeth (Cymru)'!D$110/40)))</f>
        <v>21107.69869953948</v>
      </c>
      <c r="G30" s="278">
        <f>F30*(1+'Rhaniad y Ddeiliadaeth (Cymru)'!E$109)+(F$44*(-(50-$B30)*('Rhaniad y Ddeiliadaeth (Cymru)'!E$110/40)))</f>
        <v>21730.998067652556</v>
      </c>
      <c r="H30" s="278">
        <f>G30*(1+'Rhaniad y Ddeiliadaeth (Cymru)'!F$109)+(G$44*(-(50-$B30)*('Rhaniad y Ddeiliadaeth (Cymru)'!F$110/40)))</f>
        <v>22383.264126380847</v>
      </c>
      <c r="I30" s="279">
        <f>H30*(1+'Rhaniad y Ddeiliadaeth (Cymru)'!G$109)+(H$44*(-(50-$B30)*('Rhaniad y Ddeiliadaeth (Cymru)'!G$110/40)))</f>
        <v>23050.445164526758</v>
      </c>
      <c r="M30" s="36" t="str">
        <f t="shared" si="1"/>
        <v/>
      </c>
      <c r="N30" s="190"/>
      <c r="O30" s="13">
        <f t="shared" si="4"/>
        <v>1</v>
      </c>
      <c r="U30" s="1">
        <f t="shared" si="2"/>
        <v>36</v>
      </c>
      <c r="V30" s="4" t="str">
        <f t="shared" si="3"/>
        <v/>
      </c>
      <c r="W30" s="4" t="e">
        <f>IF($W$3=$N$3,N30,V30*(1+'Rhaniad y Ddeiliadaeth (Cymru)'!C$109)+(V$44*(-(50-$U30)*('Rhaniad y Ddeiliadaeth (Cymru)'!C$110/40))))</f>
        <v>#VALUE!</v>
      </c>
      <c r="X30" s="4" t="e">
        <f>W30*(1+'Rhaniad y Ddeiliadaeth (Cymru)'!D$109)+(W$44*(-(50-$U30)*('Rhaniad y Ddeiliadaeth (Cymru)'!D$110/40)))</f>
        <v>#VALUE!</v>
      </c>
      <c r="Y30" s="4" t="e">
        <f>X30*(1+'Rhaniad y Ddeiliadaeth (Cymru)'!E$109)+(X$44*(-(50-$U30)*('Rhaniad y Ddeiliadaeth (Cymru)'!E$110/40)))</f>
        <v>#VALUE!</v>
      </c>
      <c r="Z30" s="4" t="e">
        <f>Y30*(1+'Rhaniad y Ddeiliadaeth (Cymru)'!F$109)+(Y$44*(-(50-$U30)*('Rhaniad y Ddeiliadaeth (Cymru)'!F$110/40)))</f>
        <v>#VALUE!</v>
      </c>
      <c r="AA30" s="4" t="e">
        <f>Z30*(1+'Rhaniad y Ddeiliadaeth (Cymru)'!G$109)+(Z$44*(-(50-$U30)*('Rhaniad y Ddeiliadaeth (Cymru)'!G$110/40)))</f>
        <v>#VALUE!</v>
      </c>
      <c r="AC30">
        <v>36</v>
      </c>
      <c r="AD30" s="4">
        <f>IF('Rhaniad y Ddeiliadaeth (Cymru)'!$D$8="Amcangyfrifon LlC",'Incwm (Cymru)'!E30,'Incwm (Cymru)'!W30)</f>
        <v>20499.95762847516</v>
      </c>
      <c r="AE30" s="4">
        <f>IF('Rhaniad y Ddeiliadaeth (Cymru)'!$D$8="Amcangyfrifon LlC",'Incwm (Cymru)'!F30,'Incwm (Cymru)'!X30)</f>
        <v>21107.69869953948</v>
      </c>
      <c r="AF30" s="4">
        <f>IF('Rhaniad y Ddeiliadaeth (Cymru)'!$D$8="Amcangyfrifon LlC",'Incwm (Cymru)'!G30,'Incwm (Cymru)'!Y30)</f>
        <v>21730.998067652556</v>
      </c>
      <c r="AG30" s="4">
        <f>IF('Rhaniad y Ddeiliadaeth (Cymru)'!$D$8="Amcangyfrifon LlC",'Incwm (Cymru)'!H30,'Incwm (Cymru)'!Z30)</f>
        <v>22383.264126380847</v>
      </c>
      <c r="AH30" s="4">
        <f>IF('Rhaniad y Ddeiliadaeth (Cymru)'!$D$8="Amcangyfrifon LlC",'Incwm (Cymru)'!I30,'Incwm (Cymru)'!AA30)</f>
        <v>23050.445164526758</v>
      </c>
    </row>
    <row r="31" spans="2:34" x14ac:dyDescent="0.35">
      <c r="B31" s="251">
        <v>37</v>
      </c>
      <c r="C31" s="258">
        <v>20073.233</v>
      </c>
      <c r="D31" s="258">
        <v>20530.065432285523</v>
      </c>
      <c r="E31" s="278">
        <f>D31*(1+'Rhaniad y Ddeiliadaeth (Cymru)'!C$109)+(D$44*(-(50-$B31)*('Rhaniad y Ddeiliadaeth (Cymru)'!C$110/40)))</f>
        <v>20904.723894621322</v>
      </c>
      <c r="F31" s="278">
        <f>E31*(1+'Rhaniad y Ddeiliadaeth (Cymru)'!D$109)+(E$44*(-(50-$B31)*('Rhaniad y Ddeiliadaeth (Cymru)'!D$110/40)))</f>
        <v>21533.114624690781</v>
      </c>
      <c r="G31" s="278">
        <f>F31*(1+'Rhaniad y Ddeiliadaeth (Cymru)'!E$109)+(F$44*(-(50-$B31)*('Rhaniad y Ddeiliadaeth (Cymru)'!E$110/40)))</f>
        <v>22177.962956415795</v>
      </c>
      <c r="H31" s="278">
        <f>G31*(1+'Rhaniad y Ddeiliadaeth (Cymru)'!F$109)+(G$44*(-(50-$B31)*('Rhaniad y Ddeiliadaeth (Cymru)'!F$110/40)))</f>
        <v>22852.980641887501</v>
      </c>
      <c r="I31" s="279">
        <f>H31*(1+'Rhaniad y Ddeiliadaeth (Cymru)'!G$109)+(H$44*(-(50-$B31)*('Rhaniad y Ddeiliadaeth (Cymru)'!G$110/40)))</f>
        <v>23543.86595912934</v>
      </c>
      <c r="M31" s="36" t="str">
        <f t="shared" si="1"/>
        <v/>
      </c>
      <c r="N31" s="190"/>
      <c r="O31" s="13">
        <f t="shared" si="4"/>
        <v>1</v>
      </c>
      <c r="U31" s="1">
        <f t="shared" si="2"/>
        <v>37</v>
      </c>
      <c r="V31" s="4" t="str">
        <f t="shared" si="3"/>
        <v/>
      </c>
      <c r="W31" s="4" t="e">
        <f>IF($W$3=$N$3,N31,V31*(1+'Rhaniad y Ddeiliadaeth (Cymru)'!C$109)+(V$44*(-(50-$U31)*('Rhaniad y Ddeiliadaeth (Cymru)'!C$110/40))))</f>
        <v>#VALUE!</v>
      </c>
      <c r="X31" s="4" t="e">
        <f>W31*(1+'Rhaniad y Ddeiliadaeth (Cymru)'!D$109)+(W$44*(-(50-$U31)*('Rhaniad y Ddeiliadaeth (Cymru)'!D$110/40)))</f>
        <v>#VALUE!</v>
      </c>
      <c r="Y31" s="4" t="e">
        <f>X31*(1+'Rhaniad y Ddeiliadaeth (Cymru)'!E$109)+(X$44*(-(50-$U31)*('Rhaniad y Ddeiliadaeth (Cymru)'!E$110/40)))</f>
        <v>#VALUE!</v>
      </c>
      <c r="Z31" s="4" t="e">
        <f>Y31*(1+'Rhaniad y Ddeiliadaeth (Cymru)'!F$109)+(Y$44*(-(50-$U31)*('Rhaniad y Ddeiliadaeth (Cymru)'!F$110/40)))</f>
        <v>#VALUE!</v>
      </c>
      <c r="AA31" s="4" t="e">
        <f>Z31*(1+'Rhaniad y Ddeiliadaeth (Cymru)'!G$109)+(Z$44*(-(50-$U31)*('Rhaniad y Ddeiliadaeth (Cymru)'!G$110/40)))</f>
        <v>#VALUE!</v>
      </c>
      <c r="AC31">
        <v>37</v>
      </c>
      <c r="AD31" s="4">
        <f>IF('Rhaniad y Ddeiliadaeth (Cymru)'!$D$8="Amcangyfrifon LlC",'Incwm (Cymru)'!E31,'Incwm (Cymru)'!W31)</f>
        <v>20904.723894621322</v>
      </c>
      <c r="AE31" s="4">
        <f>IF('Rhaniad y Ddeiliadaeth (Cymru)'!$D$8="Amcangyfrifon LlC",'Incwm (Cymru)'!F31,'Incwm (Cymru)'!X31)</f>
        <v>21533.114624690781</v>
      </c>
      <c r="AF31" s="4">
        <f>IF('Rhaniad y Ddeiliadaeth (Cymru)'!$D$8="Amcangyfrifon LlC",'Incwm (Cymru)'!G31,'Incwm (Cymru)'!Y31)</f>
        <v>22177.962956415795</v>
      </c>
      <c r="AG31" s="4">
        <f>IF('Rhaniad y Ddeiliadaeth (Cymru)'!$D$8="Amcangyfrifon LlC",'Incwm (Cymru)'!H31,'Incwm (Cymru)'!Z31)</f>
        <v>22852.980641887501</v>
      </c>
      <c r="AH31" s="4">
        <f>IF('Rhaniad y Ddeiliadaeth (Cymru)'!$D$8="Amcangyfrifon LlC",'Incwm (Cymru)'!I31,'Incwm (Cymru)'!AA31)</f>
        <v>23543.86595912934</v>
      </c>
    </row>
    <row r="32" spans="2:34" x14ac:dyDescent="0.35">
      <c r="B32" s="251">
        <v>38</v>
      </c>
      <c r="C32" s="258">
        <v>20488</v>
      </c>
      <c r="D32" s="258">
        <v>20954.271819425692</v>
      </c>
      <c r="E32" s="278">
        <f>D32*(1+'Rhaniad y Ddeiliadaeth (Cymru)'!C$109)+(D$44*(-(50-$B32)*('Rhaniad y Ddeiliadaeth (Cymru)'!C$110/40)))</f>
        <v>21345.080035672414</v>
      </c>
      <c r="F32" s="278">
        <f>E32*(1+'Rhaniad y Ddeiliadaeth (Cymru)'!D$109)+(E$44*(-(50-$B32)*('Rhaniad y Ddeiliadaeth (Cymru)'!D$110/40)))</f>
        <v>21995.340231199112</v>
      </c>
      <c r="G32" s="278">
        <f>F32*(1+'Rhaniad y Ddeiliadaeth (Cymru)'!E$109)+(F$44*(-(50-$B32)*('Rhaniad y Ddeiliadaeth (Cymru)'!E$110/40)))</f>
        <v>22662.995618455752</v>
      </c>
      <c r="H32" s="278">
        <f>G32*(1+'Rhaniad y Ddeiliadaeth (Cymru)'!F$109)+(G$44*(-(50-$B32)*('Rhaniad y Ddeiliadaeth (Cymru)'!F$110/40)))</f>
        <v>23362.085321567251</v>
      </c>
      <c r="I32" s="279">
        <f>H32*(1+'Rhaniad y Ddeiliadaeth (Cymru)'!G$109)+(H$44*(-(50-$B32)*('Rhaniad y Ddeiliadaeth (Cymru)'!G$110/40)))</f>
        <v>24078.033735110679</v>
      </c>
      <c r="M32" s="36" t="str">
        <f t="shared" si="1"/>
        <v/>
      </c>
      <c r="N32" s="190"/>
      <c r="O32" s="13">
        <f t="shared" si="4"/>
        <v>1</v>
      </c>
      <c r="U32" s="1">
        <f t="shared" si="2"/>
        <v>38</v>
      </c>
      <c r="V32" s="4" t="str">
        <f t="shared" si="3"/>
        <v/>
      </c>
      <c r="W32" s="4" t="e">
        <f>IF($W$3=$N$3,N32,V32*(1+'Rhaniad y Ddeiliadaeth (Cymru)'!C$109)+(V$44*(-(50-$U32)*('Rhaniad y Ddeiliadaeth (Cymru)'!C$110/40))))</f>
        <v>#VALUE!</v>
      </c>
      <c r="X32" s="4" t="e">
        <f>W32*(1+'Rhaniad y Ddeiliadaeth (Cymru)'!D$109)+(W$44*(-(50-$U32)*('Rhaniad y Ddeiliadaeth (Cymru)'!D$110/40)))</f>
        <v>#VALUE!</v>
      </c>
      <c r="Y32" s="4" t="e">
        <f>X32*(1+'Rhaniad y Ddeiliadaeth (Cymru)'!E$109)+(X$44*(-(50-$U32)*('Rhaniad y Ddeiliadaeth (Cymru)'!E$110/40)))</f>
        <v>#VALUE!</v>
      </c>
      <c r="Z32" s="4" t="e">
        <f>Y32*(1+'Rhaniad y Ddeiliadaeth (Cymru)'!F$109)+(Y$44*(-(50-$U32)*('Rhaniad y Ddeiliadaeth (Cymru)'!F$110/40)))</f>
        <v>#VALUE!</v>
      </c>
      <c r="AA32" s="4" t="e">
        <f>Z32*(1+'Rhaniad y Ddeiliadaeth (Cymru)'!G$109)+(Z$44*(-(50-$U32)*('Rhaniad y Ddeiliadaeth (Cymru)'!G$110/40)))</f>
        <v>#VALUE!</v>
      </c>
      <c r="AC32">
        <v>38</v>
      </c>
      <c r="AD32" s="4">
        <f>IF('Rhaniad y Ddeiliadaeth (Cymru)'!$D$8="Amcangyfrifon LlC",'Incwm (Cymru)'!E32,'Incwm (Cymru)'!W32)</f>
        <v>21345.080035672414</v>
      </c>
      <c r="AE32" s="4">
        <f>IF('Rhaniad y Ddeiliadaeth (Cymru)'!$D$8="Amcangyfrifon LlC",'Incwm (Cymru)'!F32,'Incwm (Cymru)'!X32)</f>
        <v>21995.340231199112</v>
      </c>
      <c r="AF32" s="4">
        <f>IF('Rhaniad y Ddeiliadaeth (Cymru)'!$D$8="Amcangyfrifon LlC",'Incwm (Cymru)'!G32,'Incwm (Cymru)'!Y32)</f>
        <v>22662.995618455752</v>
      </c>
      <c r="AG32" s="4">
        <f>IF('Rhaniad y Ddeiliadaeth (Cymru)'!$D$8="Amcangyfrifon LlC",'Incwm (Cymru)'!H32,'Incwm (Cymru)'!Z32)</f>
        <v>23362.085321567251</v>
      </c>
      <c r="AH32" s="4">
        <f>IF('Rhaniad y Ddeiliadaeth (Cymru)'!$D$8="Amcangyfrifon LlC",'Incwm (Cymru)'!I32,'Incwm (Cymru)'!AA32)</f>
        <v>24078.033735110679</v>
      </c>
    </row>
    <row r="33" spans="2:34" x14ac:dyDescent="0.35">
      <c r="B33" s="251">
        <v>39</v>
      </c>
      <c r="C33" s="258">
        <v>21011.25</v>
      </c>
      <c r="D33" s="258">
        <v>21489.43009400176</v>
      </c>
      <c r="E33" s="278">
        <f>D33*(1+'Rhaniad y Ddeiliadaeth (Cymru)'!C$109)+(D$44*(-(50-$B33)*('Rhaniad y Ddeiliadaeth (Cymru)'!C$110/40)))</f>
        <v>21898.878510839721</v>
      </c>
      <c r="F33" s="278">
        <f>E33*(1+'Rhaniad y Ddeiliadaeth (Cymru)'!D$109)+(E$44*(-(50-$B33)*('Rhaniad y Ddeiliadaeth (Cymru)'!D$110/40)))</f>
        <v>22574.896291449386</v>
      </c>
      <c r="G33" s="278">
        <f>F33*(1+'Rhaniad y Ddeiliadaeth (Cymru)'!E$109)+(F$44*(-(50-$B33)*('Rhaniad y Ddeiliadaeth (Cymru)'!E$110/40)))</f>
        <v>23269.368888369481</v>
      </c>
      <c r="H33" s="278">
        <f>G33*(1+'Rhaniad y Ddeiliadaeth (Cymru)'!F$109)+(G$44*(-(50-$B33)*('Rhaniad y Ddeiliadaeth (Cymru)'!F$110/40)))</f>
        <v>23996.739340554381</v>
      </c>
      <c r="I33" s="279">
        <f>H33*(1+'Rhaniad y Ddeiliadaeth (Cymru)'!G$109)+(H$44*(-(50-$B33)*('Rhaniad y Ddeiliadaeth (Cymru)'!G$110/40)))</f>
        <v>24742.082065270464</v>
      </c>
      <c r="M33" s="36" t="str">
        <f t="shared" si="1"/>
        <v/>
      </c>
      <c r="N33" s="190"/>
      <c r="O33" s="13">
        <f t="shared" si="4"/>
        <v>1</v>
      </c>
      <c r="U33" s="1">
        <f t="shared" si="2"/>
        <v>39</v>
      </c>
      <c r="V33" s="4" t="str">
        <f t="shared" si="3"/>
        <v/>
      </c>
      <c r="W33" s="4" t="e">
        <f>IF($W$3=$N$3,N33,V33*(1+'Rhaniad y Ddeiliadaeth (Cymru)'!C$109)+(V$44*(-(50-$U33)*('Rhaniad y Ddeiliadaeth (Cymru)'!C$110/40))))</f>
        <v>#VALUE!</v>
      </c>
      <c r="X33" s="4" t="e">
        <f>W33*(1+'Rhaniad y Ddeiliadaeth (Cymru)'!D$109)+(W$44*(-(50-$U33)*('Rhaniad y Ddeiliadaeth (Cymru)'!D$110/40)))</f>
        <v>#VALUE!</v>
      </c>
      <c r="Y33" s="4" t="e">
        <f>X33*(1+'Rhaniad y Ddeiliadaeth (Cymru)'!E$109)+(X$44*(-(50-$U33)*('Rhaniad y Ddeiliadaeth (Cymru)'!E$110/40)))</f>
        <v>#VALUE!</v>
      </c>
      <c r="Z33" s="4" t="e">
        <f>Y33*(1+'Rhaniad y Ddeiliadaeth (Cymru)'!F$109)+(Y$44*(-(50-$U33)*('Rhaniad y Ddeiliadaeth (Cymru)'!F$110/40)))</f>
        <v>#VALUE!</v>
      </c>
      <c r="AA33" s="4" t="e">
        <f>Z33*(1+'Rhaniad y Ddeiliadaeth (Cymru)'!G$109)+(Z$44*(-(50-$U33)*('Rhaniad y Ddeiliadaeth (Cymru)'!G$110/40)))</f>
        <v>#VALUE!</v>
      </c>
      <c r="AC33">
        <v>39</v>
      </c>
      <c r="AD33" s="4">
        <f>IF('Rhaniad y Ddeiliadaeth (Cymru)'!$D$8="Amcangyfrifon LlC",'Incwm (Cymru)'!E33,'Incwm (Cymru)'!W33)</f>
        <v>21898.878510839721</v>
      </c>
      <c r="AE33" s="4">
        <f>IF('Rhaniad y Ddeiliadaeth (Cymru)'!$D$8="Amcangyfrifon LlC",'Incwm (Cymru)'!F33,'Incwm (Cymru)'!X33)</f>
        <v>22574.896291449386</v>
      </c>
      <c r="AF33" s="4">
        <f>IF('Rhaniad y Ddeiliadaeth (Cymru)'!$D$8="Amcangyfrifon LlC",'Incwm (Cymru)'!G33,'Incwm (Cymru)'!Y33)</f>
        <v>23269.368888369481</v>
      </c>
      <c r="AG33" s="4">
        <f>IF('Rhaniad y Ddeiliadaeth (Cymru)'!$D$8="Amcangyfrifon LlC",'Incwm (Cymru)'!H33,'Incwm (Cymru)'!Z33)</f>
        <v>23996.739340554381</v>
      </c>
      <c r="AH33" s="4">
        <f>IF('Rhaniad y Ddeiliadaeth (Cymru)'!$D$8="Amcangyfrifon LlC",'Incwm (Cymru)'!I33,'Incwm (Cymru)'!AA33)</f>
        <v>24742.082065270464</v>
      </c>
    </row>
    <row r="34" spans="2:34" x14ac:dyDescent="0.35">
      <c r="B34" s="251">
        <v>40</v>
      </c>
      <c r="C34" s="258">
        <v>21350</v>
      </c>
      <c r="D34" s="258">
        <v>21870.475188486198</v>
      </c>
      <c r="E34" s="278">
        <f>D34*(1+'Rhaniad y Ddeiliadaeth (Cymru)'!C$109)+(D$44*(-(50-$B34)*('Rhaniad y Ddeiliadaeth (Cymru)'!C$110/40)))</f>
        <v>22295.104552840738</v>
      </c>
      <c r="F34" s="278">
        <f>E34*(1+'Rhaniad y Ddeiliadaeth (Cymru)'!D$109)+(E$44*(-(50-$B34)*('Rhaniad y Ddeiliadaeth (Cymru)'!D$110/40)))</f>
        <v>22991.47928503406</v>
      </c>
      <c r="G34" s="278">
        <f>F34*(1+'Rhaniad y Ddeiliadaeth (Cymru)'!E$109)+(F$44*(-(50-$B34)*('Rhaniad y Ddeiliadaeth (Cymru)'!E$110/40)))</f>
        <v>23707.19895108015</v>
      </c>
      <c r="H34" s="278">
        <f>G34*(1+'Rhaniad y Ddeiliadaeth (Cymru)'!F$109)+(G$44*(-(50-$B34)*('Rhaniad y Ddeiliadaeth (Cymru)'!F$110/40)))</f>
        <v>24457.004186123952</v>
      </c>
      <c r="I34" s="279">
        <f>H34*(1+'Rhaniad y Ddeiliadaeth (Cymru)'!G$109)+(H$44*(-(50-$B34)*('Rhaniad y Ddeiliadaeth (Cymru)'!G$110/40)))</f>
        <v>25225.725125190311</v>
      </c>
      <c r="M34" s="36" t="str">
        <f t="shared" si="1"/>
        <v/>
      </c>
      <c r="N34" s="190"/>
      <c r="O34" s="13">
        <f t="shared" si="4"/>
        <v>1</v>
      </c>
      <c r="U34" s="1">
        <f t="shared" si="2"/>
        <v>40</v>
      </c>
      <c r="V34" s="4" t="str">
        <f t="shared" si="3"/>
        <v/>
      </c>
      <c r="W34" s="4" t="e">
        <f>IF($W$3=$N$3,N34,V34*(1+'Rhaniad y Ddeiliadaeth (Cymru)'!C$109)+(V$44*(-(50-$U34)*('Rhaniad y Ddeiliadaeth (Cymru)'!C$110/40))))</f>
        <v>#VALUE!</v>
      </c>
      <c r="X34" s="4" t="e">
        <f>W34*(1+'Rhaniad y Ddeiliadaeth (Cymru)'!D$109)+(W$44*(-(50-$U34)*('Rhaniad y Ddeiliadaeth (Cymru)'!D$110/40)))</f>
        <v>#VALUE!</v>
      </c>
      <c r="Y34" s="4" t="e">
        <f>X34*(1+'Rhaniad y Ddeiliadaeth (Cymru)'!E$109)+(X$44*(-(50-$U34)*('Rhaniad y Ddeiliadaeth (Cymru)'!E$110/40)))</f>
        <v>#VALUE!</v>
      </c>
      <c r="Z34" s="4" t="e">
        <f>Y34*(1+'Rhaniad y Ddeiliadaeth (Cymru)'!F$109)+(Y$44*(-(50-$U34)*('Rhaniad y Ddeiliadaeth (Cymru)'!F$110/40)))</f>
        <v>#VALUE!</v>
      </c>
      <c r="AA34" s="4" t="e">
        <f>Z34*(1+'Rhaniad y Ddeiliadaeth (Cymru)'!G$109)+(Z$44*(-(50-$U34)*('Rhaniad y Ddeiliadaeth (Cymru)'!G$110/40)))</f>
        <v>#VALUE!</v>
      </c>
      <c r="AC34">
        <v>40</v>
      </c>
      <c r="AD34" s="4">
        <f>IF('Rhaniad y Ddeiliadaeth (Cymru)'!$D$8="Amcangyfrifon LlC",'Incwm (Cymru)'!E34,'Incwm (Cymru)'!W34)</f>
        <v>22295.104552840738</v>
      </c>
      <c r="AE34" s="4">
        <f>IF('Rhaniad y Ddeiliadaeth (Cymru)'!$D$8="Amcangyfrifon LlC",'Incwm (Cymru)'!F34,'Incwm (Cymru)'!X34)</f>
        <v>22991.47928503406</v>
      </c>
      <c r="AF34" s="4">
        <f>IF('Rhaniad y Ddeiliadaeth (Cymru)'!$D$8="Amcangyfrifon LlC",'Incwm (Cymru)'!G34,'Incwm (Cymru)'!Y34)</f>
        <v>23707.19895108015</v>
      </c>
      <c r="AG34" s="4">
        <f>IF('Rhaniad y Ddeiliadaeth (Cymru)'!$D$8="Amcangyfrifon LlC",'Incwm (Cymru)'!H34,'Incwm (Cymru)'!Z34)</f>
        <v>24457.004186123952</v>
      </c>
      <c r="AH34" s="4">
        <f>IF('Rhaniad y Ddeiliadaeth (Cymru)'!$D$8="Amcangyfrifon LlC",'Incwm (Cymru)'!I34,'Incwm (Cymru)'!AA34)</f>
        <v>25225.725125190311</v>
      </c>
    </row>
    <row r="35" spans="2:34" x14ac:dyDescent="0.35">
      <c r="B35" s="251">
        <v>41</v>
      </c>
      <c r="C35" s="258">
        <v>21799</v>
      </c>
      <c r="D35" s="258">
        <v>22330.421013293235</v>
      </c>
      <c r="E35" s="278">
        <f>D35*(1+'Rhaniad y Ddeiliadaeth (Cymru)'!C$109)+(D$44*(-(50-$B35)*('Rhaniad y Ddeiliadaeth (Cymru)'!C$110/40)))</f>
        <v>22772.002345616977</v>
      </c>
      <c r="F35" s="278">
        <f>E35*(1+'Rhaniad y Ddeiliadaeth (Cymru)'!D$109)+(E$44*(-(50-$B35)*('Rhaniad y Ddeiliadaeth (Cymru)'!D$110/40)))</f>
        <v>23491.498970893743</v>
      </c>
      <c r="G35" s="278">
        <f>F35*(1+'Rhaniad y Ddeiliadaeth (Cymru)'!E$109)+(F$44*(-(50-$B35)*('Rhaniad y Ddeiliadaeth (Cymru)'!E$110/40)))</f>
        <v>24231.317429430073</v>
      </c>
      <c r="H35" s="278">
        <f>G35*(1+'Rhaniad y Ddeiliadaeth (Cymru)'!F$109)+(G$44*(-(50-$B35)*('Rhaniad y Ddeiliadaeth (Cymru)'!F$110/40)))</f>
        <v>25006.550384104899</v>
      </c>
      <c r="I35" s="279">
        <f>H35*(1+'Rhaniad y Ddeiliadaeth (Cymru)'!G$109)+(H$44*(-(50-$B35)*('Rhaniad y Ddeiliadaeth (Cymru)'!G$110/40)))</f>
        <v>25801.729575404701</v>
      </c>
      <c r="M35" s="36" t="str">
        <f t="shared" si="1"/>
        <v/>
      </c>
      <c r="N35" s="190"/>
      <c r="O35" s="13">
        <f t="shared" si="4"/>
        <v>1</v>
      </c>
      <c r="U35" s="1">
        <f t="shared" si="2"/>
        <v>41</v>
      </c>
      <c r="V35" s="4" t="str">
        <f t="shared" si="3"/>
        <v/>
      </c>
      <c r="W35" s="4" t="e">
        <f>IF($W$3=$N$3,N35,V35*(1+'Rhaniad y Ddeiliadaeth (Cymru)'!C$109)+(V$44*(-(50-$U35)*('Rhaniad y Ddeiliadaeth (Cymru)'!C$110/40))))</f>
        <v>#VALUE!</v>
      </c>
      <c r="X35" s="4" t="e">
        <f>W35*(1+'Rhaniad y Ddeiliadaeth (Cymru)'!D$109)+(W$44*(-(50-$U35)*('Rhaniad y Ddeiliadaeth (Cymru)'!D$110/40)))</f>
        <v>#VALUE!</v>
      </c>
      <c r="Y35" s="4" t="e">
        <f>X35*(1+'Rhaniad y Ddeiliadaeth (Cymru)'!E$109)+(X$44*(-(50-$U35)*('Rhaniad y Ddeiliadaeth (Cymru)'!E$110/40)))</f>
        <v>#VALUE!</v>
      </c>
      <c r="Z35" s="4" t="e">
        <f>Y35*(1+'Rhaniad y Ddeiliadaeth (Cymru)'!F$109)+(Y$44*(-(50-$U35)*('Rhaniad y Ddeiliadaeth (Cymru)'!F$110/40)))</f>
        <v>#VALUE!</v>
      </c>
      <c r="AA35" s="4" t="e">
        <f>Z35*(1+'Rhaniad y Ddeiliadaeth (Cymru)'!G$109)+(Z$44*(-(50-$U35)*('Rhaniad y Ddeiliadaeth (Cymru)'!G$110/40)))</f>
        <v>#VALUE!</v>
      </c>
      <c r="AC35">
        <v>41</v>
      </c>
      <c r="AD35" s="4">
        <f>IF('Rhaniad y Ddeiliadaeth (Cymru)'!$D$8="Amcangyfrifon LlC",'Incwm (Cymru)'!E35,'Incwm (Cymru)'!W35)</f>
        <v>22772.002345616977</v>
      </c>
      <c r="AE35" s="4">
        <f>IF('Rhaniad y Ddeiliadaeth (Cymru)'!$D$8="Amcangyfrifon LlC",'Incwm (Cymru)'!F35,'Incwm (Cymru)'!X35)</f>
        <v>23491.498970893743</v>
      </c>
      <c r="AF35" s="4">
        <f>IF('Rhaniad y Ddeiliadaeth (Cymru)'!$D$8="Amcangyfrifon LlC",'Incwm (Cymru)'!G35,'Incwm (Cymru)'!Y35)</f>
        <v>24231.317429430073</v>
      </c>
      <c r="AG35" s="4">
        <f>IF('Rhaniad y Ddeiliadaeth (Cymru)'!$D$8="Amcangyfrifon LlC",'Incwm (Cymru)'!H35,'Incwm (Cymru)'!Z35)</f>
        <v>25006.550384104899</v>
      </c>
      <c r="AH35" s="4">
        <f>IF('Rhaniad y Ddeiliadaeth (Cymru)'!$D$8="Amcangyfrifon LlC",'Incwm (Cymru)'!I35,'Incwm (Cymru)'!AA35)</f>
        <v>25801.729575404701</v>
      </c>
    </row>
    <row r="36" spans="2:34" x14ac:dyDescent="0.35">
      <c r="B36" s="251">
        <v>42</v>
      </c>
      <c r="C36" s="258">
        <v>22199.5</v>
      </c>
      <c r="D36" s="258">
        <v>22740.684493995286</v>
      </c>
      <c r="E36" s="278">
        <f>D36*(1+'Rhaniad y Ddeiliadaeth (Cymru)'!C$109)+(D$44*(-(50-$B36)*('Rhaniad y Ddeiliadaeth (Cymru)'!C$110/40)))</f>
        <v>23198.102615161442</v>
      </c>
      <c r="F36" s="278">
        <f>E36*(1+'Rhaniad y Ddeiliadaeth (Cymru)'!D$109)+(E$44*(-(50-$B36)*('Rhaniad y Ddeiliadaeth (Cymru)'!D$110/40)))</f>
        <v>23938.980100524102</v>
      </c>
      <c r="G36" s="278">
        <f>F36*(1+'Rhaniad y Ddeiliadaeth (Cymru)'!E$109)+(F$44*(-(50-$B36)*('Rhaniad y Ddeiliadaeth (Cymru)'!E$110/40)))</f>
        <v>24701.101673603265</v>
      </c>
      <c r="H36" s="278">
        <f>G36*(1+'Rhaniad y Ddeiliadaeth (Cymru)'!F$109)+(G$44*(-(50-$B36)*('Rhaniad y Ddeiliadaeth (Cymru)'!F$110/40)))</f>
        <v>25499.877750466367</v>
      </c>
      <c r="I36" s="279">
        <f>H36*(1+'Rhaniad y Ddeiliadaeth (Cymru)'!G$109)+(H$44*(-(50-$B36)*('Rhaniad y Ddeiliadaeth (Cymru)'!G$110/40)))</f>
        <v>26319.575750583273</v>
      </c>
      <c r="M36" s="36" t="str">
        <f t="shared" ref="M36:M67" si="5">IF(ISBLANK($L$4),"",B36)</f>
        <v/>
      </c>
      <c r="N36" s="190"/>
      <c r="O36" s="13">
        <f t="shared" si="4"/>
        <v>1</v>
      </c>
      <c r="U36" s="1">
        <f t="shared" ref="U36:U67" si="6">B36</f>
        <v>42</v>
      </c>
      <c r="V36" s="4" t="str">
        <f t="shared" ref="V36:V67" si="7">IF($N$3=$V$3,N36,"")</f>
        <v/>
      </c>
      <c r="W36" s="4" t="e">
        <f>IF($W$3=$N$3,N36,V36*(1+'Rhaniad y Ddeiliadaeth (Cymru)'!C$109)+(V$44*(-(50-$U36)*('Rhaniad y Ddeiliadaeth (Cymru)'!C$110/40))))</f>
        <v>#VALUE!</v>
      </c>
      <c r="X36" s="4" t="e">
        <f>W36*(1+'Rhaniad y Ddeiliadaeth (Cymru)'!D$109)+(W$44*(-(50-$U36)*('Rhaniad y Ddeiliadaeth (Cymru)'!D$110/40)))</f>
        <v>#VALUE!</v>
      </c>
      <c r="Y36" s="4" t="e">
        <f>X36*(1+'Rhaniad y Ddeiliadaeth (Cymru)'!E$109)+(X$44*(-(50-$U36)*('Rhaniad y Ddeiliadaeth (Cymru)'!E$110/40)))</f>
        <v>#VALUE!</v>
      </c>
      <c r="Z36" s="4" t="e">
        <f>Y36*(1+'Rhaniad y Ddeiliadaeth (Cymru)'!F$109)+(Y$44*(-(50-$U36)*('Rhaniad y Ddeiliadaeth (Cymru)'!F$110/40)))</f>
        <v>#VALUE!</v>
      </c>
      <c r="AA36" s="4" t="e">
        <f>Z36*(1+'Rhaniad y Ddeiliadaeth (Cymru)'!G$109)+(Z$44*(-(50-$U36)*('Rhaniad y Ddeiliadaeth (Cymru)'!G$110/40)))</f>
        <v>#VALUE!</v>
      </c>
      <c r="AC36">
        <v>42</v>
      </c>
      <c r="AD36" s="4">
        <f>IF('Rhaniad y Ddeiliadaeth (Cymru)'!$D$8="Amcangyfrifon LlC",'Incwm (Cymru)'!E36,'Incwm (Cymru)'!W36)</f>
        <v>23198.102615161442</v>
      </c>
      <c r="AE36" s="4">
        <f>IF('Rhaniad y Ddeiliadaeth (Cymru)'!$D$8="Amcangyfrifon LlC",'Incwm (Cymru)'!F36,'Incwm (Cymru)'!X36)</f>
        <v>23938.980100524102</v>
      </c>
      <c r="AF36" s="4">
        <f>IF('Rhaniad y Ddeiliadaeth (Cymru)'!$D$8="Amcangyfrifon LlC",'Incwm (Cymru)'!G36,'Incwm (Cymru)'!Y36)</f>
        <v>24701.101673603265</v>
      </c>
      <c r="AG36" s="4">
        <f>IF('Rhaniad y Ddeiliadaeth (Cymru)'!$D$8="Amcangyfrifon LlC",'Incwm (Cymru)'!H36,'Incwm (Cymru)'!Z36)</f>
        <v>25499.877750466367</v>
      </c>
      <c r="AH36" s="4">
        <f>IF('Rhaniad y Ddeiliadaeth (Cymru)'!$D$8="Amcangyfrifon LlC",'Incwm (Cymru)'!I36,'Incwm (Cymru)'!AA36)</f>
        <v>26319.575750583273</v>
      </c>
    </row>
    <row r="37" spans="2:34" x14ac:dyDescent="0.35">
      <c r="B37" s="251">
        <v>43</v>
      </c>
      <c r="C37" s="258">
        <v>22742</v>
      </c>
      <c r="D37" s="258">
        <v>23296.409683210917</v>
      </c>
      <c r="E37" s="278">
        <f>D37*(1+'Rhaniad y Ddeiliadaeth (Cymru)'!C$109)+(D$44*(-(50-$B37)*('Rhaniad y Ddeiliadaeth (Cymru)'!C$110/40)))</f>
        <v>23772.929653755655</v>
      </c>
      <c r="F37" s="278">
        <f>E37*(1+'Rhaniad y Ddeiliadaeth (Cymru)'!D$109)+(E$44*(-(50-$B37)*('Rhaniad y Ddeiliadaeth (Cymru)'!D$110/40)))</f>
        <v>24540.285456640351</v>
      </c>
      <c r="G37" s="278">
        <f>F37*(1+'Rhaniad y Ddeiliadaeth (Cymru)'!E$109)+(F$44*(-(50-$B37)*('Rhaniad y Ddeiliadaeth (Cymru)'!E$110/40)))</f>
        <v>25329.967593098052</v>
      </c>
      <c r="H37" s="278">
        <f>G37*(1+'Rhaniad y Ddeiliadaeth (Cymru)'!F$109)+(G$44*(-(50-$B37)*('Rhaniad y Ddeiliadaeth (Cymru)'!F$110/40)))</f>
        <v>26157.804582600369</v>
      </c>
      <c r="I37" s="279">
        <f>H37*(1+'Rhaniad y Ddeiliadaeth (Cymru)'!G$109)+(H$44*(-(50-$B37)*('Rhaniad y Ddeiliadaeth (Cymru)'!G$110/40)))</f>
        <v>27007.699761949207</v>
      </c>
      <c r="M37" s="36" t="str">
        <f t="shared" si="5"/>
        <v/>
      </c>
      <c r="N37" s="190"/>
      <c r="O37" s="13">
        <f t="shared" si="4"/>
        <v>1</v>
      </c>
      <c r="U37" s="1">
        <f t="shared" si="6"/>
        <v>43</v>
      </c>
      <c r="V37" s="4" t="str">
        <f t="shared" si="7"/>
        <v/>
      </c>
      <c r="W37" s="4" t="e">
        <f>IF($W$3=$N$3,N37,V37*(1+'Rhaniad y Ddeiliadaeth (Cymru)'!C$109)+(V$44*(-(50-$U37)*('Rhaniad y Ddeiliadaeth (Cymru)'!C$110/40))))</f>
        <v>#VALUE!</v>
      </c>
      <c r="X37" s="4" t="e">
        <f>W37*(1+'Rhaniad y Ddeiliadaeth (Cymru)'!D$109)+(W$44*(-(50-$U37)*('Rhaniad y Ddeiliadaeth (Cymru)'!D$110/40)))</f>
        <v>#VALUE!</v>
      </c>
      <c r="Y37" s="4" t="e">
        <f>X37*(1+'Rhaniad y Ddeiliadaeth (Cymru)'!E$109)+(X$44*(-(50-$U37)*('Rhaniad y Ddeiliadaeth (Cymru)'!E$110/40)))</f>
        <v>#VALUE!</v>
      </c>
      <c r="Z37" s="4" t="e">
        <f>Y37*(1+'Rhaniad y Ddeiliadaeth (Cymru)'!F$109)+(Y$44*(-(50-$U37)*('Rhaniad y Ddeiliadaeth (Cymru)'!F$110/40)))</f>
        <v>#VALUE!</v>
      </c>
      <c r="AA37" s="4" t="e">
        <f>Z37*(1+'Rhaniad y Ddeiliadaeth (Cymru)'!G$109)+(Z$44*(-(50-$U37)*('Rhaniad y Ddeiliadaeth (Cymru)'!G$110/40)))</f>
        <v>#VALUE!</v>
      </c>
      <c r="AC37">
        <v>43</v>
      </c>
      <c r="AD37" s="4">
        <f>IF('Rhaniad y Ddeiliadaeth (Cymru)'!$D$8="Amcangyfrifon LlC",'Incwm (Cymru)'!E37,'Incwm (Cymru)'!W37)</f>
        <v>23772.929653755655</v>
      </c>
      <c r="AE37" s="4">
        <f>IF('Rhaniad y Ddeiliadaeth (Cymru)'!$D$8="Amcangyfrifon LlC",'Incwm (Cymru)'!F37,'Incwm (Cymru)'!X37)</f>
        <v>24540.285456640351</v>
      </c>
      <c r="AF37" s="4">
        <f>IF('Rhaniad y Ddeiliadaeth (Cymru)'!$D$8="Amcangyfrifon LlC",'Incwm (Cymru)'!G37,'Incwm (Cymru)'!Y37)</f>
        <v>25329.967593098052</v>
      </c>
      <c r="AG37" s="4">
        <f>IF('Rhaniad y Ddeiliadaeth (Cymru)'!$D$8="Amcangyfrifon LlC",'Incwm (Cymru)'!H37,'Incwm (Cymru)'!Z37)</f>
        <v>26157.804582600369</v>
      </c>
      <c r="AH37" s="4">
        <f>IF('Rhaniad y Ddeiliadaeth (Cymru)'!$D$8="Amcangyfrifon LlC",'Incwm (Cymru)'!I37,'Incwm (Cymru)'!AA37)</f>
        <v>27007.699761949207</v>
      </c>
    </row>
    <row r="38" spans="2:34" x14ac:dyDescent="0.35">
      <c r="B38" s="251">
        <v>44</v>
      </c>
      <c r="C38" s="258">
        <v>23187.5</v>
      </c>
      <c r="D38" s="258">
        <v>23752.770184216566</v>
      </c>
      <c r="E38" s="278">
        <f>D38*(1+'Rhaniad y Ddeiliadaeth (Cymru)'!C$109)+(D$44*(-(50-$B38)*('Rhaniad y Ddeiliadaeth (Cymru)'!C$110/40)))</f>
        <v>24246.161645886306</v>
      </c>
      <c r="F38" s="278">
        <f>E38*(1+'Rhaniad y Ddeiliadaeth (Cymru)'!D$109)+(E$44*(-(50-$B38)*('Rhaniad y Ddeiliadaeth (Cymru)'!D$110/40)))</f>
        <v>25036.513700297928</v>
      </c>
      <c r="G38" s="278">
        <f>F38*(1+'Rhaniad y Ddeiliadaeth (Cymru)'!E$109)+(F$44*(-(50-$B38)*('Rhaniad y Ddeiliadaeth (Cymru)'!E$110/40)))</f>
        <v>25850.165044239355</v>
      </c>
      <c r="H38" s="278">
        <f>G38*(1+'Rhaniad y Ddeiliadaeth (Cymru)'!F$109)+(G$44*(-(50-$B38)*('Rhaniad y Ddeiliadaeth (Cymru)'!F$110/40)))</f>
        <v>26703.293751495388</v>
      </c>
      <c r="I38" s="279">
        <f>H38*(1+'Rhaniad y Ddeiliadaeth (Cymru)'!G$109)+(H$44*(-(50-$B38)*('Rhaniad y Ddeiliadaeth (Cymru)'!G$110/40)))</f>
        <v>27579.507223243501</v>
      </c>
      <c r="M38" s="36" t="str">
        <f t="shared" si="5"/>
        <v/>
      </c>
      <c r="N38" s="190"/>
      <c r="O38" s="13">
        <f t="shared" si="4"/>
        <v>1</v>
      </c>
      <c r="U38" s="1">
        <f t="shared" si="6"/>
        <v>44</v>
      </c>
      <c r="V38" s="4" t="str">
        <f t="shared" si="7"/>
        <v/>
      </c>
      <c r="W38" s="4" t="e">
        <f>IF($W$3=$N$3,N38,V38*(1+'Rhaniad y Ddeiliadaeth (Cymru)'!C$109)+(V$44*(-(50-$U38)*('Rhaniad y Ddeiliadaeth (Cymru)'!C$110/40))))</f>
        <v>#VALUE!</v>
      </c>
      <c r="X38" s="4" t="e">
        <f>W38*(1+'Rhaniad y Ddeiliadaeth (Cymru)'!D$109)+(W$44*(-(50-$U38)*('Rhaniad y Ddeiliadaeth (Cymru)'!D$110/40)))</f>
        <v>#VALUE!</v>
      </c>
      <c r="Y38" s="4" t="e">
        <f>X38*(1+'Rhaniad y Ddeiliadaeth (Cymru)'!E$109)+(X$44*(-(50-$U38)*('Rhaniad y Ddeiliadaeth (Cymru)'!E$110/40)))</f>
        <v>#VALUE!</v>
      </c>
      <c r="Z38" s="4" t="e">
        <f>Y38*(1+'Rhaniad y Ddeiliadaeth (Cymru)'!F$109)+(Y$44*(-(50-$U38)*('Rhaniad y Ddeiliadaeth (Cymru)'!F$110/40)))</f>
        <v>#VALUE!</v>
      </c>
      <c r="AA38" s="4" t="e">
        <f>Z38*(1+'Rhaniad y Ddeiliadaeth (Cymru)'!G$109)+(Z$44*(-(50-$U38)*('Rhaniad y Ddeiliadaeth (Cymru)'!G$110/40)))</f>
        <v>#VALUE!</v>
      </c>
      <c r="AC38">
        <v>44</v>
      </c>
      <c r="AD38" s="4">
        <f>IF('Rhaniad y Ddeiliadaeth (Cymru)'!$D$8="Amcangyfrifon LlC",'Incwm (Cymru)'!E38,'Incwm (Cymru)'!W38)</f>
        <v>24246.161645886306</v>
      </c>
      <c r="AE38" s="4">
        <f>IF('Rhaniad y Ddeiliadaeth (Cymru)'!$D$8="Amcangyfrifon LlC",'Incwm (Cymru)'!F38,'Incwm (Cymru)'!X38)</f>
        <v>25036.513700297928</v>
      </c>
      <c r="AF38" s="4">
        <f>IF('Rhaniad y Ddeiliadaeth (Cymru)'!$D$8="Amcangyfrifon LlC",'Incwm (Cymru)'!G38,'Incwm (Cymru)'!Y38)</f>
        <v>25850.165044239355</v>
      </c>
      <c r="AG38" s="4">
        <f>IF('Rhaniad y Ddeiliadaeth (Cymru)'!$D$8="Amcangyfrifon LlC",'Incwm (Cymru)'!H38,'Incwm (Cymru)'!Z38)</f>
        <v>26703.293751495388</v>
      </c>
      <c r="AH38" s="4">
        <f>IF('Rhaniad y Ddeiliadaeth (Cymru)'!$D$8="Amcangyfrifon LlC",'Incwm (Cymru)'!I38,'Incwm (Cymru)'!AA38)</f>
        <v>27579.507223243501</v>
      </c>
    </row>
    <row r="39" spans="2:34" x14ac:dyDescent="0.35">
      <c r="B39" s="251">
        <v>45</v>
      </c>
      <c r="C39" s="258">
        <v>23785</v>
      </c>
      <c r="D39" s="258">
        <v>24364.836176025488</v>
      </c>
      <c r="E39" s="278">
        <f>D39*(1+'Rhaniad y Ddeiliadaeth (Cymru)'!C$109)+(D$44*(-(50-$B39)*('Rhaniad y Ddeiliadaeth (Cymru)'!C$110/40)))</f>
        <v>24878.594123196977</v>
      </c>
      <c r="F39" s="278">
        <f>E39*(1+'Rhaniad y Ddeiliadaeth (Cymru)'!D$109)+(E$44*(-(50-$B39)*('Rhaniad y Ddeiliadaeth (Cymru)'!D$110/40)))</f>
        <v>25697.398862447448</v>
      </c>
      <c r="G39" s="278">
        <f>F39*(1+'Rhaniad y Ddeiliadaeth (Cymru)'!E$109)+(F$44*(-(50-$B39)*('Rhaniad y Ddeiliadaeth (Cymru)'!E$110/40)))</f>
        <v>26540.647105584063</v>
      </c>
      <c r="H39" s="278">
        <f>G39*(1+'Rhaniad y Ddeiliadaeth (Cymru)'!F$109)+(G$44*(-(50-$B39)*('Rhaniad y Ddeiliadaeth (Cymru)'!F$110/40)))</f>
        <v>27424.973897837066</v>
      </c>
      <c r="I39" s="279">
        <f>H39*(1+'Rhaniad y Ddeiliadaeth (Cymru)'!G$109)+(H$44*(-(50-$B39)*('Rhaniad y Ddeiliadaeth (Cymru)'!G$110/40)))</f>
        <v>28333.583917639749</v>
      </c>
      <c r="M39" s="36" t="str">
        <f t="shared" si="5"/>
        <v/>
      </c>
      <c r="N39" s="190"/>
      <c r="O39" s="13">
        <f t="shared" si="4"/>
        <v>1</v>
      </c>
      <c r="U39" s="1">
        <f t="shared" si="6"/>
        <v>45</v>
      </c>
      <c r="V39" s="4" t="str">
        <f t="shared" si="7"/>
        <v/>
      </c>
      <c r="W39" s="4" t="e">
        <f>IF($W$3=$N$3,N39,V39*(1+'Rhaniad y Ddeiliadaeth (Cymru)'!C$109)+(V$44*(-(50-$U39)*('Rhaniad y Ddeiliadaeth (Cymru)'!C$110/40))))</f>
        <v>#VALUE!</v>
      </c>
      <c r="X39" s="4" t="e">
        <f>W39*(1+'Rhaniad y Ddeiliadaeth (Cymru)'!D$109)+(W$44*(-(50-$U39)*('Rhaniad y Ddeiliadaeth (Cymru)'!D$110/40)))</f>
        <v>#VALUE!</v>
      </c>
      <c r="Y39" s="4" t="e">
        <f>X39*(1+'Rhaniad y Ddeiliadaeth (Cymru)'!E$109)+(X$44*(-(50-$U39)*('Rhaniad y Ddeiliadaeth (Cymru)'!E$110/40)))</f>
        <v>#VALUE!</v>
      </c>
      <c r="Z39" s="4" t="e">
        <f>Y39*(1+'Rhaniad y Ddeiliadaeth (Cymru)'!F$109)+(Y$44*(-(50-$U39)*('Rhaniad y Ddeiliadaeth (Cymru)'!F$110/40)))</f>
        <v>#VALUE!</v>
      </c>
      <c r="AA39" s="4" t="e">
        <f>Z39*(1+'Rhaniad y Ddeiliadaeth (Cymru)'!G$109)+(Z$44*(-(50-$U39)*('Rhaniad y Ddeiliadaeth (Cymru)'!G$110/40)))</f>
        <v>#VALUE!</v>
      </c>
      <c r="AC39">
        <v>45</v>
      </c>
      <c r="AD39" s="4">
        <f>IF('Rhaniad y Ddeiliadaeth (Cymru)'!$D$8="Amcangyfrifon LlC",'Incwm (Cymru)'!E39,'Incwm (Cymru)'!W39)</f>
        <v>24878.594123196977</v>
      </c>
      <c r="AE39" s="4">
        <f>IF('Rhaniad y Ddeiliadaeth (Cymru)'!$D$8="Amcangyfrifon LlC",'Incwm (Cymru)'!F39,'Incwm (Cymru)'!X39)</f>
        <v>25697.398862447448</v>
      </c>
      <c r="AF39" s="4">
        <f>IF('Rhaniad y Ddeiliadaeth (Cymru)'!$D$8="Amcangyfrifon LlC",'Incwm (Cymru)'!G39,'Incwm (Cymru)'!Y39)</f>
        <v>26540.647105584063</v>
      </c>
      <c r="AG39" s="4">
        <f>IF('Rhaniad y Ddeiliadaeth (Cymru)'!$D$8="Amcangyfrifon LlC",'Incwm (Cymru)'!H39,'Incwm (Cymru)'!Z39)</f>
        <v>27424.973897837066</v>
      </c>
      <c r="AH39" s="4">
        <f>IF('Rhaniad y Ddeiliadaeth (Cymru)'!$D$8="Amcangyfrifon LlC",'Incwm (Cymru)'!I39,'Incwm (Cymru)'!AA39)</f>
        <v>28333.583917639749</v>
      </c>
    </row>
    <row r="40" spans="2:34" x14ac:dyDescent="0.35">
      <c r="B40" s="251">
        <v>46</v>
      </c>
      <c r="C40" s="258">
        <v>24290.5</v>
      </c>
      <c r="D40" s="258">
        <v>24882.659370769274</v>
      </c>
      <c r="E40" s="278">
        <f>D40*(1+'Rhaniad y Ddeiliadaeth (Cymru)'!C$109)+(D$44*(-(50-$B40)*('Rhaniad y Ddeiliadaeth (Cymru)'!C$110/40)))</f>
        <v>25414.668412109215</v>
      </c>
      <c r="F40" s="278">
        <f>E40*(1+'Rhaniad y Ddeiliadaeth (Cymru)'!D$109)+(E$44*(-(50-$B40)*('Rhaniad y Ddeiliadaeth (Cymru)'!D$110/40)))</f>
        <v>26258.623258141321</v>
      </c>
      <c r="G40" s="278">
        <f>F40*(1+'Rhaniad y Ddeiliadaeth (Cymru)'!E$109)+(F$44*(-(50-$B40)*('Rhaniad y Ddeiliadaeth (Cymru)'!E$110/40)))</f>
        <v>27128.062166016185</v>
      </c>
      <c r="H40" s="278">
        <f>G40*(1+'Rhaniad y Ddeiliadaeth (Cymru)'!F$109)+(G$44*(-(50-$B40)*('Rhaniad y Ddeiliadaeth (Cymru)'!F$110/40)))</f>
        <v>28040.012136776819</v>
      </c>
      <c r="I40" s="279">
        <f>H40*(1+'Rhaniad y Ddeiliadaeth (Cymru)'!G$109)+(H$44*(-(50-$B40)*('Rhaniad y Ddeiliadaeth (Cymru)'!G$110/40)))</f>
        <v>28977.339760421655</v>
      </c>
      <c r="M40" s="36" t="str">
        <f t="shared" si="5"/>
        <v/>
      </c>
      <c r="N40" s="190"/>
      <c r="O40" s="13">
        <f t="shared" si="4"/>
        <v>1</v>
      </c>
      <c r="U40" s="1">
        <f t="shared" si="6"/>
        <v>46</v>
      </c>
      <c r="V40" s="4" t="str">
        <f t="shared" si="7"/>
        <v/>
      </c>
      <c r="W40" s="4" t="e">
        <f>IF($W$3=$N$3,N40,V40*(1+'Rhaniad y Ddeiliadaeth (Cymru)'!C$109)+(V$44*(-(50-$U40)*('Rhaniad y Ddeiliadaeth (Cymru)'!C$110/40))))</f>
        <v>#VALUE!</v>
      </c>
      <c r="X40" s="4" t="e">
        <f>W40*(1+'Rhaniad y Ddeiliadaeth (Cymru)'!D$109)+(W$44*(-(50-$U40)*('Rhaniad y Ddeiliadaeth (Cymru)'!D$110/40)))</f>
        <v>#VALUE!</v>
      </c>
      <c r="Y40" s="4" t="e">
        <f>X40*(1+'Rhaniad y Ddeiliadaeth (Cymru)'!E$109)+(X$44*(-(50-$U40)*('Rhaniad y Ddeiliadaeth (Cymru)'!E$110/40)))</f>
        <v>#VALUE!</v>
      </c>
      <c r="Z40" s="4" t="e">
        <f>Y40*(1+'Rhaniad y Ddeiliadaeth (Cymru)'!F$109)+(Y$44*(-(50-$U40)*('Rhaniad y Ddeiliadaeth (Cymru)'!F$110/40)))</f>
        <v>#VALUE!</v>
      </c>
      <c r="AA40" s="4" t="e">
        <f>Z40*(1+'Rhaniad y Ddeiliadaeth (Cymru)'!G$109)+(Z$44*(-(50-$U40)*('Rhaniad y Ddeiliadaeth (Cymru)'!G$110/40)))</f>
        <v>#VALUE!</v>
      </c>
      <c r="AC40">
        <v>46</v>
      </c>
      <c r="AD40" s="4">
        <f>IF('Rhaniad y Ddeiliadaeth (Cymru)'!$D$8="Amcangyfrifon LlC",'Incwm (Cymru)'!E40,'Incwm (Cymru)'!W40)</f>
        <v>25414.668412109215</v>
      </c>
      <c r="AE40" s="4">
        <f>IF('Rhaniad y Ddeiliadaeth (Cymru)'!$D$8="Amcangyfrifon LlC",'Incwm (Cymru)'!F40,'Incwm (Cymru)'!X40)</f>
        <v>26258.623258141321</v>
      </c>
      <c r="AF40" s="4">
        <f>IF('Rhaniad y Ddeiliadaeth (Cymru)'!$D$8="Amcangyfrifon LlC",'Incwm (Cymru)'!G40,'Incwm (Cymru)'!Y40)</f>
        <v>27128.062166016185</v>
      </c>
      <c r="AG40" s="4">
        <f>IF('Rhaniad y Ddeiliadaeth (Cymru)'!$D$8="Amcangyfrifon LlC",'Incwm (Cymru)'!H40,'Incwm (Cymru)'!Z40)</f>
        <v>28040.012136776819</v>
      </c>
      <c r="AH40" s="4">
        <f>IF('Rhaniad y Ddeiliadaeth (Cymru)'!$D$8="Amcangyfrifon LlC",'Incwm (Cymru)'!I40,'Incwm (Cymru)'!AA40)</f>
        <v>28977.339760421655</v>
      </c>
    </row>
    <row r="41" spans="2:34" x14ac:dyDescent="0.35">
      <c r="B41" s="251">
        <v>47</v>
      </c>
      <c r="C41" s="258">
        <v>24789.25</v>
      </c>
      <c r="D41" s="258">
        <v>25393.568012467516</v>
      </c>
      <c r="E41" s="278">
        <f>D41*(1+'Rhaniad y Ddeiliadaeth (Cymru)'!C$109)+(D$44*(-(50-$B41)*('Rhaniad y Ddeiliadaeth (Cymru)'!C$110/40)))</f>
        <v>25943.672942633522</v>
      </c>
      <c r="F41" s="278">
        <f>E41*(1+'Rhaniad y Ddeiliadaeth (Cymru)'!D$109)+(E$44*(-(50-$B41)*('Rhaniad y Ddeiliadaeth (Cymru)'!D$110/40)))</f>
        <v>26812.535586731105</v>
      </c>
      <c r="G41" s="278">
        <f>F41*(1+'Rhaniad y Ddeiliadaeth (Cymru)'!E$109)+(F$44*(-(50-$B41)*('Rhaniad y Ddeiliadaeth (Cymru)'!E$110/40)))</f>
        <v>27707.915245403088</v>
      </c>
      <c r="H41" s="278">
        <f>G41*(1+'Rhaniad y Ddeiliadaeth (Cymru)'!F$109)+(G$44*(-(50-$B41)*('Rhaniad y Ddeiliadaeth (Cymru)'!F$110/40)))</f>
        <v>28647.22610533654</v>
      </c>
      <c r="I41" s="279">
        <f>H41*(1+'Rhaniad y Ddeiliadaeth (Cymru)'!G$109)+(H$44*(-(50-$B41)*('Rhaniad y Ddeiliadaeth (Cymru)'!G$110/40)))</f>
        <v>29613.001410286204</v>
      </c>
      <c r="M41" s="36" t="str">
        <f t="shared" si="5"/>
        <v/>
      </c>
      <c r="N41" s="190"/>
      <c r="O41" s="13">
        <f t="shared" si="4"/>
        <v>1</v>
      </c>
      <c r="U41" s="1">
        <f t="shared" si="6"/>
        <v>47</v>
      </c>
      <c r="V41" s="4" t="str">
        <f t="shared" si="7"/>
        <v/>
      </c>
      <c r="W41" s="4" t="e">
        <f>IF($W$3=$N$3,N41,V41*(1+'Rhaniad y Ddeiliadaeth (Cymru)'!C$109)+(V$44*(-(50-$U41)*('Rhaniad y Ddeiliadaeth (Cymru)'!C$110/40))))</f>
        <v>#VALUE!</v>
      </c>
      <c r="X41" s="4" t="e">
        <f>W41*(1+'Rhaniad y Ddeiliadaeth (Cymru)'!D$109)+(W$44*(-(50-$U41)*('Rhaniad y Ddeiliadaeth (Cymru)'!D$110/40)))</f>
        <v>#VALUE!</v>
      </c>
      <c r="Y41" s="4" t="e">
        <f>X41*(1+'Rhaniad y Ddeiliadaeth (Cymru)'!E$109)+(X$44*(-(50-$U41)*('Rhaniad y Ddeiliadaeth (Cymru)'!E$110/40)))</f>
        <v>#VALUE!</v>
      </c>
      <c r="Z41" s="4" t="e">
        <f>Y41*(1+'Rhaniad y Ddeiliadaeth (Cymru)'!F$109)+(Y$44*(-(50-$U41)*('Rhaniad y Ddeiliadaeth (Cymru)'!F$110/40)))</f>
        <v>#VALUE!</v>
      </c>
      <c r="AA41" s="4" t="e">
        <f>Z41*(1+'Rhaniad y Ddeiliadaeth (Cymru)'!G$109)+(Z$44*(-(50-$U41)*('Rhaniad y Ddeiliadaeth (Cymru)'!G$110/40)))</f>
        <v>#VALUE!</v>
      </c>
      <c r="AC41">
        <v>47</v>
      </c>
      <c r="AD41" s="4">
        <f>IF('Rhaniad y Ddeiliadaeth (Cymru)'!$D$8="Amcangyfrifon LlC",'Incwm (Cymru)'!E41,'Incwm (Cymru)'!W41)</f>
        <v>25943.672942633522</v>
      </c>
      <c r="AE41" s="4">
        <f>IF('Rhaniad y Ddeiliadaeth (Cymru)'!$D$8="Amcangyfrifon LlC",'Incwm (Cymru)'!F41,'Incwm (Cymru)'!X41)</f>
        <v>26812.535586731105</v>
      </c>
      <c r="AF41" s="4">
        <f>IF('Rhaniad y Ddeiliadaeth (Cymru)'!$D$8="Amcangyfrifon LlC",'Incwm (Cymru)'!G41,'Incwm (Cymru)'!Y41)</f>
        <v>27707.915245403088</v>
      </c>
      <c r="AG41" s="4">
        <f>IF('Rhaniad y Ddeiliadaeth (Cymru)'!$D$8="Amcangyfrifon LlC",'Incwm (Cymru)'!H41,'Incwm (Cymru)'!Z41)</f>
        <v>28647.22610533654</v>
      </c>
      <c r="AH41" s="4">
        <f>IF('Rhaniad y Ddeiliadaeth (Cymru)'!$D$8="Amcangyfrifon LlC",'Incwm (Cymru)'!I41,'Incwm (Cymru)'!AA41)</f>
        <v>29613.001410286204</v>
      </c>
    </row>
    <row r="42" spans="2:34" x14ac:dyDescent="0.35">
      <c r="B42" s="251">
        <v>48</v>
      </c>
      <c r="C42" s="258">
        <v>24958</v>
      </c>
      <c r="D42" s="258">
        <v>25566.431838606019</v>
      </c>
      <c r="E42" s="278">
        <f>D42*(1+'Rhaniad y Ddeiliadaeth (Cymru)'!C$109)+(D$44*(-(50-$B42)*('Rhaniad y Ddeiliadaeth (Cymru)'!C$110/40)))</f>
        <v>26127.044840859107</v>
      </c>
      <c r="F42" s="278">
        <f>E42*(1+'Rhaniad y Ddeiliadaeth (Cymru)'!D$109)+(E$44*(-(50-$B42)*('Rhaniad y Ddeiliadaeth (Cymru)'!D$110/40)))</f>
        <v>27008.969079121271</v>
      </c>
      <c r="G42" s="278">
        <f>F42*(1+'Rhaniad y Ddeiliadaeth (Cymru)'!E$109)+(F$44*(-(50-$B42)*('Rhaniad y Ddeiliadaeth (Cymru)'!E$110/40)))</f>
        <v>27918.071473690481</v>
      </c>
      <c r="H42" s="278">
        <f>G42*(1+'Rhaniad y Ddeiliadaeth (Cymru)'!F$109)+(G$44*(-(50-$B42)*('Rhaniad y Ddeiliadaeth (Cymru)'!F$110/40)))</f>
        <v>28871.920188650201</v>
      </c>
      <c r="I42" s="279">
        <f>H42*(1+'Rhaniad y Ddeiliadaeth (Cymru)'!G$109)+(H$44*(-(50-$B42)*('Rhaniad y Ddeiliadaeth (Cymru)'!G$110/40)))</f>
        <v>29852.94696196885</v>
      </c>
      <c r="M42" s="36" t="str">
        <f t="shared" si="5"/>
        <v/>
      </c>
      <c r="N42" s="190"/>
      <c r="O42" s="13">
        <f t="shared" si="4"/>
        <v>1</v>
      </c>
      <c r="U42" s="1">
        <f t="shared" si="6"/>
        <v>48</v>
      </c>
      <c r="V42" s="4" t="str">
        <f t="shared" si="7"/>
        <v/>
      </c>
      <c r="W42" s="4" t="e">
        <f>IF($W$3=$N$3,N42,V42*(1+'Rhaniad y Ddeiliadaeth (Cymru)'!C$109)+(V$44*(-(50-$U42)*('Rhaniad y Ddeiliadaeth (Cymru)'!C$110/40))))</f>
        <v>#VALUE!</v>
      </c>
      <c r="X42" s="4" t="e">
        <f>W42*(1+'Rhaniad y Ddeiliadaeth (Cymru)'!D$109)+(W$44*(-(50-$U42)*('Rhaniad y Ddeiliadaeth (Cymru)'!D$110/40)))</f>
        <v>#VALUE!</v>
      </c>
      <c r="Y42" s="4" t="e">
        <f>X42*(1+'Rhaniad y Ddeiliadaeth (Cymru)'!E$109)+(X$44*(-(50-$U42)*('Rhaniad y Ddeiliadaeth (Cymru)'!E$110/40)))</f>
        <v>#VALUE!</v>
      </c>
      <c r="Z42" s="4" t="e">
        <f>Y42*(1+'Rhaniad y Ddeiliadaeth (Cymru)'!F$109)+(Y$44*(-(50-$U42)*('Rhaniad y Ddeiliadaeth (Cymru)'!F$110/40)))</f>
        <v>#VALUE!</v>
      </c>
      <c r="AA42" s="4" t="e">
        <f>Z42*(1+'Rhaniad y Ddeiliadaeth (Cymru)'!G$109)+(Z$44*(-(50-$U42)*('Rhaniad y Ddeiliadaeth (Cymru)'!G$110/40)))</f>
        <v>#VALUE!</v>
      </c>
      <c r="AC42">
        <v>48</v>
      </c>
      <c r="AD42" s="4">
        <f>IF('Rhaniad y Ddeiliadaeth (Cymru)'!$D$8="Amcangyfrifon LlC",'Incwm (Cymru)'!E42,'Incwm (Cymru)'!W42)</f>
        <v>26127.044840859107</v>
      </c>
      <c r="AE42" s="4">
        <f>IF('Rhaniad y Ddeiliadaeth (Cymru)'!$D$8="Amcangyfrifon LlC",'Incwm (Cymru)'!F42,'Incwm (Cymru)'!X42)</f>
        <v>27008.969079121271</v>
      </c>
      <c r="AF42" s="4">
        <f>IF('Rhaniad y Ddeiliadaeth (Cymru)'!$D$8="Amcangyfrifon LlC",'Incwm (Cymru)'!G42,'Incwm (Cymru)'!Y42)</f>
        <v>27918.071473690481</v>
      </c>
      <c r="AG42" s="4">
        <f>IF('Rhaniad y Ddeiliadaeth (Cymru)'!$D$8="Amcangyfrifon LlC",'Incwm (Cymru)'!H42,'Incwm (Cymru)'!Z42)</f>
        <v>28871.920188650201</v>
      </c>
      <c r="AH42" s="4">
        <f>IF('Rhaniad y Ddeiliadaeth (Cymru)'!$D$8="Amcangyfrifon LlC",'Incwm (Cymru)'!I42,'Incwm (Cymru)'!AA42)</f>
        <v>29852.94696196885</v>
      </c>
    </row>
    <row r="43" spans="2:34" x14ac:dyDescent="0.35">
      <c r="B43" s="251">
        <v>49</v>
      </c>
      <c r="C43" s="258">
        <v>25404</v>
      </c>
      <c r="D43" s="258">
        <v>26023.304528726152</v>
      </c>
      <c r="E43" s="278">
        <f>D43*(1+'Rhaniad y Ddeiliadaeth (Cymru)'!C$109)+(D$44*(-(50-$B43)*('Rhaniad y Ddeiliadaeth (Cymru)'!C$110/40)))</f>
        <v>26600.80051879627</v>
      </c>
      <c r="F43" s="278">
        <f>E43*(1+'Rhaniad y Ddeiliadaeth (Cymru)'!D$109)+(E$44*(-(50-$B43)*('Rhaniad y Ddeiliadaeth (Cymru)'!D$110/40)))</f>
        <v>27505.738957379144</v>
      </c>
      <c r="G43" s="278">
        <f>F43*(1+'Rhaniad y Ddeiliadaeth (Cymru)'!E$109)+(F$44*(-(50-$B43)*('Rhaniad y Ddeiliadaeth (Cymru)'!E$110/40)))</f>
        <v>28438.82907157587</v>
      </c>
      <c r="H43" s="278">
        <f>G43*(1+'Rhaniad y Ddeiliadaeth (Cymru)'!F$109)+(G$44*(-(50-$B43)*('Rhaniad y Ddeiliadaeth (Cymru)'!F$110/40)))</f>
        <v>29417.98893312892</v>
      </c>
      <c r="I43" s="279">
        <f>H43*(1+'Rhaniad y Ddeiliadaeth (Cymru)'!G$109)+(H$44*(-(50-$B43)*('Rhaniad y Ddeiliadaeth (Cymru)'!G$110/40)))</f>
        <v>30425.353993108867</v>
      </c>
      <c r="M43" s="36" t="str">
        <f t="shared" si="5"/>
        <v/>
      </c>
      <c r="N43" s="190"/>
      <c r="O43" s="13">
        <f t="shared" si="4"/>
        <v>1</v>
      </c>
      <c r="U43" s="1">
        <f t="shared" si="6"/>
        <v>49</v>
      </c>
      <c r="V43" s="4" t="str">
        <f t="shared" si="7"/>
        <v/>
      </c>
      <c r="W43" s="4" t="e">
        <f>IF($W$3=$N$3,N43,V43*(1+'Rhaniad y Ddeiliadaeth (Cymru)'!C$109)+(V$44*(-(50-$U43)*('Rhaniad y Ddeiliadaeth (Cymru)'!C$110/40))))</f>
        <v>#VALUE!</v>
      </c>
      <c r="X43" s="4" t="e">
        <f>W43*(1+'Rhaniad y Ddeiliadaeth (Cymru)'!D$109)+(W$44*(-(50-$U43)*('Rhaniad y Ddeiliadaeth (Cymru)'!D$110/40)))</f>
        <v>#VALUE!</v>
      </c>
      <c r="Y43" s="4" t="e">
        <f>X43*(1+'Rhaniad y Ddeiliadaeth (Cymru)'!E$109)+(X$44*(-(50-$U43)*('Rhaniad y Ddeiliadaeth (Cymru)'!E$110/40)))</f>
        <v>#VALUE!</v>
      </c>
      <c r="Z43" s="4" t="e">
        <f>Y43*(1+'Rhaniad y Ddeiliadaeth (Cymru)'!F$109)+(Y$44*(-(50-$U43)*('Rhaniad y Ddeiliadaeth (Cymru)'!F$110/40)))</f>
        <v>#VALUE!</v>
      </c>
      <c r="AA43" s="4" t="e">
        <f>Z43*(1+'Rhaniad y Ddeiliadaeth (Cymru)'!G$109)+(Z$44*(-(50-$U43)*('Rhaniad y Ddeiliadaeth (Cymru)'!G$110/40)))</f>
        <v>#VALUE!</v>
      </c>
      <c r="AC43">
        <v>49</v>
      </c>
      <c r="AD43" s="4">
        <f>IF('Rhaniad y Ddeiliadaeth (Cymru)'!$D$8="Amcangyfrifon LlC",'Incwm (Cymru)'!E43,'Incwm (Cymru)'!W43)</f>
        <v>26600.80051879627</v>
      </c>
      <c r="AE43" s="4">
        <f>IF('Rhaniad y Ddeiliadaeth (Cymru)'!$D$8="Amcangyfrifon LlC",'Incwm (Cymru)'!F43,'Incwm (Cymru)'!X43)</f>
        <v>27505.738957379144</v>
      </c>
      <c r="AF43" s="4">
        <f>IF('Rhaniad y Ddeiliadaeth (Cymru)'!$D$8="Amcangyfrifon LlC",'Incwm (Cymru)'!G43,'Incwm (Cymru)'!Y43)</f>
        <v>28438.82907157587</v>
      </c>
      <c r="AG43" s="4">
        <f>IF('Rhaniad y Ddeiliadaeth (Cymru)'!$D$8="Amcangyfrifon LlC",'Incwm (Cymru)'!H43,'Incwm (Cymru)'!Z43)</f>
        <v>29417.98893312892</v>
      </c>
      <c r="AH43" s="4">
        <f>IF('Rhaniad y Ddeiliadaeth (Cymru)'!$D$8="Amcangyfrifon LlC",'Incwm (Cymru)'!I43,'Incwm (Cymru)'!AA43)</f>
        <v>30425.353993108867</v>
      </c>
    </row>
    <row r="44" spans="2:34" x14ac:dyDescent="0.35">
      <c r="B44" s="251">
        <v>50</v>
      </c>
      <c r="C44" s="258">
        <v>25829.25</v>
      </c>
      <c r="D44" s="258">
        <v>26511.754109490379</v>
      </c>
      <c r="E44" s="278">
        <f>D44*(1+'Rhaniad y Ddeiliadaeth (Cymru)'!C$109)+(D$44*(-(50-$B44)*('Rhaniad y Ddeiliadaeth (Cymru)'!C$110/40)))</f>
        <v>27106.841868131931</v>
      </c>
      <c r="F44" s="278">
        <f>E44*(1+'Rhaniad y Ddeiliadaeth (Cymru)'!D$109)+(E$44*(-(50-$B44)*('Rhaniad y Ddeiliadaeth (Cymru)'!D$110/40)))</f>
        <v>28035.901065302081</v>
      </c>
      <c r="G44" s="278">
        <f>F44*(1+'Rhaniad y Ddeiliadaeth (Cymru)'!E$109)+(F$44*(-(50-$B44)*('Rhaniad y Ddeiliadaeth (Cymru)'!E$110/40)))</f>
        <v>28994.120188395151</v>
      </c>
      <c r="H44" s="278">
        <f>G44*(1+'Rhaniad y Ddeiliadaeth (Cymru)'!F$109)+(G$44*(-(50-$B44)*('Rhaniad y Ddeiliadaeth (Cymru)'!F$110/40)))</f>
        <v>29999.789000880875</v>
      </c>
      <c r="I44" s="279">
        <f>H44*(1+'Rhaniad y Ddeiliadaeth (Cymru)'!G$109)+(H$44*(-(50-$B44)*('Rhaniad y Ddeiliadaeth (Cymru)'!G$110/40)))</f>
        <v>31034.725010629529</v>
      </c>
      <c r="M44" s="36" t="str">
        <f t="shared" si="5"/>
        <v/>
      </c>
      <c r="N44" s="190"/>
      <c r="O44" s="13">
        <f t="shared" si="4"/>
        <v>1</v>
      </c>
      <c r="U44" s="1">
        <f t="shared" si="6"/>
        <v>50</v>
      </c>
      <c r="V44" s="4" t="str">
        <f t="shared" si="7"/>
        <v/>
      </c>
      <c r="W44" s="4" t="e">
        <f>IF($W$3=$N$3,N44,V44*(1+'Rhaniad y Ddeiliadaeth (Cymru)'!C$109)+(V$44*(-(50-$U44)*('Rhaniad y Ddeiliadaeth (Cymru)'!C$110/40))))</f>
        <v>#VALUE!</v>
      </c>
      <c r="X44" s="4" t="e">
        <f>W44*(1+'Rhaniad y Ddeiliadaeth (Cymru)'!D$109)+(W$44*(-(50-$U44)*('Rhaniad y Ddeiliadaeth (Cymru)'!D$110/40)))</f>
        <v>#VALUE!</v>
      </c>
      <c r="Y44" s="4" t="e">
        <f>X44*(1+'Rhaniad y Ddeiliadaeth (Cymru)'!E$109)+(X$44*(-(50-$U44)*('Rhaniad y Ddeiliadaeth (Cymru)'!E$110/40)))</f>
        <v>#VALUE!</v>
      </c>
      <c r="Z44" s="4" t="e">
        <f>Y44*(1+'Rhaniad y Ddeiliadaeth (Cymru)'!F$109)+(Y$44*(-(50-$U44)*('Rhaniad y Ddeiliadaeth (Cymru)'!F$110/40)))</f>
        <v>#VALUE!</v>
      </c>
      <c r="AA44" s="4" t="e">
        <f>Z44*(1+'Rhaniad y Ddeiliadaeth (Cymru)'!G$109)+(Z$44*(-(50-$U44)*('Rhaniad y Ddeiliadaeth (Cymru)'!G$110/40)))</f>
        <v>#VALUE!</v>
      </c>
      <c r="AC44">
        <v>50</v>
      </c>
      <c r="AD44" s="4">
        <f>IF('Rhaniad y Ddeiliadaeth (Cymru)'!$D$8="Amcangyfrifon LlC",'Incwm (Cymru)'!E44,'Incwm (Cymru)'!W44)</f>
        <v>27106.841868131931</v>
      </c>
      <c r="AE44" s="4">
        <f>IF('Rhaniad y Ddeiliadaeth (Cymru)'!$D$8="Amcangyfrifon LlC",'Incwm (Cymru)'!F44,'Incwm (Cymru)'!X44)</f>
        <v>28035.901065302081</v>
      </c>
      <c r="AF44" s="4">
        <f>IF('Rhaniad y Ddeiliadaeth (Cymru)'!$D$8="Amcangyfrifon LlC",'Incwm (Cymru)'!G44,'Incwm (Cymru)'!Y44)</f>
        <v>28994.120188395151</v>
      </c>
      <c r="AG44" s="4">
        <f>IF('Rhaniad y Ddeiliadaeth (Cymru)'!$D$8="Amcangyfrifon LlC",'Incwm (Cymru)'!H44,'Incwm (Cymru)'!Z44)</f>
        <v>29999.789000880875</v>
      </c>
      <c r="AH44" s="4">
        <f>IF('Rhaniad y Ddeiliadaeth (Cymru)'!$D$8="Amcangyfrifon LlC",'Incwm (Cymru)'!I44,'Incwm (Cymru)'!AA44)</f>
        <v>31034.725010629529</v>
      </c>
    </row>
    <row r="45" spans="2:34" x14ac:dyDescent="0.35">
      <c r="B45" s="251">
        <v>51</v>
      </c>
      <c r="C45" s="258">
        <v>26227</v>
      </c>
      <c r="D45" s="258">
        <v>26920.01413241206</v>
      </c>
      <c r="E45" s="278">
        <f>D45*(1+'Rhaniad y Ddeiliadaeth (Cymru)'!C$109)+(D$44*(-(50-$B45)*('Rhaniad y Ddeiliadaeth (Cymru)'!C$110/40)))</f>
        <v>27530.893709910444</v>
      </c>
      <c r="F45" s="278">
        <f>E45*(1+'Rhaniad y Ddeiliadaeth (Cymru)'!D$109)+(E$44*(-(50-$B45)*('Rhaniad y Ddeiliadaeth (Cymru)'!D$110/40)))</f>
        <v>28481.263559406216</v>
      </c>
      <c r="G45" s="278">
        <f>F45*(1+'Rhaniad y Ddeiliadaeth (Cymru)'!E$109)+(F$44*(-(50-$B45)*('Rhaniad y Ddeiliadaeth (Cymru)'!E$110/40)))</f>
        <v>29461.713385705261</v>
      </c>
      <c r="H45" s="278">
        <f>G45*(1+'Rhaniad y Ddeiliadaeth (Cymru)'!F$109)+(G$44*(-(50-$B45)*('Rhaniad y Ddeiliadaeth (Cymru)'!F$110/40)))</f>
        <v>30490.849323332874</v>
      </c>
      <c r="I45" s="279">
        <f>H45*(1+'Rhaniad y Ddeiliadaeth (Cymru)'!G$109)+(H$44*(-(50-$B45)*('Rhaniad y Ddeiliadaeth (Cymru)'!G$110/40)))</f>
        <v>31550.225933169317</v>
      </c>
      <c r="M45" s="36" t="str">
        <f t="shared" si="5"/>
        <v/>
      </c>
      <c r="N45" s="190"/>
      <c r="O45" s="13">
        <f t="shared" si="4"/>
        <v>1</v>
      </c>
      <c r="U45" s="1">
        <f t="shared" si="6"/>
        <v>51</v>
      </c>
      <c r="V45" s="4" t="str">
        <f t="shared" si="7"/>
        <v/>
      </c>
      <c r="W45" s="4" t="e">
        <f>IF($W$3=$N$3,N45,V45*(1+'Rhaniad y Ddeiliadaeth (Cymru)'!C$109)+(V$44*(-(50-$U45)*('Rhaniad y Ddeiliadaeth (Cymru)'!C$110/40))))</f>
        <v>#VALUE!</v>
      </c>
      <c r="X45" s="4" t="e">
        <f>W45*(1+'Rhaniad y Ddeiliadaeth (Cymru)'!D$109)+(W$44*(-(50-$U45)*('Rhaniad y Ddeiliadaeth (Cymru)'!D$110/40)))</f>
        <v>#VALUE!</v>
      </c>
      <c r="Y45" s="4" t="e">
        <f>X45*(1+'Rhaniad y Ddeiliadaeth (Cymru)'!E$109)+(X$44*(-(50-$U45)*('Rhaniad y Ddeiliadaeth (Cymru)'!E$110/40)))</f>
        <v>#VALUE!</v>
      </c>
      <c r="Z45" s="4" t="e">
        <f>Y45*(1+'Rhaniad y Ddeiliadaeth (Cymru)'!F$109)+(Y$44*(-(50-$U45)*('Rhaniad y Ddeiliadaeth (Cymru)'!F$110/40)))</f>
        <v>#VALUE!</v>
      </c>
      <c r="AA45" s="4" t="e">
        <f>Z45*(1+'Rhaniad y Ddeiliadaeth (Cymru)'!G$109)+(Z$44*(-(50-$U45)*('Rhaniad y Ddeiliadaeth (Cymru)'!G$110/40)))</f>
        <v>#VALUE!</v>
      </c>
      <c r="AC45">
        <v>51</v>
      </c>
      <c r="AD45" s="4">
        <f>IF('Rhaniad y Ddeiliadaeth (Cymru)'!$D$8="Amcangyfrifon LlC",'Incwm (Cymru)'!E45,'Incwm (Cymru)'!W45)</f>
        <v>27530.893709910444</v>
      </c>
      <c r="AE45" s="4">
        <f>IF('Rhaniad y Ddeiliadaeth (Cymru)'!$D$8="Amcangyfrifon LlC",'Incwm (Cymru)'!F45,'Incwm (Cymru)'!X45)</f>
        <v>28481.263559406216</v>
      </c>
      <c r="AF45" s="4">
        <f>IF('Rhaniad y Ddeiliadaeth (Cymru)'!$D$8="Amcangyfrifon LlC",'Incwm (Cymru)'!G45,'Incwm (Cymru)'!Y45)</f>
        <v>29461.713385705261</v>
      </c>
      <c r="AG45" s="4">
        <f>IF('Rhaniad y Ddeiliadaeth (Cymru)'!$D$8="Amcangyfrifon LlC",'Incwm (Cymru)'!H45,'Incwm (Cymru)'!Z45)</f>
        <v>30490.849323332874</v>
      </c>
      <c r="AH45" s="4">
        <f>IF('Rhaniad y Ddeiliadaeth (Cymru)'!$D$8="Amcangyfrifon LlC",'Incwm (Cymru)'!I45,'Incwm (Cymru)'!AA45)</f>
        <v>31550.225933169317</v>
      </c>
    </row>
    <row r="46" spans="2:34" x14ac:dyDescent="0.35">
      <c r="B46" s="251">
        <v>52</v>
      </c>
      <c r="C46" s="258">
        <v>26730</v>
      </c>
      <c r="D46" s="258">
        <v>27436.305248765562</v>
      </c>
      <c r="E46" s="278">
        <f>D46*(1+'Rhaniad y Ddeiliadaeth (Cymru)'!C$109)+(D$44*(-(50-$B46)*('Rhaniad y Ddeiliadaeth (Cymru)'!C$110/40)))</f>
        <v>28065.401531116189</v>
      </c>
      <c r="F46" s="278">
        <f>E46*(1+'Rhaniad y Ddeiliadaeth (Cymru)'!D$109)+(E$44*(-(50-$B46)*('Rhaniad y Ddeiliadaeth (Cymru)'!D$110/40)))</f>
        <v>29040.86779831993</v>
      </c>
      <c r="G46" s="278">
        <f>F46*(1+'Rhaniad y Ddeiliadaeth (Cymru)'!E$109)+(F$44*(-(50-$B46)*('Rhaniad y Ddeiliadaeth (Cymru)'!E$110/40)))</f>
        <v>30047.45291517091</v>
      </c>
      <c r="H46" s="278">
        <f>G46*(1+'Rhaniad y Ddeiliadaeth (Cymru)'!F$109)+(G$44*(-(50-$B46)*('Rhaniad y Ddeiliadaeth (Cymru)'!F$110/40)))</f>
        <v>31104.153915066505</v>
      </c>
      <c r="I46" s="279">
        <f>H46*(1+'Rhaniad y Ddeiliadaeth (Cymru)'!G$109)+(H$44*(-(50-$B46)*('Rhaniad y Ddeiliadaeth (Cymru)'!G$110/40)))</f>
        <v>32192.188321193731</v>
      </c>
      <c r="M46" s="36" t="str">
        <f t="shared" si="5"/>
        <v/>
      </c>
      <c r="N46" s="190"/>
      <c r="O46" s="13">
        <f t="shared" si="4"/>
        <v>1</v>
      </c>
      <c r="U46" s="1">
        <f t="shared" si="6"/>
        <v>52</v>
      </c>
      <c r="V46" s="4" t="str">
        <f t="shared" si="7"/>
        <v/>
      </c>
      <c r="W46" s="4" t="e">
        <f>IF($W$3=$N$3,N46,V46*(1+'Rhaniad y Ddeiliadaeth (Cymru)'!C$109)+(V$44*(-(50-$U46)*('Rhaniad y Ddeiliadaeth (Cymru)'!C$110/40))))</f>
        <v>#VALUE!</v>
      </c>
      <c r="X46" s="4" t="e">
        <f>W46*(1+'Rhaniad y Ddeiliadaeth (Cymru)'!D$109)+(W$44*(-(50-$U46)*('Rhaniad y Ddeiliadaeth (Cymru)'!D$110/40)))</f>
        <v>#VALUE!</v>
      </c>
      <c r="Y46" s="4" t="e">
        <f>X46*(1+'Rhaniad y Ddeiliadaeth (Cymru)'!E$109)+(X$44*(-(50-$U46)*('Rhaniad y Ddeiliadaeth (Cymru)'!E$110/40)))</f>
        <v>#VALUE!</v>
      </c>
      <c r="Z46" s="4" t="e">
        <f>Y46*(1+'Rhaniad y Ddeiliadaeth (Cymru)'!F$109)+(Y$44*(-(50-$U46)*('Rhaniad y Ddeiliadaeth (Cymru)'!F$110/40)))</f>
        <v>#VALUE!</v>
      </c>
      <c r="AA46" s="4" t="e">
        <f>Z46*(1+'Rhaniad y Ddeiliadaeth (Cymru)'!G$109)+(Z$44*(-(50-$U46)*('Rhaniad y Ddeiliadaeth (Cymru)'!G$110/40)))</f>
        <v>#VALUE!</v>
      </c>
      <c r="AC46">
        <v>52</v>
      </c>
      <c r="AD46" s="4">
        <f>IF('Rhaniad y Ddeiliadaeth (Cymru)'!$D$8="Amcangyfrifon LlC",'Incwm (Cymru)'!E46,'Incwm (Cymru)'!W46)</f>
        <v>28065.401531116189</v>
      </c>
      <c r="AE46" s="4">
        <f>IF('Rhaniad y Ddeiliadaeth (Cymru)'!$D$8="Amcangyfrifon LlC",'Incwm (Cymru)'!F46,'Incwm (Cymru)'!X46)</f>
        <v>29040.86779831993</v>
      </c>
      <c r="AF46" s="4">
        <f>IF('Rhaniad y Ddeiliadaeth (Cymru)'!$D$8="Amcangyfrifon LlC",'Incwm (Cymru)'!G46,'Incwm (Cymru)'!Y46)</f>
        <v>30047.45291517091</v>
      </c>
      <c r="AG46" s="4">
        <f>IF('Rhaniad y Ddeiliadaeth (Cymru)'!$D$8="Amcangyfrifon LlC",'Incwm (Cymru)'!H46,'Incwm (Cymru)'!Z46)</f>
        <v>31104.153915066505</v>
      </c>
      <c r="AH46" s="4">
        <f>IF('Rhaniad y Ddeiliadaeth (Cymru)'!$D$8="Amcangyfrifon LlC",'Incwm (Cymru)'!I46,'Incwm (Cymru)'!AA46)</f>
        <v>32192.188321193731</v>
      </c>
    </row>
    <row r="47" spans="2:34" x14ac:dyDescent="0.35">
      <c r="B47" s="251">
        <v>53</v>
      </c>
      <c r="C47" s="258">
        <v>27205</v>
      </c>
      <c r="D47" s="258">
        <v>27923.856501783281</v>
      </c>
      <c r="E47" s="278">
        <f>D47*(1+'Rhaniad y Ddeiliadaeth (Cymru)'!C$109)+(D$44*(-(50-$B47)*('Rhaniad y Ddeiliadaeth (Cymru)'!C$110/40)))</f>
        <v>28570.524388673835</v>
      </c>
      <c r="F47" s="278">
        <f>E47*(1+'Rhaniad y Ddeiliadaeth (Cymru)'!D$109)+(E$44*(-(50-$B47)*('Rhaniad y Ddeiliadaeth (Cymru)'!D$110/40)))</f>
        <v>29570.079934101406</v>
      </c>
      <c r="G47" s="278">
        <f>F47*(1+'Rhaniad y Ddeiliadaeth (Cymru)'!E$109)+(F$44*(-(50-$B47)*('Rhaniad y Ddeiliadaeth (Cymru)'!E$110/40)))</f>
        <v>30601.76159142653</v>
      </c>
      <c r="H47" s="278">
        <f>G47*(1+'Rhaniad y Ddeiliadaeth (Cymru)'!F$109)+(G$44*(-(50-$B47)*('Rhaniad y Ddeiliadaeth (Cymru)'!F$110/40)))</f>
        <v>31684.937466041123</v>
      </c>
      <c r="I47" s="279">
        <f>H47*(1+'Rhaniad y Ddeiliadaeth (Cymru)'!G$109)+(H$44*(-(50-$B47)*('Rhaniad y Ddeiliadaeth (Cymru)'!G$110/40)))</f>
        <v>32800.50775402983</v>
      </c>
      <c r="M47" s="36" t="str">
        <f t="shared" si="5"/>
        <v/>
      </c>
      <c r="N47" s="190"/>
      <c r="O47" s="13">
        <f t="shared" si="4"/>
        <v>1</v>
      </c>
      <c r="U47" s="1">
        <f t="shared" si="6"/>
        <v>53</v>
      </c>
      <c r="V47" s="4" t="str">
        <f t="shared" si="7"/>
        <v/>
      </c>
      <c r="W47" s="4" t="e">
        <f>IF($W$3=$N$3,N47,V47*(1+'Rhaniad y Ddeiliadaeth (Cymru)'!C$109)+(V$44*(-(50-$U47)*('Rhaniad y Ddeiliadaeth (Cymru)'!C$110/40))))</f>
        <v>#VALUE!</v>
      </c>
      <c r="X47" s="4" t="e">
        <f>W47*(1+'Rhaniad y Ddeiliadaeth (Cymru)'!D$109)+(W$44*(-(50-$U47)*('Rhaniad y Ddeiliadaeth (Cymru)'!D$110/40)))</f>
        <v>#VALUE!</v>
      </c>
      <c r="Y47" s="4" t="e">
        <f>X47*(1+'Rhaniad y Ddeiliadaeth (Cymru)'!E$109)+(X$44*(-(50-$U47)*('Rhaniad y Ddeiliadaeth (Cymru)'!E$110/40)))</f>
        <v>#VALUE!</v>
      </c>
      <c r="Z47" s="4" t="e">
        <f>Y47*(1+'Rhaniad y Ddeiliadaeth (Cymru)'!F$109)+(Y$44*(-(50-$U47)*('Rhaniad y Ddeiliadaeth (Cymru)'!F$110/40)))</f>
        <v>#VALUE!</v>
      </c>
      <c r="AA47" s="4" t="e">
        <f>Z47*(1+'Rhaniad y Ddeiliadaeth (Cymru)'!G$109)+(Z$44*(-(50-$U47)*('Rhaniad y Ddeiliadaeth (Cymru)'!G$110/40)))</f>
        <v>#VALUE!</v>
      </c>
      <c r="AC47">
        <v>53</v>
      </c>
      <c r="AD47" s="4">
        <f>IF('Rhaniad y Ddeiliadaeth (Cymru)'!$D$8="Amcangyfrifon LlC",'Incwm (Cymru)'!E47,'Incwm (Cymru)'!W47)</f>
        <v>28570.524388673835</v>
      </c>
      <c r="AE47" s="4">
        <f>IF('Rhaniad y Ddeiliadaeth (Cymru)'!$D$8="Amcangyfrifon LlC",'Incwm (Cymru)'!F47,'Incwm (Cymru)'!X47)</f>
        <v>29570.079934101406</v>
      </c>
      <c r="AF47" s="4">
        <f>IF('Rhaniad y Ddeiliadaeth (Cymru)'!$D$8="Amcangyfrifon LlC",'Incwm (Cymru)'!G47,'Incwm (Cymru)'!Y47)</f>
        <v>30601.76159142653</v>
      </c>
      <c r="AG47" s="4">
        <f>IF('Rhaniad y Ddeiliadaeth (Cymru)'!$D$8="Amcangyfrifon LlC",'Incwm (Cymru)'!H47,'Incwm (Cymru)'!Z47)</f>
        <v>31684.937466041123</v>
      </c>
      <c r="AH47" s="4">
        <f>IF('Rhaniad y Ddeiliadaeth (Cymru)'!$D$8="Amcangyfrifon LlC",'Incwm (Cymru)'!I47,'Incwm (Cymru)'!AA47)</f>
        <v>32800.50775402983</v>
      </c>
    </row>
    <row r="48" spans="2:34" x14ac:dyDescent="0.35">
      <c r="B48" s="251">
        <v>54</v>
      </c>
      <c r="C48" s="258">
        <v>27952.2</v>
      </c>
      <c r="D48" s="258">
        <v>28690.800283372417</v>
      </c>
      <c r="E48" s="278">
        <f>D48*(1+'Rhaniad y Ddeiliadaeth (Cymru)'!C$109)+(D$44*(-(50-$B48)*('Rhaniad y Ddeiliadaeth (Cymru)'!C$110/40)))</f>
        <v>29361.311071410513</v>
      </c>
      <c r="F48" s="278">
        <f>E48*(1+'Rhaniad y Ddeiliadaeth (Cymru)'!D$109)+(E$44*(-(50-$B48)*('Rhaniad y Ddeiliadaeth (Cymru)'!D$110/40)))</f>
        <v>30394.746729618459</v>
      </c>
      <c r="G48" s="278">
        <f>F48*(1+'Rhaniad y Ddeiliadaeth (Cymru)'!E$109)+(F$44*(-(50-$B48)*('Rhaniad y Ddeiliadaeth (Cymru)'!E$110/40)))</f>
        <v>31461.623062102477</v>
      </c>
      <c r="H48" s="278">
        <f>G48*(1+'Rhaniad y Ddeiliadaeth (Cymru)'!F$109)+(G$44*(-(50-$B48)*('Rhaniad y Ddeiliadaeth (Cymru)'!F$110/40)))</f>
        <v>32581.871991822976</v>
      </c>
      <c r="I48" s="279">
        <f>H48*(1+'Rhaniad y Ddeiliadaeth (Cymru)'!G$109)+(H$44*(-(50-$B48)*('Rhaniad y Ddeiliadaeth (Cymru)'!G$110/40)))</f>
        <v>33735.884772660851</v>
      </c>
      <c r="M48" s="36" t="str">
        <f t="shared" si="5"/>
        <v/>
      </c>
      <c r="N48" s="190"/>
      <c r="O48" s="13">
        <f t="shared" si="4"/>
        <v>1</v>
      </c>
      <c r="U48" s="1">
        <f t="shared" si="6"/>
        <v>54</v>
      </c>
      <c r="V48" s="4" t="str">
        <f t="shared" si="7"/>
        <v/>
      </c>
      <c r="W48" s="4" t="e">
        <f>IF($W$3=$N$3,N48,V48*(1+'Rhaniad y Ddeiliadaeth (Cymru)'!C$109)+(V$44*(-(50-$U48)*('Rhaniad y Ddeiliadaeth (Cymru)'!C$110/40))))</f>
        <v>#VALUE!</v>
      </c>
      <c r="X48" s="4" t="e">
        <f>W48*(1+'Rhaniad y Ddeiliadaeth (Cymru)'!D$109)+(W$44*(-(50-$U48)*('Rhaniad y Ddeiliadaeth (Cymru)'!D$110/40)))</f>
        <v>#VALUE!</v>
      </c>
      <c r="Y48" s="4" t="e">
        <f>X48*(1+'Rhaniad y Ddeiliadaeth (Cymru)'!E$109)+(X$44*(-(50-$U48)*('Rhaniad y Ddeiliadaeth (Cymru)'!E$110/40)))</f>
        <v>#VALUE!</v>
      </c>
      <c r="Z48" s="4" t="e">
        <f>Y48*(1+'Rhaniad y Ddeiliadaeth (Cymru)'!F$109)+(Y$44*(-(50-$U48)*('Rhaniad y Ddeiliadaeth (Cymru)'!F$110/40)))</f>
        <v>#VALUE!</v>
      </c>
      <c r="AA48" s="4" t="e">
        <f>Z48*(1+'Rhaniad y Ddeiliadaeth (Cymru)'!G$109)+(Z$44*(-(50-$U48)*('Rhaniad y Ddeiliadaeth (Cymru)'!G$110/40)))</f>
        <v>#VALUE!</v>
      </c>
      <c r="AC48">
        <v>54</v>
      </c>
      <c r="AD48" s="4">
        <f>IF('Rhaniad y Ddeiliadaeth (Cymru)'!$D$8="Amcangyfrifon LlC",'Incwm (Cymru)'!E48,'Incwm (Cymru)'!W48)</f>
        <v>29361.311071410513</v>
      </c>
      <c r="AE48" s="4">
        <f>IF('Rhaniad y Ddeiliadaeth (Cymru)'!$D$8="Amcangyfrifon LlC",'Incwm (Cymru)'!F48,'Incwm (Cymru)'!X48)</f>
        <v>30394.746729618459</v>
      </c>
      <c r="AF48" s="4">
        <f>IF('Rhaniad y Ddeiliadaeth (Cymru)'!$D$8="Amcangyfrifon LlC",'Incwm (Cymru)'!G48,'Incwm (Cymru)'!Y48)</f>
        <v>31461.623062102477</v>
      </c>
      <c r="AG48" s="4">
        <f>IF('Rhaniad y Ddeiliadaeth (Cymru)'!$D$8="Amcangyfrifon LlC",'Incwm (Cymru)'!H48,'Incwm (Cymru)'!Z48)</f>
        <v>32581.871991822976</v>
      </c>
      <c r="AH48" s="4">
        <f>IF('Rhaniad y Ddeiliadaeth (Cymru)'!$D$8="Amcangyfrifon LlC",'Incwm (Cymru)'!I48,'Incwm (Cymru)'!AA48)</f>
        <v>33735.884772660851</v>
      </c>
    </row>
    <row r="49" spans="2:34" x14ac:dyDescent="0.35">
      <c r="B49" s="251">
        <v>55</v>
      </c>
      <c r="C49" s="258">
        <v>28547</v>
      </c>
      <c r="D49" s="258">
        <v>29301.317094519658</v>
      </c>
      <c r="E49" s="278">
        <f>D49*(1+'Rhaniad y Ddeiliadaeth (Cymru)'!C$109)+(D$44*(-(50-$B49)*('Rhaniad y Ddeiliadaeth (Cymru)'!C$110/40)))</f>
        <v>29992.159594862529</v>
      </c>
      <c r="F49" s="278">
        <f>E49*(1+'Rhaniad y Ddeiliadaeth (Cymru)'!D$109)+(E$44*(-(50-$B49)*('Rhaniad y Ddeiliadaeth (Cymru)'!D$110/40)))</f>
        <v>31053.993649515742</v>
      </c>
      <c r="G49" s="278">
        <f>F49*(1+'Rhaniad y Ddeiliadaeth (Cymru)'!E$109)+(F$44*(-(50-$B49)*('Rhaniad y Ddeiliadaeth (Cymru)'!E$110/40)))</f>
        <v>32150.410888878145</v>
      </c>
      <c r="H49" s="278">
        <f>G49*(1+'Rhaniad y Ddeiliadaeth (Cymru)'!F$109)+(G$44*(-(50-$B49)*('Rhaniad y Ddeiliadaeth (Cymru)'!F$110/40)))</f>
        <v>33301.799138616509</v>
      </c>
      <c r="I49" s="279">
        <f>H49*(1+'Rhaniad y Ddeiliadaeth (Cymru)'!G$109)+(H$44*(-(50-$B49)*('Rhaniad y Ddeiliadaeth (Cymru)'!G$110/40)))</f>
        <v>34488.147992338359</v>
      </c>
      <c r="M49" s="36" t="str">
        <f t="shared" si="5"/>
        <v/>
      </c>
      <c r="N49" s="190"/>
      <c r="O49" s="13">
        <f t="shared" si="4"/>
        <v>1</v>
      </c>
      <c r="U49" s="1">
        <f t="shared" si="6"/>
        <v>55</v>
      </c>
      <c r="V49" s="4" t="str">
        <f t="shared" si="7"/>
        <v/>
      </c>
      <c r="W49" s="4" t="e">
        <f>IF($W$3=$N$3,N49,V49*(1+'Rhaniad y Ddeiliadaeth (Cymru)'!C$109)+(V$44*(-(50-$U49)*('Rhaniad y Ddeiliadaeth (Cymru)'!C$110/40))))</f>
        <v>#VALUE!</v>
      </c>
      <c r="X49" s="4" t="e">
        <f>W49*(1+'Rhaniad y Ddeiliadaeth (Cymru)'!D$109)+(W$44*(-(50-$U49)*('Rhaniad y Ddeiliadaeth (Cymru)'!D$110/40)))</f>
        <v>#VALUE!</v>
      </c>
      <c r="Y49" s="4" t="e">
        <f>X49*(1+'Rhaniad y Ddeiliadaeth (Cymru)'!E$109)+(X$44*(-(50-$U49)*('Rhaniad y Ddeiliadaeth (Cymru)'!E$110/40)))</f>
        <v>#VALUE!</v>
      </c>
      <c r="Z49" s="4" t="e">
        <f>Y49*(1+'Rhaniad y Ddeiliadaeth (Cymru)'!F$109)+(Y$44*(-(50-$U49)*('Rhaniad y Ddeiliadaeth (Cymru)'!F$110/40)))</f>
        <v>#VALUE!</v>
      </c>
      <c r="AA49" s="4" t="e">
        <f>Z49*(1+'Rhaniad y Ddeiliadaeth (Cymru)'!G$109)+(Z$44*(-(50-$U49)*('Rhaniad y Ddeiliadaeth (Cymru)'!G$110/40)))</f>
        <v>#VALUE!</v>
      </c>
      <c r="AC49">
        <v>55</v>
      </c>
      <c r="AD49" s="4">
        <f>IF('Rhaniad y Ddeiliadaeth (Cymru)'!$D$8="Amcangyfrifon LlC",'Incwm (Cymru)'!E49,'Incwm (Cymru)'!W49)</f>
        <v>29992.159594862529</v>
      </c>
      <c r="AE49" s="4">
        <f>IF('Rhaniad y Ddeiliadaeth (Cymru)'!$D$8="Amcangyfrifon LlC",'Incwm (Cymru)'!F49,'Incwm (Cymru)'!X49)</f>
        <v>31053.993649515742</v>
      </c>
      <c r="AF49" s="4">
        <f>IF('Rhaniad y Ddeiliadaeth (Cymru)'!$D$8="Amcangyfrifon LlC",'Incwm (Cymru)'!G49,'Incwm (Cymru)'!Y49)</f>
        <v>32150.410888878145</v>
      </c>
      <c r="AG49" s="4">
        <f>IF('Rhaniad y Ddeiliadaeth (Cymru)'!$D$8="Amcangyfrifon LlC",'Incwm (Cymru)'!H49,'Incwm (Cymru)'!Z49)</f>
        <v>33301.799138616509</v>
      </c>
      <c r="AH49" s="4">
        <f>IF('Rhaniad y Ddeiliadaeth (Cymru)'!$D$8="Amcangyfrifon LlC",'Incwm (Cymru)'!I49,'Incwm (Cymru)'!AA49)</f>
        <v>34488.147992338359</v>
      </c>
    </row>
    <row r="50" spans="2:34" x14ac:dyDescent="0.35">
      <c r="B50" s="251">
        <v>56</v>
      </c>
      <c r="C50" s="258">
        <v>29143.45</v>
      </c>
      <c r="D50" s="258">
        <v>29913.52750475633</v>
      </c>
      <c r="E50" s="278">
        <f>D50*(1+'Rhaniad y Ddeiliadaeth (Cymru)'!C$109)+(D$44*(-(50-$B50)*('Rhaniad y Ddeiliadaeth (Cymru)'!C$110/40)))</f>
        <v>30624.739732243812</v>
      </c>
      <c r="F50" s="278">
        <f>E50*(1+'Rhaniad y Ddeiliadaeth (Cymru)'!D$109)+(E$44*(-(50-$B50)*('Rhaniad y Ddeiliadaeth (Cymru)'!D$110/40)))</f>
        <v>31715.031532633315</v>
      </c>
      <c r="G50" s="278">
        <f>F50*(1+'Rhaniad y Ddeiliadaeth (Cymru)'!E$109)+(F$44*(-(50-$B50)*('Rhaniad y Ddeiliadaeth (Cymru)'!E$110/40)))</f>
        <v>32841.050890932253</v>
      </c>
      <c r="H50" s="278">
        <f>G50*(1+'Rhaniad y Ddeiliadaeth (Cymru)'!F$109)+(G$44*(-(50-$B50)*('Rhaniad y Ddeiliadaeth (Cymru)'!F$110/40)))</f>
        <v>34023.642703883335</v>
      </c>
      <c r="I50" s="279">
        <f>H50*(1+'Rhaniad y Ddeiliadaeth (Cymru)'!G$109)+(H$44*(-(50-$B50)*('Rhaniad y Ddeiliadaeth (Cymru)'!G$110/40)))</f>
        <v>35242.393743303757</v>
      </c>
      <c r="M50" s="36" t="str">
        <f t="shared" si="5"/>
        <v/>
      </c>
      <c r="N50" s="190"/>
      <c r="O50" s="13">
        <f t="shared" si="4"/>
        <v>1</v>
      </c>
      <c r="U50" s="1">
        <f t="shared" si="6"/>
        <v>56</v>
      </c>
      <c r="V50" s="4" t="str">
        <f t="shared" si="7"/>
        <v/>
      </c>
      <c r="W50" s="4" t="e">
        <f>IF($W$3=$N$3,N50,V50*(1+'Rhaniad y Ddeiliadaeth (Cymru)'!C$109)+(V$44*(-(50-$U50)*('Rhaniad y Ddeiliadaeth (Cymru)'!C$110/40))))</f>
        <v>#VALUE!</v>
      </c>
      <c r="X50" s="4" t="e">
        <f>W50*(1+'Rhaniad y Ddeiliadaeth (Cymru)'!D$109)+(W$44*(-(50-$U50)*('Rhaniad y Ddeiliadaeth (Cymru)'!D$110/40)))</f>
        <v>#VALUE!</v>
      </c>
      <c r="Y50" s="4" t="e">
        <f>X50*(1+'Rhaniad y Ddeiliadaeth (Cymru)'!E$109)+(X$44*(-(50-$U50)*('Rhaniad y Ddeiliadaeth (Cymru)'!E$110/40)))</f>
        <v>#VALUE!</v>
      </c>
      <c r="Z50" s="4" t="e">
        <f>Y50*(1+'Rhaniad y Ddeiliadaeth (Cymru)'!F$109)+(Y$44*(-(50-$U50)*('Rhaniad y Ddeiliadaeth (Cymru)'!F$110/40)))</f>
        <v>#VALUE!</v>
      </c>
      <c r="AA50" s="4" t="e">
        <f>Z50*(1+'Rhaniad y Ddeiliadaeth (Cymru)'!G$109)+(Z$44*(-(50-$U50)*('Rhaniad y Ddeiliadaeth (Cymru)'!G$110/40)))</f>
        <v>#VALUE!</v>
      </c>
      <c r="AC50">
        <v>56</v>
      </c>
      <c r="AD50" s="4">
        <f>IF('Rhaniad y Ddeiliadaeth (Cymru)'!$D$8="Amcangyfrifon LlC",'Incwm (Cymru)'!E50,'Incwm (Cymru)'!W50)</f>
        <v>30624.739732243812</v>
      </c>
      <c r="AE50" s="4">
        <f>IF('Rhaniad y Ddeiliadaeth (Cymru)'!$D$8="Amcangyfrifon LlC",'Incwm (Cymru)'!F50,'Incwm (Cymru)'!X50)</f>
        <v>31715.031532633315</v>
      </c>
      <c r="AF50" s="4">
        <f>IF('Rhaniad y Ddeiliadaeth (Cymru)'!$D$8="Amcangyfrifon LlC",'Incwm (Cymru)'!G50,'Incwm (Cymru)'!Y50)</f>
        <v>32841.050890932253</v>
      </c>
      <c r="AG50" s="4">
        <f>IF('Rhaniad y Ddeiliadaeth (Cymru)'!$D$8="Amcangyfrifon LlC",'Incwm (Cymru)'!H50,'Incwm (Cymru)'!Z50)</f>
        <v>34023.642703883335</v>
      </c>
      <c r="AH50" s="4">
        <f>IF('Rhaniad y Ddeiliadaeth (Cymru)'!$D$8="Amcangyfrifon LlC",'Incwm (Cymru)'!I50,'Incwm (Cymru)'!AA50)</f>
        <v>35242.393743303757</v>
      </c>
    </row>
    <row r="51" spans="2:34" x14ac:dyDescent="0.35">
      <c r="B51" s="251">
        <v>57</v>
      </c>
      <c r="C51" s="258">
        <v>29875</v>
      </c>
      <c r="D51" s="258">
        <v>30664.407755588145</v>
      </c>
      <c r="E51" s="278">
        <f>D51*(1+'Rhaniad y Ddeiliadaeth (Cymru)'!C$109)+(D$44*(-(50-$B51)*('Rhaniad y Ddeiliadaeth (Cymru)'!C$110/40)))</f>
        <v>31399.102319227175</v>
      </c>
      <c r="F51" s="278">
        <f>E51*(1+'Rhaniad y Ddeiliadaeth (Cymru)'!D$109)+(E$44*(-(50-$B51)*('Rhaniad y Ddeiliadaeth (Cymru)'!D$110/40)))</f>
        <v>32522.711313363958</v>
      </c>
      <c r="G51" s="278">
        <f>F51*(1+'Rhaniad y Ddeiliadaeth (Cymru)'!E$109)+(F$44*(-(50-$B51)*('Rhaniad y Ddeiliadaeth (Cymru)'!E$110/40)))</f>
        <v>33683.344759724743</v>
      </c>
      <c r="H51" s="278">
        <f>G51*(1+'Rhaniad y Ddeiliadaeth (Cymru)'!F$109)+(G$44*(-(50-$B51)*('Rhaniad y Ddeiliadaeth (Cymru)'!F$110/40)))</f>
        <v>34902.400290812388</v>
      </c>
      <c r="I51" s="279">
        <f>H51*(1+'Rhaniad y Ddeiliadaeth (Cymru)'!G$109)+(H$44*(-(50-$B51)*('Rhaniad y Ddeiliadaeth (Cymru)'!G$110/40)))</f>
        <v>36158.966753052737</v>
      </c>
      <c r="M51" s="36" t="str">
        <f t="shared" si="5"/>
        <v/>
      </c>
      <c r="N51" s="190"/>
      <c r="O51" s="13">
        <f t="shared" si="4"/>
        <v>1</v>
      </c>
      <c r="U51" s="1">
        <f t="shared" si="6"/>
        <v>57</v>
      </c>
      <c r="V51" s="4" t="str">
        <f t="shared" si="7"/>
        <v/>
      </c>
      <c r="W51" s="4" t="e">
        <f>IF($W$3=$N$3,N51,V51*(1+'Rhaniad y Ddeiliadaeth (Cymru)'!C$109)+(V$44*(-(50-$U51)*('Rhaniad y Ddeiliadaeth (Cymru)'!C$110/40))))</f>
        <v>#VALUE!</v>
      </c>
      <c r="X51" s="4" t="e">
        <f>W51*(1+'Rhaniad y Ddeiliadaeth (Cymru)'!D$109)+(W$44*(-(50-$U51)*('Rhaniad y Ddeiliadaeth (Cymru)'!D$110/40)))</f>
        <v>#VALUE!</v>
      </c>
      <c r="Y51" s="4" t="e">
        <f>X51*(1+'Rhaniad y Ddeiliadaeth (Cymru)'!E$109)+(X$44*(-(50-$U51)*('Rhaniad y Ddeiliadaeth (Cymru)'!E$110/40)))</f>
        <v>#VALUE!</v>
      </c>
      <c r="Z51" s="4" t="e">
        <f>Y51*(1+'Rhaniad y Ddeiliadaeth (Cymru)'!F$109)+(Y$44*(-(50-$U51)*('Rhaniad y Ddeiliadaeth (Cymru)'!F$110/40)))</f>
        <v>#VALUE!</v>
      </c>
      <c r="AA51" s="4" t="e">
        <f>Z51*(1+'Rhaniad y Ddeiliadaeth (Cymru)'!G$109)+(Z$44*(-(50-$U51)*('Rhaniad y Ddeiliadaeth (Cymru)'!G$110/40)))</f>
        <v>#VALUE!</v>
      </c>
      <c r="AC51">
        <v>57</v>
      </c>
      <c r="AD51" s="4">
        <f>IF('Rhaniad y Ddeiliadaeth (Cymru)'!$D$8="Amcangyfrifon LlC",'Incwm (Cymru)'!E51,'Incwm (Cymru)'!W51)</f>
        <v>31399.102319227175</v>
      </c>
      <c r="AE51" s="4">
        <f>IF('Rhaniad y Ddeiliadaeth (Cymru)'!$D$8="Amcangyfrifon LlC",'Incwm (Cymru)'!F51,'Incwm (Cymru)'!X51)</f>
        <v>32522.711313363958</v>
      </c>
      <c r="AF51" s="4">
        <f>IF('Rhaniad y Ddeiliadaeth (Cymru)'!$D$8="Amcangyfrifon LlC",'Incwm (Cymru)'!G51,'Incwm (Cymru)'!Y51)</f>
        <v>33683.344759724743</v>
      </c>
      <c r="AG51" s="4">
        <f>IF('Rhaniad y Ddeiliadaeth (Cymru)'!$D$8="Amcangyfrifon LlC",'Incwm (Cymru)'!H51,'Incwm (Cymru)'!Z51)</f>
        <v>34902.400290812388</v>
      </c>
      <c r="AH51" s="4">
        <f>IF('Rhaniad y Ddeiliadaeth (Cymru)'!$D$8="Amcangyfrifon LlC",'Incwm (Cymru)'!I51,'Incwm (Cymru)'!AA51)</f>
        <v>36158.966753052737</v>
      </c>
    </row>
    <row r="52" spans="2:34" x14ac:dyDescent="0.35">
      <c r="B52" s="251">
        <v>58</v>
      </c>
      <c r="C52" s="258">
        <v>30399.26</v>
      </c>
      <c r="D52" s="258">
        <v>31202.520639603026</v>
      </c>
      <c r="E52" s="278">
        <f>D52*(1+'Rhaniad y Ddeiliadaeth (Cymru)'!C$109)+(D$44*(-(50-$B52)*('Rhaniad y Ddeiliadaeth (Cymru)'!C$110/40)))</f>
        <v>31955.921723545722</v>
      </c>
      <c r="F52" s="278">
        <f>E52*(1+'Rhaniad y Ddeiliadaeth (Cymru)'!D$109)+(E$44*(-(50-$B52)*('Rhaniad y Ddeiliadaeth (Cymru)'!D$110/40)))</f>
        <v>33105.391842013072</v>
      </c>
      <c r="G52" s="278">
        <f>F52*(1+'Rhaniad y Ddeiliadaeth (Cymru)'!E$109)+(F$44*(-(50-$B52)*('Rhaniad y Ddeiliadaeth (Cymru)'!E$110/40)))</f>
        <v>34292.949287020565</v>
      </c>
      <c r="H52" s="278">
        <f>G52*(1+'Rhaniad y Ddeiliadaeth (Cymru)'!F$109)+(G$44*(-(50-$B52)*('Rhaniad y Ddeiliadaeth (Cymru)'!F$110/40)))</f>
        <v>35540.397644208031</v>
      </c>
      <c r="I52" s="279">
        <f>H52*(1+'Rhaniad y Ddeiliadaeth (Cymru)'!G$109)+(H$44*(-(50-$B52)*('Rhaniad y Ddeiliadaeth (Cymru)'!G$110/40)))</f>
        <v>36826.473756337982</v>
      </c>
      <c r="M52" s="36" t="str">
        <f t="shared" si="5"/>
        <v/>
      </c>
      <c r="N52" s="190"/>
      <c r="O52" s="13">
        <f t="shared" si="4"/>
        <v>1</v>
      </c>
      <c r="U52" s="1">
        <f t="shared" si="6"/>
        <v>58</v>
      </c>
      <c r="V52" s="4" t="str">
        <f t="shared" si="7"/>
        <v/>
      </c>
      <c r="W52" s="4" t="e">
        <f>IF($W$3=$N$3,N52,V52*(1+'Rhaniad y Ddeiliadaeth (Cymru)'!C$109)+(V$44*(-(50-$U52)*('Rhaniad y Ddeiliadaeth (Cymru)'!C$110/40))))</f>
        <v>#VALUE!</v>
      </c>
      <c r="X52" s="4" t="e">
        <f>W52*(1+'Rhaniad y Ddeiliadaeth (Cymru)'!D$109)+(W$44*(-(50-$U52)*('Rhaniad y Ddeiliadaeth (Cymru)'!D$110/40)))</f>
        <v>#VALUE!</v>
      </c>
      <c r="Y52" s="4" t="e">
        <f>X52*(1+'Rhaniad y Ddeiliadaeth (Cymru)'!E$109)+(X$44*(-(50-$U52)*('Rhaniad y Ddeiliadaeth (Cymru)'!E$110/40)))</f>
        <v>#VALUE!</v>
      </c>
      <c r="Z52" s="4" t="e">
        <f>Y52*(1+'Rhaniad y Ddeiliadaeth (Cymru)'!F$109)+(Y$44*(-(50-$U52)*('Rhaniad y Ddeiliadaeth (Cymru)'!F$110/40)))</f>
        <v>#VALUE!</v>
      </c>
      <c r="AA52" s="4" t="e">
        <f>Z52*(1+'Rhaniad y Ddeiliadaeth (Cymru)'!G$109)+(Z$44*(-(50-$U52)*('Rhaniad y Ddeiliadaeth (Cymru)'!G$110/40)))</f>
        <v>#VALUE!</v>
      </c>
      <c r="AC52">
        <v>58</v>
      </c>
      <c r="AD52" s="4">
        <f>IF('Rhaniad y Ddeiliadaeth (Cymru)'!$D$8="Amcangyfrifon LlC",'Incwm (Cymru)'!E52,'Incwm (Cymru)'!W52)</f>
        <v>31955.921723545722</v>
      </c>
      <c r="AE52" s="4">
        <f>IF('Rhaniad y Ddeiliadaeth (Cymru)'!$D$8="Amcangyfrifon LlC",'Incwm (Cymru)'!F52,'Incwm (Cymru)'!X52)</f>
        <v>33105.391842013072</v>
      </c>
      <c r="AF52" s="4">
        <f>IF('Rhaniad y Ddeiliadaeth (Cymru)'!$D$8="Amcangyfrifon LlC",'Incwm (Cymru)'!G52,'Incwm (Cymru)'!Y52)</f>
        <v>34292.949287020565</v>
      </c>
      <c r="AG52" s="4">
        <f>IF('Rhaniad y Ddeiliadaeth (Cymru)'!$D$8="Amcangyfrifon LlC",'Incwm (Cymru)'!H52,'Incwm (Cymru)'!Z52)</f>
        <v>35540.397644208031</v>
      </c>
      <c r="AH52" s="4">
        <f>IF('Rhaniad y Ddeiliadaeth (Cymru)'!$D$8="Amcangyfrifon LlC",'Incwm (Cymru)'!I52,'Incwm (Cymru)'!AA52)</f>
        <v>36826.473756337982</v>
      </c>
    </row>
    <row r="53" spans="2:34" x14ac:dyDescent="0.35">
      <c r="B53" s="251">
        <v>59</v>
      </c>
      <c r="C53" s="258">
        <v>30953.5</v>
      </c>
      <c r="D53" s="258">
        <v>31771.405705861009</v>
      </c>
      <c r="E53" s="278">
        <f>D53*(1+'Rhaniad y Ddeiliadaeth (Cymru)'!C$109)+(D$44*(-(50-$B53)*('Rhaniad y Ddeiliadaeth (Cymru)'!C$110/40)))</f>
        <v>32544.204028227494</v>
      </c>
      <c r="F53" s="278">
        <f>E53*(1+'Rhaniad y Ddeiliadaeth (Cymru)'!D$109)+(E$44*(-(50-$B53)*('Rhaniad y Ddeiliadaeth (Cymru)'!D$110/40)))</f>
        <v>33720.613629658801</v>
      </c>
      <c r="G53" s="278">
        <f>F53*(1+'Rhaniad y Ddeiliadaeth (Cymru)'!E$109)+(F$44*(-(50-$B53)*('Rhaniad y Ddeiliadaeth (Cymru)'!E$110/40)))</f>
        <v>34936.207277860573</v>
      </c>
      <c r="H53" s="278">
        <f>G53*(1+'Rhaniad y Ddeiliadaeth (Cymru)'!F$109)+(G$44*(-(50-$B53)*('Rhaniad y Ddeiliadaeth (Cymru)'!F$110/40)))</f>
        <v>36213.215740530657</v>
      </c>
      <c r="I53" s="279">
        <f>H53*(1+'Rhaniad y Ddeiliadaeth (Cymru)'!G$109)+(H$44*(-(50-$B53)*('Rhaniad y Ddeiliadaeth (Cymru)'!G$110/40)))</f>
        <v>37530.002752357002</v>
      </c>
      <c r="M53" s="36" t="str">
        <f t="shared" si="5"/>
        <v/>
      </c>
      <c r="N53" s="190"/>
      <c r="O53" s="13">
        <f t="shared" si="4"/>
        <v>1</v>
      </c>
      <c r="U53" s="1">
        <f t="shared" si="6"/>
        <v>59</v>
      </c>
      <c r="V53" s="4" t="str">
        <f t="shared" si="7"/>
        <v/>
      </c>
      <c r="W53" s="4" t="e">
        <f>IF($W$3=$N$3,N53,V53*(1+'Rhaniad y Ddeiliadaeth (Cymru)'!C$109)+(V$44*(-(50-$U53)*('Rhaniad y Ddeiliadaeth (Cymru)'!C$110/40))))</f>
        <v>#VALUE!</v>
      </c>
      <c r="X53" s="4" t="e">
        <f>W53*(1+'Rhaniad y Ddeiliadaeth (Cymru)'!D$109)+(W$44*(-(50-$U53)*('Rhaniad y Ddeiliadaeth (Cymru)'!D$110/40)))</f>
        <v>#VALUE!</v>
      </c>
      <c r="Y53" s="4" t="e">
        <f>X53*(1+'Rhaniad y Ddeiliadaeth (Cymru)'!E$109)+(X$44*(-(50-$U53)*('Rhaniad y Ddeiliadaeth (Cymru)'!E$110/40)))</f>
        <v>#VALUE!</v>
      </c>
      <c r="Z53" s="4" t="e">
        <f>Y53*(1+'Rhaniad y Ddeiliadaeth (Cymru)'!F$109)+(Y$44*(-(50-$U53)*('Rhaniad y Ddeiliadaeth (Cymru)'!F$110/40)))</f>
        <v>#VALUE!</v>
      </c>
      <c r="AA53" s="4" t="e">
        <f>Z53*(1+'Rhaniad y Ddeiliadaeth (Cymru)'!G$109)+(Z$44*(-(50-$U53)*('Rhaniad y Ddeiliadaeth (Cymru)'!G$110/40)))</f>
        <v>#VALUE!</v>
      </c>
      <c r="AC53">
        <v>59</v>
      </c>
      <c r="AD53" s="4">
        <f>IF('Rhaniad y Ddeiliadaeth (Cymru)'!$D$8="Amcangyfrifon LlC",'Incwm (Cymru)'!E53,'Incwm (Cymru)'!W53)</f>
        <v>32544.204028227494</v>
      </c>
      <c r="AE53" s="4">
        <f>IF('Rhaniad y Ddeiliadaeth (Cymru)'!$D$8="Amcangyfrifon LlC",'Incwm (Cymru)'!F53,'Incwm (Cymru)'!X53)</f>
        <v>33720.613629658801</v>
      </c>
      <c r="AF53" s="4">
        <f>IF('Rhaniad y Ddeiliadaeth (Cymru)'!$D$8="Amcangyfrifon LlC",'Incwm (Cymru)'!G53,'Incwm (Cymru)'!Y53)</f>
        <v>34936.207277860573</v>
      </c>
      <c r="AG53" s="4">
        <f>IF('Rhaniad y Ddeiliadaeth (Cymru)'!$D$8="Amcangyfrifon LlC",'Incwm (Cymru)'!H53,'Incwm (Cymru)'!Z53)</f>
        <v>36213.215740530657</v>
      </c>
      <c r="AH53" s="4">
        <f>IF('Rhaniad y Ddeiliadaeth (Cymru)'!$D$8="Amcangyfrifon LlC",'Incwm (Cymru)'!I53,'Incwm (Cymru)'!AA53)</f>
        <v>37530.002752357002</v>
      </c>
    </row>
    <row r="54" spans="2:34" x14ac:dyDescent="0.35">
      <c r="B54" s="251">
        <v>60</v>
      </c>
      <c r="C54" s="258">
        <v>31647.08</v>
      </c>
      <c r="D54" s="258">
        <v>32629.617962701763</v>
      </c>
      <c r="E54" s="278">
        <f>D54*(1+'Rhaniad y Ddeiliadaeth (Cymru)'!C$109)+(D$44*(-(50-$B54)*('Rhaniad y Ddeiliadaeth (Cymru)'!C$110/40)))</f>
        <v>33428.307815369022</v>
      </c>
      <c r="F54" s="278">
        <f>E54*(1+'Rhaniad y Ddeiliadaeth (Cymru)'!D$109)+(E$44*(-(50-$B54)*('Rhaniad y Ddeiliadaeth (Cymru)'!D$110/40)))</f>
        <v>34641.795877603778</v>
      </c>
      <c r="G54" s="278">
        <f>F54*(1+'Rhaniad y Ddeiliadaeth (Cymru)'!E$109)+(F$44*(-(50-$B54)*('Rhaniad y Ddeiliadaeth (Cymru)'!E$110/40)))</f>
        <v>35895.882933970206</v>
      </c>
      <c r="H54" s="278">
        <f>G54*(1+'Rhaniad y Ddeiliadaeth (Cymru)'!F$109)+(G$44*(-(50-$B54)*('Rhaniad y Ddeiliadaeth (Cymru)'!F$110/40)))</f>
        <v>37213.42653346077</v>
      </c>
      <c r="I54" s="279">
        <f>H54*(1+'Rhaniad y Ddeiliadaeth (Cymru)'!G$109)+(H$44*(-(50-$B54)*('Rhaniad y Ddeiliadaeth (Cymru)'!G$110/40)))</f>
        <v>38572.218874122271</v>
      </c>
      <c r="M54" s="36" t="str">
        <f t="shared" si="5"/>
        <v/>
      </c>
      <c r="N54" s="190"/>
      <c r="O54" s="13">
        <f t="shared" si="4"/>
        <v>1</v>
      </c>
      <c r="U54" s="1">
        <f t="shared" si="6"/>
        <v>60</v>
      </c>
      <c r="V54" s="4" t="str">
        <f t="shared" si="7"/>
        <v/>
      </c>
      <c r="W54" s="4" t="e">
        <f>IF($W$3=$N$3,N54,V54*(1+'Rhaniad y Ddeiliadaeth (Cymru)'!C$109)+(V$44*(-(50-$U54)*('Rhaniad y Ddeiliadaeth (Cymru)'!C$110/40))))</f>
        <v>#VALUE!</v>
      </c>
      <c r="X54" s="4" t="e">
        <f>W54*(1+'Rhaniad y Ddeiliadaeth (Cymru)'!D$109)+(W$44*(-(50-$U54)*('Rhaniad y Ddeiliadaeth (Cymru)'!D$110/40)))</f>
        <v>#VALUE!</v>
      </c>
      <c r="Y54" s="4" t="e">
        <f>X54*(1+'Rhaniad y Ddeiliadaeth (Cymru)'!E$109)+(X$44*(-(50-$U54)*('Rhaniad y Ddeiliadaeth (Cymru)'!E$110/40)))</f>
        <v>#VALUE!</v>
      </c>
      <c r="Z54" s="4" t="e">
        <f>Y54*(1+'Rhaniad y Ddeiliadaeth (Cymru)'!F$109)+(Y$44*(-(50-$U54)*('Rhaniad y Ddeiliadaeth (Cymru)'!F$110/40)))</f>
        <v>#VALUE!</v>
      </c>
      <c r="AA54" s="4" t="e">
        <f>Z54*(1+'Rhaniad y Ddeiliadaeth (Cymru)'!G$109)+(Z$44*(-(50-$U54)*('Rhaniad y Ddeiliadaeth (Cymru)'!G$110/40)))</f>
        <v>#VALUE!</v>
      </c>
      <c r="AC54">
        <v>60</v>
      </c>
      <c r="AD54" s="4">
        <f>IF('Rhaniad y Ddeiliadaeth (Cymru)'!$D$8="Amcangyfrifon LlC",'Incwm (Cymru)'!E54,'Incwm (Cymru)'!W54)</f>
        <v>33428.307815369022</v>
      </c>
      <c r="AE54" s="4">
        <f>IF('Rhaniad y Ddeiliadaeth (Cymru)'!$D$8="Amcangyfrifon LlC",'Incwm (Cymru)'!F54,'Incwm (Cymru)'!X54)</f>
        <v>34641.795877603778</v>
      </c>
      <c r="AF54" s="4">
        <f>IF('Rhaniad y Ddeiliadaeth (Cymru)'!$D$8="Amcangyfrifon LlC",'Incwm (Cymru)'!G54,'Incwm (Cymru)'!Y54)</f>
        <v>35895.882933970206</v>
      </c>
      <c r="AG54" s="4">
        <f>IF('Rhaniad y Ddeiliadaeth (Cymru)'!$D$8="Amcangyfrifon LlC",'Incwm (Cymru)'!H54,'Incwm (Cymru)'!Z54)</f>
        <v>37213.42653346077</v>
      </c>
      <c r="AH54" s="4">
        <f>IF('Rhaniad y Ddeiliadaeth (Cymru)'!$D$8="Amcangyfrifon LlC",'Incwm (Cymru)'!I54,'Incwm (Cymru)'!AA54)</f>
        <v>38572.218874122271</v>
      </c>
    </row>
    <row r="55" spans="2:34" x14ac:dyDescent="0.35">
      <c r="B55" s="251">
        <v>61</v>
      </c>
      <c r="C55" s="258">
        <v>32125</v>
      </c>
      <c r="D55" s="258">
        <v>33122.375810084028</v>
      </c>
      <c r="E55" s="278">
        <f>D55*(1+'Rhaniad y Ddeiliadaeth (Cymru)'!C$109)+(D$44*(-(50-$B55)*('Rhaniad y Ddeiliadaeth (Cymru)'!C$110/40)))</f>
        <v>33938.754135475712</v>
      </c>
      <c r="F55" s="278">
        <f>E55*(1+'Rhaniad y Ddeiliadaeth (Cymru)'!D$109)+(E$44*(-(50-$B55)*('Rhaniad y Ddeiliadaeth (Cymru)'!D$110/40)))</f>
        <v>35176.513932152026</v>
      </c>
      <c r="G55" s="278">
        <f>F55*(1+'Rhaniad y Ddeiliadaeth (Cymru)'!E$109)+(F$44*(-(50-$B55)*('Rhaniad y Ddeiliadaeth (Cymru)'!E$110/40)))</f>
        <v>36455.885711874267</v>
      </c>
      <c r="H55" s="278">
        <f>G55*(1+'Rhaniad y Ddeiliadaeth (Cymru)'!F$109)+(G$44*(-(50-$B55)*('Rhaniad y Ddeiliadaeth (Cymru)'!F$110/40)))</f>
        <v>37800.101687522249</v>
      </c>
      <c r="I55" s="279">
        <f>H55*(1+'Rhaniad y Ddeiliadaeth (Cymru)'!G$109)+(H$44*(-(50-$B55)*('Rhaniad y Ddeiliadaeth (Cymru)'!G$110/40)))</f>
        <v>39186.633159214398</v>
      </c>
      <c r="M55" s="36" t="str">
        <f t="shared" si="5"/>
        <v/>
      </c>
      <c r="N55" s="190"/>
      <c r="O55" s="13">
        <f t="shared" si="4"/>
        <v>1</v>
      </c>
      <c r="U55" s="1">
        <f t="shared" si="6"/>
        <v>61</v>
      </c>
      <c r="V55" s="4" t="str">
        <f t="shared" si="7"/>
        <v/>
      </c>
      <c r="W55" s="4" t="e">
        <f>IF($W$3=$N$3,N55,V55*(1+'Rhaniad y Ddeiliadaeth (Cymru)'!C$109)+(V$44*(-(50-$U55)*('Rhaniad y Ddeiliadaeth (Cymru)'!C$110/40))))</f>
        <v>#VALUE!</v>
      </c>
      <c r="X55" s="4" t="e">
        <f>W55*(1+'Rhaniad y Ddeiliadaeth (Cymru)'!D$109)+(W$44*(-(50-$U55)*('Rhaniad y Ddeiliadaeth (Cymru)'!D$110/40)))</f>
        <v>#VALUE!</v>
      </c>
      <c r="Y55" s="4" t="e">
        <f>X55*(1+'Rhaniad y Ddeiliadaeth (Cymru)'!E$109)+(X$44*(-(50-$U55)*('Rhaniad y Ddeiliadaeth (Cymru)'!E$110/40)))</f>
        <v>#VALUE!</v>
      </c>
      <c r="Z55" s="4" t="e">
        <f>Y55*(1+'Rhaniad y Ddeiliadaeth (Cymru)'!F$109)+(Y$44*(-(50-$U55)*('Rhaniad y Ddeiliadaeth (Cymru)'!F$110/40)))</f>
        <v>#VALUE!</v>
      </c>
      <c r="AA55" s="4" t="e">
        <f>Z55*(1+'Rhaniad y Ddeiliadaeth (Cymru)'!G$109)+(Z$44*(-(50-$U55)*('Rhaniad y Ddeiliadaeth (Cymru)'!G$110/40)))</f>
        <v>#VALUE!</v>
      </c>
      <c r="AC55">
        <v>61</v>
      </c>
      <c r="AD55" s="4">
        <f>IF('Rhaniad y Ddeiliadaeth (Cymru)'!$D$8="Amcangyfrifon LlC",'Incwm (Cymru)'!E55,'Incwm (Cymru)'!W55)</f>
        <v>33938.754135475712</v>
      </c>
      <c r="AE55" s="4">
        <f>IF('Rhaniad y Ddeiliadaeth (Cymru)'!$D$8="Amcangyfrifon LlC",'Incwm (Cymru)'!F55,'Incwm (Cymru)'!X55)</f>
        <v>35176.513932152026</v>
      </c>
      <c r="AF55" s="4">
        <f>IF('Rhaniad y Ddeiliadaeth (Cymru)'!$D$8="Amcangyfrifon LlC",'Incwm (Cymru)'!G55,'Incwm (Cymru)'!Y55)</f>
        <v>36455.885711874267</v>
      </c>
      <c r="AG55" s="4">
        <f>IF('Rhaniad y Ddeiliadaeth (Cymru)'!$D$8="Amcangyfrifon LlC",'Incwm (Cymru)'!H55,'Incwm (Cymru)'!Z55)</f>
        <v>37800.101687522249</v>
      </c>
      <c r="AH55" s="4">
        <f>IF('Rhaniad y Ddeiliadaeth (Cymru)'!$D$8="Amcangyfrifon LlC",'Incwm (Cymru)'!I55,'Incwm (Cymru)'!AA55)</f>
        <v>39186.633159214398</v>
      </c>
    </row>
    <row r="56" spans="2:34" x14ac:dyDescent="0.35">
      <c r="B56" s="251">
        <v>62</v>
      </c>
      <c r="C56" s="258">
        <v>32819.949999999997</v>
      </c>
      <c r="D56" s="258">
        <v>33838.901726635551</v>
      </c>
      <c r="E56" s="278">
        <f>D56*(1+'Rhaniad y Ddeiliadaeth (Cymru)'!C$109)+(D$44*(-(50-$B56)*('Rhaniad y Ddeiliadaeth (Cymru)'!C$110/40)))</f>
        <v>34677.991264408469</v>
      </c>
      <c r="F56" s="278">
        <f>E56*(1+'Rhaniad y Ddeiliadaeth (Cymru)'!D$109)+(E$44*(-(50-$B56)*('Rhaniad y Ddeiliadaeth (Cymru)'!D$110/40)))</f>
        <v>35947.864365791225</v>
      </c>
      <c r="G56" s="278">
        <f>F56*(1+'Rhaniad y Ddeiliadaeth (Cymru)'!E$109)+(F$44*(-(50-$B56)*('Rhaniad y Ddeiliadaeth (Cymru)'!E$110/40)))</f>
        <v>37260.608558658874</v>
      </c>
      <c r="H56" s="278">
        <f>G56*(1+'Rhaniad y Ddeiliadaeth (Cymru)'!F$109)+(G$44*(-(50-$B56)*('Rhaniad y Ddeiliadaeth (Cymru)'!F$110/40)))</f>
        <v>38639.985091497649</v>
      </c>
      <c r="I56" s="279">
        <f>H56*(1+'Rhaniad y Ddeiliadaeth (Cymru)'!G$109)+(H$44*(-(50-$B56)*('Rhaniad y Ddeiliadaeth (Cymru)'!G$110/40)))</f>
        <v>40062.990900184523</v>
      </c>
      <c r="M56" s="36" t="str">
        <f t="shared" si="5"/>
        <v/>
      </c>
      <c r="N56" s="190"/>
      <c r="O56" s="13">
        <f t="shared" si="4"/>
        <v>1</v>
      </c>
      <c r="U56" s="1">
        <f t="shared" si="6"/>
        <v>62</v>
      </c>
      <c r="V56" s="4" t="str">
        <f t="shared" si="7"/>
        <v/>
      </c>
      <c r="W56" s="4" t="e">
        <f>IF($W$3=$N$3,N56,V56*(1+'Rhaniad y Ddeiliadaeth (Cymru)'!C$109)+(V$44*(-(50-$U56)*('Rhaniad y Ddeiliadaeth (Cymru)'!C$110/40))))</f>
        <v>#VALUE!</v>
      </c>
      <c r="X56" s="4" t="e">
        <f>W56*(1+'Rhaniad y Ddeiliadaeth (Cymru)'!D$109)+(W$44*(-(50-$U56)*('Rhaniad y Ddeiliadaeth (Cymru)'!D$110/40)))</f>
        <v>#VALUE!</v>
      </c>
      <c r="Y56" s="4" t="e">
        <f>X56*(1+'Rhaniad y Ddeiliadaeth (Cymru)'!E$109)+(X$44*(-(50-$U56)*('Rhaniad y Ddeiliadaeth (Cymru)'!E$110/40)))</f>
        <v>#VALUE!</v>
      </c>
      <c r="Z56" s="4" t="e">
        <f>Y56*(1+'Rhaniad y Ddeiliadaeth (Cymru)'!F$109)+(Y$44*(-(50-$U56)*('Rhaniad y Ddeiliadaeth (Cymru)'!F$110/40)))</f>
        <v>#VALUE!</v>
      </c>
      <c r="AA56" s="4" t="e">
        <f>Z56*(1+'Rhaniad y Ddeiliadaeth (Cymru)'!G$109)+(Z$44*(-(50-$U56)*('Rhaniad y Ddeiliadaeth (Cymru)'!G$110/40)))</f>
        <v>#VALUE!</v>
      </c>
      <c r="AC56">
        <v>62</v>
      </c>
      <c r="AD56" s="4">
        <f>IF('Rhaniad y Ddeiliadaeth (Cymru)'!$D$8="Amcangyfrifon LlC",'Incwm (Cymru)'!E56,'Incwm (Cymru)'!W56)</f>
        <v>34677.991264408469</v>
      </c>
      <c r="AE56" s="4">
        <f>IF('Rhaniad y Ddeiliadaeth (Cymru)'!$D$8="Amcangyfrifon LlC",'Incwm (Cymru)'!F56,'Incwm (Cymru)'!X56)</f>
        <v>35947.864365791225</v>
      </c>
      <c r="AF56" s="4">
        <f>IF('Rhaniad y Ddeiliadaeth (Cymru)'!$D$8="Amcangyfrifon LlC",'Incwm (Cymru)'!G56,'Incwm (Cymru)'!Y56)</f>
        <v>37260.608558658874</v>
      </c>
      <c r="AG56" s="4">
        <f>IF('Rhaniad y Ddeiliadaeth (Cymru)'!$D$8="Amcangyfrifon LlC",'Incwm (Cymru)'!H56,'Incwm (Cymru)'!Z56)</f>
        <v>38639.985091497649</v>
      </c>
      <c r="AH56" s="4">
        <f>IF('Rhaniad y Ddeiliadaeth (Cymru)'!$D$8="Amcangyfrifon LlC",'Incwm (Cymru)'!I56,'Incwm (Cymru)'!AA56)</f>
        <v>40062.990900184523</v>
      </c>
    </row>
    <row r="57" spans="2:34" x14ac:dyDescent="0.35">
      <c r="B57" s="251">
        <v>63</v>
      </c>
      <c r="C57" s="258">
        <v>33642</v>
      </c>
      <c r="D57" s="258">
        <v>34686.473681022471</v>
      </c>
      <c r="E57" s="278">
        <f>D57*(1+'Rhaniad y Ddeiliadaeth (Cymru)'!C$109)+(D$44*(-(50-$B57)*('Rhaniad y Ddeiliadaeth (Cymru)'!C$110/40)))</f>
        <v>35551.215914890316</v>
      </c>
      <c r="F57" s="278">
        <f>E57*(1+'Rhaniad y Ddeiliadaeth (Cymru)'!D$109)+(E$44*(-(50-$B57)*('Rhaniad y Ddeiliadaeth (Cymru)'!D$110/40)))</f>
        <v>36857.794605827992</v>
      </c>
      <c r="G57" s="278">
        <f>F57*(1+'Rhaniad y Ddeiliadaeth (Cymru)'!E$109)+(F$44*(-(50-$B57)*('Rhaniad y Ddeiliadaeth (Cymru)'!E$110/40)))</f>
        <v>38208.647632484543</v>
      </c>
      <c r="H57" s="278">
        <f>G57*(1+'Rhaniad y Ddeiliadaeth (Cymru)'!F$109)+(G$44*(-(50-$B57)*('Rhaniad y Ddeiliadaeth (Cymru)'!F$110/40)))</f>
        <v>39628.155684175363</v>
      </c>
      <c r="I57" s="279">
        <f>H57*(1+'Rhaniad y Ddeiliadaeth (Cymru)'!G$109)+(H$44*(-(50-$B57)*('Rhaniad y Ddeiliadaeth (Cymru)'!G$110/40)))</f>
        <v>41092.751457549137</v>
      </c>
      <c r="M57" s="36" t="str">
        <f t="shared" si="5"/>
        <v/>
      </c>
      <c r="N57" s="190"/>
      <c r="O57" s="13">
        <f t="shared" si="4"/>
        <v>1</v>
      </c>
      <c r="U57" s="1">
        <f t="shared" si="6"/>
        <v>63</v>
      </c>
      <c r="V57" s="4" t="str">
        <f t="shared" si="7"/>
        <v/>
      </c>
      <c r="W57" s="4" t="e">
        <f>IF($W$3=$N$3,N57,V57*(1+'Rhaniad y Ddeiliadaeth (Cymru)'!C$109)+(V$44*(-(50-$U57)*('Rhaniad y Ddeiliadaeth (Cymru)'!C$110/40))))</f>
        <v>#VALUE!</v>
      </c>
      <c r="X57" s="4" t="e">
        <f>W57*(1+'Rhaniad y Ddeiliadaeth (Cymru)'!D$109)+(W$44*(-(50-$U57)*('Rhaniad y Ddeiliadaeth (Cymru)'!D$110/40)))</f>
        <v>#VALUE!</v>
      </c>
      <c r="Y57" s="4" t="e">
        <f>X57*(1+'Rhaniad y Ddeiliadaeth (Cymru)'!E$109)+(X$44*(-(50-$U57)*('Rhaniad y Ddeiliadaeth (Cymru)'!E$110/40)))</f>
        <v>#VALUE!</v>
      </c>
      <c r="Z57" s="4" t="e">
        <f>Y57*(1+'Rhaniad y Ddeiliadaeth (Cymru)'!F$109)+(Y$44*(-(50-$U57)*('Rhaniad y Ddeiliadaeth (Cymru)'!F$110/40)))</f>
        <v>#VALUE!</v>
      </c>
      <c r="AA57" s="4" t="e">
        <f>Z57*(1+'Rhaniad y Ddeiliadaeth (Cymru)'!G$109)+(Z$44*(-(50-$U57)*('Rhaniad y Ddeiliadaeth (Cymru)'!G$110/40)))</f>
        <v>#VALUE!</v>
      </c>
      <c r="AC57">
        <v>63</v>
      </c>
      <c r="AD57" s="4">
        <f>IF('Rhaniad y Ddeiliadaeth (Cymru)'!$D$8="Amcangyfrifon LlC",'Incwm (Cymru)'!E57,'Incwm (Cymru)'!W57)</f>
        <v>35551.215914890316</v>
      </c>
      <c r="AE57" s="4">
        <f>IF('Rhaniad y Ddeiliadaeth (Cymru)'!$D$8="Amcangyfrifon LlC",'Incwm (Cymru)'!F57,'Incwm (Cymru)'!X57)</f>
        <v>36857.794605827992</v>
      </c>
      <c r="AF57" s="4">
        <f>IF('Rhaniad y Ddeiliadaeth (Cymru)'!$D$8="Amcangyfrifon LlC",'Incwm (Cymru)'!G57,'Incwm (Cymru)'!Y57)</f>
        <v>38208.647632484543</v>
      </c>
      <c r="AG57" s="4">
        <f>IF('Rhaniad y Ddeiliadaeth (Cymru)'!$D$8="Amcangyfrifon LlC",'Incwm (Cymru)'!H57,'Incwm (Cymru)'!Z57)</f>
        <v>39628.155684175363</v>
      </c>
      <c r="AH57" s="4">
        <f>IF('Rhaniad y Ddeiliadaeth (Cymru)'!$D$8="Amcangyfrifon LlC",'Incwm (Cymru)'!I57,'Incwm (Cymru)'!AA57)</f>
        <v>41092.751457549137</v>
      </c>
    </row>
    <row r="58" spans="2:34" x14ac:dyDescent="0.35">
      <c r="B58" s="251">
        <v>64</v>
      </c>
      <c r="C58" s="258">
        <v>34407.762499999997</v>
      </c>
      <c r="D58" s="258">
        <v>35476.010593279883</v>
      </c>
      <c r="E58" s="278">
        <f>D58*(1+'Rhaniad y Ddeiliadaeth (Cymru)'!C$109)+(D$44*(-(50-$B58)*('Rhaniad y Ddeiliadaeth (Cymru)'!C$110/40)))</f>
        <v>36365.102857904065</v>
      </c>
      <c r="F58" s="278">
        <f>E58*(1+'Rhaniad y Ddeiliadaeth (Cymru)'!D$109)+(E$44*(-(50-$B58)*('Rhaniad y Ddeiliadaeth (Cymru)'!D$110/40)))</f>
        <v>37706.353399345455</v>
      </c>
      <c r="G58" s="278">
        <f>F58*(1+'Rhaniad y Ddeiliadaeth (Cymru)'!E$109)+(F$44*(-(50-$B58)*('Rhaniad y Ddeiliadaeth (Cymru)'!E$110/40)))</f>
        <v>39093.217688768324</v>
      </c>
      <c r="H58" s="278">
        <f>G58*(1+'Rhaniad y Ddeiliadaeth (Cymru)'!F$109)+(G$44*(-(50-$B58)*('Rhaniad y Ddeiliadaeth (Cymru)'!F$110/40)))</f>
        <v>40550.655819464548</v>
      </c>
      <c r="I58" s="279">
        <f>H58*(1+'Rhaniad y Ddeiliadaeth (Cymru)'!G$109)+(H$44*(-(50-$B58)*('Rhaniad y Ddeiliadaeth (Cymru)'!G$110/40)))</f>
        <v>42054.576050886964</v>
      </c>
      <c r="M58" s="36" t="str">
        <f t="shared" si="5"/>
        <v/>
      </c>
      <c r="N58" s="190"/>
      <c r="O58" s="13">
        <f t="shared" si="4"/>
        <v>1</v>
      </c>
      <c r="U58" s="1">
        <f t="shared" si="6"/>
        <v>64</v>
      </c>
      <c r="V58" s="4" t="str">
        <f t="shared" si="7"/>
        <v/>
      </c>
      <c r="W58" s="4" t="e">
        <f>IF($W$3=$N$3,N58,V58*(1+'Rhaniad y Ddeiliadaeth (Cymru)'!C$109)+(V$44*(-(50-$U58)*('Rhaniad y Ddeiliadaeth (Cymru)'!C$110/40))))</f>
        <v>#VALUE!</v>
      </c>
      <c r="X58" s="4" t="e">
        <f>W58*(1+'Rhaniad y Ddeiliadaeth (Cymru)'!D$109)+(W$44*(-(50-$U58)*('Rhaniad y Ddeiliadaeth (Cymru)'!D$110/40)))</f>
        <v>#VALUE!</v>
      </c>
      <c r="Y58" s="4" t="e">
        <f>X58*(1+'Rhaniad y Ddeiliadaeth (Cymru)'!E$109)+(X$44*(-(50-$U58)*('Rhaniad y Ddeiliadaeth (Cymru)'!E$110/40)))</f>
        <v>#VALUE!</v>
      </c>
      <c r="Z58" s="4" t="e">
        <f>Y58*(1+'Rhaniad y Ddeiliadaeth (Cymru)'!F$109)+(Y$44*(-(50-$U58)*('Rhaniad y Ddeiliadaeth (Cymru)'!F$110/40)))</f>
        <v>#VALUE!</v>
      </c>
      <c r="AA58" s="4" t="e">
        <f>Z58*(1+'Rhaniad y Ddeiliadaeth (Cymru)'!G$109)+(Z$44*(-(50-$U58)*('Rhaniad y Ddeiliadaeth (Cymru)'!G$110/40)))</f>
        <v>#VALUE!</v>
      </c>
      <c r="AC58">
        <v>64</v>
      </c>
      <c r="AD58" s="4">
        <f>IF('Rhaniad y Ddeiliadaeth (Cymru)'!$D$8="Amcangyfrifon LlC",'Incwm (Cymru)'!E58,'Incwm (Cymru)'!W58)</f>
        <v>36365.102857904065</v>
      </c>
      <c r="AE58" s="4">
        <f>IF('Rhaniad y Ddeiliadaeth (Cymru)'!$D$8="Amcangyfrifon LlC",'Incwm (Cymru)'!F58,'Incwm (Cymru)'!X58)</f>
        <v>37706.353399345455</v>
      </c>
      <c r="AF58" s="4">
        <f>IF('Rhaniad y Ddeiliadaeth (Cymru)'!$D$8="Amcangyfrifon LlC",'Incwm (Cymru)'!G58,'Incwm (Cymru)'!Y58)</f>
        <v>39093.217688768324</v>
      </c>
      <c r="AG58" s="4">
        <f>IF('Rhaniad y Ddeiliadaeth (Cymru)'!$D$8="Amcangyfrifon LlC",'Incwm (Cymru)'!H58,'Incwm (Cymru)'!Z58)</f>
        <v>40550.655819464548</v>
      </c>
      <c r="AH58" s="4">
        <f>IF('Rhaniad y Ddeiliadaeth (Cymru)'!$D$8="Amcangyfrifon LlC",'Incwm (Cymru)'!I58,'Incwm (Cymru)'!AA58)</f>
        <v>42054.576050886964</v>
      </c>
    </row>
    <row r="59" spans="2:34" x14ac:dyDescent="0.35">
      <c r="B59" s="251">
        <v>65</v>
      </c>
      <c r="C59" s="258">
        <v>35259.4</v>
      </c>
      <c r="D59" s="258">
        <v>36354.088642430404</v>
      </c>
      <c r="E59" s="278">
        <f>D59*(1+'Rhaniad y Ddeiliadaeth (Cymru)'!C$109)+(D$44*(-(50-$B59)*('Rhaniad y Ddeiliadaeth (Cymru)'!C$110/40)))</f>
        <v>37269.518348620622</v>
      </c>
      <c r="F59" s="278">
        <f>E59*(1+'Rhaniad y Ddeiliadaeth (Cymru)'!D$109)+(E$44*(-(50-$B59)*('Rhaniad y Ddeiliadaeth (Cymru)'!D$110/40)))</f>
        <v>38648.543513668497</v>
      </c>
      <c r="G59" s="278">
        <f>F59*(1+'Rhaniad y Ddeiliadaeth (Cymru)'!E$109)+(F$44*(-(50-$B59)*('Rhaniad y Ddeiliadaeth (Cymru)'!E$110/40)))</f>
        <v>40074.619224179951</v>
      </c>
      <c r="H59" s="278">
        <f>G59*(1+'Rhaniad y Ddeiliadaeth (Cymru)'!F$109)+(G$44*(-(50-$B59)*('Rhaniad y Ddeiliadaeth (Cymru)'!F$110/40)))</f>
        <v>41573.34605963029</v>
      </c>
      <c r="I59" s="279">
        <f>H59*(1+'Rhaniad y Ddeiliadaeth (Cymru)'!G$109)+(H$44*(-(50-$B59)*('Rhaniad y Ddeiliadaeth (Cymru)'!G$110/40)))</f>
        <v>43120.047118322946</v>
      </c>
      <c r="M59" s="36" t="str">
        <f t="shared" si="5"/>
        <v/>
      </c>
      <c r="N59" s="190"/>
      <c r="O59" s="13">
        <f t="shared" si="4"/>
        <v>1</v>
      </c>
      <c r="U59" s="1">
        <f t="shared" si="6"/>
        <v>65</v>
      </c>
      <c r="V59" s="4" t="str">
        <f t="shared" si="7"/>
        <v/>
      </c>
      <c r="W59" s="4" t="e">
        <f>IF($W$3=$N$3,N59,V59*(1+'Rhaniad y Ddeiliadaeth (Cymru)'!C$109)+(V$44*(-(50-$U59)*('Rhaniad y Ddeiliadaeth (Cymru)'!C$110/40))))</f>
        <v>#VALUE!</v>
      </c>
      <c r="X59" s="4" t="e">
        <f>W59*(1+'Rhaniad y Ddeiliadaeth (Cymru)'!D$109)+(W$44*(-(50-$U59)*('Rhaniad y Ddeiliadaeth (Cymru)'!D$110/40)))</f>
        <v>#VALUE!</v>
      </c>
      <c r="Y59" s="4" t="e">
        <f>X59*(1+'Rhaniad y Ddeiliadaeth (Cymru)'!E$109)+(X$44*(-(50-$U59)*('Rhaniad y Ddeiliadaeth (Cymru)'!E$110/40)))</f>
        <v>#VALUE!</v>
      </c>
      <c r="Z59" s="4" t="e">
        <f>Y59*(1+'Rhaniad y Ddeiliadaeth (Cymru)'!F$109)+(Y$44*(-(50-$U59)*('Rhaniad y Ddeiliadaeth (Cymru)'!F$110/40)))</f>
        <v>#VALUE!</v>
      </c>
      <c r="AA59" s="4" t="e">
        <f>Z59*(1+'Rhaniad y Ddeiliadaeth (Cymru)'!G$109)+(Z$44*(-(50-$U59)*('Rhaniad y Ddeiliadaeth (Cymru)'!G$110/40)))</f>
        <v>#VALUE!</v>
      </c>
      <c r="AC59">
        <v>65</v>
      </c>
      <c r="AD59" s="4">
        <f>IF('Rhaniad y Ddeiliadaeth (Cymru)'!$D$8="Amcangyfrifon LlC",'Incwm (Cymru)'!E59,'Incwm (Cymru)'!W59)</f>
        <v>37269.518348620622</v>
      </c>
      <c r="AE59" s="4">
        <f>IF('Rhaniad y Ddeiliadaeth (Cymru)'!$D$8="Amcangyfrifon LlC",'Incwm (Cymru)'!F59,'Incwm (Cymru)'!X59)</f>
        <v>38648.543513668497</v>
      </c>
      <c r="AF59" s="4">
        <f>IF('Rhaniad y Ddeiliadaeth (Cymru)'!$D$8="Amcangyfrifon LlC",'Incwm (Cymru)'!G59,'Incwm (Cymru)'!Y59)</f>
        <v>40074.619224179951</v>
      </c>
      <c r="AG59" s="4">
        <f>IF('Rhaniad y Ddeiliadaeth (Cymru)'!$D$8="Amcangyfrifon LlC",'Incwm (Cymru)'!H59,'Incwm (Cymru)'!Z59)</f>
        <v>41573.34605963029</v>
      </c>
      <c r="AH59" s="4">
        <f>IF('Rhaniad y Ddeiliadaeth (Cymru)'!$D$8="Amcangyfrifon LlC",'Incwm (Cymru)'!I59,'Incwm (Cymru)'!AA59)</f>
        <v>43120.047118322946</v>
      </c>
    </row>
    <row r="60" spans="2:34" x14ac:dyDescent="0.35">
      <c r="B60" s="251">
        <v>66</v>
      </c>
      <c r="C60" s="258">
        <v>35961</v>
      </c>
      <c r="D60" s="258">
        <v>37077.471019655466</v>
      </c>
      <c r="E60" s="278">
        <f>D60*(1+'Rhaniad y Ddeiliadaeth (Cymru)'!C$109)+(D$44*(-(50-$B60)*('Rhaniad y Ddeiliadaeth (Cymru)'!C$110/40)))</f>
        <v>38015.765839617132</v>
      </c>
      <c r="F60" s="278">
        <f>E60*(1+'Rhaniad y Ddeiliadaeth (Cymru)'!D$109)+(E$44*(-(50-$B60)*('Rhaniad y Ddeiliadaeth (Cymru)'!D$110/40)))</f>
        <v>39427.144582339526</v>
      </c>
      <c r="G60" s="278">
        <f>F60*(1+'Rhaniad y Ddeiliadaeth (Cymru)'!E$109)+(F$44*(-(50-$B60)*('Rhaniad y Ddeiliadaeth (Cymru)'!E$110/40)))</f>
        <v>40886.84052029442</v>
      </c>
      <c r="H60" s="278">
        <f>G60*(1+'Rhaniad y Ddeiliadaeth (Cymru)'!F$109)+(G$44*(-(50-$B60)*('Rhaniad y Ddeiliadaeth (Cymru)'!F$110/40)))</f>
        <v>42420.987998655837</v>
      </c>
      <c r="I60" s="279">
        <f>H60*(1+'Rhaniad y Ddeiliadaeth (Cymru)'!G$109)+(H$44*(-(50-$B60)*('Rhaniad y Ddeiliadaeth (Cymru)'!G$110/40)))</f>
        <v>44004.431049135928</v>
      </c>
      <c r="M60" s="36" t="str">
        <f t="shared" si="5"/>
        <v/>
      </c>
      <c r="N60" s="190"/>
      <c r="O60" s="13">
        <f t="shared" si="4"/>
        <v>1</v>
      </c>
      <c r="U60" s="1">
        <f t="shared" si="6"/>
        <v>66</v>
      </c>
      <c r="V60" s="4" t="str">
        <f t="shared" si="7"/>
        <v/>
      </c>
      <c r="W60" s="4" t="e">
        <f>IF($W$3=$N$3,N60,V60*(1+'Rhaniad y Ddeiliadaeth (Cymru)'!C$109)+(V$44*(-(50-$U60)*('Rhaniad y Ddeiliadaeth (Cymru)'!C$110/40))))</f>
        <v>#VALUE!</v>
      </c>
      <c r="X60" s="4" t="e">
        <f>W60*(1+'Rhaniad y Ddeiliadaeth (Cymru)'!D$109)+(W$44*(-(50-$U60)*('Rhaniad y Ddeiliadaeth (Cymru)'!D$110/40)))</f>
        <v>#VALUE!</v>
      </c>
      <c r="Y60" s="4" t="e">
        <f>X60*(1+'Rhaniad y Ddeiliadaeth (Cymru)'!E$109)+(X$44*(-(50-$U60)*('Rhaniad y Ddeiliadaeth (Cymru)'!E$110/40)))</f>
        <v>#VALUE!</v>
      </c>
      <c r="Z60" s="4" t="e">
        <f>Y60*(1+'Rhaniad y Ddeiliadaeth (Cymru)'!F$109)+(Y$44*(-(50-$U60)*('Rhaniad y Ddeiliadaeth (Cymru)'!F$110/40)))</f>
        <v>#VALUE!</v>
      </c>
      <c r="AA60" s="4" t="e">
        <f>Z60*(1+'Rhaniad y Ddeiliadaeth (Cymru)'!G$109)+(Z$44*(-(50-$U60)*('Rhaniad y Ddeiliadaeth (Cymru)'!G$110/40)))</f>
        <v>#VALUE!</v>
      </c>
      <c r="AC60">
        <v>66</v>
      </c>
      <c r="AD60" s="4">
        <f>IF('Rhaniad y Ddeiliadaeth (Cymru)'!$D$8="Amcangyfrifon LlC",'Incwm (Cymru)'!E60,'Incwm (Cymru)'!W60)</f>
        <v>38015.765839617132</v>
      </c>
      <c r="AE60" s="4">
        <f>IF('Rhaniad y Ddeiliadaeth (Cymru)'!$D$8="Amcangyfrifon LlC",'Incwm (Cymru)'!F60,'Incwm (Cymru)'!X60)</f>
        <v>39427.144582339526</v>
      </c>
      <c r="AF60" s="4">
        <f>IF('Rhaniad y Ddeiliadaeth (Cymru)'!$D$8="Amcangyfrifon LlC",'Incwm (Cymru)'!G60,'Incwm (Cymru)'!Y60)</f>
        <v>40886.84052029442</v>
      </c>
      <c r="AG60" s="4">
        <f>IF('Rhaniad y Ddeiliadaeth (Cymru)'!$D$8="Amcangyfrifon LlC",'Incwm (Cymru)'!H60,'Incwm (Cymru)'!Z60)</f>
        <v>42420.987998655837</v>
      </c>
      <c r="AH60" s="4">
        <f>IF('Rhaniad y Ddeiliadaeth (Cymru)'!$D$8="Amcangyfrifon LlC",'Incwm (Cymru)'!I60,'Incwm (Cymru)'!AA60)</f>
        <v>44004.431049135928</v>
      </c>
    </row>
    <row r="61" spans="2:34" x14ac:dyDescent="0.35">
      <c r="B61" s="251">
        <v>67</v>
      </c>
      <c r="C61" s="258">
        <v>36697</v>
      </c>
      <c r="D61" s="258">
        <v>37836.321403973656</v>
      </c>
      <c r="E61" s="278">
        <f>D61*(1+'Rhaniad y Ddeiliadaeth (Cymru)'!C$109)+(D$44*(-(50-$B61)*('Rhaniad y Ddeiliadaeth (Cymru)'!C$110/40)))</f>
        <v>38798.277459183955</v>
      </c>
      <c r="F61" s="278">
        <f>E61*(1+'Rhaniad y Ddeiliadaeth (Cymru)'!D$109)+(E$44*(-(50-$B61)*('Rhaniad y Ddeiliadaeth (Cymru)'!D$110/40)))</f>
        <v>40243.25269538565</v>
      </c>
      <c r="G61" s="278">
        <f>F61*(1+'Rhaniad y Ddeiliadaeth (Cymru)'!E$109)+(F$44*(-(50-$B61)*('Rhaniad y Ddeiliadaeth (Cymru)'!E$110/40)))</f>
        <v>41737.850787378287</v>
      </c>
      <c r="H61" s="278">
        <f>G61*(1+'Rhaniad y Ddeiliadaeth (Cymru)'!F$109)+(G$44*(-(50-$B61)*('Rhaniad y Ddeiliadaeth (Cymru)'!F$110/40)))</f>
        <v>43308.764314481981</v>
      </c>
      <c r="I61" s="279">
        <f>H61*(1+'Rhaniad y Ddeiliadaeth (Cymru)'!G$109)+(H$44*(-(50-$B61)*('Rhaniad y Ddeiliadaeth (Cymru)'!G$110/40)))</f>
        <v>44930.33391688019</v>
      </c>
      <c r="M61" s="36" t="str">
        <f t="shared" si="5"/>
        <v/>
      </c>
      <c r="N61" s="190"/>
      <c r="O61" s="13">
        <f t="shared" si="4"/>
        <v>1</v>
      </c>
      <c r="U61" s="1">
        <f t="shared" si="6"/>
        <v>67</v>
      </c>
      <c r="V61" s="4" t="str">
        <f t="shared" si="7"/>
        <v/>
      </c>
      <c r="W61" s="4" t="e">
        <f>IF($W$3=$N$3,N61,V61*(1+'Rhaniad y Ddeiliadaeth (Cymru)'!C$109)+(V$44*(-(50-$U61)*('Rhaniad y Ddeiliadaeth (Cymru)'!C$110/40))))</f>
        <v>#VALUE!</v>
      </c>
      <c r="X61" s="4" t="e">
        <f>W61*(1+'Rhaniad y Ddeiliadaeth (Cymru)'!D$109)+(W$44*(-(50-$U61)*('Rhaniad y Ddeiliadaeth (Cymru)'!D$110/40)))</f>
        <v>#VALUE!</v>
      </c>
      <c r="Y61" s="4" t="e">
        <f>X61*(1+'Rhaniad y Ddeiliadaeth (Cymru)'!E$109)+(X$44*(-(50-$U61)*('Rhaniad y Ddeiliadaeth (Cymru)'!E$110/40)))</f>
        <v>#VALUE!</v>
      </c>
      <c r="Z61" s="4" t="e">
        <f>Y61*(1+'Rhaniad y Ddeiliadaeth (Cymru)'!F$109)+(Y$44*(-(50-$U61)*('Rhaniad y Ddeiliadaeth (Cymru)'!F$110/40)))</f>
        <v>#VALUE!</v>
      </c>
      <c r="AA61" s="4" t="e">
        <f>Z61*(1+'Rhaniad y Ddeiliadaeth (Cymru)'!G$109)+(Z$44*(-(50-$U61)*('Rhaniad y Ddeiliadaeth (Cymru)'!G$110/40)))</f>
        <v>#VALUE!</v>
      </c>
      <c r="AC61">
        <v>67</v>
      </c>
      <c r="AD61" s="4">
        <f>IF('Rhaniad y Ddeiliadaeth (Cymru)'!$D$8="Amcangyfrifon LlC",'Incwm (Cymru)'!E61,'Incwm (Cymru)'!W61)</f>
        <v>38798.277459183955</v>
      </c>
      <c r="AE61" s="4">
        <f>IF('Rhaniad y Ddeiliadaeth (Cymru)'!$D$8="Amcangyfrifon LlC",'Incwm (Cymru)'!F61,'Incwm (Cymru)'!X61)</f>
        <v>40243.25269538565</v>
      </c>
      <c r="AF61" s="4">
        <f>IF('Rhaniad y Ddeiliadaeth (Cymru)'!$D$8="Amcangyfrifon LlC",'Incwm (Cymru)'!G61,'Incwm (Cymru)'!Y61)</f>
        <v>41737.850787378287</v>
      </c>
      <c r="AG61" s="4">
        <f>IF('Rhaniad y Ddeiliadaeth (Cymru)'!$D$8="Amcangyfrifon LlC",'Incwm (Cymru)'!H61,'Incwm (Cymru)'!Z61)</f>
        <v>43308.764314481981</v>
      </c>
      <c r="AH61" s="4">
        <f>IF('Rhaniad y Ddeiliadaeth (Cymru)'!$D$8="Amcangyfrifon LlC",'Incwm (Cymru)'!I61,'Incwm (Cymru)'!AA61)</f>
        <v>44930.33391688019</v>
      </c>
    </row>
    <row r="62" spans="2:34" x14ac:dyDescent="0.35">
      <c r="B62" s="251">
        <v>68</v>
      </c>
      <c r="C62" s="258">
        <v>37290.5</v>
      </c>
      <c r="D62" s="258">
        <v>38448.247631001977</v>
      </c>
      <c r="E62" s="278">
        <f>D62*(1+'Rhaniad y Ddeiliadaeth (Cymru)'!C$109)+(D$44*(-(50-$B62)*('Rhaniad y Ddeiliadaeth (Cymru)'!C$110/40)))</f>
        <v>39430.567034527798</v>
      </c>
      <c r="F62" s="278">
        <f>E62*(1+'Rhaniad y Ddeiliadaeth (Cymru)'!D$109)+(E$44*(-(50-$B62)*('Rhaniad y Ddeiliadaeth (Cymru)'!D$110/40)))</f>
        <v>40903.99005775003</v>
      </c>
      <c r="G62" s="278">
        <f>F62*(1+'Rhaniad y Ddeiliadaeth (Cymru)'!E$109)+(F$44*(-(50-$B62)*('Rhaniad y Ddeiliadaeth (Cymru)'!E$110/40)))</f>
        <v>42428.179997394109</v>
      </c>
      <c r="H62" s="278">
        <f>G62*(1+'Rhaniad y Ddeiliadaeth (Cymru)'!F$109)+(G$44*(-(50-$B62)*('Rhaniad y Ddeiliadaeth (Cymru)'!F$110/40)))</f>
        <v>44030.28630780556</v>
      </c>
      <c r="I62" s="279">
        <f>H62*(1+'Rhaniad y Ddeiliadaeth (Cymru)'!G$109)+(H$44*(-(50-$B62)*('Rhaniad y Ddeiliadaeth (Cymru)'!G$110/40)))</f>
        <v>45684.247002278178</v>
      </c>
      <c r="M62" s="36" t="str">
        <f t="shared" si="5"/>
        <v/>
      </c>
      <c r="N62" s="190"/>
      <c r="O62" s="13">
        <f t="shared" si="4"/>
        <v>1</v>
      </c>
      <c r="U62" s="1">
        <f t="shared" si="6"/>
        <v>68</v>
      </c>
      <c r="V62" s="4" t="str">
        <f t="shared" si="7"/>
        <v/>
      </c>
      <c r="W62" s="4" t="e">
        <f>IF($W$3=$N$3,N62,V62*(1+'Rhaniad y Ddeiliadaeth (Cymru)'!C$109)+(V$44*(-(50-$U62)*('Rhaniad y Ddeiliadaeth (Cymru)'!C$110/40))))</f>
        <v>#VALUE!</v>
      </c>
      <c r="X62" s="4" t="e">
        <f>W62*(1+'Rhaniad y Ddeiliadaeth (Cymru)'!D$109)+(W$44*(-(50-$U62)*('Rhaniad y Ddeiliadaeth (Cymru)'!D$110/40)))</f>
        <v>#VALUE!</v>
      </c>
      <c r="Y62" s="4" t="e">
        <f>X62*(1+'Rhaniad y Ddeiliadaeth (Cymru)'!E$109)+(X$44*(-(50-$U62)*('Rhaniad y Ddeiliadaeth (Cymru)'!E$110/40)))</f>
        <v>#VALUE!</v>
      </c>
      <c r="Z62" s="4" t="e">
        <f>Y62*(1+'Rhaniad y Ddeiliadaeth (Cymru)'!F$109)+(Y$44*(-(50-$U62)*('Rhaniad y Ddeiliadaeth (Cymru)'!F$110/40)))</f>
        <v>#VALUE!</v>
      </c>
      <c r="AA62" s="4" t="e">
        <f>Z62*(1+'Rhaniad y Ddeiliadaeth (Cymru)'!G$109)+(Z$44*(-(50-$U62)*('Rhaniad y Ddeiliadaeth (Cymru)'!G$110/40)))</f>
        <v>#VALUE!</v>
      </c>
      <c r="AC62">
        <v>68</v>
      </c>
      <c r="AD62" s="4">
        <f>IF('Rhaniad y Ddeiliadaeth (Cymru)'!$D$8="Amcangyfrifon LlC",'Incwm (Cymru)'!E62,'Incwm (Cymru)'!W62)</f>
        <v>39430.567034527798</v>
      </c>
      <c r="AE62" s="4">
        <f>IF('Rhaniad y Ddeiliadaeth (Cymru)'!$D$8="Amcangyfrifon LlC",'Incwm (Cymru)'!F62,'Incwm (Cymru)'!X62)</f>
        <v>40903.99005775003</v>
      </c>
      <c r="AF62" s="4">
        <f>IF('Rhaniad y Ddeiliadaeth (Cymru)'!$D$8="Amcangyfrifon LlC",'Incwm (Cymru)'!G62,'Incwm (Cymru)'!Y62)</f>
        <v>42428.179997394109</v>
      </c>
      <c r="AG62" s="4">
        <f>IF('Rhaniad y Ddeiliadaeth (Cymru)'!$D$8="Amcangyfrifon LlC",'Incwm (Cymru)'!H62,'Incwm (Cymru)'!Z62)</f>
        <v>44030.28630780556</v>
      </c>
      <c r="AH62" s="4">
        <f>IF('Rhaniad y Ddeiliadaeth (Cymru)'!$D$8="Amcangyfrifon LlC",'Incwm (Cymru)'!I62,'Incwm (Cymru)'!AA62)</f>
        <v>45684.247002278178</v>
      </c>
    </row>
    <row r="63" spans="2:34" x14ac:dyDescent="0.35">
      <c r="B63" s="251">
        <v>69</v>
      </c>
      <c r="C63" s="258">
        <v>38123.5</v>
      </c>
      <c r="D63" s="258">
        <v>39307.109546949054</v>
      </c>
      <c r="E63" s="278">
        <f>D63*(1+'Rhaniad y Ddeiliadaeth (Cymru)'!C$109)+(D$44*(-(50-$B63)*('Rhaniad y Ddeiliadaeth (Cymru)'!C$110/40)))</f>
        <v>40315.335063144652</v>
      </c>
      <c r="F63" s="278">
        <f>E63*(1+'Rhaniad y Ddeiliadaeth (Cymru)'!D$109)+(E$44*(-(50-$B63)*('Rhaniad y Ddeiliadaeth (Cymru)'!D$110/40)))</f>
        <v>41825.859313365472</v>
      </c>
      <c r="G63" s="278">
        <f>F63*(1+'Rhaniad y Ddeiliadaeth (Cymru)'!E$109)+(F$44*(-(50-$B63)*('Rhaniad y Ddeiliadaeth (Cymru)'!E$110/40)))</f>
        <v>43388.566141920768</v>
      </c>
      <c r="H63" s="278">
        <f>G63*(1+'Rhaniad y Ddeiliadaeth (Cymru)'!F$109)+(G$44*(-(50-$B63)*('Rhaniad y Ddeiliadaeth (Cymru)'!F$110/40)))</f>
        <v>45031.23223263344</v>
      </c>
      <c r="I63" s="279">
        <f>H63*(1+'Rhaniad y Ddeiliadaeth (Cymru)'!G$109)+(H$44*(-(50-$B63)*('Rhaniad y Ddeiliadaeth (Cymru)'!G$110/40)))</f>
        <v>46727.223616602008</v>
      </c>
      <c r="M63" s="36" t="str">
        <f t="shared" si="5"/>
        <v/>
      </c>
      <c r="N63" s="190"/>
      <c r="O63" s="13">
        <f t="shared" si="4"/>
        <v>1</v>
      </c>
      <c r="U63" s="1">
        <f t="shared" si="6"/>
        <v>69</v>
      </c>
      <c r="V63" s="4" t="str">
        <f t="shared" si="7"/>
        <v/>
      </c>
      <c r="W63" s="4" t="e">
        <f>IF($W$3=$N$3,N63,V63*(1+'Rhaniad y Ddeiliadaeth (Cymru)'!C$109)+(V$44*(-(50-$U63)*('Rhaniad y Ddeiliadaeth (Cymru)'!C$110/40))))</f>
        <v>#VALUE!</v>
      </c>
      <c r="X63" s="4" t="e">
        <f>W63*(1+'Rhaniad y Ddeiliadaeth (Cymru)'!D$109)+(W$44*(-(50-$U63)*('Rhaniad y Ddeiliadaeth (Cymru)'!D$110/40)))</f>
        <v>#VALUE!</v>
      </c>
      <c r="Y63" s="4" t="e">
        <f>X63*(1+'Rhaniad y Ddeiliadaeth (Cymru)'!E$109)+(X$44*(-(50-$U63)*('Rhaniad y Ddeiliadaeth (Cymru)'!E$110/40)))</f>
        <v>#VALUE!</v>
      </c>
      <c r="Z63" s="4" t="e">
        <f>Y63*(1+'Rhaniad y Ddeiliadaeth (Cymru)'!F$109)+(Y$44*(-(50-$U63)*('Rhaniad y Ddeiliadaeth (Cymru)'!F$110/40)))</f>
        <v>#VALUE!</v>
      </c>
      <c r="AA63" s="4" t="e">
        <f>Z63*(1+'Rhaniad y Ddeiliadaeth (Cymru)'!G$109)+(Z$44*(-(50-$U63)*('Rhaniad y Ddeiliadaeth (Cymru)'!G$110/40)))</f>
        <v>#VALUE!</v>
      </c>
      <c r="AC63">
        <v>69</v>
      </c>
      <c r="AD63" s="4">
        <f>IF('Rhaniad y Ddeiliadaeth (Cymru)'!$D$8="Amcangyfrifon LlC",'Incwm (Cymru)'!E63,'Incwm (Cymru)'!W63)</f>
        <v>40315.335063144652</v>
      </c>
      <c r="AE63" s="4">
        <f>IF('Rhaniad y Ddeiliadaeth (Cymru)'!$D$8="Amcangyfrifon LlC",'Incwm (Cymru)'!F63,'Incwm (Cymru)'!X63)</f>
        <v>41825.859313365472</v>
      </c>
      <c r="AF63" s="4">
        <f>IF('Rhaniad y Ddeiliadaeth (Cymru)'!$D$8="Amcangyfrifon LlC",'Incwm (Cymru)'!G63,'Incwm (Cymru)'!Y63)</f>
        <v>43388.566141920768</v>
      </c>
      <c r="AG63" s="4">
        <f>IF('Rhaniad y Ddeiliadaeth (Cymru)'!$D$8="Amcangyfrifon LlC",'Incwm (Cymru)'!H63,'Incwm (Cymru)'!Z63)</f>
        <v>45031.23223263344</v>
      </c>
      <c r="AH63" s="4">
        <f>IF('Rhaniad y Ddeiliadaeth (Cymru)'!$D$8="Amcangyfrifon LlC",'Incwm (Cymru)'!I63,'Incwm (Cymru)'!AA63)</f>
        <v>46727.223616602008</v>
      </c>
    </row>
    <row r="64" spans="2:34" x14ac:dyDescent="0.35">
      <c r="B64" s="251">
        <v>70</v>
      </c>
      <c r="C64" s="258">
        <v>38942</v>
      </c>
      <c r="D64" s="258">
        <v>40256.100604988598</v>
      </c>
      <c r="E64" s="278">
        <f>D64*(1+'Rhaniad y Ddeiliadaeth (Cymru)'!C$109)+(D$44*(-(50-$B64)*('Rhaniad y Ddeiliadaeth (Cymru)'!C$110/40)))</f>
        <v>41292.255289323439</v>
      </c>
      <c r="F64" s="278">
        <f>E64*(1+'Rhaniad y Ddeiliadaeth (Cymru)'!D$109)+(E$44*(-(50-$B64)*('Rhaniad y Ddeiliadaeth (Cymru)'!D$110/40)))</f>
        <v>42843.039188578914</v>
      </c>
      <c r="G64" s="278">
        <f>F64*(1+'Rhaniad y Ddeiliadaeth (Cymru)'!E$109)+(F$44*(-(50-$B64)*('Rhaniad y Ddeiliadaeth (Cymru)'!E$110/40)))</f>
        <v>44447.520459926782</v>
      </c>
      <c r="H64" s="278">
        <f>G64*(1+'Rhaniad y Ddeiliadaeth (Cymru)'!F$109)+(G$44*(-(50-$B64)*('Rhaniad y Ddeiliadaeth (Cymru)'!F$110/40)))</f>
        <v>46134.165194397407</v>
      </c>
      <c r="I64" s="279">
        <f>H64*(1+'Rhaniad y Ddeiliadaeth (Cymru)'!G$109)+(H$44*(-(50-$B64)*('Rhaniad y Ddeiliadaeth (Cymru)'!G$110/40)))</f>
        <v>47875.705627842704</v>
      </c>
      <c r="M64" s="36" t="str">
        <f t="shared" si="5"/>
        <v/>
      </c>
      <c r="N64" s="190"/>
      <c r="O64" s="13">
        <f t="shared" si="4"/>
        <v>1</v>
      </c>
      <c r="U64" s="1">
        <f t="shared" si="6"/>
        <v>70</v>
      </c>
      <c r="V64" s="4" t="str">
        <f t="shared" si="7"/>
        <v/>
      </c>
      <c r="W64" s="4" t="e">
        <f>IF($W$3=$N$3,N64,V64*(1+'Rhaniad y Ddeiliadaeth (Cymru)'!C$109)+(V$44*(-(50-$U64)*('Rhaniad y Ddeiliadaeth (Cymru)'!C$110/40))))</f>
        <v>#VALUE!</v>
      </c>
      <c r="X64" s="4" t="e">
        <f>W64*(1+'Rhaniad y Ddeiliadaeth (Cymru)'!D$109)+(W$44*(-(50-$U64)*('Rhaniad y Ddeiliadaeth (Cymru)'!D$110/40)))</f>
        <v>#VALUE!</v>
      </c>
      <c r="Y64" s="4" t="e">
        <f>X64*(1+'Rhaniad y Ddeiliadaeth (Cymru)'!E$109)+(X$44*(-(50-$U64)*('Rhaniad y Ddeiliadaeth (Cymru)'!E$110/40)))</f>
        <v>#VALUE!</v>
      </c>
      <c r="Z64" s="4" t="e">
        <f>Y64*(1+'Rhaniad y Ddeiliadaeth (Cymru)'!F$109)+(Y$44*(-(50-$U64)*('Rhaniad y Ddeiliadaeth (Cymru)'!F$110/40)))</f>
        <v>#VALUE!</v>
      </c>
      <c r="AA64" s="4" t="e">
        <f>Z64*(1+'Rhaniad y Ddeiliadaeth (Cymru)'!G$109)+(Z$44*(-(50-$U64)*('Rhaniad y Ddeiliadaeth (Cymru)'!G$110/40)))</f>
        <v>#VALUE!</v>
      </c>
      <c r="AC64">
        <v>70</v>
      </c>
      <c r="AD64" s="4">
        <f>IF('Rhaniad y Ddeiliadaeth (Cymru)'!$D$8="Amcangyfrifon LlC",'Incwm (Cymru)'!E64,'Incwm (Cymru)'!W64)</f>
        <v>41292.255289323439</v>
      </c>
      <c r="AE64" s="4">
        <f>IF('Rhaniad y Ddeiliadaeth (Cymru)'!$D$8="Amcangyfrifon LlC",'Incwm (Cymru)'!F64,'Incwm (Cymru)'!X64)</f>
        <v>42843.039188578914</v>
      </c>
      <c r="AF64" s="4">
        <f>IF('Rhaniad y Ddeiliadaeth (Cymru)'!$D$8="Amcangyfrifon LlC",'Incwm (Cymru)'!G64,'Incwm (Cymru)'!Y64)</f>
        <v>44447.520459926782</v>
      </c>
      <c r="AG64" s="4">
        <f>IF('Rhaniad y Ddeiliadaeth (Cymru)'!$D$8="Amcangyfrifon LlC",'Incwm (Cymru)'!H64,'Incwm (Cymru)'!Z64)</f>
        <v>46134.165194397407</v>
      </c>
      <c r="AH64" s="4">
        <f>IF('Rhaniad y Ddeiliadaeth (Cymru)'!$D$8="Amcangyfrifon LlC",'Incwm (Cymru)'!I64,'Incwm (Cymru)'!AA64)</f>
        <v>47875.705627842704</v>
      </c>
    </row>
    <row r="65" spans="2:34" x14ac:dyDescent="0.35">
      <c r="B65" s="251">
        <v>71</v>
      </c>
      <c r="C65" s="258">
        <v>39814.080000000002</v>
      </c>
      <c r="D65" s="258">
        <v>41157.60900762838</v>
      </c>
      <c r="E65" s="278">
        <f>D65*(1+'Rhaniad y Ddeiliadaeth (Cymru)'!C$109)+(D$44*(-(50-$B65)*('Rhaniad y Ddeiliadaeth (Cymru)'!C$110/40)))</f>
        <v>42220.627055597055</v>
      </c>
      <c r="F65" s="278">
        <f>E65*(1+'Rhaniad y Ddeiliadaeth (Cymru)'!D$109)+(E$44*(-(50-$B65)*('Rhaniad y Ddeiliadaeth (Cymru)'!D$110/40)))</f>
        <v>43810.006655227931</v>
      </c>
      <c r="G65" s="278">
        <f>F65*(1+'Rhaniad y Ddeiliadaeth (Cymru)'!E$109)+(F$44*(-(50-$B65)*('Rhaniad y Ddeiliadaeth (Cymru)'!E$110/40)))</f>
        <v>45454.546195167633</v>
      </c>
      <c r="H65" s="278">
        <f>G65*(1+'Rhaniad y Ddeiliadaeth (Cymru)'!F$109)+(G$44*(-(50-$B65)*('Rhaniad y Ddeiliadaeth (Cymru)'!F$110/40)))</f>
        <v>47183.368416615995</v>
      </c>
      <c r="I65" s="279">
        <f>H65*(1+'Rhaniad y Ddeiliadaeth (Cymru)'!G$109)+(H$44*(-(50-$B65)*('Rhaniad y Ddeiliadaeth (Cymru)'!G$110/40)))</f>
        <v>48968.604325092943</v>
      </c>
      <c r="M65" s="36" t="str">
        <f t="shared" si="5"/>
        <v/>
      </c>
      <c r="N65" s="190"/>
      <c r="O65" s="13">
        <f t="shared" si="4"/>
        <v>1</v>
      </c>
      <c r="U65" s="1">
        <f t="shared" si="6"/>
        <v>71</v>
      </c>
      <c r="V65" s="4" t="str">
        <f t="shared" si="7"/>
        <v/>
      </c>
      <c r="W65" s="4" t="e">
        <f>IF($W$3=$N$3,N65,V65*(1+'Rhaniad y Ddeiliadaeth (Cymru)'!C$109)+(V$44*(-(50-$U65)*('Rhaniad y Ddeiliadaeth (Cymru)'!C$110/40))))</f>
        <v>#VALUE!</v>
      </c>
      <c r="X65" s="4" t="e">
        <f>W65*(1+'Rhaniad y Ddeiliadaeth (Cymru)'!D$109)+(W$44*(-(50-$U65)*('Rhaniad y Ddeiliadaeth (Cymru)'!D$110/40)))</f>
        <v>#VALUE!</v>
      </c>
      <c r="Y65" s="4" t="e">
        <f>X65*(1+'Rhaniad y Ddeiliadaeth (Cymru)'!E$109)+(X$44*(-(50-$U65)*('Rhaniad y Ddeiliadaeth (Cymru)'!E$110/40)))</f>
        <v>#VALUE!</v>
      </c>
      <c r="Z65" s="4" t="e">
        <f>Y65*(1+'Rhaniad y Ddeiliadaeth (Cymru)'!F$109)+(Y$44*(-(50-$U65)*('Rhaniad y Ddeiliadaeth (Cymru)'!F$110/40)))</f>
        <v>#VALUE!</v>
      </c>
      <c r="AA65" s="4" t="e">
        <f>Z65*(1+'Rhaniad y Ddeiliadaeth (Cymru)'!G$109)+(Z$44*(-(50-$U65)*('Rhaniad y Ddeiliadaeth (Cymru)'!G$110/40)))</f>
        <v>#VALUE!</v>
      </c>
      <c r="AC65">
        <v>71</v>
      </c>
      <c r="AD65" s="4">
        <f>IF('Rhaniad y Ddeiliadaeth (Cymru)'!$D$8="Amcangyfrifon LlC",'Incwm (Cymru)'!E65,'Incwm (Cymru)'!W65)</f>
        <v>42220.627055597055</v>
      </c>
      <c r="AE65" s="4">
        <f>IF('Rhaniad y Ddeiliadaeth (Cymru)'!$D$8="Amcangyfrifon LlC",'Incwm (Cymru)'!F65,'Incwm (Cymru)'!X65)</f>
        <v>43810.006655227931</v>
      </c>
      <c r="AF65" s="4">
        <f>IF('Rhaniad y Ddeiliadaeth (Cymru)'!$D$8="Amcangyfrifon LlC",'Incwm (Cymru)'!G65,'Incwm (Cymru)'!Y65)</f>
        <v>45454.546195167633</v>
      </c>
      <c r="AG65" s="4">
        <f>IF('Rhaniad y Ddeiliadaeth (Cymru)'!$D$8="Amcangyfrifon LlC",'Incwm (Cymru)'!H65,'Incwm (Cymru)'!Z65)</f>
        <v>47183.368416615995</v>
      </c>
      <c r="AH65" s="4">
        <f>IF('Rhaniad y Ddeiliadaeth (Cymru)'!$D$8="Amcangyfrifon LlC",'Incwm (Cymru)'!I65,'Incwm (Cymru)'!AA65)</f>
        <v>48968.604325092943</v>
      </c>
    </row>
    <row r="66" spans="2:34" x14ac:dyDescent="0.35">
      <c r="B66" s="251">
        <v>72</v>
      </c>
      <c r="C66" s="258">
        <v>40759.32</v>
      </c>
      <c r="D66" s="258">
        <v>42134.746199756657</v>
      </c>
      <c r="E66" s="278">
        <f>D66*(1+'Rhaniad y Ddeiliadaeth (Cymru)'!C$109)+(D$44*(-(50-$B66)*('Rhaniad y Ddeiliadaeth (Cymru)'!C$110/40)))</f>
        <v>43226.32518921989</v>
      </c>
      <c r="F66" s="278">
        <f>E66*(1+'Rhaniad y Ddeiliadaeth (Cymru)'!D$109)+(E$44*(-(50-$B66)*('Rhaniad y Ddeiliadaeth (Cymru)'!D$110/40)))</f>
        <v>44856.950771140924</v>
      </c>
      <c r="G66" s="278">
        <f>F66*(1+'Rhaniad y Ddeiliadaeth (Cymru)'!E$109)+(F$44*(-(50-$B66)*('Rhaniad y Ddeiliadaeth (Cymru)'!E$110/40)))</f>
        <v>46544.282044687439</v>
      </c>
      <c r="H66" s="278">
        <f>G66*(1+'Rhaniad y Ddeiliadaeth (Cymru)'!F$109)+(G$44*(-(50-$B66)*('Rhaniad y Ddeiliadaeth (Cymru)'!F$110/40)))</f>
        <v>48318.150575546053</v>
      </c>
      <c r="I66" s="279">
        <f>H66*(1+'Rhaniad y Ddeiliadaeth (Cymru)'!G$109)+(H$44*(-(50-$B66)*('Rhaniad y Ddeiliadaeth (Cymru)'!G$110/40)))</f>
        <v>50150.034270595104</v>
      </c>
      <c r="M66" s="36" t="str">
        <f t="shared" si="5"/>
        <v/>
      </c>
      <c r="N66" s="190"/>
      <c r="O66" s="13">
        <f t="shared" si="4"/>
        <v>1</v>
      </c>
      <c r="U66" s="1">
        <f t="shared" si="6"/>
        <v>72</v>
      </c>
      <c r="V66" s="4" t="str">
        <f t="shared" si="7"/>
        <v/>
      </c>
      <c r="W66" s="4" t="e">
        <f>IF($W$3=$N$3,N66,V66*(1+'Rhaniad y Ddeiliadaeth (Cymru)'!C$109)+(V$44*(-(50-$U66)*('Rhaniad y Ddeiliadaeth (Cymru)'!C$110/40))))</f>
        <v>#VALUE!</v>
      </c>
      <c r="X66" s="4" t="e">
        <f>W66*(1+'Rhaniad y Ddeiliadaeth (Cymru)'!D$109)+(W$44*(-(50-$U66)*('Rhaniad y Ddeiliadaeth (Cymru)'!D$110/40)))</f>
        <v>#VALUE!</v>
      </c>
      <c r="Y66" s="4" t="e">
        <f>X66*(1+'Rhaniad y Ddeiliadaeth (Cymru)'!E$109)+(X$44*(-(50-$U66)*('Rhaniad y Ddeiliadaeth (Cymru)'!E$110/40)))</f>
        <v>#VALUE!</v>
      </c>
      <c r="Z66" s="4" t="e">
        <f>Y66*(1+'Rhaniad y Ddeiliadaeth (Cymru)'!F$109)+(Y$44*(-(50-$U66)*('Rhaniad y Ddeiliadaeth (Cymru)'!F$110/40)))</f>
        <v>#VALUE!</v>
      </c>
      <c r="AA66" s="4" t="e">
        <f>Z66*(1+'Rhaniad y Ddeiliadaeth (Cymru)'!G$109)+(Z$44*(-(50-$U66)*('Rhaniad y Ddeiliadaeth (Cymru)'!G$110/40)))</f>
        <v>#VALUE!</v>
      </c>
      <c r="AC66">
        <v>72</v>
      </c>
      <c r="AD66" s="4">
        <f>IF('Rhaniad y Ddeiliadaeth (Cymru)'!$D$8="Amcangyfrifon LlC",'Incwm (Cymru)'!E66,'Incwm (Cymru)'!W66)</f>
        <v>43226.32518921989</v>
      </c>
      <c r="AE66" s="4">
        <f>IF('Rhaniad y Ddeiliadaeth (Cymru)'!$D$8="Amcangyfrifon LlC",'Incwm (Cymru)'!F66,'Incwm (Cymru)'!X66)</f>
        <v>44856.950771140924</v>
      </c>
      <c r="AF66" s="4">
        <f>IF('Rhaniad y Ddeiliadaeth (Cymru)'!$D$8="Amcangyfrifon LlC",'Incwm (Cymru)'!G66,'Incwm (Cymru)'!Y66)</f>
        <v>46544.282044687439</v>
      </c>
      <c r="AG66" s="4">
        <f>IF('Rhaniad y Ddeiliadaeth (Cymru)'!$D$8="Amcangyfrifon LlC",'Incwm (Cymru)'!H66,'Incwm (Cymru)'!Z66)</f>
        <v>48318.150575546053</v>
      </c>
      <c r="AH66" s="4">
        <f>IF('Rhaniad y Ddeiliadaeth (Cymru)'!$D$8="Amcangyfrifon LlC",'Incwm (Cymru)'!I66,'Incwm (Cymru)'!AA66)</f>
        <v>50150.034270595104</v>
      </c>
    </row>
    <row r="67" spans="2:34" x14ac:dyDescent="0.35">
      <c r="B67" s="251">
        <v>73</v>
      </c>
      <c r="C67" s="258">
        <v>41915.300000000003</v>
      </c>
      <c r="D67" s="258">
        <v>43329.734828418637</v>
      </c>
      <c r="E67" s="278">
        <f>D67*(1+'Rhaniad y Ddeiliadaeth (Cymru)'!C$109)+(D$44*(-(50-$B67)*('Rhaniad y Ddeiliadaeth (Cymru)'!C$110/40)))</f>
        <v>44454.764693197802</v>
      </c>
      <c r="F67" s="278">
        <f>E67*(1+'Rhaniad y Ddeiliadaeth (Cymru)'!D$109)+(E$44*(-(50-$B67)*('Rhaniad y Ddeiliadaeth (Cymru)'!D$110/40)))</f>
        <v>46134.270489376169</v>
      </c>
      <c r="G67" s="278">
        <f>F67*(1+'Rhaniad y Ddeiliadaeth (Cymru)'!E$109)+(F$44*(-(50-$B67)*('Rhaniad y Ddeiliadaeth (Cymru)'!E$110/40)))</f>
        <v>47872.267340395803</v>
      </c>
      <c r="H67" s="278">
        <f>G67*(1+'Rhaniad y Ddeiliadaeth (Cymru)'!F$109)+(G$44*(-(50-$B67)*('Rhaniad y Ddeiliadaeth (Cymru)'!F$110/40)))</f>
        <v>49699.445926419568</v>
      </c>
      <c r="I67" s="279">
        <f>H67*(1+'Rhaniad y Ddeiliadaeth (Cymru)'!G$109)+(H$44*(-(50-$B67)*('Rhaniad y Ddeiliadaeth (Cymru)'!G$110/40)))</f>
        <v>51586.481647160981</v>
      </c>
      <c r="M67" s="36" t="str">
        <f t="shared" si="5"/>
        <v/>
      </c>
      <c r="N67" s="190"/>
      <c r="O67" s="13">
        <f t="shared" si="4"/>
        <v>1</v>
      </c>
      <c r="U67" s="1">
        <f t="shared" si="6"/>
        <v>73</v>
      </c>
      <c r="V67" s="4" t="str">
        <f t="shared" si="7"/>
        <v/>
      </c>
      <c r="W67" s="4" t="e">
        <f>IF($W$3=$N$3,N67,V67*(1+'Rhaniad y Ddeiliadaeth (Cymru)'!C$109)+(V$44*(-(50-$U67)*('Rhaniad y Ddeiliadaeth (Cymru)'!C$110/40))))</f>
        <v>#VALUE!</v>
      </c>
      <c r="X67" s="4" t="e">
        <f>W67*(1+'Rhaniad y Ddeiliadaeth (Cymru)'!D$109)+(W$44*(-(50-$U67)*('Rhaniad y Ddeiliadaeth (Cymru)'!D$110/40)))</f>
        <v>#VALUE!</v>
      </c>
      <c r="Y67" s="4" t="e">
        <f>X67*(1+'Rhaniad y Ddeiliadaeth (Cymru)'!E$109)+(X$44*(-(50-$U67)*('Rhaniad y Ddeiliadaeth (Cymru)'!E$110/40)))</f>
        <v>#VALUE!</v>
      </c>
      <c r="Z67" s="4" t="e">
        <f>Y67*(1+'Rhaniad y Ddeiliadaeth (Cymru)'!F$109)+(Y$44*(-(50-$U67)*('Rhaniad y Ddeiliadaeth (Cymru)'!F$110/40)))</f>
        <v>#VALUE!</v>
      </c>
      <c r="AA67" s="4" t="e">
        <f>Z67*(1+'Rhaniad y Ddeiliadaeth (Cymru)'!G$109)+(Z$44*(-(50-$U67)*('Rhaniad y Ddeiliadaeth (Cymru)'!G$110/40)))</f>
        <v>#VALUE!</v>
      </c>
      <c r="AC67">
        <v>73</v>
      </c>
      <c r="AD67" s="4">
        <f>IF('Rhaniad y Ddeiliadaeth (Cymru)'!$D$8="Amcangyfrifon LlC",'Incwm (Cymru)'!E67,'Incwm (Cymru)'!W67)</f>
        <v>44454.764693197802</v>
      </c>
      <c r="AE67" s="4">
        <f>IF('Rhaniad y Ddeiliadaeth (Cymru)'!$D$8="Amcangyfrifon LlC",'Incwm (Cymru)'!F67,'Incwm (Cymru)'!X67)</f>
        <v>46134.270489376169</v>
      </c>
      <c r="AF67" s="4">
        <f>IF('Rhaniad y Ddeiliadaeth (Cymru)'!$D$8="Amcangyfrifon LlC",'Incwm (Cymru)'!G67,'Incwm (Cymru)'!Y67)</f>
        <v>47872.267340395803</v>
      </c>
      <c r="AG67" s="4">
        <f>IF('Rhaniad y Ddeiliadaeth (Cymru)'!$D$8="Amcangyfrifon LlC",'Incwm (Cymru)'!H67,'Incwm (Cymru)'!Z67)</f>
        <v>49699.445926419568</v>
      </c>
      <c r="AH67" s="4">
        <f>IF('Rhaniad y Ddeiliadaeth (Cymru)'!$D$8="Amcangyfrifon LlC",'Incwm (Cymru)'!I67,'Incwm (Cymru)'!AA67)</f>
        <v>51586.481647160981</v>
      </c>
    </row>
    <row r="68" spans="2:34" x14ac:dyDescent="0.35">
      <c r="B68" s="251">
        <v>74</v>
      </c>
      <c r="C68" s="258">
        <v>42877</v>
      </c>
      <c r="D68" s="258">
        <v>44323.887464436753</v>
      </c>
      <c r="E68" s="278">
        <f>D68*(1+'Rhaniad y Ddeiliadaeth (Cymru)'!C$109)+(D$44*(-(50-$B68)*('Rhaniad y Ddeiliadaeth (Cymru)'!C$110/40)))</f>
        <v>45477.860202525517</v>
      </c>
      <c r="F68" s="278">
        <f>E68*(1+'Rhaniad y Ddeiliadaeth (Cymru)'!D$109)+(E$44*(-(50-$B68)*('Rhaniad y Ddeiliadaeth (Cymru)'!D$110/40)))</f>
        <v>47199.208258199025</v>
      </c>
      <c r="G68" s="278">
        <f>F68*(1+'Rhaniad y Ddeiliadaeth (Cymru)'!E$109)+(F$44*(-(50-$B68)*('Rhaniad y Ddeiliadaeth (Cymru)'!E$110/40)))</f>
        <v>48980.611835091011</v>
      </c>
      <c r="H68" s="278">
        <f>G68*(1+'Rhaniad y Ddeiliadaeth (Cymru)'!F$109)+(G$44*(-(50-$B68)*('Rhaniad y Ddeiliadaeth (Cymru)'!F$110/40)))</f>
        <v>50853.48217635935</v>
      </c>
      <c r="I68" s="279">
        <f>H68*(1+'Rhaniad y Ddeiliadaeth (Cymru)'!G$109)+(H$44*(-(50-$B68)*('Rhaniad y Ddeiliadaeth (Cymru)'!G$110/40)))</f>
        <v>52787.829913415291</v>
      </c>
      <c r="M68" s="36" t="str">
        <f t="shared" ref="M68:M84" si="8">IF(ISBLANK($L$4),"",B68)</f>
        <v/>
      </c>
      <c r="N68" s="190"/>
      <c r="O68" s="13">
        <f t="shared" si="4"/>
        <v>1</v>
      </c>
      <c r="U68" s="1">
        <f t="shared" ref="U68:U84" si="9">B68</f>
        <v>74</v>
      </c>
      <c r="V68" s="4" t="str">
        <f t="shared" ref="V68:V84" si="10">IF($N$3=$V$3,N68,"")</f>
        <v/>
      </c>
      <c r="W68" s="4" t="e">
        <f>IF($W$3=$N$3,N68,V68*(1+'Rhaniad y Ddeiliadaeth (Cymru)'!C$109)+(V$44*(-(50-$U68)*('Rhaniad y Ddeiliadaeth (Cymru)'!C$110/40))))</f>
        <v>#VALUE!</v>
      </c>
      <c r="X68" s="4" t="e">
        <f>W68*(1+'Rhaniad y Ddeiliadaeth (Cymru)'!D$109)+(W$44*(-(50-$U68)*('Rhaniad y Ddeiliadaeth (Cymru)'!D$110/40)))</f>
        <v>#VALUE!</v>
      </c>
      <c r="Y68" s="4" t="e">
        <f>X68*(1+'Rhaniad y Ddeiliadaeth (Cymru)'!E$109)+(X$44*(-(50-$U68)*('Rhaniad y Ddeiliadaeth (Cymru)'!E$110/40)))</f>
        <v>#VALUE!</v>
      </c>
      <c r="Z68" s="4" t="e">
        <f>Y68*(1+'Rhaniad y Ddeiliadaeth (Cymru)'!F$109)+(Y$44*(-(50-$U68)*('Rhaniad y Ddeiliadaeth (Cymru)'!F$110/40)))</f>
        <v>#VALUE!</v>
      </c>
      <c r="AA68" s="4" t="e">
        <f>Z68*(1+'Rhaniad y Ddeiliadaeth (Cymru)'!G$109)+(Z$44*(-(50-$U68)*('Rhaniad y Ddeiliadaeth (Cymru)'!G$110/40)))</f>
        <v>#VALUE!</v>
      </c>
      <c r="AC68">
        <v>74</v>
      </c>
      <c r="AD68" s="4">
        <f>IF('Rhaniad y Ddeiliadaeth (Cymru)'!$D$8="Amcangyfrifon LlC",'Incwm (Cymru)'!E68,'Incwm (Cymru)'!W68)</f>
        <v>45477.860202525517</v>
      </c>
      <c r="AE68" s="4">
        <f>IF('Rhaniad y Ddeiliadaeth (Cymru)'!$D$8="Amcangyfrifon LlC",'Incwm (Cymru)'!F68,'Incwm (Cymru)'!X68)</f>
        <v>47199.208258199025</v>
      </c>
      <c r="AF68" s="4">
        <f>IF('Rhaniad y Ddeiliadaeth (Cymru)'!$D$8="Amcangyfrifon LlC",'Incwm (Cymru)'!G68,'Incwm (Cymru)'!Y68)</f>
        <v>48980.611835091011</v>
      </c>
      <c r="AG68" s="4">
        <f>IF('Rhaniad y Ddeiliadaeth (Cymru)'!$D$8="Amcangyfrifon LlC",'Incwm (Cymru)'!H68,'Incwm (Cymru)'!Z68)</f>
        <v>50853.48217635935</v>
      </c>
      <c r="AH68" s="4">
        <f>IF('Rhaniad y Ddeiliadaeth (Cymru)'!$D$8="Amcangyfrifon LlC",'Incwm (Cymru)'!I68,'Incwm (Cymru)'!AA68)</f>
        <v>52787.829913415291</v>
      </c>
    </row>
    <row r="69" spans="2:34" x14ac:dyDescent="0.35">
      <c r="B69" s="251">
        <v>75</v>
      </c>
      <c r="C69" s="258">
        <v>44124.6</v>
      </c>
      <c r="D69" s="258">
        <v>45613.587816621635</v>
      </c>
      <c r="E69" s="278">
        <f>D69*(1+'Rhaniad y Ddeiliadaeth (Cymru)'!C$109)+(D$44*(-(50-$B69)*('Rhaniad y Ddeiliadaeth (Cymru)'!C$110/40)))</f>
        <v>46803.137346970019</v>
      </c>
      <c r="F69" s="278">
        <f>E69*(1+'Rhaniad y Ddeiliadaeth (Cymru)'!D$109)+(E$44*(-(50-$B69)*('Rhaniad y Ddeiliadaeth (Cymru)'!D$110/40)))</f>
        <v>48576.684627685863</v>
      </c>
      <c r="G69" s="278">
        <f>F69*(1+'Rhaniad y Ddeiliadaeth (Cymru)'!E$109)+(F$44*(-(50-$B69)*('Rhaniad y Ddeiliadaeth (Cymru)'!E$110/40)))</f>
        <v>50412.176965001672</v>
      </c>
      <c r="H69" s="278">
        <f>G69*(1+'Rhaniad y Ddeiliadaeth (Cymru)'!F$109)+(G$44*(-(50-$B69)*('Rhaniad y Ddeiliadaeth (Cymru)'!F$110/40)))</f>
        <v>52341.950055684298</v>
      </c>
      <c r="I69" s="279">
        <f>H69*(1+'Rhaniad y Ddeiliadaeth (Cymru)'!G$109)+(H$44*(-(50-$B69)*('Rhaniad y Ddeiliadaeth (Cymru)'!G$110/40)))</f>
        <v>54335.147068068152</v>
      </c>
      <c r="M69" s="36" t="str">
        <f t="shared" si="8"/>
        <v/>
      </c>
      <c r="N69" s="190"/>
      <c r="O69" s="13">
        <f t="shared" ref="O69:O84" si="11">IF(ISBLANK(N69),1,0)</f>
        <v>1</v>
      </c>
      <c r="U69" s="1">
        <f t="shared" si="9"/>
        <v>75</v>
      </c>
      <c r="V69" s="4" t="str">
        <f t="shared" si="10"/>
        <v/>
      </c>
      <c r="W69" s="4" t="e">
        <f>IF($W$3=$N$3,N69,V69*(1+'Rhaniad y Ddeiliadaeth (Cymru)'!C$109)+(V$44*(-(50-$U69)*('Rhaniad y Ddeiliadaeth (Cymru)'!C$110/40))))</f>
        <v>#VALUE!</v>
      </c>
      <c r="X69" s="4" t="e">
        <f>W69*(1+'Rhaniad y Ddeiliadaeth (Cymru)'!D$109)+(W$44*(-(50-$U69)*('Rhaniad y Ddeiliadaeth (Cymru)'!D$110/40)))</f>
        <v>#VALUE!</v>
      </c>
      <c r="Y69" s="4" t="e">
        <f>X69*(1+'Rhaniad y Ddeiliadaeth (Cymru)'!E$109)+(X$44*(-(50-$U69)*('Rhaniad y Ddeiliadaeth (Cymru)'!E$110/40)))</f>
        <v>#VALUE!</v>
      </c>
      <c r="Z69" s="4" t="e">
        <f>Y69*(1+'Rhaniad y Ddeiliadaeth (Cymru)'!F$109)+(Y$44*(-(50-$U69)*('Rhaniad y Ddeiliadaeth (Cymru)'!F$110/40)))</f>
        <v>#VALUE!</v>
      </c>
      <c r="AA69" s="4" t="e">
        <f>Z69*(1+'Rhaniad y Ddeiliadaeth (Cymru)'!G$109)+(Z$44*(-(50-$U69)*('Rhaniad y Ddeiliadaeth (Cymru)'!G$110/40)))</f>
        <v>#VALUE!</v>
      </c>
      <c r="AC69">
        <v>75</v>
      </c>
      <c r="AD69" s="4">
        <f>IF('Rhaniad y Ddeiliadaeth (Cymru)'!$D$8="Amcangyfrifon LlC",'Incwm (Cymru)'!E69,'Incwm (Cymru)'!W69)</f>
        <v>46803.137346970019</v>
      </c>
      <c r="AE69" s="4">
        <f>IF('Rhaniad y Ddeiliadaeth (Cymru)'!$D$8="Amcangyfrifon LlC",'Incwm (Cymru)'!F69,'Incwm (Cymru)'!X69)</f>
        <v>48576.684627685863</v>
      </c>
      <c r="AF69" s="4">
        <f>IF('Rhaniad y Ddeiliadaeth (Cymru)'!$D$8="Amcangyfrifon LlC",'Incwm (Cymru)'!G69,'Incwm (Cymru)'!Y69)</f>
        <v>50412.176965001672</v>
      </c>
      <c r="AG69" s="4">
        <f>IF('Rhaniad y Ddeiliadaeth (Cymru)'!$D$8="Amcangyfrifon LlC",'Incwm (Cymru)'!H69,'Incwm (Cymru)'!Z69)</f>
        <v>52341.950055684298</v>
      </c>
      <c r="AH69" s="4">
        <f>IF('Rhaniad y Ddeiliadaeth (Cymru)'!$D$8="Amcangyfrifon LlC",'Incwm (Cymru)'!I69,'Incwm (Cymru)'!AA69)</f>
        <v>54335.147068068152</v>
      </c>
    </row>
    <row r="70" spans="2:34" x14ac:dyDescent="0.35">
      <c r="B70" s="251">
        <v>76</v>
      </c>
      <c r="C70" s="258">
        <v>45242</v>
      </c>
      <c r="D70" s="258">
        <v>46768.694560394797</v>
      </c>
      <c r="E70" s="278">
        <f>D70*(1+'Rhaniad y Ddeiliadaeth (Cymru)'!C$109)+(D$44*(-(50-$B70)*('Rhaniad y Ddeiliadaeth (Cymru)'!C$110/40)))</f>
        <v>47990.799769860816</v>
      </c>
      <c r="F70" s="278">
        <f>E70*(1+'Rhaniad y Ddeiliadaeth (Cymru)'!D$109)+(E$44*(-(50-$B70)*('Rhaniad y Ddeiliadaeth (Cymru)'!D$110/40)))</f>
        <v>49811.829672211359</v>
      </c>
      <c r="G70" s="278">
        <f>F70*(1+'Rhaniad y Ddeiliadaeth (Cymru)'!E$109)+(F$44*(-(50-$B70)*('Rhaniad y Ddeiliadaeth (Cymru)'!E$110/40)))</f>
        <v>51696.546128822614</v>
      </c>
      <c r="H70" s="278">
        <f>G70*(1+'Rhaniad y Ddeiliadaeth (Cymru)'!F$109)+(G$44*(-(50-$B70)*('Rhaniad y Ddeiliadaeth (Cymru)'!F$110/40)))</f>
        <v>53678.116437471836</v>
      </c>
      <c r="I70" s="279">
        <f>H70*(1+'Rhaniad y Ddeiliadaeth (Cymru)'!G$109)+(H$44*(-(50-$B70)*('Rhaniad y Ddeiliadaeth (Cymru)'!G$110/40)))</f>
        <v>55724.90861142514</v>
      </c>
      <c r="M70" s="36" t="str">
        <f t="shared" si="8"/>
        <v/>
      </c>
      <c r="N70" s="190"/>
      <c r="O70" s="13">
        <f t="shared" si="11"/>
        <v>1</v>
      </c>
      <c r="U70" s="1">
        <f t="shared" si="9"/>
        <v>76</v>
      </c>
      <c r="V70" s="4" t="str">
        <f t="shared" si="10"/>
        <v/>
      </c>
      <c r="W70" s="4" t="e">
        <f>IF($W$3=$N$3,N70,V70*(1+'Rhaniad y Ddeiliadaeth (Cymru)'!C$109)+(V$44*(-(50-$U70)*('Rhaniad y Ddeiliadaeth (Cymru)'!C$110/40))))</f>
        <v>#VALUE!</v>
      </c>
      <c r="X70" s="4" t="e">
        <f>W70*(1+'Rhaniad y Ddeiliadaeth (Cymru)'!D$109)+(W$44*(-(50-$U70)*('Rhaniad y Ddeiliadaeth (Cymru)'!D$110/40)))</f>
        <v>#VALUE!</v>
      </c>
      <c r="Y70" s="4" t="e">
        <f>X70*(1+'Rhaniad y Ddeiliadaeth (Cymru)'!E$109)+(X$44*(-(50-$U70)*('Rhaniad y Ddeiliadaeth (Cymru)'!E$110/40)))</f>
        <v>#VALUE!</v>
      </c>
      <c r="Z70" s="4" t="e">
        <f>Y70*(1+'Rhaniad y Ddeiliadaeth (Cymru)'!F$109)+(Y$44*(-(50-$U70)*('Rhaniad y Ddeiliadaeth (Cymru)'!F$110/40)))</f>
        <v>#VALUE!</v>
      </c>
      <c r="AA70" s="4" t="e">
        <f>Z70*(1+'Rhaniad y Ddeiliadaeth (Cymru)'!G$109)+(Z$44*(-(50-$U70)*('Rhaniad y Ddeiliadaeth (Cymru)'!G$110/40)))</f>
        <v>#VALUE!</v>
      </c>
      <c r="AC70">
        <v>76</v>
      </c>
      <c r="AD70" s="4">
        <f>IF('Rhaniad y Ddeiliadaeth (Cymru)'!$D$8="Amcangyfrifon LlC",'Incwm (Cymru)'!E70,'Incwm (Cymru)'!W70)</f>
        <v>47990.799769860816</v>
      </c>
      <c r="AE70" s="4">
        <f>IF('Rhaniad y Ddeiliadaeth (Cymru)'!$D$8="Amcangyfrifon LlC",'Incwm (Cymru)'!F70,'Incwm (Cymru)'!X70)</f>
        <v>49811.829672211359</v>
      </c>
      <c r="AF70" s="4">
        <f>IF('Rhaniad y Ddeiliadaeth (Cymru)'!$D$8="Amcangyfrifon LlC",'Incwm (Cymru)'!G70,'Incwm (Cymru)'!Y70)</f>
        <v>51696.546128822614</v>
      </c>
      <c r="AG70" s="4">
        <f>IF('Rhaniad y Ddeiliadaeth (Cymru)'!$D$8="Amcangyfrifon LlC",'Incwm (Cymru)'!H70,'Incwm (Cymru)'!Z70)</f>
        <v>53678.116437471836</v>
      </c>
      <c r="AH70" s="4">
        <f>IF('Rhaniad y Ddeiliadaeth (Cymru)'!$D$8="Amcangyfrifon LlC",'Incwm (Cymru)'!I70,'Incwm (Cymru)'!AA70)</f>
        <v>55724.90861142514</v>
      </c>
    </row>
    <row r="71" spans="2:34" x14ac:dyDescent="0.35">
      <c r="B71" s="251">
        <v>77</v>
      </c>
      <c r="C71" s="258">
        <v>46154.5</v>
      </c>
      <c r="D71" s="258">
        <v>47711.986938856404</v>
      </c>
      <c r="E71" s="278">
        <f>D71*(1+'Rhaniad y Ddeiliadaeth (Cymru)'!C$109)+(D$44*(-(50-$B71)*('Rhaniad y Ddeiliadaeth (Cymru)'!C$110/40)))</f>
        <v>48961.893402841037</v>
      </c>
      <c r="F71" s="278">
        <f>E71*(1+'Rhaniad y Ddeiliadaeth (Cymru)'!D$109)+(E$44*(-(50-$B71)*('Rhaniad y Ddeiliadaeth (Cymru)'!D$110/40)))</f>
        <v>50822.983253721635</v>
      </c>
      <c r="G71" s="278">
        <f>F71*(1+'Rhaniad y Ddeiliadaeth (Cymru)'!E$109)+(F$44*(-(50-$B71)*('Rhaniad y Ddeiliadaeth (Cymru)'!E$110/40)))</f>
        <v>52749.268184718945</v>
      </c>
      <c r="H71" s="278">
        <f>G71*(1+'Rhaniad y Ddeiliadaeth (Cymru)'!F$109)+(G$44*(-(50-$B71)*('Rhaniad y Ddeiliadaeth (Cymru)'!F$110/40)))</f>
        <v>54774.600969448169</v>
      </c>
      <c r="I71" s="279">
        <f>H71*(1+'Rhaniad y Ddeiliadaeth (Cymru)'!G$109)+(H$44*(-(50-$B71)*('Rhaniad y Ddeiliadaeth (Cymru)'!G$110/40)))</f>
        <v>56866.719734240476</v>
      </c>
      <c r="M71" s="36" t="str">
        <f t="shared" si="8"/>
        <v/>
      </c>
      <c r="N71" s="190"/>
      <c r="O71" s="13">
        <f t="shared" si="11"/>
        <v>1</v>
      </c>
      <c r="U71" s="1">
        <f t="shared" si="9"/>
        <v>77</v>
      </c>
      <c r="V71" s="4" t="str">
        <f t="shared" si="10"/>
        <v/>
      </c>
      <c r="W71" s="4" t="e">
        <f>IF($W$3=$N$3,N71,V71*(1+'Rhaniad y Ddeiliadaeth (Cymru)'!C$109)+(V$44*(-(50-$U71)*('Rhaniad y Ddeiliadaeth (Cymru)'!C$110/40))))</f>
        <v>#VALUE!</v>
      </c>
      <c r="X71" s="4" t="e">
        <f>W71*(1+'Rhaniad y Ddeiliadaeth (Cymru)'!D$109)+(W$44*(-(50-$U71)*('Rhaniad y Ddeiliadaeth (Cymru)'!D$110/40)))</f>
        <v>#VALUE!</v>
      </c>
      <c r="Y71" s="4" t="e">
        <f>X71*(1+'Rhaniad y Ddeiliadaeth (Cymru)'!E$109)+(X$44*(-(50-$U71)*('Rhaniad y Ddeiliadaeth (Cymru)'!E$110/40)))</f>
        <v>#VALUE!</v>
      </c>
      <c r="Z71" s="4" t="e">
        <f>Y71*(1+'Rhaniad y Ddeiliadaeth (Cymru)'!F$109)+(Y$44*(-(50-$U71)*('Rhaniad y Ddeiliadaeth (Cymru)'!F$110/40)))</f>
        <v>#VALUE!</v>
      </c>
      <c r="AA71" s="4" t="e">
        <f>Z71*(1+'Rhaniad y Ddeiliadaeth (Cymru)'!G$109)+(Z$44*(-(50-$U71)*('Rhaniad y Ddeiliadaeth (Cymru)'!G$110/40)))</f>
        <v>#VALUE!</v>
      </c>
      <c r="AC71">
        <v>77</v>
      </c>
      <c r="AD71" s="4">
        <f>IF('Rhaniad y Ddeiliadaeth (Cymru)'!$D$8="Amcangyfrifon LlC",'Incwm (Cymru)'!E71,'Incwm (Cymru)'!W71)</f>
        <v>48961.893402841037</v>
      </c>
      <c r="AE71" s="4">
        <f>IF('Rhaniad y Ddeiliadaeth (Cymru)'!$D$8="Amcangyfrifon LlC",'Incwm (Cymru)'!F71,'Incwm (Cymru)'!X71)</f>
        <v>50822.983253721635</v>
      </c>
      <c r="AF71" s="4">
        <f>IF('Rhaniad y Ddeiliadaeth (Cymru)'!$D$8="Amcangyfrifon LlC",'Incwm (Cymru)'!G71,'Incwm (Cymru)'!Y71)</f>
        <v>52749.268184718945</v>
      </c>
      <c r="AG71" s="4">
        <f>IF('Rhaniad y Ddeiliadaeth (Cymru)'!$D$8="Amcangyfrifon LlC",'Incwm (Cymru)'!H71,'Incwm (Cymru)'!Z71)</f>
        <v>54774.600969448169</v>
      </c>
      <c r="AH71" s="4">
        <f>IF('Rhaniad y Ddeiliadaeth (Cymru)'!$D$8="Amcangyfrifon LlC",'Incwm (Cymru)'!I71,'Incwm (Cymru)'!AA71)</f>
        <v>56866.719734240476</v>
      </c>
    </row>
    <row r="72" spans="2:34" x14ac:dyDescent="0.35">
      <c r="B72" s="251">
        <v>78</v>
      </c>
      <c r="C72" s="258">
        <v>47437.7</v>
      </c>
      <c r="D72" s="258">
        <v>49038.488615614697</v>
      </c>
      <c r="E72" s="278">
        <f>D72*(1+'Rhaniad y Ddeiliadaeth (Cymru)'!C$109)+(D$44*(-(50-$B72)*('Rhaniad y Ddeiliadaeth (Cymru)'!C$110/40)))</f>
        <v>50324.797921228026</v>
      </c>
      <c r="F72" s="278">
        <f>E72*(1+'Rhaniad y Ddeiliadaeth (Cymru)'!D$109)+(E$44*(-(50-$B72)*('Rhaniad y Ddeiliadaeth (Cymru)'!D$110/40)))</f>
        <v>52239.37663679236</v>
      </c>
      <c r="G72" s="278">
        <f>F72*(1+'Rhaniad y Ddeiliadaeth (Cymru)'!E$109)+(F$44*(-(50-$B72)*('Rhaniad y Ddeiliadaeth (Cymru)'!E$110/40)))</f>
        <v>54221.080445142601</v>
      </c>
      <c r="H72" s="278">
        <f>G72*(1+'Rhaniad y Ddeiliadaeth (Cymru)'!F$109)+(G$44*(-(50-$B72)*('Rhaniad y Ddeiliadaeth (Cymru)'!F$110/40)))</f>
        <v>56304.711961771049</v>
      </c>
      <c r="I72" s="279">
        <f>H72*(1+'Rhaniad y Ddeiliadaeth (Cymru)'!G$109)+(H$44*(-(50-$B72)*('Rhaniad y Ddeiliadaeth (Cymru)'!G$110/40)))</f>
        <v>58457.116610568679</v>
      </c>
      <c r="M72" s="36" t="str">
        <f t="shared" si="8"/>
        <v/>
      </c>
      <c r="N72" s="190"/>
      <c r="O72" s="13">
        <f t="shared" si="11"/>
        <v>1</v>
      </c>
      <c r="U72" s="1">
        <f t="shared" si="9"/>
        <v>78</v>
      </c>
      <c r="V72" s="4" t="str">
        <f t="shared" si="10"/>
        <v/>
      </c>
      <c r="W72" s="4" t="e">
        <f>IF($W$3=$N$3,N72,V72*(1+'Rhaniad y Ddeiliadaeth (Cymru)'!C$109)+(V$44*(-(50-$U72)*('Rhaniad y Ddeiliadaeth (Cymru)'!C$110/40))))</f>
        <v>#VALUE!</v>
      </c>
      <c r="X72" s="4" t="e">
        <f>W72*(1+'Rhaniad y Ddeiliadaeth (Cymru)'!D$109)+(W$44*(-(50-$U72)*('Rhaniad y Ddeiliadaeth (Cymru)'!D$110/40)))</f>
        <v>#VALUE!</v>
      </c>
      <c r="Y72" s="4" t="e">
        <f>X72*(1+'Rhaniad y Ddeiliadaeth (Cymru)'!E$109)+(X$44*(-(50-$U72)*('Rhaniad y Ddeiliadaeth (Cymru)'!E$110/40)))</f>
        <v>#VALUE!</v>
      </c>
      <c r="Z72" s="4" t="e">
        <f>Y72*(1+'Rhaniad y Ddeiliadaeth (Cymru)'!F$109)+(Y$44*(-(50-$U72)*('Rhaniad y Ddeiliadaeth (Cymru)'!F$110/40)))</f>
        <v>#VALUE!</v>
      </c>
      <c r="AA72" s="4" t="e">
        <f>Z72*(1+'Rhaniad y Ddeiliadaeth (Cymru)'!G$109)+(Z$44*(-(50-$U72)*('Rhaniad y Ddeiliadaeth (Cymru)'!G$110/40)))</f>
        <v>#VALUE!</v>
      </c>
      <c r="AC72">
        <v>78</v>
      </c>
      <c r="AD72" s="4">
        <f>IF('Rhaniad y Ddeiliadaeth (Cymru)'!$D$8="Amcangyfrifon LlC",'Incwm (Cymru)'!E72,'Incwm (Cymru)'!W72)</f>
        <v>50324.797921228026</v>
      </c>
      <c r="AE72" s="4">
        <f>IF('Rhaniad y Ddeiliadaeth (Cymru)'!$D$8="Amcangyfrifon LlC",'Incwm (Cymru)'!F72,'Incwm (Cymru)'!X72)</f>
        <v>52239.37663679236</v>
      </c>
      <c r="AF72" s="4">
        <f>IF('Rhaniad y Ddeiliadaeth (Cymru)'!$D$8="Amcangyfrifon LlC",'Incwm (Cymru)'!G72,'Incwm (Cymru)'!Y72)</f>
        <v>54221.080445142601</v>
      </c>
      <c r="AG72" s="4">
        <f>IF('Rhaniad y Ddeiliadaeth (Cymru)'!$D$8="Amcangyfrifon LlC",'Incwm (Cymru)'!H72,'Incwm (Cymru)'!Z72)</f>
        <v>56304.711961771049</v>
      </c>
      <c r="AH72" s="4">
        <f>IF('Rhaniad y Ddeiliadaeth (Cymru)'!$D$8="Amcangyfrifon LlC",'Incwm (Cymru)'!I72,'Incwm (Cymru)'!AA72)</f>
        <v>58457.116610568679</v>
      </c>
    </row>
    <row r="73" spans="2:34" x14ac:dyDescent="0.35">
      <c r="B73" s="251">
        <v>79</v>
      </c>
      <c r="C73" s="258">
        <v>48662.37</v>
      </c>
      <c r="D73" s="258">
        <v>50304.48519329205</v>
      </c>
      <c r="E73" s="278">
        <f>D73*(1+'Rhaniad y Ddeiliadaeth (Cymru)'!C$109)+(D$44*(-(50-$B73)*('Rhaniad y Ddeiliadaeth (Cymru)'!C$110/40)))</f>
        <v>51625.839231838232</v>
      </c>
      <c r="F73" s="278">
        <f>E73*(1+'Rhaniad y Ddeiliadaeth (Cymru)'!D$109)+(E$44*(-(50-$B73)*('Rhaniad y Ddeiliadaeth (Cymru)'!D$110/40)))</f>
        <v>53591.786514102838</v>
      </c>
      <c r="G73" s="278">
        <f>F73*(1+'Rhaniad y Ddeiliadaeth (Cymru)'!E$109)+(F$44*(-(50-$B73)*('Rhaniad y Ddeiliadaeth (Cymru)'!E$110/40)))</f>
        <v>55626.722353068333</v>
      </c>
      <c r="H73" s="278">
        <f>G73*(1+'Rhaniad y Ddeiliadaeth (Cymru)'!F$109)+(G$44*(-(50-$B73)*('Rhaniad y Ddeiliadaeth (Cymru)'!F$110/40)))</f>
        <v>57766.357465224006</v>
      </c>
      <c r="I73" s="279">
        <f>H73*(1+'Rhaniad y Ddeiliadaeth (Cymru)'!G$109)+(H$44*(-(50-$B73)*('Rhaniad y Ddeiliadaeth (Cymru)'!G$110/40)))</f>
        <v>59976.686068086252</v>
      </c>
      <c r="M73" s="36" t="str">
        <f t="shared" si="8"/>
        <v/>
      </c>
      <c r="N73" s="190"/>
      <c r="O73" s="13">
        <f t="shared" si="11"/>
        <v>1</v>
      </c>
      <c r="U73" s="1">
        <f t="shared" si="9"/>
        <v>79</v>
      </c>
      <c r="V73" s="4" t="str">
        <f t="shared" si="10"/>
        <v/>
      </c>
      <c r="W73" s="4" t="e">
        <f>IF($W$3=$N$3,N73,V73*(1+'Rhaniad y Ddeiliadaeth (Cymru)'!C$109)+(V$44*(-(50-$U73)*('Rhaniad y Ddeiliadaeth (Cymru)'!C$110/40))))</f>
        <v>#VALUE!</v>
      </c>
      <c r="X73" s="4" t="e">
        <f>W73*(1+'Rhaniad y Ddeiliadaeth (Cymru)'!D$109)+(W$44*(-(50-$U73)*('Rhaniad y Ddeiliadaeth (Cymru)'!D$110/40)))</f>
        <v>#VALUE!</v>
      </c>
      <c r="Y73" s="4" t="e">
        <f>X73*(1+'Rhaniad y Ddeiliadaeth (Cymru)'!E$109)+(X$44*(-(50-$U73)*('Rhaniad y Ddeiliadaeth (Cymru)'!E$110/40)))</f>
        <v>#VALUE!</v>
      </c>
      <c r="Z73" s="4" t="e">
        <f>Y73*(1+'Rhaniad y Ddeiliadaeth (Cymru)'!F$109)+(Y$44*(-(50-$U73)*('Rhaniad y Ddeiliadaeth (Cymru)'!F$110/40)))</f>
        <v>#VALUE!</v>
      </c>
      <c r="AA73" s="4" t="e">
        <f>Z73*(1+'Rhaniad y Ddeiliadaeth (Cymru)'!G$109)+(Z$44*(-(50-$U73)*('Rhaniad y Ddeiliadaeth (Cymru)'!G$110/40)))</f>
        <v>#VALUE!</v>
      </c>
      <c r="AC73">
        <v>79</v>
      </c>
      <c r="AD73" s="4">
        <f>IF('Rhaniad y Ddeiliadaeth (Cymru)'!$D$8="Amcangyfrifon LlC",'Incwm (Cymru)'!E73,'Incwm (Cymru)'!W73)</f>
        <v>51625.839231838232</v>
      </c>
      <c r="AE73" s="4">
        <f>IF('Rhaniad y Ddeiliadaeth (Cymru)'!$D$8="Amcangyfrifon LlC",'Incwm (Cymru)'!F73,'Incwm (Cymru)'!X73)</f>
        <v>53591.786514102838</v>
      </c>
      <c r="AF73" s="4">
        <f>IF('Rhaniad y Ddeiliadaeth (Cymru)'!$D$8="Amcangyfrifon LlC",'Incwm (Cymru)'!G73,'Incwm (Cymru)'!Y73)</f>
        <v>55626.722353068333</v>
      </c>
      <c r="AG73" s="4">
        <f>IF('Rhaniad y Ddeiliadaeth (Cymru)'!$D$8="Amcangyfrifon LlC",'Incwm (Cymru)'!H73,'Incwm (Cymru)'!Z73)</f>
        <v>57766.357465224006</v>
      </c>
      <c r="AH73" s="4">
        <f>IF('Rhaniad y Ddeiliadaeth (Cymru)'!$D$8="Amcangyfrifon LlC",'Incwm (Cymru)'!I73,'Incwm (Cymru)'!AA73)</f>
        <v>59976.686068086252</v>
      </c>
    </row>
    <row r="74" spans="2:34" x14ac:dyDescent="0.35">
      <c r="B74" s="251">
        <v>80</v>
      </c>
      <c r="C74" s="258">
        <v>49919.75</v>
      </c>
      <c r="D74" s="258">
        <v>51563.309607256306</v>
      </c>
      <c r="E74" s="278">
        <f>D74*(1+'Rhaniad y Ddeiliadaeth (Cymru)'!C$109)+(D$44*(-(50-$B74)*('Rhaniad y Ddeiliadaeth (Cymru)'!C$110/40)))</f>
        <v>52919.547391016036</v>
      </c>
      <c r="F74" s="278">
        <f>E74*(1+'Rhaniad y Ddeiliadaeth (Cymru)'!D$109)+(E$44*(-(50-$B74)*('Rhaniad y Ddeiliadaeth (Cymru)'!D$110/40)))</f>
        <v>54936.611903738354</v>
      </c>
      <c r="G74" s="278">
        <f>F74*(1+'Rhaniad y Ddeiliadaeth (Cymru)'!E$109)+(F$44*(-(50-$B74)*('Rhaniad y Ddeiliadaeth (Cymru)'!E$110/40)))</f>
        <v>57024.520548509041</v>
      </c>
      <c r="H74" s="278">
        <f>G74*(1+'Rhaniad y Ddeiliadaeth (Cymru)'!F$109)+(G$44*(-(50-$B74)*('Rhaniad y Ddeiliadaeth (Cymru)'!F$110/40)))</f>
        <v>59219.887194926785</v>
      </c>
      <c r="I74" s="279">
        <f>H74*(1+'Rhaniad y Ddeiliadaeth (Cymru)'!G$109)+(H$44*(-(50-$B74)*('Rhaniad y Ddeiliadaeth (Cymru)'!G$110/40)))</f>
        <v>61487.859773001095</v>
      </c>
      <c r="M74" s="36" t="str">
        <f t="shared" si="8"/>
        <v/>
      </c>
      <c r="N74" s="190"/>
      <c r="O74" s="13">
        <f t="shared" si="11"/>
        <v>1</v>
      </c>
      <c r="U74" s="1">
        <f t="shared" si="9"/>
        <v>80</v>
      </c>
      <c r="V74" s="4" t="str">
        <f t="shared" si="10"/>
        <v/>
      </c>
      <c r="W74" s="4" t="e">
        <f>IF($W$3=$N$3,N74,V74*(1+'Rhaniad y Ddeiliadaeth (Cymru)'!C$109)+(V$44*(-(50-$U74)*('Rhaniad y Ddeiliadaeth (Cymru)'!C$110/40))))</f>
        <v>#VALUE!</v>
      </c>
      <c r="X74" s="4" t="e">
        <f>W74*(1+'Rhaniad y Ddeiliadaeth (Cymru)'!D$109)+(W$44*(-(50-$U74)*('Rhaniad y Ddeiliadaeth (Cymru)'!D$110/40)))</f>
        <v>#VALUE!</v>
      </c>
      <c r="Y74" s="4" t="e">
        <f>X74*(1+'Rhaniad y Ddeiliadaeth (Cymru)'!E$109)+(X$44*(-(50-$U74)*('Rhaniad y Ddeiliadaeth (Cymru)'!E$110/40)))</f>
        <v>#VALUE!</v>
      </c>
      <c r="Z74" s="4" t="e">
        <f>Y74*(1+'Rhaniad y Ddeiliadaeth (Cymru)'!F$109)+(Y$44*(-(50-$U74)*('Rhaniad y Ddeiliadaeth (Cymru)'!F$110/40)))</f>
        <v>#VALUE!</v>
      </c>
      <c r="AA74" s="4" t="e">
        <f>Z74*(1+'Rhaniad y Ddeiliadaeth (Cymru)'!G$109)+(Z$44*(-(50-$U74)*('Rhaniad y Ddeiliadaeth (Cymru)'!G$110/40)))</f>
        <v>#VALUE!</v>
      </c>
      <c r="AC74">
        <v>80</v>
      </c>
      <c r="AD74" s="4">
        <f>IF('Rhaniad y Ddeiliadaeth (Cymru)'!$D$8="Amcangyfrifon LlC",'Incwm (Cymru)'!E74,'Incwm (Cymru)'!W74)</f>
        <v>52919.547391016036</v>
      </c>
      <c r="AE74" s="4">
        <f>IF('Rhaniad y Ddeiliadaeth (Cymru)'!$D$8="Amcangyfrifon LlC",'Incwm (Cymru)'!F74,'Incwm (Cymru)'!X74)</f>
        <v>54936.611903738354</v>
      </c>
      <c r="AF74" s="4">
        <f>IF('Rhaniad y Ddeiliadaeth (Cymru)'!$D$8="Amcangyfrifon LlC",'Incwm (Cymru)'!G74,'Incwm (Cymru)'!Y74)</f>
        <v>57024.520548509041</v>
      </c>
      <c r="AG74" s="4">
        <f>IF('Rhaniad y Ddeiliadaeth (Cymru)'!$D$8="Amcangyfrifon LlC",'Incwm (Cymru)'!H74,'Incwm (Cymru)'!Z74)</f>
        <v>59219.887194926785</v>
      </c>
      <c r="AH74" s="4">
        <f>IF('Rhaniad y Ddeiliadaeth (Cymru)'!$D$8="Amcangyfrifon LlC",'Incwm (Cymru)'!I74,'Incwm (Cymru)'!AA74)</f>
        <v>61487.859773001095</v>
      </c>
    </row>
    <row r="75" spans="2:34" x14ac:dyDescent="0.35">
      <c r="B75" s="251">
        <v>81</v>
      </c>
      <c r="C75" s="258">
        <v>51071</v>
      </c>
      <c r="D75" s="258">
        <v>52752.463402805239</v>
      </c>
      <c r="E75" s="278">
        <f>D75*(1+'Rhaniad y Ddeiliadaeth (Cymru)'!C$109)+(D$44*(-(50-$B75)*('Rhaniad y Ddeiliadaeth (Cymru)'!C$110/40)))</f>
        <v>54142.021092132731</v>
      </c>
      <c r="F75" s="278">
        <f>E75*(1+'Rhaniad y Ddeiliadaeth (Cymru)'!D$109)+(E$44*(-(50-$B75)*('Rhaniad y Ddeiliadaeth (Cymru)'!D$110/40)))</f>
        <v>56207.761347339401</v>
      </c>
      <c r="G75" s="278">
        <f>F75*(1+'Rhaniad y Ddeiliadaeth (Cymru)'!E$109)+(F$44*(-(50-$B75)*('Rhaniad y Ddeiliadaeth (Cymru)'!E$110/40)))</f>
        <v>58346.12468015484</v>
      </c>
      <c r="H75" s="278">
        <f>G75*(1+'Rhaniad y Ddeiliadaeth (Cymru)'!F$109)+(G$44*(-(50-$B75)*('Rhaniad y Ddeiliadaeth (Cymru)'!F$110/40)))</f>
        <v>60594.580049355747</v>
      </c>
      <c r="I75" s="279">
        <f>H75*(1+'Rhaniad y Ddeiliadaeth (Cymru)'!G$109)+(H$44*(-(50-$B75)*('Rhaniad y Ddeiliadaeth (Cymru)'!G$110/40)))</f>
        <v>62917.476879476257</v>
      </c>
      <c r="M75" s="36" t="str">
        <f t="shared" si="8"/>
        <v/>
      </c>
      <c r="N75" s="190"/>
      <c r="O75" s="13">
        <f t="shared" si="11"/>
        <v>1</v>
      </c>
      <c r="U75" s="1">
        <f t="shared" si="9"/>
        <v>81</v>
      </c>
      <c r="V75" s="4" t="str">
        <f t="shared" si="10"/>
        <v/>
      </c>
      <c r="W75" s="4" t="e">
        <f>IF($W$3=$N$3,N75,V75*(1+'Rhaniad y Ddeiliadaeth (Cymru)'!C$109)+(V$44*(-(50-$U75)*('Rhaniad y Ddeiliadaeth (Cymru)'!C$110/40))))</f>
        <v>#VALUE!</v>
      </c>
      <c r="X75" s="4" t="e">
        <f>W75*(1+'Rhaniad y Ddeiliadaeth (Cymru)'!D$109)+(W$44*(-(50-$U75)*('Rhaniad y Ddeiliadaeth (Cymru)'!D$110/40)))</f>
        <v>#VALUE!</v>
      </c>
      <c r="Y75" s="4" t="e">
        <f>X75*(1+'Rhaniad y Ddeiliadaeth (Cymru)'!E$109)+(X$44*(-(50-$U75)*('Rhaniad y Ddeiliadaeth (Cymru)'!E$110/40)))</f>
        <v>#VALUE!</v>
      </c>
      <c r="Z75" s="4" t="e">
        <f>Y75*(1+'Rhaniad y Ddeiliadaeth (Cymru)'!F$109)+(Y$44*(-(50-$U75)*('Rhaniad y Ddeiliadaeth (Cymru)'!F$110/40)))</f>
        <v>#VALUE!</v>
      </c>
      <c r="AA75" s="4" t="e">
        <f>Z75*(1+'Rhaniad y Ddeiliadaeth (Cymru)'!G$109)+(Z$44*(-(50-$U75)*('Rhaniad y Ddeiliadaeth (Cymru)'!G$110/40)))</f>
        <v>#VALUE!</v>
      </c>
      <c r="AC75">
        <v>81</v>
      </c>
      <c r="AD75" s="4">
        <f>IF('Rhaniad y Ddeiliadaeth (Cymru)'!$D$8="Amcangyfrifon LlC",'Incwm (Cymru)'!E75,'Incwm (Cymru)'!W75)</f>
        <v>54142.021092132731</v>
      </c>
      <c r="AE75" s="4">
        <f>IF('Rhaniad y Ddeiliadaeth (Cymru)'!$D$8="Amcangyfrifon LlC",'Incwm (Cymru)'!F75,'Incwm (Cymru)'!X75)</f>
        <v>56207.761347339401</v>
      </c>
      <c r="AF75" s="4">
        <f>IF('Rhaniad y Ddeiliadaeth (Cymru)'!$D$8="Amcangyfrifon LlC",'Incwm (Cymru)'!G75,'Incwm (Cymru)'!Y75)</f>
        <v>58346.12468015484</v>
      </c>
      <c r="AG75" s="4">
        <f>IF('Rhaniad y Ddeiliadaeth (Cymru)'!$D$8="Amcangyfrifon LlC",'Incwm (Cymru)'!H75,'Incwm (Cymru)'!Z75)</f>
        <v>60594.580049355747</v>
      </c>
      <c r="AH75" s="4">
        <f>IF('Rhaniad y Ddeiliadaeth (Cymru)'!$D$8="Amcangyfrifon LlC",'Incwm (Cymru)'!I75,'Incwm (Cymru)'!AA75)</f>
        <v>62917.476879476257</v>
      </c>
    </row>
    <row r="76" spans="2:34" x14ac:dyDescent="0.35">
      <c r="B76" s="251">
        <v>82</v>
      </c>
      <c r="C76" s="258">
        <v>52464.21</v>
      </c>
      <c r="D76" s="258">
        <v>54191.543497916406</v>
      </c>
      <c r="E76" s="278">
        <f>D76*(1+'Rhaniad y Ddeiliadaeth (Cymru)'!C$109)+(D$44*(-(50-$B76)*('Rhaniad y Ddeiliadaeth (Cymru)'!C$110/40)))</f>
        <v>55620.030984968085</v>
      </c>
      <c r="F76" s="278">
        <f>E76*(1+'Rhaniad y Ddeiliadaeth (Cymru)'!D$109)+(E$44*(-(50-$B76)*('Rhaniad y Ddeiliadaeth (Cymru)'!D$110/40)))</f>
        <v>57743.205223485558</v>
      </c>
      <c r="G76" s="278">
        <f>F76*(1+'Rhaniad y Ddeiliadaeth (Cymru)'!E$109)+(F$44*(-(50-$B76)*('Rhaniad y Ddeiliadaeth (Cymru)'!E$110/40)))</f>
        <v>59941.056375786829</v>
      </c>
      <c r="H76" s="278">
        <f>G76*(1+'Rhaniad y Ddeiliadaeth (Cymru)'!F$109)+(G$44*(-(50-$B76)*('Rhaniad y Ddeiliadaeth (Cymru)'!F$110/40)))</f>
        <v>62252.080907422358</v>
      </c>
      <c r="I76" s="279">
        <f>H76*(1+'Rhaniad y Ddeiliadaeth (Cymru)'!G$109)+(H$44*(-(50-$B76)*('Rhaniad y Ddeiliadaeth (Cymru)'!G$110/40)))</f>
        <v>64639.658331102029</v>
      </c>
      <c r="M76" s="36" t="str">
        <f t="shared" si="8"/>
        <v/>
      </c>
      <c r="N76" s="190"/>
      <c r="O76" s="13">
        <f t="shared" si="11"/>
        <v>1</v>
      </c>
      <c r="U76" s="1">
        <f t="shared" si="9"/>
        <v>82</v>
      </c>
      <c r="V76" s="4" t="str">
        <f t="shared" si="10"/>
        <v/>
      </c>
      <c r="W76" s="4" t="e">
        <f>IF($W$3=$N$3,N76,V76*(1+'Rhaniad y Ddeiliadaeth (Cymru)'!C$109)+(V$44*(-(50-$U76)*('Rhaniad y Ddeiliadaeth (Cymru)'!C$110/40))))</f>
        <v>#VALUE!</v>
      </c>
      <c r="X76" s="4" t="e">
        <f>W76*(1+'Rhaniad y Ddeiliadaeth (Cymru)'!D$109)+(W$44*(-(50-$U76)*('Rhaniad y Ddeiliadaeth (Cymru)'!D$110/40)))</f>
        <v>#VALUE!</v>
      </c>
      <c r="Y76" s="4" t="e">
        <f>X76*(1+'Rhaniad y Ddeiliadaeth (Cymru)'!E$109)+(X$44*(-(50-$U76)*('Rhaniad y Ddeiliadaeth (Cymru)'!E$110/40)))</f>
        <v>#VALUE!</v>
      </c>
      <c r="Z76" s="4" t="e">
        <f>Y76*(1+'Rhaniad y Ddeiliadaeth (Cymru)'!F$109)+(Y$44*(-(50-$U76)*('Rhaniad y Ddeiliadaeth (Cymru)'!F$110/40)))</f>
        <v>#VALUE!</v>
      </c>
      <c r="AA76" s="4" t="e">
        <f>Z76*(1+'Rhaniad y Ddeiliadaeth (Cymru)'!G$109)+(Z$44*(-(50-$U76)*('Rhaniad y Ddeiliadaeth (Cymru)'!G$110/40)))</f>
        <v>#VALUE!</v>
      </c>
      <c r="AC76">
        <v>82</v>
      </c>
      <c r="AD76" s="4">
        <f>IF('Rhaniad y Ddeiliadaeth (Cymru)'!$D$8="Amcangyfrifon LlC",'Incwm (Cymru)'!E76,'Incwm (Cymru)'!W76)</f>
        <v>55620.030984968085</v>
      </c>
      <c r="AE76" s="4">
        <f>IF('Rhaniad y Ddeiliadaeth (Cymru)'!$D$8="Amcangyfrifon LlC",'Incwm (Cymru)'!F76,'Incwm (Cymru)'!X76)</f>
        <v>57743.205223485558</v>
      </c>
      <c r="AF76" s="4">
        <f>IF('Rhaniad y Ddeiliadaeth (Cymru)'!$D$8="Amcangyfrifon LlC",'Incwm (Cymru)'!G76,'Incwm (Cymru)'!Y76)</f>
        <v>59941.056375786829</v>
      </c>
      <c r="AG76" s="4">
        <f>IF('Rhaniad y Ddeiliadaeth (Cymru)'!$D$8="Amcangyfrifon LlC",'Incwm (Cymru)'!H76,'Incwm (Cymru)'!Z76)</f>
        <v>62252.080907422358</v>
      </c>
      <c r="AH76" s="4">
        <f>IF('Rhaniad y Ddeiliadaeth (Cymru)'!$D$8="Amcangyfrifon LlC",'Incwm (Cymru)'!I76,'Incwm (Cymru)'!AA76)</f>
        <v>64639.658331102029</v>
      </c>
    </row>
    <row r="77" spans="2:34" x14ac:dyDescent="0.35">
      <c r="B77" s="251">
        <v>83</v>
      </c>
      <c r="C77" s="258">
        <v>53747.05</v>
      </c>
      <c r="D77" s="258">
        <v>55516.619767260156</v>
      </c>
      <c r="E77" s="278">
        <f>D77*(1+'Rhaniad y Ddeiliadaeth (Cymru)'!C$109)+(D$44*(-(50-$B77)*('Rhaniad y Ddeiliadaeth (Cymru)'!C$110/40)))</f>
        <v>56981.478100980872</v>
      </c>
      <c r="F77" s="278">
        <f>E77*(1+'Rhaniad y Ddeiliadaeth (Cymru)'!D$109)+(E$44*(-(50-$B77)*('Rhaniad y Ddeiliadaeth (Cymru)'!D$110/40)))</f>
        <v>59158.091253210812</v>
      </c>
      <c r="G77" s="278">
        <f>F77*(1+'Rhaniad y Ddeiliadaeth (Cymru)'!E$109)+(F$44*(-(50-$B77)*('Rhaniad y Ddeiliadaeth (Cymru)'!E$110/40)))</f>
        <v>61411.309764107056</v>
      </c>
      <c r="H77" s="278">
        <f>G77*(1+'Rhaniad y Ddeiliadaeth (Cymru)'!F$109)+(G$44*(-(50-$B77)*('Rhaniad y Ddeiliadaeth (Cymru)'!F$110/40)))</f>
        <v>63780.578957746016</v>
      </c>
      <c r="I77" s="279">
        <f>H77*(1+'Rhaniad y Ddeiliadaeth (Cymru)'!G$109)+(H$44*(-(50-$B77)*('Rhaniad y Ddeiliadaeth (Cymru)'!G$110/40)))</f>
        <v>66228.386621981103</v>
      </c>
      <c r="M77" s="36" t="str">
        <f t="shared" si="8"/>
        <v/>
      </c>
      <c r="N77" s="190"/>
      <c r="O77" s="13">
        <f t="shared" si="11"/>
        <v>1</v>
      </c>
      <c r="U77" s="1">
        <f t="shared" si="9"/>
        <v>83</v>
      </c>
      <c r="V77" s="4" t="str">
        <f t="shared" si="10"/>
        <v/>
      </c>
      <c r="W77" s="4" t="e">
        <f>IF($W$3=$N$3,N77,V77*(1+'Rhaniad y Ddeiliadaeth (Cymru)'!C$109)+(V$44*(-(50-$U77)*('Rhaniad y Ddeiliadaeth (Cymru)'!C$110/40))))</f>
        <v>#VALUE!</v>
      </c>
      <c r="X77" s="4" t="e">
        <f>W77*(1+'Rhaniad y Ddeiliadaeth (Cymru)'!D$109)+(W$44*(-(50-$U77)*('Rhaniad y Ddeiliadaeth (Cymru)'!D$110/40)))</f>
        <v>#VALUE!</v>
      </c>
      <c r="Y77" s="4" t="e">
        <f>X77*(1+'Rhaniad y Ddeiliadaeth (Cymru)'!E$109)+(X$44*(-(50-$U77)*('Rhaniad y Ddeiliadaeth (Cymru)'!E$110/40)))</f>
        <v>#VALUE!</v>
      </c>
      <c r="Z77" s="4" t="e">
        <f>Y77*(1+'Rhaniad y Ddeiliadaeth (Cymru)'!F$109)+(Y$44*(-(50-$U77)*('Rhaniad y Ddeiliadaeth (Cymru)'!F$110/40)))</f>
        <v>#VALUE!</v>
      </c>
      <c r="AA77" s="4" t="e">
        <f>Z77*(1+'Rhaniad y Ddeiliadaeth (Cymru)'!G$109)+(Z$44*(-(50-$U77)*('Rhaniad y Ddeiliadaeth (Cymru)'!G$110/40)))</f>
        <v>#VALUE!</v>
      </c>
      <c r="AC77">
        <v>83</v>
      </c>
      <c r="AD77" s="4">
        <f>IF('Rhaniad y Ddeiliadaeth (Cymru)'!$D$8="Amcangyfrifon LlC",'Incwm (Cymru)'!E77,'Incwm (Cymru)'!W77)</f>
        <v>56981.478100980872</v>
      </c>
      <c r="AE77" s="4">
        <f>IF('Rhaniad y Ddeiliadaeth (Cymru)'!$D$8="Amcangyfrifon LlC",'Incwm (Cymru)'!F77,'Incwm (Cymru)'!X77)</f>
        <v>59158.091253210812</v>
      </c>
      <c r="AF77" s="4">
        <f>IF('Rhaniad y Ddeiliadaeth (Cymru)'!$D$8="Amcangyfrifon LlC",'Incwm (Cymru)'!G77,'Incwm (Cymru)'!Y77)</f>
        <v>61411.309764107056</v>
      </c>
      <c r="AG77" s="4">
        <f>IF('Rhaniad y Ddeiliadaeth (Cymru)'!$D$8="Amcangyfrifon LlC",'Incwm (Cymru)'!H77,'Incwm (Cymru)'!Z77)</f>
        <v>63780.578957746016</v>
      </c>
      <c r="AH77" s="4">
        <f>IF('Rhaniad y Ddeiliadaeth (Cymru)'!$D$8="Amcangyfrifon LlC",'Incwm (Cymru)'!I77,'Incwm (Cymru)'!AA77)</f>
        <v>66228.386621981103</v>
      </c>
    </row>
    <row r="78" spans="2:34" x14ac:dyDescent="0.35">
      <c r="B78" s="251">
        <v>84</v>
      </c>
      <c r="C78" s="258">
        <v>55276</v>
      </c>
      <c r="D78" s="258">
        <v>57095.908970912307</v>
      </c>
      <c r="E78" s="278">
        <f>D78*(1+'Rhaniad y Ddeiliadaeth (Cymru)'!C$109)+(D$44*(-(50-$B78)*('Rhaniad y Ddeiliadaeth (Cymru)'!C$110/40)))</f>
        <v>58602.844262058461</v>
      </c>
      <c r="F78" s="278">
        <f>E78*(1+'Rhaniad y Ddeiliadaeth (Cymru)'!D$109)+(E$44*(-(50-$B78)*('Rhaniad y Ddeiliadaeth (Cymru)'!D$110/40)))</f>
        <v>60841.804786629567</v>
      </c>
      <c r="G78" s="278">
        <f>F78*(1+'Rhaniad y Ddeiliadaeth (Cymru)'!E$109)+(F$44*(-(50-$B78)*('Rhaniad y Ddeiliadaeth (Cymru)'!E$110/40)))</f>
        <v>63159.578720176673</v>
      </c>
      <c r="H78" s="278">
        <f>G78*(1+'Rhaniad y Ddeiliadaeth (Cymru)'!F$109)+(G$44*(-(50-$B78)*('Rhaniad y Ddeiliadaeth (Cymru)'!F$110/40)))</f>
        <v>65596.735620134757</v>
      </c>
      <c r="I78" s="279">
        <f>H78*(1+'Rhaniad y Ddeiliadaeth (Cymru)'!G$109)+(H$44*(-(50-$B78)*('Rhaniad y Ddeiliadaeth (Cymru)'!G$110/40)))</f>
        <v>68114.697203259537</v>
      </c>
      <c r="M78" s="36" t="str">
        <f t="shared" si="8"/>
        <v/>
      </c>
      <c r="N78" s="190"/>
      <c r="O78" s="13">
        <f t="shared" si="11"/>
        <v>1</v>
      </c>
      <c r="U78" s="1">
        <f t="shared" si="9"/>
        <v>84</v>
      </c>
      <c r="V78" s="4" t="str">
        <f t="shared" si="10"/>
        <v/>
      </c>
      <c r="W78" s="4" t="e">
        <f>IF($W$3=$N$3,N78,V78*(1+'Rhaniad y Ddeiliadaeth (Cymru)'!C$109)+(V$44*(-(50-$U78)*('Rhaniad y Ddeiliadaeth (Cymru)'!C$110/40))))</f>
        <v>#VALUE!</v>
      </c>
      <c r="X78" s="4" t="e">
        <f>W78*(1+'Rhaniad y Ddeiliadaeth (Cymru)'!D$109)+(W$44*(-(50-$U78)*('Rhaniad y Ddeiliadaeth (Cymru)'!D$110/40)))</f>
        <v>#VALUE!</v>
      </c>
      <c r="Y78" s="4" t="e">
        <f>X78*(1+'Rhaniad y Ddeiliadaeth (Cymru)'!E$109)+(X$44*(-(50-$U78)*('Rhaniad y Ddeiliadaeth (Cymru)'!E$110/40)))</f>
        <v>#VALUE!</v>
      </c>
      <c r="Z78" s="4" t="e">
        <f>Y78*(1+'Rhaniad y Ddeiliadaeth (Cymru)'!F$109)+(Y$44*(-(50-$U78)*('Rhaniad y Ddeiliadaeth (Cymru)'!F$110/40)))</f>
        <v>#VALUE!</v>
      </c>
      <c r="AA78" s="4" t="e">
        <f>Z78*(1+'Rhaniad y Ddeiliadaeth (Cymru)'!G$109)+(Z$44*(-(50-$U78)*('Rhaniad y Ddeiliadaeth (Cymru)'!G$110/40)))</f>
        <v>#VALUE!</v>
      </c>
      <c r="AC78">
        <v>84</v>
      </c>
      <c r="AD78" s="4">
        <f>IF('Rhaniad y Ddeiliadaeth (Cymru)'!$D$8="Amcangyfrifon LlC",'Incwm (Cymru)'!E78,'Incwm (Cymru)'!W78)</f>
        <v>58602.844262058461</v>
      </c>
      <c r="AE78" s="4">
        <f>IF('Rhaniad y Ddeiliadaeth (Cymru)'!$D$8="Amcangyfrifon LlC",'Incwm (Cymru)'!F78,'Incwm (Cymru)'!X78)</f>
        <v>60841.804786629567</v>
      </c>
      <c r="AF78" s="4">
        <f>IF('Rhaniad y Ddeiliadaeth (Cymru)'!$D$8="Amcangyfrifon LlC",'Incwm (Cymru)'!G78,'Incwm (Cymru)'!Y78)</f>
        <v>63159.578720176673</v>
      </c>
      <c r="AG78" s="4">
        <f>IF('Rhaniad y Ddeiliadaeth (Cymru)'!$D$8="Amcangyfrifon LlC",'Incwm (Cymru)'!H78,'Incwm (Cymru)'!Z78)</f>
        <v>65596.735620134757</v>
      </c>
      <c r="AH78" s="4">
        <f>IF('Rhaniad y Ddeiliadaeth (Cymru)'!$D$8="Amcangyfrifon LlC",'Incwm (Cymru)'!I78,'Incwm (Cymru)'!AA78)</f>
        <v>68114.697203259537</v>
      </c>
    </row>
    <row r="79" spans="2:34" x14ac:dyDescent="0.35">
      <c r="B79" s="251">
        <v>85</v>
      </c>
      <c r="C79" s="258">
        <v>56795.5</v>
      </c>
      <c r="D79" s="258">
        <v>58665.437042431615</v>
      </c>
      <c r="E79" s="278">
        <f>D79*(1+'Rhaniad y Ddeiliadaeth (Cymru)'!C$109)+(D$44*(-(50-$B79)*('Rhaniad y Ddeiliadaeth (Cymru)'!C$110/40)))</f>
        <v>60214.230190817718</v>
      </c>
      <c r="F79" s="278">
        <f>E79*(1+'Rhaniad y Ddeiliadaeth (Cymru)'!D$109)+(E$44*(-(50-$B79)*('Rhaniad y Ddeiliadaeth (Cymru)'!D$110/40)))</f>
        <v>62515.196025505618</v>
      </c>
      <c r="G79" s="278">
        <f>F79*(1+'Rhaniad y Ddeiliadaeth (Cymru)'!E$109)+(F$44*(-(50-$B79)*('Rhaniad y Ddeiliadaeth (Cymru)'!E$110/40)))</f>
        <v>64897.172583339736</v>
      </c>
      <c r="H79" s="278">
        <f>G79*(1+'Rhaniad y Ddeiliadaeth (Cymru)'!F$109)+(G$44*(-(50-$B79)*('Rhaniad y Ddeiliadaeth (Cymru)'!F$110/40)))</f>
        <v>67401.846921164688</v>
      </c>
      <c r="I79" s="279">
        <f>H79*(1+'Rhaniad y Ddeiliadaeth (Cymru)'!G$109)+(H$44*(-(50-$B79)*('Rhaniad y Ddeiliadaeth (Cymru)'!G$110/40)))</f>
        <v>69989.581379092124</v>
      </c>
      <c r="M79" s="36" t="str">
        <f t="shared" si="8"/>
        <v/>
      </c>
      <c r="N79" s="190"/>
      <c r="O79" s="13">
        <f t="shared" si="11"/>
        <v>1</v>
      </c>
      <c r="U79" s="1">
        <f t="shared" si="9"/>
        <v>85</v>
      </c>
      <c r="V79" s="4" t="str">
        <f t="shared" si="10"/>
        <v/>
      </c>
      <c r="W79" s="4" t="e">
        <f>IF($W$3=$N$3,N79,V79*(1+'Rhaniad y Ddeiliadaeth (Cymru)'!C$109)+(V$44*(-(50-$U79)*('Rhaniad y Ddeiliadaeth (Cymru)'!C$110/40))))</f>
        <v>#VALUE!</v>
      </c>
      <c r="X79" s="4" t="e">
        <f>W79*(1+'Rhaniad y Ddeiliadaeth (Cymru)'!D$109)+(W$44*(-(50-$U79)*('Rhaniad y Ddeiliadaeth (Cymru)'!D$110/40)))</f>
        <v>#VALUE!</v>
      </c>
      <c r="Y79" s="4" t="e">
        <f>X79*(1+'Rhaniad y Ddeiliadaeth (Cymru)'!E$109)+(X$44*(-(50-$U79)*('Rhaniad y Ddeiliadaeth (Cymru)'!E$110/40)))</f>
        <v>#VALUE!</v>
      </c>
      <c r="Z79" s="4" t="e">
        <f>Y79*(1+'Rhaniad y Ddeiliadaeth (Cymru)'!F$109)+(Y$44*(-(50-$U79)*('Rhaniad y Ddeiliadaeth (Cymru)'!F$110/40)))</f>
        <v>#VALUE!</v>
      </c>
      <c r="AA79" s="4" t="e">
        <f>Z79*(1+'Rhaniad y Ddeiliadaeth (Cymru)'!G$109)+(Z$44*(-(50-$U79)*('Rhaniad y Ddeiliadaeth (Cymru)'!G$110/40)))</f>
        <v>#VALUE!</v>
      </c>
      <c r="AC79">
        <v>85</v>
      </c>
      <c r="AD79" s="4">
        <f>IF('Rhaniad y Ddeiliadaeth (Cymru)'!$D$8="Amcangyfrifon LlC",'Incwm (Cymru)'!E79,'Incwm (Cymru)'!W79)</f>
        <v>60214.230190817718</v>
      </c>
      <c r="AE79" s="4">
        <f>IF('Rhaniad y Ddeiliadaeth (Cymru)'!$D$8="Amcangyfrifon LlC",'Incwm (Cymru)'!F79,'Incwm (Cymru)'!X79)</f>
        <v>62515.196025505618</v>
      </c>
      <c r="AF79" s="4">
        <f>IF('Rhaniad y Ddeiliadaeth (Cymru)'!$D$8="Amcangyfrifon LlC",'Incwm (Cymru)'!G79,'Incwm (Cymru)'!Y79)</f>
        <v>64897.172583339736</v>
      </c>
      <c r="AG79" s="4">
        <f>IF('Rhaniad y Ddeiliadaeth (Cymru)'!$D$8="Amcangyfrifon LlC",'Incwm (Cymru)'!H79,'Incwm (Cymru)'!Z79)</f>
        <v>67401.846921164688</v>
      </c>
      <c r="AH79" s="4">
        <f>IF('Rhaniad y Ddeiliadaeth (Cymru)'!$D$8="Amcangyfrifon LlC",'Incwm (Cymru)'!I79,'Incwm (Cymru)'!AA79)</f>
        <v>69989.581379092124</v>
      </c>
    </row>
    <row r="80" spans="2:34" x14ac:dyDescent="0.35">
      <c r="B80" s="251">
        <v>86</v>
      </c>
      <c r="C80" s="258">
        <v>58636.7</v>
      </c>
      <c r="D80" s="258">
        <v>60567.256776081726</v>
      </c>
      <c r="E80" s="278">
        <f>D80*(1+'Rhaniad y Ddeiliadaeth (Cymru)'!C$109)+(D$44*(-(50-$B80)*('Rhaniad y Ddeiliadaeth (Cymru)'!C$110/40)))</f>
        <v>62165.366462095975</v>
      </c>
      <c r="F80" s="278">
        <f>E80*(1+'Rhaniad y Ddeiliadaeth (Cymru)'!D$109)+(E$44*(-(50-$B80)*('Rhaniad y Ddeiliadaeth (Cymru)'!D$110/40)))</f>
        <v>64539.982201353771</v>
      </c>
      <c r="G80" s="278">
        <f>F80*(1+'Rhaniad y Ddeiliadaeth (Cymru)'!E$109)+(F$44*(-(50-$B80)*('Rhaniad y Ddeiliadaeth (Cymru)'!E$110/40)))</f>
        <v>66998.171461110003</v>
      </c>
      <c r="H80" s="278">
        <f>G80*(1+'Rhaniad y Ddeiliadaeth (Cymru)'!F$109)+(G$44*(-(50-$B80)*('Rhaniad y Ddeiliadaeth (Cymru)'!F$110/40)))</f>
        <v>69582.968036917038</v>
      </c>
      <c r="I80" s="279">
        <f>H80*(1+'Rhaniad y Ddeiliadaeth (Cymru)'!G$109)+(H$44*(-(50-$B80)*('Rhaniad y Ddeiliadaeth (Cymru)'!G$110/40)))</f>
        <v>72253.446997456354</v>
      </c>
      <c r="M80" s="36" t="str">
        <f t="shared" si="8"/>
        <v/>
      </c>
      <c r="N80" s="190"/>
      <c r="O80" s="13">
        <f t="shared" si="11"/>
        <v>1</v>
      </c>
      <c r="U80" s="1">
        <f t="shared" si="9"/>
        <v>86</v>
      </c>
      <c r="V80" s="4" t="str">
        <f t="shared" si="10"/>
        <v/>
      </c>
      <c r="W80" s="4" t="e">
        <f>IF($W$3=$N$3,N80,V80*(1+'Rhaniad y Ddeiliadaeth (Cymru)'!C$109)+(V$44*(-(50-$U80)*('Rhaniad y Ddeiliadaeth (Cymru)'!C$110/40))))</f>
        <v>#VALUE!</v>
      </c>
      <c r="X80" s="4" t="e">
        <f>W80*(1+'Rhaniad y Ddeiliadaeth (Cymru)'!D$109)+(W$44*(-(50-$U80)*('Rhaniad y Ddeiliadaeth (Cymru)'!D$110/40)))</f>
        <v>#VALUE!</v>
      </c>
      <c r="Y80" s="4" t="e">
        <f>X80*(1+'Rhaniad y Ddeiliadaeth (Cymru)'!E$109)+(X$44*(-(50-$U80)*('Rhaniad y Ddeiliadaeth (Cymru)'!E$110/40)))</f>
        <v>#VALUE!</v>
      </c>
      <c r="Z80" s="4" t="e">
        <f>Y80*(1+'Rhaniad y Ddeiliadaeth (Cymru)'!F$109)+(Y$44*(-(50-$U80)*('Rhaniad y Ddeiliadaeth (Cymru)'!F$110/40)))</f>
        <v>#VALUE!</v>
      </c>
      <c r="AA80" s="4" t="e">
        <f>Z80*(1+'Rhaniad y Ddeiliadaeth (Cymru)'!G$109)+(Z$44*(-(50-$U80)*('Rhaniad y Ddeiliadaeth (Cymru)'!G$110/40)))</f>
        <v>#VALUE!</v>
      </c>
      <c r="AC80">
        <v>86</v>
      </c>
      <c r="AD80" s="4">
        <f>IF('Rhaniad y Ddeiliadaeth (Cymru)'!$D$8="Amcangyfrifon LlC",'Incwm (Cymru)'!E80,'Incwm (Cymru)'!W80)</f>
        <v>62165.366462095975</v>
      </c>
      <c r="AE80" s="4">
        <f>IF('Rhaniad y Ddeiliadaeth (Cymru)'!$D$8="Amcangyfrifon LlC",'Incwm (Cymru)'!F80,'Incwm (Cymru)'!X80)</f>
        <v>64539.982201353771</v>
      </c>
      <c r="AF80" s="4">
        <f>IF('Rhaniad y Ddeiliadaeth (Cymru)'!$D$8="Amcangyfrifon LlC",'Incwm (Cymru)'!G80,'Incwm (Cymru)'!Y80)</f>
        <v>66998.171461110003</v>
      </c>
      <c r="AG80" s="4">
        <f>IF('Rhaniad y Ddeiliadaeth (Cymru)'!$D$8="Amcangyfrifon LlC",'Incwm (Cymru)'!H80,'Incwm (Cymru)'!Z80)</f>
        <v>69582.968036917038</v>
      </c>
      <c r="AH80" s="4">
        <f>IF('Rhaniad y Ddeiliadaeth (Cymru)'!$D$8="Amcangyfrifon LlC",'Incwm (Cymru)'!I80,'Incwm (Cymru)'!AA80)</f>
        <v>72253.446997456354</v>
      </c>
    </row>
    <row r="81" spans="2:34" x14ac:dyDescent="0.35">
      <c r="B81" s="251">
        <v>87</v>
      </c>
      <c r="C81" s="258">
        <v>60212.46</v>
      </c>
      <c r="D81" s="258">
        <v>62194.897153822603</v>
      </c>
      <c r="E81" s="278">
        <f>D81*(1+'Rhaniad y Ddeiliadaeth (Cymru)'!C$109)+(D$44*(-(50-$B81)*('Rhaniad y Ddeiliadaeth (Cymru)'!C$110/40)))</f>
        <v>63836.169096699559</v>
      </c>
      <c r="F81" s="278">
        <f>E81*(1+'Rhaniad y Ddeiliadaeth (Cymru)'!D$109)+(E$44*(-(50-$B81)*('Rhaniad y Ddeiliadaeth (Cymru)'!D$110/40)))</f>
        <v>66274.826592713667</v>
      </c>
      <c r="G81" s="278">
        <f>F81*(1+'Rhaniad y Ddeiliadaeth (Cymru)'!E$109)+(F$44*(-(50-$B81)*('Rhaniad y Ddeiliadaeth (Cymru)'!E$110/40)))</f>
        <v>68799.318840349559</v>
      </c>
      <c r="H81" s="278">
        <f>G81*(1+'Rhaniad y Ddeiliadaeth (Cymru)'!F$109)+(G$44*(-(50-$B81)*('Rhaniad y Ddeiliadaeth (Cymru)'!F$110/40)))</f>
        <v>71453.837224724382</v>
      </c>
      <c r="I81" s="279">
        <f>H81*(1+'Rhaniad y Ddeiliadaeth (Cymru)'!G$109)+(H$44*(-(50-$B81)*('Rhaniad y Ddeiliadaeth (Cymru)'!G$110/40)))</f>
        <v>74196.357582853263</v>
      </c>
      <c r="M81" s="36" t="str">
        <f t="shared" si="8"/>
        <v/>
      </c>
      <c r="N81" s="190"/>
      <c r="O81" s="13">
        <f t="shared" si="11"/>
        <v>1</v>
      </c>
      <c r="U81" s="1">
        <f t="shared" si="9"/>
        <v>87</v>
      </c>
      <c r="V81" s="4" t="str">
        <f t="shared" si="10"/>
        <v/>
      </c>
      <c r="W81" s="4" t="e">
        <f>IF($W$3=$N$3,N81,V81*(1+'Rhaniad y Ddeiliadaeth (Cymru)'!C$109)+(V$44*(-(50-$U81)*('Rhaniad y Ddeiliadaeth (Cymru)'!C$110/40))))</f>
        <v>#VALUE!</v>
      </c>
      <c r="X81" s="4" t="e">
        <f>W81*(1+'Rhaniad y Ddeiliadaeth (Cymru)'!D$109)+(W$44*(-(50-$U81)*('Rhaniad y Ddeiliadaeth (Cymru)'!D$110/40)))</f>
        <v>#VALUE!</v>
      </c>
      <c r="Y81" s="4" t="e">
        <f>X81*(1+'Rhaniad y Ddeiliadaeth (Cymru)'!E$109)+(X$44*(-(50-$U81)*('Rhaniad y Ddeiliadaeth (Cymru)'!E$110/40)))</f>
        <v>#VALUE!</v>
      </c>
      <c r="Z81" s="4" t="e">
        <f>Y81*(1+'Rhaniad y Ddeiliadaeth (Cymru)'!F$109)+(Y$44*(-(50-$U81)*('Rhaniad y Ddeiliadaeth (Cymru)'!F$110/40)))</f>
        <v>#VALUE!</v>
      </c>
      <c r="AA81" s="4" t="e">
        <f>Z81*(1+'Rhaniad y Ddeiliadaeth (Cymru)'!G$109)+(Z$44*(-(50-$U81)*('Rhaniad y Ddeiliadaeth (Cymru)'!G$110/40)))</f>
        <v>#VALUE!</v>
      </c>
      <c r="AC81">
        <v>87</v>
      </c>
      <c r="AD81" s="4">
        <f>IF('Rhaniad y Ddeiliadaeth (Cymru)'!$D$8="Amcangyfrifon LlC",'Incwm (Cymru)'!E81,'Incwm (Cymru)'!W81)</f>
        <v>63836.169096699559</v>
      </c>
      <c r="AE81" s="4">
        <f>IF('Rhaniad y Ddeiliadaeth (Cymru)'!$D$8="Amcangyfrifon LlC",'Incwm (Cymru)'!F81,'Incwm (Cymru)'!X81)</f>
        <v>66274.826592713667</v>
      </c>
      <c r="AF81" s="4">
        <f>IF('Rhaniad y Ddeiliadaeth (Cymru)'!$D$8="Amcangyfrifon LlC",'Incwm (Cymru)'!G81,'Incwm (Cymru)'!Y81)</f>
        <v>68799.318840349559</v>
      </c>
      <c r="AG81" s="4">
        <f>IF('Rhaniad y Ddeiliadaeth (Cymru)'!$D$8="Amcangyfrifon LlC",'Incwm (Cymru)'!H81,'Incwm (Cymru)'!Z81)</f>
        <v>71453.837224724382</v>
      </c>
      <c r="AH81" s="4">
        <f>IF('Rhaniad y Ddeiliadaeth (Cymru)'!$D$8="Amcangyfrifon LlC",'Incwm (Cymru)'!I81,'Incwm (Cymru)'!AA81)</f>
        <v>74196.357582853263</v>
      </c>
    </row>
    <row r="82" spans="2:34" x14ac:dyDescent="0.35">
      <c r="B82" s="251">
        <v>88</v>
      </c>
      <c r="C82" s="258">
        <v>62025.25</v>
      </c>
      <c r="D82" s="258">
        <v>64067.371515632076</v>
      </c>
      <c r="E82" s="278">
        <f>D82*(1+'Rhaniad y Ddeiliadaeth (Cymru)'!C$109)+(D$44*(-(50-$B82)*('Rhaniad y Ddeiliadaeth (Cymru)'!C$110/40)))</f>
        <v>65757.301304468449</v>
      </c>
      <c r="F82" s="278">
        <f>E82*(1+'Rhaniad y Ddeiliadaeth (Cymru)'!D$109)+(E$44*(-(50-$B82)*('Rhaniad y Ddeiliadaeth (Cymru)'!D$110/40)))</f>
        <v>68268.580346555667</v>
      </c>
      <c r="G82" s="278">
        <f>F82*(1+'Rhaniad y Ddeiliadaeth (Cymru)'!E$109)+(F$44*(-(50-$B82)*('Rhaniad y Ddeiliadaeth (Cymru)'!E$110/40)))</f>
        <v>70868.224661032495</v>
      </c>
      <c r="H82" s="278">
        <f>G82*(1+'Rhaniad y Ddeiliadaeth (Cymru)'!F$109)+(G$44*(-(50-$B82)*('Rhaniad y Ddeiliadaeth (Cymru)'!F$110/40)))</f>
        <v>73601.752127121828</v>
      </c>
      <c r="I82" s="279">
        <f>H82*(1+'Rhaniad y Ddeiliadaeth (Cymru)'!G$109)+(H$44*(-(50-$B82)*('Rhaniad y Ddeiliadaeth (Cymru)'!G$110/40)))</f>
        <v>76425.87143627397</v>
      </c>
      <c r="M82" s="36" t="str">
        <f t="shared" si="8"/>
        <v/>
      </c>
      <c r="N82" s="190"/>
      <c r="O82" s="13">
        <f t="shared" si="11"/>
        <v>1</v>
      </c>
      <c r="U82" s="1">
        <f t="shared" si="9"/>
        <v>88</v>
      </c>
      <c r="V82" s="4" t="str">
        <f t="shared" si="10"/>
        <v/>
      </c>
      <c r="W82" s="4" t="e">
        <f>IF($W$3=$N$3,N82,V82*(1+'Rhaniad y Ddeiliadaeth (Cymru)'!C$109)+(V$44*(-(50-$U82)*('Rhaniad y Ddeiliadaeth (Cymru)'!C$110/40))))</f>
        <v>#VALUE!</v>
      </c>
      <c r="X82" s="4" t="e">
        <f>W82*(1+'Rhaniad y Ddeiliadaeth (Cymru)'!D$109)+(W$44*(-(50-$U82)*('Rhaniad y Ddeiliadaeth (Cymru)'!D$110/40)))</f>
        <v>#VALUE!</v>
      </c>
      <c r="Y82" s="4" t="e">
        <f>X82*(1+'Rhaniad y Ddeiliadaeth (Cymru)'!E$109)+(X$44*(-(50-$U82)*('Rhaniad y Ddeiliadaeth (Cymru)'!E$110/40)))</f>
        <v>#VALUE!</v>
      </c>
      <c r="Z82" s="4" t="e">
        <f>Y82*(1+'Rhaniad y Ddeiliadaeth (Cymru)'!F$109)+(Y$44*(-(50-$U82)*('Rhaniad y Ddeiliadaeth (Cymru)'!F$110/40)))</f>
        <v>#VALUE!</v>
      </c>
      <c r="AA82" s="4" t="e">
        <f>Z82*(1+'Rhaniad y Ddeiliadaeth (Cymru)'!G$109)+(Z$44*(-(50-$U82)*('Rhaniad y Ddeiliadaeth (Cymru)'!G$110/40)))</f>
        <v>#VALUE!</v>
      </c>
      <c r="AC82">
        <v>88</v>
      </c>
      <c r="AD82" s="4">
        <f>IF('Rhaniad y Ddeiliadaeth (Cymru)'!$D$8="Amcangyfrifon LlC",'Incwm (Cymru)'!E82,'Incwm (Cymru)'!W82)</f>
        <v>65757.301304468449</v>
      </c>
      <c r="AE82" s="4">
        <f>IF('Rhaniad y Ddeiliadaeth (Cymru)'!$D$8="Amcangyfrifon LlC",'Incwm (Cymru)'!F82,'Incwm (Cymru)'!X82)</f>
        <v>68268.580346555667</v>
      </c>
      <c r="AF82" s="4">
        <f>IF('Rhaniad y Ddeiliadaeth (Cymru)'!$D$8="Amcangyfrifon LlC",'Incwm (Cymru)'!G82,'Incwm (Cymru)'!Y82)</f>
        <v>70868.224661032495</v>
      </c>
      <c r="AG82" s="4">
        <f>IF('Rhaniad y Ddeiliadaeth (Cymru)'!$D$8="Amcangyfrifon LlC",'Incwm (Cymru)'!H82,'Incwm (Cymru)'!Z82)</f>
        <v>73601.752127121828</v>
      </c>
      <c r="AH82" s="4">
        <f>IF('Rhaniad y Ddeiliadaeth (Cymru)'!$D$8="Amcangyfrifon LlC",'Incwm (Cymru)'!I82,'Incwm (Cymru)'!AA82)</f>
        <v>76425.87143627397</v>
      </c>
    </row>
    <row r="83" spans="2:34" x14ac:dyDescent="0.35">
      <c r="B83" s="251">
        <v>89</v>
      </c>
      <c r="C83" s="258">
        <v>64617.177300000003</v>
      </c>
      <c r="D83" s="258">
        <v>66744.63552134925</v>
      </c>
      <c r="E83" s="278">
        <f>D83*(1+'Rhaniad y Ddeiliadaeth (Cymru)'!C$109)+(D$44*(-(50-$B83)*('Rhaniad y Ddeiliadaeth (Cymru)'!C$110/40)))</f>
        <v>68501.287614022585</v>
      </c>
      <c r="F83" s="278">
        <f>E83*(1+'Rhaniad y Ddeiliadaeth (Cymru)'!D$109)+(E$44*(-(50-$B83)*('Rhaniad y Ddeiliadaeth (Cymru)'!D$110/40)))</f>
        <v>71113.390682387442</v>
      </c>
      <c r="G83" s="278">
        <f>F83*(1+'Rhaniad y Ddeiliadaeth (Cymru)'!E$109)+(F$44*(-(50-$B83)*('Rhaniad y Ddeiliadaeth (Cymru)'!E$110/40)))</f>
        <v>73817.27472134096</v>
      </c>
      <c r="H83" s="278">
        <f>G83*(1+'Rhaniad y Ddeiliadaeth (Cymru)'!F$109)+(G$44*(-(50-$B83)*('Rhaniad y Ddeiliadaeth (Cymru)'!F$110/40)))</f>
        <v>76660.339307468777</v>
      </c>
      <c r="I83" s="279">
        <f>H83*(1+'Rhaniad y Ddeiliadaeth (Cymru)'!G$109)+(H$44*(-(50-$B83)*('Rhaniad y Ddeiliadaeth (Cymru)'!G$110/40)))</f>
        <v>79597.474039723456</v>
      </c>
      <c r="M83" s="36" t="str">
        <f t="shared" si="8"/>
        <v/>
      </c>
      <c r="N83" s="190"/>
      <c r="O83" s="13">
        <f t="shared" si="11"/>
        <v>1</v>
      </c>
      <c r="U83" s="1">
        <f t="shared" si="9"/>
        <v>89</v>
      </c>
      <c r="V83" s="4" t="str">
        <f t="shared" si="10"/>
        <v/>
      </c>
      <c r="W83" s="4" t="e">
        <f>IF($W$3=$N$3,N83,V83*(1+'Rhaniad y Ddeiliadaeth (Cymru)'!C$109)+(V$44*(-(50-$U83)*('Rhaniad y Ddeiliadaeth (Cymru)'!C$110/40))))</f>
        <v>#VALUE!</v>
      </c>
      <c r="X83" s="4" t="e">
        <f>W83*(1+'Rhaniad y Ddeiliadaeth (Cymru)'!D$109)+(W$44*(-(50-$U83)*('Rhaniad y Ddeiliadaeth (Cymru)'!D$110/40)))</f>
        <v>#VALUE!</v>
      </c>
      <c r="Y83" s="4" t="e">
        <f>X83*(1+'Rhaniad y Ddeiliadaeth (Cymru)'!E$109)+(X$44*(-(50-$U83)*('Rhaniad y Ddeiliadaeth (Cymru)'!E$110/40)))</f>
        <v>#VALUE!</v>
      </c>
      <c r="Z83" s="4" t="e">
        <f>Y83*(1+'Rhaniad y Ddeiliadaeth (Cymru)'!F$109)+(Y$44*(-(50-$U83)*('Rhaniad y Ddeiliadaeth (Cymru)'!F$110/40)))</f>
        <v>#VALUE!</v>
      </c>
      <c r="AA83" s="4" t="e">
        <f>Z83*(1+'Rhaniad y Ddeiliadaeth (Cymru)'!G$109)+(Z$44*(-(50-$U83)*('Rhaniad y Ddeiliadaeth (Cymru)'!G$110/40)))</f>
        <v>#VALUE!</v>
      </c>
      <c r="AC83">
        <v>89</v>
      </c>
      <c r="AD83" s="4">
        <f>IF('Rhaniad y Ddeiliadaeth (Cymru)'!$D$8="Amcangyfrifon LlC",'Incwm (Cymru)'!E83,'Incwm (Cymru)'!W83)</f>
        <v>68501.287614022585</v>
      </c>
      <c r="AE83" s="4">
        <f>IF('Rhaniad y Ddeiliadaeth (Cymru)'!$D$8="Amcangyfrifon LlC",'Incwm (Cymru)'!F83,'Incwm (Cymru)'!X83)</f>
        <v>71113.390682387442</v>
      </c>
      <c r="AF83" s="4">
        <f>IF('Rhaniad y Ddeiliadaeth (Cymru)'!$D$8="Amcangyfrifon LlC",'Incwm (Cymru)'!G83,'Incwm (Cymru)'!Y83)</f>
        <v>73817.27472134096</v>
      </c>
      <c r="AG83" s="4">
        <f>IF('Rhaniad y Ddeiliadaeth (Cymru)'!$D$8="Amcangyfrifon LlC",'Incwm (Cymru)'!H83,'Incwm (Cymru)'!Z83)</f>
        <v>76660.339307468777</v>
      </c>
      <c r="AH83" s="4">
        <f>IF('Rhaniad y Ddeiliadaeth (Cymru)'!$D$8="Amcangyfrifon LlC",'Incwm (Cymru)'!I83,'Incwm (Cymru)'!AA83)</f>
        <v>79597.474039723456</v>
      </c>
    </row>
    <row r="84" spans="2:34" x14ac:dyDescent="0.35">
      <c r="B84" s="253">
        <v>90</v>
      </c>
      <c r="C84" s="259">
        <v>66980.100000000006</v>
      </c>
      <c r="D84" s="259">
        <v>69007.672685212514</v>
      </c>
      <c r="E84" s="286">
        <f>D84*(1+'Rhaniad y Ddeiliadaeth (Cymru)'!C$109)+(D$44*(-(50-$B84)*('Rhaniad y Ddeiliadaeth (Cymru)'!C$110/40)))</f>
        <v>70821.749269066975</v>
      </c>
      <c r="F84" s="286">
        <f>E84*(1+'Rhaniad y Ddeiliadaeth (Cymru)'!D$109)+(E$44*(-(50-$B84)*('Rhaniad y Ddeiliadaeth (Cymru)'!D$110/40)))</f>
        <v>73520.16049065371</v>
      </c>
      <c r="G84" s="286">
        <f>F84*(1+'Rhaniad y Ddeiliadaeth (Cymru)'!E$109)+(F$44*(-(50-$B84)*('Rhaniad y Ddeiliadaeth (Cymru)'!E$110/40)))</f>
        <v>76313.312778431122</v>
      </c>
      <c r="H84" s="286">
        <f>G84*(1+'Rhaniad y Ddeiliadaeth (Cymru)'!F$109)+(G$44*(-(50-$B84)*('Rhaniad y Ddeiliadaeth (Cymru)'!F$110/40)))</f>
        <v>79250.201642119064</v>
      </c>
      <c r="I84" s="287">
        <f>H84*(1+'Rhaniad y Ddeiliadaeth (Cymru)'!G$109)+(H$44*(-(50-$B84)*('Rhaniad y Ddeiliadaeth (Cymru)'!G$110/40)))</f>
        <v>82284.181676364358</v>
      </c>
      <c r="M84" s="37" t="str">
        <f t="shared" si="8"/>
        <v/>
      </c>
      <c r="N84" s="192"/>
      <c r="O84" s="13">
        <f t="shared" si="11"/>
        <v>1</v>
      </c>
      <c r="U84" s="1">
        <f t="shared" si="9"/>
        <v>90</v>
      </c>
      <c r="V84" s="4" t="str">
        <f t="shared" si="10"/>
        <v/>
      </c>
      <c r="W84" s="4" t="e">
        <f>IF($W$3=$N$3,N84,V84*(1+'Rhaniad y Ddeiliadaeth (Cymru)'!C$109)+(V$44*(-(50-$U84)*('Rhaniad y Ddeiliadaeth (Cymru)'!C$110/40))))</f>
        <v>#VALUE!</v>
      </c>
      <c r="X84" s="4" t="e">
        <f>W84*(1+'Rhaniad y Ddeiliadaeth (Cymru)'!D$109)+(W$44*(-(50-$U84)*('Rhaniad y Ddeiliadaeth (Cymru)'!D$110/40)))</f>
        <v>#VALUE!</v>
      </c>
      <c r="Y84" s="4" t="e">
        <f>X84*(1+'Rhaniad y Ddeiliadaeth (Cymru)'!E$109)+(X$44*(-(50-$U84)*('Rhaniad y Ddeiliadaeth (Cymru)'!E$110/40)))</f>
        <v>#VALUE!</v>
      </c>
      <c r="Z84" s="4" t="e">
        <f>Y84*(1+'Rhaniad y Ddeiliadaeth (Cymru)'!F$109)+(Y$44*(-(50-$U84)*('Rhaniad y Ddeiliadaeth (Cymru)'!F$110/40)))</f>
        <v>#VALUE!</v>
      </c>
      <c r="AA84" s="4" t="e">
        <f>Z84*(1+'Rhaniad y Ddeiliadaeth (Cymru)'!G$109)+(Z$44*(-(50-$U84)*('Rhaniad y Ddeiliadaeth (Cymru)'!G$110/40)))</f>
        <v>#VALUE!</v>
      </c>
      <c r="AC84">
        <v>90</v>
      </c>
      <c r="AD84" s="4">
        <f>IF('Rhaniad y Ddeiliadaeth (Cymru)'!$D$8="Amcangyfrifon LlC",'Incwm (Cymru)'!E84,'Incwm (Cymru)'!W84)</f>
        <v>70821.749269066975</v>
      </c>
      <c r="AE84" s="4">
        <f>IF('Rhaniad y Ddeiliadaeth (Cymru)'!$D$8="Amcangyfrifon LlC",'Incwm (Cymru)'!F84,'Incwm (Cymru)'!X84)</f>
        <v>73520.16049065371</v>
      </c>
      <c r="AF84" s="4">
        <f>IF('Rhaniad y Ddeiliadaeth (Cymru)'!$D$8="Amcangyfrifon LlC",'Incwm (Cymru)'!G84,'Incwm (Cymru)'!Y84)</f>
        <v>76313.312778431122</v>
      </c>
      <c r="AG84" s="4">
        <f>IF('Rhaniad y Ddeiliadaeth (Cymru)'!$D$8="Amcangyfrifon LlC",'Incwm (Cymru)'!H84,'Incwm (Cymru)'!Z84)</f>
        <v>79250.201642119064</v>
      </c>
      <c r="AH84" s="4">
        <f>IF('Rhaniad y Ddeiliadaeth (Cymru)'!$D$8="Amcangyfrifon LlC",'Incwm (Cymru)'!I84,'Incwm (Cymru)'!AA84)</f>
        <v>82284.181676364358</v>
      </c>
    </row>
    <row r="85" spans="2:34" x14ac:dyDescent="0.35">
      <c r="O85" s="13">
        <f>IF(SUM(O4:O84)&gt;0,1,0)</f>
        <v>1</v>
      </c>
      <c r="U85" s="1"/>
    </row>
  </sheetData>
  <mergeCells count="3">
    <mergeCell ref="B2:I2"/>
    <mergeCell ref="K2:N2"/>
    <mergeCell ref="K9:K10"/>
  </mergeCells>
  <dataValidations count="2">
    <dataValidation type="list" allowBlank="1" showInputMessage="1" showErrorMessage="1" sqref="L4">
      <formula1>"2017,2018"</formula1>
    </dataValidation>
    <dataValidation type="decimal" operator="greaterThan" allowBlank="1" showInputMessage="1" showErrorMessage="1" sqref="N4:N84">
      <formula1>0</formula1>
    </dataValidation>
  </dataValidations>
  <pageMargins left="0.7" right="0.7" top="0.75" bottom="0.75" header="0.3" footer="0.3"/>
  <pageSetup paperSize="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B1:AH85"/>
  <sheetViews>
    <sheetView showGridLines="0" zoomScale="81" zoomScaleNormal="81" workbookViewId="0"/>
  </sheetViews>
  <sheetFormatPr defaultColWidth="9.1796875" defaultRowHeight="14.5" x14ac:dyDescent="0.35"/>
  <cols>
    <col min="1" max="1" width="2.1796875" style="1" customWidth="1"/>
    <col min="2" max="2" width="10.1796875" style="1" bestFit="1" customWidth="1"/>
    <col min="3" max="3" width="9.1796875" style="1"/>
    <col min="4" max="4" width="10.1796875" style="1" bestFit="1" customWidth="1"/>
    <col min="5" max="5" width="10.1796875" style="1" customWidth="1"/>
    <col min="6" max="9" width="10.1796875" style="1" bestFit="1" customWidth="1"/>
    <col min="10" max="10" width="9.1796875" style="1"/>
    <col min="11" max="11" width="53.81640625" style="1" customWidth="1"/>
    <col min="12" max="12" width="9.1796875" style="1"/>
    <col min="13" max="13" width="10.1796875" style="1" customWidth="1"/>
    <col min="14" max="14" width="9.1796875" style="1" customWidth="1"/>
    <col min="15" max="15" width="9.1796875" style="1" hidden="1" customWidth="1"/>
    <col min="16" max="19" width="9.1796875" style="1"/>
    <col min="20" max="20" width="0" style="1" hidden="1" customWidth="1"/>
    <col min="21" max="21" width="9.1796875" style="1" hidden="1" customWidth="1"/>
    <col min="22" max="27" width="10.1796875" style="1" hidden="1" customWidth="1"/>
    <col min="28" max="28" width="9.1796875" style="1" hidden="1" customWidth="1"/>
    <col min="29" max="29" width="9.1796875" style="1" customWidth="1"/>
    <col min="30" max="30" width="10.1796875" style="1" customWidth="1"/>
    <col min="31" max="34" width="9.1796875" style="1" customWidth="1"/>
    <col min="35" max="16384" width="9.1796875" style="1"/>
  </cols>
  <sheetData>
    <row r="1" spans="2:34" ht="9.75" customHeight="1" x14ac:dyDescent="0.35"/>
    <row r="2" spans="2:34" ht="26.25" customHeight="1" x14ac:dyDescent="0.35">
      <c r="B2" s="568" t="s">
        <v>132</v>
      </c>
      <c r="C2" s="569"/>
      <c r="D2" s="569"/>
      <c r="E2" s="569"/>
      <c r="F2" s="569"/>
      <c r="G2" s="569"/>
      <c r="H2" s="569"/>
      <c r="I2" s="570"/>
      <c r="K2" s="564" t="s">
        <v>131</v>
      </c>
      <c r="L2" s="565"/>
      <c r="M2" s="565"/>
      <c r="N2" s="566"/>
      <c r="O2" s="39"/>
      <c r="V2" s="1" t="s">
        <v>4</v>
      </c>
      <c r="AC2" s="260" t="s">
        <v>128</v>
      </c>
    </row>
    <row r="3" spans="2:34" x14ac:dyDescent="0.35">
      <c r="B3" s="257" t="s">
        <v>122</v>
      </c>
      <c r="C3" s="325" t="s">
        <v>22</v>
      </c>
      <c r="D3" s="325" t="s">
        <v>21</v>
      </c>
      <c r="E3" s="326" t="s">
        <v>0</v>
      </c>
      <c r="F3" s="326" t="s">
        <v>1</v>
      </c>
      <c r="G3" s="326" t="s">
        <v>2</v>
      </c>
      <c r="H3" s="326" t="s">
        <v>3</v>
      </c>
      <c r="I3" s="38" t="s">
        <v>20</v>
      </c>
      <c r="M3" s="23" t="s">
        <v>122</v>
      </c>
      <c r="N3" s="38">
        <f>L4</f>
        <v>0</v>
      </c>
      <c r="O3" s="40" t="s">
        <v>5</v>
      </c>
      <c r="V3" s="1">
        <v>2017</v>
      </c>
      <c r="W3" s="1">
        <v>2018</v>
      </c>
      <c r="X3" s="1">
        <v>2019</v>
      </c>
      <c r="Y3" s="1">
        <v>2020</v>
      </c>
      <c r="Z3" s="1">
        <v>2021</v>
      </c>
      <c r="AA3" s="1">
        <v>2022</v>
      </c>
      <c r="AD3" s="324" t="str">
        <f>E3</f>
        <v>2019/20</v>
      </c>
      <c r="AE3" s="324" t="str">
        <f t="shared" ref="AE3:AH3" si="0">F3</f>
        <v>2020/21</v>
      </c>
      <c r="AF3" s="324" t="str">
        <f t="shared" si="0"/>
        <v>2021/22</v>
      </c>
      <c r="AG3" s="324" t="str">
        <f t="shared" si="0"/>
        <v>2022/23</v>
      </c>
      <c r="AH3" s="324" t="str">
        <f t="shared" si="0"/>
        <v>2023/24</v>
      </c>
    </row>
    <row r="4" spans="2:34" x14ac:dyDescent="0.35">
      <c r="B4" s="251">
        <v>10</v>
      </c>
      <c r="C4" s="258">
        <v>11519</v>
      </c>
      <c r="D4" s="258">
        <v>11799.018434326903</v>
      </c>
      <c r="E4" s="278">
        <f>D4*(1+'Rhaniad y Ddeiliadaeth (Gog)'!C$109)+(D$44*(-(50-$B4)*('Rhaniad y Ddeiliadaeth (Gog)'!C$110/40)))</f>
        <v>11802.482601566533</v>
      </c>
      <c r="F4" s="278">
        <f>E4*(1+'Rhaniad y Ddeiliadaeth (Gog)'!D$109)+(E$44*(-(50-$B4)*('Rhaniad y Ddeiliadaeth (Gog)'!D$110/40)))</f>
        <v>11939.754835275469</v>
      </c>
      <c r="G4" s="278">
        <f>F4*(1+'Rhaniad y Ddeiliadaeth (Gog)'!E$109)+(F$44*(-(50-$B4)*('Rhaniad y Ddeiliadaeth (Gog)'!E$110/40)))</f>
        <v>12071.429900450121</v>
      </c>
      <c r="H4" s="278">
        <f>G4*(1+'Rhaniad y Ddeiliadaeth (Gog)'!F$109)+(G$44*(-(50-$B4)*('Rhaniad y Ddeiliadaeth (Gog)'!F$110/40)))</f>
        <v>12204.278290108343</v>
      </c>
      <c r="I4" s="279">
        <f>H4*(1+'Rhaniad y Ddeiliadaeth (Gog)'!G$109)+(H$44*(-(50-$B4)*('Rhaniad y Ddeiliadaeth (Gog)'!G$110/40)))</f>
        <v>12329.535569436955</v>
      </c>
      <c r="J4" s="4"/>
      <c r="K4" s="41" t="str">
        <f>IF('Rhaniad y Ddeiliadaeth (Gog)'!D8="Arall","Dewiswch data ar gyfer pa flwyddyn:","")</f>
        <v/>
      </c>
      <c r="L4" s="201"/>
      <c r="M4" s="36" t="str">
        <f t="shared" ref="M4:M67" si="1">IF(ISBLANK($L$4),"",B4)</f>
        <v/>
      </c>
      <c r="N4" s="190"/>
      <c r="O4" s="24">
        <f>IF(ISBLANK(N4),1,0)</f>
        <v>1</v>
      </c>
      <c r="P4" s="10" t="str">
        <f>IF(K4="","","&lt;&lt; Rhowch y gwerthoedd yma.")</f>
        <v/>
      </c>
      <c r="U4" s="1">
        <f t="shared" ref="U4:U67" si="2">B4</f>
        <v>10</v>
      </c>
      <c r="V4" s="4" t="str">
        <f t="shared" ref="V4:V67" si="3">IF($N$3=$V$3,N4,"")</f>
        <v/>
      </c>
      <c r="W4" s="4" t="e">
        <f>IF($W$3=$N$3,N4,V4*(1+'Rhaniad y Ddeiliadaeth (Gog)'!C$109)+(V$44*(-(50-$U4)*('Rhaniad y Ddeiliadaeth (Gog)'!C$110/40))))</f>
        <v>#VALUE!</v>
      </c>
      <c r="X4" s="4" t="e">
        <f>W4*(1+'Rhaniad y Ddeiliadaeth (Gog)'!D$109)+(W$44*(-(50-$U4)*('Rhaniad y Ddeiliadaeth (Gog)'!D$110/40)))</f>
        <v>#VALUE!</v>
      </c>
      <c r="Y4" s="4" t="e">
        <f>X4*(1+'Rhaniad y Ddeiliadaeth (Gog)'!E$109)+(X$44*(-(50-$U4)*('Rhaniad y Ddeiliadaeth (Gog)'!E$110/40)))</f>
        <v>#VALUE!</v>
      </c>
      <c r="Z4" s="4" t="e">
        <f>Y4*(1+'Rhaniad y Ddeiliadaeth (Gog)'!F$109)+(Y$44*(-(50-$U4)*('Rhaniad y Ddeiliadaeth (Gog)'!F$110/40)))</f>
        <v>#VALUE!</v>
      </c>
      <c r="AA4" s="4" t="e">
        <f>Z4*(1+'Rhaniad y Ddeiliadaeth (Gog)'!G$109)+(Z$44*(-(50-$U4)*('Rhaniad y Ddeiliadaeth (Gog)'!G$110/40)))</f>
        <v>#VALUE!</v>
      </c>
      <c r="AC4" s="260">
        <v>10</v>
      </c>
      <c r="AD4" s="4">
        <f>IF('Rhaniad y Ddeiliadaeth (Cymru)'!$D$8="Amcangyfrifon LlC",'Incwm (Gogledd)'!E4,'Incwm (Gogledd)'!W4)</f>
        <v>11802.482601566533</v>
      </c>
      <c r="AE4" s="4">
        <f>IF('Rhaniad y Ddeiliadaeth (Cymru)'!$D$8="Amcangyfrifon LlC",'Incwm (Gogledd)'!F4,'Incwm (Gogledd)'!X4)</f>
        <v>11939.754835275469</v>
      </c>
      <c r="AF4" s="4">
        <f>IF('Rhaniad y Ddeiliadaeth (Cymru)'!$D$8="Amcangyfrifon LlC",'Incwm (Gogledd)'!G4,'Incwm (Gogledd)'!Y4)</f>
        <v>12071.429900450121</v>
      </c>
      <c r="AG4" s="4">
        <f>IF('Rhaniad y Ddeiliadaeth (Cymru)'!$D$8="Amcangyfrifon LlC",'Incwm (Gogledd)'!H4,'Incwm (Gogledd)'!Z4)</f>
        <v>12204.278290108343</v>
      </c>
      <c r="AH4" s="4">
        <f>IF('Rhaniad y Ddeiliadaeth (Cymru)'!$D$8="Amcangyfrifon LlC",'Incwm (Gogledd)'!I4,'Incwm (Gogledd)'!AA4)</f>
        <v>12329.535569436955</v>
      </c>
    </row>
    <row r="5" spans="2:34" x14ac:dyDescent="0.35">
      <c r="B5" s="251">
        <v>11</v>
      </c>
      <c r="C5" s="258">
        <v>12038</v>
      </c>
      <c r="D5" s="258">
        <v>12330.634943348143</v>
      </c>
      <c r="E5" s="278">
        <f>D5*(1+'Rhaniad y Ddeiliadaeth (Gog)'!C$109)+(D$44*(-(50-$B5)*('Rhaniad y Ddeiliadaeth (Gog)'!C$110/40)))</f>
        <v>12352.566343343982</v>
      </c>
      <c r="F5" s="278">
        <f>E5*(1+'Rhaniad y Ddeiliadaeth (Gog)'!D$109)+(E$44*(-(50-$B5)*('Rhaniad y Ddeiliadaeth (Gog)'!D$110/40)))</f>
        <v>12515.373276736458</v>
      </c>
      <c r="G5" s="278">
        <f>F5*(1+'Rhaniad y Ddeiliadaeth (Gog)'!E$109)+(F$44*(-(50-$B5)*('Rhaniad y Ddeiliadaeth (Gog)'!E$110/40)))</f>
        <v>12673.632128327747</v>
      </c>
      <c r="H5" s="278">
        <f>G5*(1+'Rhaniad y Ddeiliadaeth (Gog)'!F$109)+(G$44*(-(50-$B5)*('Rhaniad y Ddeiliadaeth (Gog)'!F$110/40)))</f>
        <v>12834.514372919819</v>
      </c>
      <c r="I5" s="279">
        <f>H5*(1+'Rhaniad y Ddeiliadaeth (Gog)'!G$109)+(H$44*(-(50-$B5)*('Rhaniad y Ddeiliadaeth (Gog)'!G$110/40)))</f>
        <v>12988.907787000493</v>
      </c>
      <c r="K5" s="42" t="str">
        <f>IF(K4="","","Dim ond data ar gyfer un blwyddyn sydd angen (naill ai 2017 neu 2018)")</f>
        <v/>
      </c>
      <c r="M5" s="36" t="str">
        <f t="shared" si="1"/>
        <v/>
      </c>
      <c r="N5" s="190"/>
      <c r="O5" s="24">
        <f t="shared" ref="O5:O68" si="4">IF(ISBLANK(N5),1,0)</f>
        <v>1</v>
      </c>
      <c r="U5" s="1">
        <f t="shared" si="2"/>
        <v>11</v>
      </c>
      <c r="V5" s="4" t="str">
        <f t="shared" si="3"/>
        <v/>
      </c>
      <c r="W5" s="4" t="e">
        <f>IF($W$3=$N$3,N5,V5*(1+'Rhaniad y Ddeiliadaeth (Gog)'!C$109)+(V$44*(-(50-$U5)*('Rhaniad y Ddeiliadaeth (Gog)'!C$110/40))))</f>
        <v>#VALUE!</v>
      </c>
      <c r="X5" s="4" t="e">
        <f>W5*(1+'Rhaniad y Ddeiliadaeth (Gog)'!D$109)+(W$44*(-(50-$U5)*('Rhaniad y Ddeiliadaeth (Gog)'!D$110/40)))</f>
        <v>#VALUE!</v>
      </c>
      <c r="Y5" s="4" t="e">
        <f>X5*(1+'Rhaniad y Ddeiliadaeth (Gog)'!E$109)+(X$44*(-(50-$U5)*('Rhaniad y Ddeiliadaeth (Gog)'!E$110/40)))</f>
        <v>#VALUE!</v>
      </c>
      <c r="Z5" s="4" t="e">
        <f>Y5*(1+'Rhaniad y Ddeiliadaeth (Gog)'!F$109)+(Y$44*(-(50-$U5)*('Rhaniad y Ddeiliadaeth (Gog)'!F$110/40)))</f>
        <v>#VALUE!</v>
      </c>
      <c r="AA5" s="4" t="e">
        <f>Z5*(1+'Rhaniad y Ddeiliadaeth (Gog)'!G$109)+(Z$44*(-(50-$U5)*('Rhaniad y Ddeiliadaeth (Gog)'!G$110/40)))</f>
        <v>#VALUE!</v>
      </c>
      <c r="AC5" s="260">
        <v>11</v>
      </c>
      <c r="AD5" s="4">
        <f>IF('Rhaniad y Ddeiliadaeth (Cymru)'!$D$8="Amcangyfrifon LlC",'Incwm (Gogledd)'!E5,'Incwm (Gogledd)'!W5)</f>
        <v>12352.566343343982</v>
      </c>
      <c r="AE5" s="4">
        <f>IF('Rhaniad y Ddeiliadaeth (Cymru)'!$D$8="Amcangyfrifon LlC",'Incwm (Gogledd)'!F5,'Incwm (Gogledd)'!X5)</f>
        <v>12515.373276736458</v>
      </c>
      <c r="AF5" s="4">
        <f>IF('Rhaniad y Ddeiliadaeth (Cymru)'!$D$8="Amcangyfrifon LlC",'Incwm (Gogledd)'!G5,'Incwm (Gogledd)'!Y5)</f>
        <v>12673.632128327747</v>
      </c>
      <c r="AG5" s="4">
        <f>IF('Rhaniad y Ddeiliadaeth (Cymru)'!$D$8="Amcangyfrifon LlC",'Incwm (Gogledd)'!H5,'Incwm (Gogledd)'!Z5)</f>
        <v>12834.514372919819</v>
      </c>
      <c r="AH5" s="4">
        <f>IF('Rhaniad y Ddeiliadaeth (Cymru)'!$D$8="Amcangyfrifon LlC",'Incwm (Gogledd)'!I5,'Incwm (Gogledd)'!AA5)</f>
        <v>12988.907787000493</v>
      </c>
    </row>
    <row r="6" spans="2:34" x14ac:dyDescent="0.35">
      <c r="B6" s="251">
        <v>12</v>
      </c>
      <c r="C6" s="258">
        <v>12522.25</v>
      </c>
      <c r="D6" s="258">
        <v>12826.656705378076</v>
      </c>
      <c r="E6" s="278">
        <f>D6*(1+'Rhaniad y Ddeiliadaeth (Gog)'!C$109)+(D$44*(-(50-$B6)*('Rhaniad y Ddeiliadaeth (Gog)'!C$110/40)))</f>
        <v>12866.256371825633</v>
      </c>
      <c r="F6" s="278">
        <f>E6*(1+'Rhaniad y Ddeiliadaeth (Gog)'!D$109)+(E$44*(-(50-$B6)*('Rhaniad y Ddeiliadaeth (Gog)'!D$110/40)))</f>
        <v>13053.350647713336</v>
      </c>
      <c r="G6" s="278">
        <f>F6*(1+'Rhaniad y Ddeiliadaeth (Gog)'!E$109)+(F$44*(-(50-$B6)*('Rhaniad y Ddeiliadaeth (Gog)'!E$110/40)))</f>
        <v>13236.906778343897</v>
      </c>
      <c r="H6" s="278">
        <f>G6*(1+'Rhaniad y Ddeiliadaeth (Gog)'!F$109)+(G$44*(-(50-$B6)*('Rhaniad y Ddeiliadaeth (Gog)'!F$110/40)))</f>
        <v>13424.472664421488</v>
      </c>
      <c r="I6" s="279">
        <f>H6*(1+'Rhaniad y Ddeiliadaeth (Gog)'!G$109)+(H$44*(-(50-$B6)*('Rhaniad y Ddeiliadaeth (Gog)'!G$110/40)))</f>
        <v>13606.612705594074</v>
      </c>
      <c r="M6" s="36" t="str">
        <f t="shared" si="1"/>
        <v/>
      </c>
      <c r="N6" s="190"/>
      <c r="O6" s="24">
        <f t="shared" si="4"/>
        <v>1</v>
      </c>
      <c r="U6" s="1">
        <f t="shared" si="2"/>
        <v>12</v>
      </c>
      <c r="V6" s="4" t="str">
        <f t="shared" si="3"/>
        <v/>
      </c>
      <c r="W6" s="4" t="e">
        <f>IF($W$3=$N$3,N6,V6*(1+'Rhaniad y Ddeiliadaeth (Gog)'!C$109)+(V$44*(-(50-$U6)*('Rhaniad y Ddeiliadaeth (Gog)'!C$110/40))))</f>
        <v>#VALUE!</v>
      </c>
      <c r="X6" s="4" t="e">
        <f>W6*(1+'Rhaniad y Ddeiliadaeth (Gog)'!D$109)+(W$44*(-(50-$U6)*('Rhaniad y Ddeiliadaeth (Gog)'!D$110/40)))</f>
        <v>#VALUE!</v>
      </c>
      <c r="Y6" s="4" t="e">
        <f>X6*(1+'Rhaniad y Ddeiliadaeth (Gog)'!E$109)+(X$44*(-(50-$U6)*('Rhaniad y Ddeiliadaeth (Gog)'!E$110/40)))</f>
        <v>#VALUE!</v>
      </c>
      <c r="Z6" s="4" t="e">
        <f>Y6*(1+'Rhaniad y Ddeiliadaeth (Gog)'!F$109)+(Y$44*(-(50-$U6)*('Rhaniad y Ddeiliadaeth (Gog)'!F$110/40)))</f>
        <v>#VALUE!</v>
      </c>
      <c r="AA6" s="4" t="e">
        <f>Z6*(1+'Rhaniad y Ddeiliadaeth (Gog)'!G$109)+(Z$44*(-(50-$U6)*('Rhaniad y Ddeiliadaeth (Gog)'!G$110/40)))</f>
        <v>#VALUE!</v>
      </c>
      <c r="AC6" s="260">
        <v>12</v>
      </c>
      <c r="AD6" s="4">
        <f>IF('Rhaniad y Ddeiliadaeth (Cymru)'!$D$8="Amcangyfrifon LlC",'Incwm (Gogledd)'!E6,'Incwm (Gogledd)'!W6)</f>
        <v>12866.256371825633</v>
      </c>
      <c r="AE6" s="4">
        <f>IF('Rhaniad y Ddeiliadaeth (Cymru)'!$D$8="Amcangyfrifon LlC",'Incwm (Gogledd)'!F6,'Incwm (Gogledd)'!X6)</f>
        <v>13053.350647713336</v>
      </c>
      <c r="AF6" s="4">
        <f>IF('Rhaniad y Ddeiliadaeth (Cymru)'!$D$8="Amcangyfrifon LlC",'Incwm (Gogledd)'!G6,'Incwm (Gogledd)'!Y6)</f>
        <v>13236.906778343897</v>
      </c>
      <c r="AG6" s="4">
        <f>IF('Rhaniad y Ddeiliadaeth (Cymru)'!$D$8="Amcangyfrifon LlC",'Incwm (Gogledd)'!H6,'Incwm (Gogledd)'!Z6)</f>
        <v>13424.472664421488</v>
      </c>
      <c r="AH6" s="4">
        <f>IF('Rhaniad y Ddeiliadaeth (Cymru)'!$D$8="Amcangyfrifon LlC",'Incwm (Gogledd)'!I6,'Incwm (Gogledd)'!AA6)</f>
        <v>13606.612705594074</v>
      </c>
    </row>
    <row r="7" spans="2:34" x14ac:dyDescent="0.35">
      <c r="B7" s="251">
        <v>13</v>
      </c>
      <c r="C7" s="258">
        <v>12919.2</v>
      </c>
      <c r="D7" s="258">
        <v>13233.256268491721</v>
      </c>
      <c r="E7" s="278">
        <f>D7*(1+'Rhaniad y Ddeiliadaeth (Gog)'!C$109)+(D$44*(-(50-$B7)*('Rhaniad y Ddeiliadaeth (Gog)'!C$110/40)))</f>
        <v>13288.517014099423</v>
      </c>
      <c r="F7" s="278">
        <f>E7*(1+'Rhaniad y Ddeiliadaeth (Gog)'!D$109)+(E$44*(-(50-$B7)*('Rhaniad y Ddeiliadaeth (Gog)'!D$110/40)))</f>
        <v>13496.76498406395</v>
      </c>
      <c r="G7" s="278">
        <f>F7*(1+'Rhaniad y Ddeiliadaeth (Gog)'!E$109)+(F$44*(-(50-$B7)*('Rhaniad y Ddeiliadaeth (Gog)'!E$110/40)))</f>
        <v>13702.386391027483</v>
      </c>
      <c r="H7" s="278">
        <f>G7*(1+'Rhaniad y Ddeiliadaeth (Gog)'!F$109)+(G$44*(-(50-$B7)*('Rhaniad y Ddeiliadaeth (Gog)'!F$110/40)))</f>
        <v>13913.24387156788</v>
      </c>
      <c r="I7" s="279">
        <f>H7*(1+'Rhaniad y Ddeiliadaeth (Gog)'!G$109)+(H$44*(-(50-$B7)*('Rhaniad y Ddeiliadaeth (Gog)'!G$110/40)))</f>
        <v>14119.63977670342</v>
      </c>
      <c r="K7" s="10" t="str">
        <f>IF(K4="","",IF(O85=1,"Dewis defnyddiwr anghyflawn",IF(O85=0,"Dewis defnyddiwr yn gyflawn","")))</f>
        <v/>
      </c>
      <c r="M7" s="36" t="str">
        <f t="shared" si="1"/>
        <v/>
      </c>
      <c r="N7" s="190"/>
      <c r="O7" s="24">
        <f t="shared" si="4"/>
        <v>1</v>
      </c>
      <c r="U7" s="1">
        <f t="shared" si="2"/>
        <v>13</v>
      </c>
      <c r="V7" s="4" t="str">
        <f t="shared" si="3"/>
        <v/>
      </c>
      <c r="W7" s="4" t="e">
        <f>IF($W$3=$N$3,N7,V7*(1+'Rhaniad y Ddeiliadaeth (Gog)'!C$109)+(V$44*(-(50-$U7)*('Rhaniad y Ddeiliadaeth (Gog)'!C$110/40))))</f>
        <v>#VALUE!</v>
      </c>
      <c r="X7" s="4" t="e">
        <f>W7*(1+'Rhaniad y Ddeiliadaeth (Gog)'!D$109)+(W$44*(-(50-$U7)*('Rhaniad y Ddeiliadaeth (Gog)'!D$110/40)))</f>
        <v>#VALUE!</v>
      </c>
      <c r="Y7" s="4" t="e">
        <f>X7*(1+'Rhaniad y Ddeiliadaeth (Gog)'!E$109)+(X$44*(-(50-$U7)*('Rhaniad y Ddeiliadaeth (Gog)'!E$110/40)))</f>
        <v>#VALUE!</v>
      </c>
      <c r="Z7" s="4" t="e">
        <f>Y7*(1+'Rhaniad y Ddeiliadaeth (Gog)'!F$109)+(Y$44*(-(50-$U7)*('Rhaniad y Ddeiliadaeth (Gog)'!F$110/40)))</f>
        <v>#VALUE!</v>
      </c>
      <c r="AA7" s="4" t="e">
        <f>Z7*(1+'Rhaniad y Ddeiliadaeth (Gog)'!G$109)+(Z$44*(-(50-$U7)*('Rhaniad y Ddeiliadaeth (Gog)'!G$110/40)))</f>
        <v>#VALUE!</v>
      </c>
      <c r="AC7" s="260">
        <v>13</v>
      </c>
      <c r="AD7" s="4">
        <f>IF('Rhaniad y Ddeiliadaeth (Cymru)'!$D$8="Amcangyfrifon LlC",'Incwm (Gogledd)'!E7,'Incwm (Gogledd)'!W7)</f>
        <v>13288.517014099423</v>
      </c>
      <c r="AE7" s="4">
        <f>IF('Rhaniad y Ddeiliadaeth (Cymru)'!$D$8="Amcangyfrifon LlC",'Incwm (Gogledd)'!F7,'Incwm (Gogledd)'!X7)</f>
        <v>13496.76498406395</v>
      </c>
      <c r="AF7" s="4">
        <f>IF('Rhaniad y Ddeiliadaeth (Cymru)'!$D$8="Amcangyfrifon LlC",'Incwm (Gogledd)'!G7,'Incwm (Gogledd)'!Y7)</f>
        <v>13702.386391027483</v>
      </c>
      <c r="AG7" s="4">
        <f>IF('Rhaniad y Ddeiliadaeth (Cymru)'!$D$8="Amcangyfrifon LlC",'Incwm (Gogledd)'!H7,'Incwm (Gogledd)'!Z7)</f>
        <v>13913.24387156788</v>
      </c>
      <c r="AH7" s="4">
        <f>IF('Rhaniad y Ddeiliadaeth (Cymru)'!$D$8="Amcangyfrifon LlC",'Incwm (Gogledd)'!I7,'Incwm (Gogledd)'!AA7)</f>
        <v>14119.63977670342</v>
      </c>
    </row>
    <row r="8" spans="2:34" x14ac:dyDescent="0.35">
      <c r="B8" s="251">
        <v>14</v>
      </c>
      <c r="C8" s="258">
        <v>12919.2</v>
      </c>
      <c r="D8" s="258">
        <v>13233.256268491721</v>
      </c>
      <c r="E8" s="278">
        <f>D8*(1+'Rhaniad y Ddeiliadaeth (Gog)'!C$109)+(D$44*(-(50-$B8)*('Rhaniad y Ddeiliadaeth (Gog)'!C$110/40)))</f>
        <v>13295.051483919473</v>
      </c>
      <c r="F8" s="278">
        <f>E8*(1+'Rhaniad y Ddeiliadaeth (Gog)'!D$109)+(E$44*(-(50-$B8)*('Rhaniad y Ddeiliadaeth (Gog)'!D$110/40)))</f>
        <v>13510.20455987736</v>
      </c>
      <c r="G8" s="278">
        <f>F8*(1+'Rhaniad y Ddeiliadaeth (Gog)'!E$109)+(F$44*(-(50-$B8)*('Rhaniad y Ddeiliadaeth (Gog)'!E$110/40)))</f>
        <v>13723.195441635888</v>
      </c>
      <c r="H8" s="278">
        <f>G8*(1+'Rhaniad y Ddeiliadaeth (Gog)'!F$109)+(G$44*(-(50-$B8)*('Rhaniad y Ddeiliadaeth (Gog)'!F$110/40)))</f>
        <v>13941.920999277507</v>
      </c>
      <c r="I8" s="279">
        <f>H8*(1+'Rhaniad y Ddeiliadaeth (Gog)'!G$109)+(H$44*(-(50-$B8)*('Rhaniad y Ddeiliadaeth (Gog)'!G$110/40)))</f>
        <v>14156.700392384717</v>
      </c>
      <c r="M8" s="36" t="str">
        <f t="shared" si="1"/>
        <v/>
      </c>
      <c r="N8" s="190"/>
      <c r="O8" s="24">
        <f t="shared" si="4"/>
        <v>1</v>
      </c>
      <c r="U8" s="1">
        <f t="shared" si="2"/>
        <v>14</v>
      </c>
      <c r="V8" s="4" t="str">
        <f t="shared" si="3"/>
        <v/>
      </c>
      <c r="W8" s="4" t="e">
        <f>IF($W$3=$N$3,N8,V8*(1+'Rhaniad y Ddeiliadaeth (Gog)'!C$109)+(V$44*(-(50-$U8)*('Rhaniad y Ddeiliadaeth (Gog)'!C$110/40))))</f>
        <v>#VALUE!</v>
      </c>
      <c r="X8" s="4" t="e">
        <f>W8*(1+'Rhaniad y Ddeiliadaeth (Gog)'!D$109)+(W$44*(-(50-$U8)*('Rhaniad y Ddeiliadaeth (Gog)'!D$110/40)))</f>
        <v>#VALUE!</v>
      </c>
      <c r="Y8" s="4" t="e">
        <f>X8*(1+'Rhaniad y Ddeiliadaeth (Gog)'!E$109)+(X$44*(-(50-$U8)*('Rhaniad y Ddeiliadaeth (Gog)'!E$110/40)))</f>
        <v>#VALUE!</v>
      </c>
      <c r="Z8" s="4" t="e">
        <f>Y8*(1+'Rhaniad y Ddeiliadaeth (Gog)'!F$109)+(Y$44*(-(50-$U8)*('Rhaniad y Ddeiliadaeth (Gog)'!F$110/40)))</f>
        <v>#VALUE!</v>
      </c>
      <c r="AA8" s="4" t="e">
        <f>Z8*(1+'Rhaniad y Ddeiliadaeth (Gog)'!G$109)+(Z$44*(-(50-$U8)*('Rhaniad y Ddeiliadaeth (Gog)'!G$110/40)))</f>
        <v>#VALUE!</v>
      </c>
      <c r="AC8" s="260">
        <v>14</v>
      </c>
      <c r="AD8" s="4">
        <f>IF('Rhaniad y Ddeiliadaeth (Cymru)'!$D$8="Amcangyfrifon LlC",'Incwm (Gogledd)'!E8,'Incwm (Gogledd)'!W8)</f>
        <v>13295.051483919473</v>
      </c>
      <c r="AE8" s="4">
        <f>IF('Rhaniad y Ddeiliadaeth (Cymru)'!$D$8="Amcangyfrifon LlC",'Incwm (Gogledd)'!F8,'Incwm (Gogledd)'!X8)</f>
        <v>13510.20455987736</v>
      </c>
      <c r="AF8" s="4">
        <f>IF('Rhaniad y Ddeiliadaeth (Cymru)'!$D$8="Amcangyfrifon LlC",'Incwm (Gogledd)'!G8,'Incwm (Gogledd)'!Y8)</f>
        <v>13723.195441635888</v>
      </c>
      <c r="AG8" s="4">
        <f>IF('Rhaniad y Ddeiliadaeth (Cymru)'!$D$8="Amcangyfrifon LlC",'Incwm (Gogledd)'!H8,'Incwm (Gogledd)'!Z8)</f>
        <v>13941.920999277507</v>
      </c>
      <c r="AH8" s="4">
        <f>IF('Rhaniad y Ddeiliadaeth (Cymru)'!$D$8="Amcangyfrifon LlC",'Incwm (Gogledd)'!I8,'Incwm (Gogledd)'!AA8)</f>
        <v>14156.700392384717</v>
      </c>
    </row>
    <row r="9" spans="2:34" x14ac:dyDescent="0.35">
      <c r="B9" s="251">
        <v>15</v>
      </c>
      <c r="C9" s="258">
        <v>13095.5</v>
      </c>
      <c r="D9" s="258">
        <v>13413.841992076392</v>
      </c>
      <c r="E9" s="278">
        <f>D9*(1+'Rhaniad y Ddeiliadaeth (Gog)'!C$109)+(D$44*(-(50-$B9)*('Rhaniad y Ddeiliadaeth (Gog)'!C$110/40)))</f>
        <v>13486.225138028713</v>
      </c>
      <c r="F9" s="278">
        <f>E9*(1+'Rhaniad y Ddeiliadaeth (Gog)'!D$109)+(E$44*(-(50-$B9)*('Rhaniad y Ddeiliadaeth (Gog)'!D$110/40)))</f>
        <v>13714.611638607279</v>
      </c>
      <c r="G9" s="278">
        <f>F9*(1+'Rhaniad y Ddeiliadaeth (Gog)'!E$109)+(F$44*(-(50-$B9)*('Rhaniad y Ddeiliadaeth (Gog)'!E$110/40)))</f>
        <v>13941.498937624954</v>
      </c>
      <c r="H9" s="278">
        <f>G9*(1+'Rhaniad y Ddeiliadaeth (Gog)'!F$109)+(G$44*(-(50-$B9)*('Rhaniad y Ddeiliadaeth (Gog)'!F$110/40)))</f>
        <v>14174.942720020768</v>
      </c>
      <c r="I9" s="279">
        <f>H9*(1+'Rhaniad y Ddeiliadaeth (Gog)'!G$109)+(H$44*(-(50-$B9)*('Rhaniad y Ddeiliadaeth (Gog)'!G$110/40)))</f>
        <v>14405.155103271869</v>
      </c>
      <c r="K9" s="567"/>
      <c r="M9" s="36" t="str">
        <f t="shared" si="1"/>
        <v/>
      </c>
      <c r="N9" s="190"/>
      <c r="O9" s="24">
        <f t="shared" si="4"/>
        <v>1</v>
      </c>
      <c r="U9" s="1">
        <f t="shared" si="2"/>
        <v>15</v>
      </c>
      <c r="V9" s="4" t="str">
        <f t="shared" si="3"/>
        <v/>
      </c>
      <c r="W9" s="4" t="e">
        <f>IF($W$3=$N$3,N9,V9*(1+'Rhaniad y Ddeiliadaeth (Gog)'!C$109)+(V$44*(-(50-$U9)*('Rhaniad y Ddeiliadaeth (Gog)'!C$110/40))))</f>
        <v>#VALUE!</v>
      </c>
      <c r="X9" s="4" t="e">
        <f>W9*(1+'Rhaniad y Ddeiliadaeth (Gog)'!D$109)+(W$44*(-(50-$U9)*('Rhaniad y Ddeiliadaeth (Gog)'!D$110/40)))</f>
        <v>#VALUE!</v>
      </c>
      <c r="Y9" s="4" t="e">
        <f>X9*(1+'Rhaniad y Ddeiliadaeth (Gog)'!E$109)+(X$44*(-(50-$U9)*('Rhaniad y Ddeiliadaeth (Gog)'!E$110/40)))</f>
        <v>#VALUE!</v>
      </c>
      <c r="Z9" s="4" t="e">
        <f>Y9*(1+'Rhaniad y Ddeiliadaeth (Gog)'!F$109)+(Y$44*(-(50-$U9)*('Rhaniad y Ddeiliadaeth (Gog)'!F$110/40)))</f>
        <v>#VALUE!</v>
      </c>
      <c r="AA9" s="4" t="e">
        <f>Z9*(1+'Rhaniad y Ddeiliadaeth (Gog)'!G$109)+(Z$44*(-(50-$U9)*('Rhaniad y Ddeiliadaeth (Gog)'!G$110/40)))</f>
        <v>#VALUE!</v>
      </c>
      <c r="AC9" s="260">
        <v>15</v>
      </c>
      <c r="AD9" s="4">
        <f>IF('Rhaniad y Ddeiliadaeth (Cymru)'!$D$8="Amcangyfrifon LlC",'Incwm (Gogledd)'!E9,'Incwm (Gogledd)'!W9)</f>
        <v>13486.225138028713</v>
      </c>
      <c r="AE9" s="4">
        <f>IF('Rhaniad y Ddeiliadaeth (Cymru)'!$D$8="Amcangyfrifon LlC",'Incwm (Gogledd)'!F9,'Incwm (Gogledd)'!X9)</f>
        <v>13714.611638607279</v>
      </c>
      <c r="AF9" s="4">
        <f>IF('Rhaniad y Ddeiliadaeth (Cymru)'!$D$8="Amcangyfrifon LlC",'Incwm (Gogledd)'!G9,'Incwm (Gogledd)'!Y9)</f>
        <v>13941.498937624954</v>
      </c>
      <c r="AG9" s="4">
        <f>IF('Rhaniad y Ddeiliadaeth (Cymru)'!$D$8="Amcangyfrifon LlC",'Incwm (Gogledd)'!H9,'Incwm (Gogledd)'!Z9)</f>
        <v>14174.942720020768</v>
      </c>
      <c r="AH9" s="4">
        <f>IF('Rhaniad y Ddeiliadaeth (Cymru)'!$D$8="Amcangyfrifon LlC",'Incwm (Gogledd)'!I9,'Incwm (Gogledd)'!AA9)</f>
        <v>14405.155103271869</v>
      </c>
    </row>
    <row r="10" spans="2:34" x14ac:dyDescent="0.35">
      <c r="B10" s="251">
        <v>16</v>
      </c>
      <c r="C10" s="258">
        <v>13505.24</v>
      </c>
      <c r="D10" s="258">
        <v>13833.542470701368</v>
      </c>
      <c r="E10" s="278">
        <f>D10*(1+'Rhaniad y Ddeiliadaeth (Gog)'!C$109)+(D$44*(-(50-$B10)*('Rhaniad y Ddeiliadaeth (Gog)'!C$110/40)))</f>
        <v>13921.880761397557</v>
      </c>
      <c r="F10" s="278">
        <f>E10*(1+'Rhaniad y Ddeiliadaeth (Gog)'!D$109)+(E$44*(-(50-$B10)*('Rhaniad y Ddeiliadaeth (Gog)'!D$110/40)))</f>
        <v>14171.880055288588</v>
      </c>
      <c r="G10" s="278">
        <f>F10*(1+'Rhaniad y Ddeiliadaeth (Gog)'!E$109)+(F$44*(-(50-$B10)*('Rhaniad y Ddeiliadaeth (Gog)'!E$110/40)))</f>
        <v>14421.306139397695</v>
      </c>
      <c r="H10" s="278">
        <f>G10*(1+'Rhaniad y Ddeiliadaeth (Gog)'!F$109)+(G$44*(-(50-$B10)*('Rhaniad y Ddeiliadaeth (Gog)'!F$110/40)))</f>
        <v>14678.538472515427</v>
      </c>
      <c r="I10" s="279">
        <f>H10*(1+'Rhaniad y Ddeiliadaeth (Gog)'!G$109)+(H$44*(-(50-$B10)*('Rhaniad y Ddeiliadaeth (Gog)'!G$110/40)))</f>
        <v>14933.518138520081</v>
      </c>
      <c r="K10" s="567"/>
      <c r="M10" s="36" t="str">
        <f t="shared" si="1"/>
        <v/>
      </c>
      <c r="N10" s="190"/>
      <c r="O10" s="24">
        <f t="shared" si="4"/>
        <v>1</v>
      </c>
      <c r="U10" s="1">
        <f t="shared" si="2"/>
        <v>16</v>
      </c>
      <c r="V10" s="4" t="str">
        <f t="shared" si="3"/>
        <v/>
      </c>
      <c r="W10" s="4" t="e">
        <f>IF($W$3=$N$3,N10,V10*(1+'Rhaniad y Ddeiliadaeth (Gog)'!C$109)+(V$44*(-(50-$U10)*('Rhaniad y Ddeiliadaeth (Gog)'!C$110/40))))</f>
        <v>#VALUE!</v>
      </c>
      <c r="X10" s="4" t="e">
        <f>W10*(1+'Rhaniad y Ddeiliadaeth (Gog)'!D$109)+(W$44*(-(50-$U10)*('Rhaniad y Ddeiliadaeth (Gog)'!D$110/40)))</f>
        <v>#VALUE!</v>
      </c>
      <c r="Y10" s="4" t="e">
        <f>X10*(1+'Rhaniad y Ddeiliadaeth (Gog)'!E$109)+(X$44*(-(50-$U10)*('Rhaniad y Ddeiliadaeth (Gog)'!E$110/40)))</f>
        <v>#VALUE!</v>
      </c>
      <c r="Z10" s="4" t="e">
        <f>Y10*(1+'Rhaniad y Ddeiliadaeth (Gog)'!F$109)+(Y$44*(-(50-$U10)*('Rhaniad y Ddeiliadaeth (Gog)'!F$110/40)))</f>
        <v>#VALUE!</v>
      </c>
      <c r="AA10" s="4" t="e">
        <f>Z10*(1+'Rhaniad y Ddeiliadaeth (Gog)'!G$109)+(Z$44*(-(50-$U10)*('Rhaniad y Ddeiliadaeth (Gog)'!G$110/40)))</f>
        <v>#VALUE!</v>
      </c>
      <c r="AC10" s="260">
        <v>16</v>
      </c>
      <c r="AD10" s="4">
        <f>IF('Rhaniad y Ddeiliadaeth (Cymru)'!$D$8="Amcangyfrifon LlC",'Incwm (Gogledd)'!E10,'Incwm (Gogledd)'!W10)</f>
        <v>13921.880761397557</v>
      </c>
      <c r="AE10" s="4">
        <f>IF('Rhaniad y Ddeiliadaeth (Cymru)'!$D$8="Amcangyfrifon LlC",'Incwm (Gogledd)'!F10,'Incwm (Gogledd)'!X10)</f>
        <v>14171.880055288588</v>
      </c>
      <c r="AF10" s="4">
        <f>IF('Rhaniad y Ddeiliadaeth (Cymru)'!$D$8="Amcangyfrifon LlC",'Incwm (Gogledd)'!G10,'Incwm (Gogledd)'!Y10)</f>
        <v>14421.306139397695</v>
      </c>
      <c r="AG10" s="4">
        <f>IF('Rhaniad y Ddeiliadaeth (Cymru)'!$D$8="Amcangyfrifon LlC",'Incwm (Gogledd)'!H10,'Incwm (Gogledd)'!Z10)</f>
        <v>14678.538472515427</v>
      </c>
      <c r="AH10" s="4">
        <f>IF('Rhaniad y Ddeiliadaeth (Cymru)'!$D$8="Amcangyfrifon LlC",'Incwm (Gogledd)'!I10,'Incwm (Gogledd)'!AA10)</f>
        <v>14933.518138520081</v>
      </c>
    </row>
    <row r="11" spans="2:34" x14ac:dyDescent="0.35">
      <c r="B11" s="251">
        <v>17</v>
      </c>
      <c r="C11" s="258">
        <v>13841</v>
      </c>
      <c r="D11" s="258">
        <v>14177.464549832335</v>
      </c>
      <c r="E11" s="278">
        <f>D11*(1+'Rhaniad y Ddeiliadaeth (Gog)'!C$109)+(D$44*(-(50-$B11)*('Rhaniad y Ddeiliadaeth (Gog)'!C$110/40)))</f>
        <v>14280.057049237679</v>
      </c>
      <c r="F11" s="278">
        <f>E11*(1+'Rhaniad y Ddeiliadaeth (Gog)'!D$109)+(E$44*(-(50-$B11)*('Rhaniad y Ddeiliadaeth (Gog)'!D$110/40)))</f>
        <v>14549.013611698976</v>
      </c>
      <c r="G11" s="278">
        <f>F11*(1+'Rhaniad y Ddeiliadaeth (Gog)'!E$109)+(F$44*(-(50-$B11)*('Rhaniad y Ddeiliadaeth (Gog)'!E$110/40)))</f>
        <v>14818.239608503043</v>
      </c>
      <c r="H11" s="278">
        <f>G11*(1+'Rhaniad y Ddeiliadaeth (Gog)'!F$109)+(G$44*(-(50-$B11)*('Rhaniad y Ddeiliadaeth (Gog)'!F$110/40)))</f>
        <v>15096.385994762622</v>
      </c>
      <c r="I11" s="279">
        <f>H11*(1+'Rhaniad y Ddeiliadaeth (Gog)'!G$109)+(H$44*(-(50-$B11)*('Rhaniad y Ddeiliadaeth (Gog)'!G$110/40)))</f>
        <v>15373.174791673408</v>
      </c>
      <c r="K11" s="246"/>
      <c r="M11" s="36" t="str">
        <f t="shared" si="1"/>
        <v/>
      </c>
      <c r="N11" s="190"/>
      <c r="O11" s="24">
        <f t="shared" si="4"/>
        <v>1</v>
      </c>
      <c r="U11" s="1">
        <f t="shared" si="2"/>
        <v>17</v>
      </c>
      <c r="V11" s="4" t="str">
        <f t="shared" si="3"/>
        <v/>
      </c>
      <c r="W11" s="4" t="e">
        <f>IF($W$3=$N$3,N11,V11*(1+'Rhaniad y Ddeiliadaeth (Gog)'!C$109)+(V$44*(-(50-$U11)*('Rhaniad y Ddeiliadaeth (Gog)'!C$110/40))))</f>
        <v>#VALUE!</v>
      </c>
      <c r="X11" s="4" t="e">
        <f>W11*(1+'Rhaniad y Ddeiliadaeth (Gog)'!D$109)+(W$44*(-(50-$U11)*('Rhaniad y Ddeiliadaeth (Gog)'!D$110/40)))</f>
        <v>#VALUE!</v>
      </c>
      <c r="Y11" s="4" t="e">
        <f>X11*(1+'Rhaniad y Ddeiliadaeth (Gog)'!E$109)+(X$44*(-(50-$U11)*('Rhaniad y Ddeiliadaeth (Gog)'!E$110/40)))</f>
        <v>#VALUE!</v>
      </c>
      <c r="Z11" s="4" t="e">
        <f>Y11*(1+'Rhaniad y Ddeiliadaeth (Gog)'!F$109)+(Y$44*(-(50-$U11)*('Rhaniad y Ddeiliadaeth (Gog)'!F$110/40)))</f>
        <v>#VALUE!</v>
      </c>
      <c r="AA11" s="4" t="e">
        <f>Z11*(1+'Rhaniad y Ddeiliadaeth (Gog)'!G$109)+(Z$44*(-(50-$U11)*('Rhaniad y Ddeiliadaeth (Gog)'!G$110/40)))</f>
        <v>#VALUE!</v>
      </c>
      <c r="AC11" s="260">
        <v>17</v>
      </c>
      <c r="AD11" s="4">
        <f>IF('Rhaniad y Ddeiliadaeth (Cymru)'!$D$8="Amcangyfrifon LlC",'Incwm (Gogledd)'!E11,'Incwm (Gogledd)'!W11)</f>
        <v>14280.057049237679</v>
      </c>
      <c r="AE11" s="4">
        <f>IF('Rhaniad y Ddeiliadaeth (Cymru)'!$D$8="Amcangyfrifon LlC",'Incwm (Gogledd)'!F11,'Incwm (Gogledd)'!X11)</f>
        <v>14549.013611698976</v>
      </c>
      <c r="AF11" s="4">
        <f>IF('Rhaniad y Ddeiliadaeth (Cymru)'!$D$8="Amcangyfrifon LlC",'Incwm (Gogledd)'!G11,'Incwm (Gogledd)'!Y11)</f>
        <v>14818.239608503043</v>
      </c>
      <c r="AG11" s="4">
        <f>IF('Rhaniad y Ddeiliadaeth (Cymru)'!$D$8="Amcangyfrifon LlC",'Incwm (Gogledd)'!H11,'Incwm (Gogledd)'!Z11)</f>
        <v>15096.385994762622</v>
      </c>
      <c r="AH11" s="4">
        <f>IF('Rhaniad y Ddeiliadaeth (Cymru)'!$D$8="Amcangyfrifon LlC",'Incwm (Gogledd)'!I11,'Incwm (Gogledd)'!AA11)</f>
        <v>15373.174791673408</v>
      </c>
    </row>
    <row r="12" spans="2:34" x14ac:dyDescent="0.35">
      <c r="B12" s="251">
        <v>18</v>
      </c>
      <c r="C12" s="258">
        <v>14160.76</v>
      </c>
      <c r="D12" s="258">
        <v>14504.997680708311</v>
      </c>
      <c r="E12" s="278">
        <f>D12*(1+'Rhaniad y Ddeiliadaeth (Gog)'!C$109)+(D$44*(-(50-$B12)*('Rhaniad y Ddeiliadaeth (Gog)'!C$110/40)))</f>
        <v>14621.476519445201</v>
      </c>
      <c r="F12" s="278">
        <f>E12*(1+'Rhaniad y Ddeiliadaeth (Gog)'!D$109)+(E$44*(-(50-$B12)*('Rhaniad y Ddeiliadaeth (Gog)'!D$110/40)))</f>
        <v>14908.81602774258</v>
      </c>
      <c r="G12" s="278">
        <f>F12*(1+'Rhaniad y Ddeiliadaeth (Gog)'!E$109)+(F$44*(-(50-$B12)*('Rhaniad y Ddeiliadaeth (Gog)'!E$110/40)))</f>
        <v>15197.249588521096</v>
      </c>
      <c r="H12" s="278">
        <f>G12*(1+'Rhaniad y Ddeiliadaeth (Gog)'!F$109)+(G$44*(-(50-$B12)*('Rhaniad y Ddeiliadaeth (Gog)'!F$110/40)))</f>
        <v>15495.688346910338</v>
      </c>
      <c r="I12" s="279">
        <f>H12*(1+'Rhaniad y Ddeiliadaeth (Gog)'!G$109)+(H$44*(-(50-$B12)*('Rhaniad y Ddeiliadaeth (Gog)'!G$110/40)))</f>
        <v>15793.646501416102</v>
      </c>
      <c r="M12" s="36" t="str">
        <f t="shared" si="1"/>
        <v/>
      </c>
      <c r="N12" s="190"/>
      <c r="O12" s="24">
        <f t="shared" si="4"/>
        <v>1</v>
      </c>
      <c r="U12" s="1">
        <f t="shared" si="2"/>
        <v>18</v>
      </c>
      <c r="V12" s="4" t="str">
        <f t="shared" si="3"/>
        <v/>
      </c>
      <c r="W12" s="4" t="e">
        <f>IF($W$3=$N$3,N12,V12*(1+'Rhaniad y Ddeiliadaeth (Gog)'!C$109)+(V$44*(-(50-$U12)*('Rhaniad y Ddeiliadaeth (Gog)'!C$110/40))))</f>
        <v>#VALUE!</v>
      </c>
      <c r="X12" s="4" t="e">
        <f>W12*(1+'Rhaniad y Ddeiliadaeth (Gog)'!D$109)+(W$44*(-(50-$U12)*('Rhaniad y Ddeiliadaeth (Gog)'!D$110/40)))</f>
        <v>#VALUE!</v>
      </c>
      <c r="Y12" s="4" t="e">
        <f>X12*(1+'Rhaniad y Ddeiliadaeth (Gog)'!E$109)+(X$44*(-(50-$U12)*('Rhaniad y Ddeiliadaeth (Gog)'!E$110/40)))</f>
        <v>#VALUE!</v>
      </c>
      <c r="Z12" s="4" t="e">
        <f>Y12*(1+'Rhaniad y Ddeiliadaeth (Gog)'!F$109)+(Y$44*(-(50-$U12)*('Rhaniad y Ddeiliadaeth (Gog)'!F$110/40)))</f>
        <v>#VALUE!</v>
      </c>
      <c r="AA12" s="4" t="e">
        <f>Z12*(1+'Rhaniad y Ddeiliadaeth (Gog)'!G$109)+(Z$44*(-(50-$U12)*('Rhaniad y Ddeiliadaeth (Gog)'!G$110/40)))</f>
        <v>#VALUE!</v>
      </c>
      <c r="AC12" s="260">
        <v>18</v>
      </c>
      <c r="AD12" s="4">
        <f>IF('Rhaniad y Ddeiliadaeth (Cymru)'!$D$8="Amcangyfrifon LlC",'Incwm (Gogledd)'!E12,'Incwm (Gogledd)'!W12)</f>
        <v>14621.476519445201</v>
      </c>
      <c r="AE12" s="4">
        <f>IF('Rhaniad y Ddeiliadaeth (Cymru)'!$D$8="Amcangyfrifon LlC",'Incwm (Gogledd)'!F12,'Incwm (Gogledd)'!X12)</f>
        <v>14908.81602774258</v>
      </c>
      <c r="AF12" s="4">
        <f>IF('Rhaniad y Ddeiliadaeth (Cymru)'!$D$8="Amcangyfrifon LlC",'Incwm (Gogledd)'!G12,'Incwm (Gogledd)'!Y12)</f>
        <v>15197.249588521096</v>
      </c>
      <c r="AG12" s="4">
        <f>IF('Rhaniad y Ddeiliadaeth (Cymru)'!$D$8="Amcangyfrifon LlC",'Incwm (Gogledd)'!H12,'Incwm (Gogledd)'!Z12)</f>
        <v>15495.688346910338</v>
      </c>
      <c r="AH12" s="4">
        <f>IF('Rhaniad y Ddeiliadaeth (Cymru)'!$D$8="Amcangyfrifon LlC",'Incwm (Gogledd)'!I12,'Incwm (Gogledd)'!AA12)</f>
        <v>15793.646501416102</v>
      </c>
    </row>
    <row r="13" spans="2:34" x14ac:dyDescent="0.35">
      <c r="B13" s="251">
        <v>19</v>
      </c>
      <c r="C13" s="258">
        <v>14500.19</v>
      </c>
      <c r="D13" s="258">
        <v>14852.678974845267</v>
      </c>
      <c r="E13" s="278">
        <f>D13*(1+'Rhaniad y Ddeiliadaeth (Gog)'!C$109)+(D$44*(-(50-$B13)*('Rhaniad y Ddeiliadaeth (Gog)'!C$110/40)))</f>
        <v>14983.496402329802</v>
      </c>
      <c r="F13" s="278">
        <f>E13*(1+'Rhaniad y Ddeiliadaeth (Gog)'!D$109)+(E$44*(-(50-$B13)*('Rhaniad y Ddeiliadaeth (Gog)'!D$110/40)))</f>
        <v>15289.924914474601</v>
      </c>
      <c r="G13" s="278">
        <f>F13*(1+'Rhaniad y Ddeiliadaeth (Gog)'!E$109)+(F$44*(-(50-$B13)*('Rhaniad y Ddeiliadaeth (Gog)'!E$110/40)))</f>
        <v>15598.294257935844</v>
      </c>
      <c r="H13" s="278">
        <f>G13*(1+'Rhaniad y Ddeiliadaeth (Gog)'!F$109)+(G$44*(-(50-$B13)*('Rhaniad y Ddeiliadaeth (Gog)'!F$110/40)))</f>
        <v>15917.789667549101</v>
      </c>
      <c r="I13" s="279">
        <f>H13*(1+'Rhaniad y Ddeiliadaeth (Gog)'!G$109)+(H$44*(-(50-$B13)*('Rhaniad y Ddeiliadaeth (Gog)'!G$110/40)))</f>
        <v>16237.703700964239</v>
      </c>
      <c r="M13" s="36" t="str">
        <f t="shared" si="1"/>
        <v/>
      </c>
      <c r="N13" s="190"/>
      <c r="O13" s="24">
        <f t="shared" si="4"/>
        <v>1</v>
      </c>
      <c r="U13" s="1">
        <f t="shared" si="2"/>
        <v>19</v>
      </c>
      <c r="V13" s="4" t="str">
        <f t="shared" si="3"/>
        <v/>
      </c>
      <c r="W13" s="4" t="e">
        <f>IF($W$3=$N$3,N13,V13*(1+'Rhaniad y Ddeiliadaeth (Gog)'!C$109)+(V$44*(-(50-$U13)*('Rhaniad y Ddeiliadaeth (Gog)'!C$110/40))))</f>
        <v>#VALUE!</v>
      </c>
      <c r="X13" s="4" t="e">
        <f>W13*(1+'Rhaniad y Ddeiliadaeth (Gog)'!D$109)+(W$44*(-(50-$U13)*('Rhaniad y Ddeiliadaeth (Gog)'!D$110/40)))</f>
        <v>#VALUE!</v>
      </c>
      <c r="Y13" s="4" t="e">
        <f>X13*(1+'Rhaniad y Ddeiliadaeth (Gog)'!E$109)+(X$44*(-(50-$U13)*('Rhaniad y Ddeiliadaeth (Gog)'!E$110/40)))</f>
        <v>#VALUE!</v>
      </c>
      <c r="Z13" s="4" t="e">
        <f>Y13*(1+'Rhaniad y Ddeiliadaeth (Gog)'!F$109)+(Y$44*(-(50-$U13)*('Rhaniad y Ddeiliadaeth (Gog)'!F$110/40)))</f>
        <v>#VALUE!</v>
      </c>
      <c r="AA13" s="4" t="e">
        <f>Z13*(1+'Rhaniad y Ddeiliadaeth (Gog)'!G$109)+(Z$44*(-(50-$U13)*('Rhaniad y Ddeiliadaeth (Gog)'!G$110/40)))</f>
        <v>#VALUE!</v>
      </c>
      <c r="AC13" s="260">
        <v>19</v>
      </c>
      <c r="AD13" s="4">
        <f>IF('Rhaniad y Ddeiliadaeth (Cymru)'!$D$8="Amcangyfrifon LlC",'Incwm (Gogledd)'!E13,'Incwm (Gogledd)'!W13)</f>
        <v>14983.496402329802</v>
      </c>
      <c r="AE13" s="4">
        <f>IF('Rhaniad y Ddeiliadaeth (Cymru)'!$D$8="Amcangyfrifon LlC",'Incwm (Gogledd)'!F13,'Incwm (Gogledd)'!X13)</f>
        <v>15289.924914474601</v>
      </c>
      <c r="AF13" s="4">
        <f>IF('Rhaniad y Ddeiliadaeth (Cymru)'!$D$8="Amcangyfrifon LlC",'Incwm (Gogledd)'!G13,'Incwm (Gogledd)'!Y13)</f>
        <v>15598.294257935844</v>
      </c>
      <c r="AG13" s="4">
        <f>IF('Rhaniad y Ddeiliadaeth (Cymru)'!$D$8="Amcangyfrifon LlC",'Incwm (Gogledd)'!H13,'Incwm (Gogledd)'!Z13)</f>
        <v>15917.789667549101</v>
      </c>
      <c r="AH13" s="4">
        <f>IF('Rhaniad y Ddeiliadaeth (Cymru)'!$D$8="Amcangyfrifon LlC",'Incwm (Gogledd)'!I13,'Incwm (Gogledd)'!AA13)</f>
        <v>16237.703700964239</v>
      </c>
    </row>
    <row r="14" spans="2:34" x14ac:dyDescent="0.35">
      <c r="B14" s="251">
        <v>20</v>
      </c>
      <c r="C14" s="258">
        <v>14820</v>
      </c>
      <c r="D14" s="258">
        <v>15199.479569246932</v>
      </c>
      <c r="E14" s="278">
        <f>D14*(1+'Rhaniad y Ddeiliadaeth (Gog)'!C$109)+(D$44*(-(50-$B14)*('Rhaniad y Ddeiliadaeth (Gog)'!C$110/40)))</f>
        <v>15344.615817129217</v>
      </c>
      <c r="F14" s="278">
        <f>E14*(1+'Rhaniad y Ddeiliadaeth (Gog)'!D$109)+(E$44*(-(50-$B14)*('Rhaniad y Ddeiliadaeth (Gog)'!D$110/40)))</f>
        <v>15670.102470501575</v>
      </c>
      <c r="G14" s="278">
        <f>F14*(1+'Rhaniad y Ddeiliadaeth (Gog)'!E$109)+(F$44*(-(50-$B14)*('Rhaniad y Ddeiliadaeth (Gog)'!E$110/40)))</f>
        <v>15998.375765355751</v>
      </c>
      <c r="H14" s="278">
        <f>G14*(1+'Rhaniad y Ddeiliadaeth (Gog)'!F$109)+(G$44*(-(50-$B14)*('Rhaniad y Ddeiliadaeth (Gog)'!F$110/40)))</f>
        <v>16338.894418661655</v>
      </c>
      <c r="I14" s="279">
        <f>H14*(1+'Rhaniad y Ddeiliadaeth (Gog)'!G$109)+(H$44*(-(50-$B14)*('Rhaniad y Ddeiliadaeth (Gog)'!G$110/40)))</f>
        <v>16680.729951221405</v>
      </c>
      <c r="M14" s="36" t="str">
        <f t="shared" si="1"/>
        <v/>
      </c>
      <c r="N14" s="190"/>
      <c r="O14" s="24">
        <f t="shared" si="4"/>
        <v>1</v>
      </c>
      <c r="U14" s="1">
        <f t="shared" si="2"/>
        <v>20</v>
      </c>
      <c r="V14" s="4" t="str">
        <f t="shared" si="3"/>
        <v/>
      </c>
      <c r="W14" s="4" t="e">
        <f>IF($W$3=$N$3,N14,V14*(1+'Rhaniad y Ddeiliadaeth (Gog)'!C$109)+(V$44*(-(50-$U14)*('Rhaniad y Ddeiliadaeth (Gog)'!C$110/40))))</f>
        <v>#VALUE!</v>
      </c>
      <c r="X14" s="4" t="e">
        <f>W14*(1+'Rhaniad y Ddeiliadaeth (Gog)'!D$109)+(W$44*(-(50-$U14)*('Rhaniad y Ddeiliadaeth (Gog)'!D$110/40)))</f>
        <v>#VALUE!</v>
      </c>
      <c r="Y14" s="4" t="e">
        <f>X14*(1+'Rhaniad y Ddeiliadaeth (Gog)'!E$109)+(X$44*(-(50-$U14)*('Rhaniad y Ddeiliadaeth (Gog)'!E$110/40)))</f>
        <v>#VALUE!</v>
      </c>
      <c r="Z14" s="4" t="e">
        <f>Y14*(1+'Rhaniad y Ddeiliadaeth (Gog)'!F$109)+(Y$44*(-(50-$U14)*('Rhaniad y Ddeiliadaeth (Gog)'!F$110/40)))</f>
        <v>#VALUE!</v>
      </c>
      <c r="AA14" s="4" t="e">
        <f>Z14*(1+'Rhaniad y Ddeiliadaeth (Gog)'!G$109)+(Z$44*(-(50-$U14)*('Rhaniad y Ddeiliadaeth (Gog)'!G$110/40)))</f>
        <v>#VALUE!</v>
      </c>
      <c r="AC14" s="260">
        <v>20</v>
      </c>
      <c r="AD14" s="4">
        <f>IF('Rhaniad y Ddeiliadaeth (Cymru)'!$D$8="Amcangyfrifon LlC",'Incwm (Gogledd)'!E14,'Incwm (Gogledd)'!W14)</f>
        <v>15344.615817129217</v>
      </c>
      <c r="AE14" s="4">
        <f>IF('Rhaniad y Ddeiliadaeth (Cymru)'!$D$8="Amcangyfrifon LlC",'Incwm (Gogledd)'!F14,'Incwm (Gogledd)'!X14)</f>
        <v>15670.102470501575</v>
      </c>
      <c r="AF14" s="4">
        <f>IF('Rhaniad y Ddeiliadaeth (Cymru)'!$D$8="Amcangyfrifon LlC",'Incwm (Gogledd)'!G14,'Incwm (Gogledd)'!Y14)</f>
        <v>15998.375765355751</v>
      </c>
      <c r="AG14" s="4">
        <f>IF('Rhaniad y Ddeiliadaeth (Cymru)'!$D$8="Amcangyfrifon LlC",'Incwm (Gogledd)'!H14,'Incwm (Gogledd)'!Z14)</f>
        <v>16338.894418661655</v>
      </c>
      <c r="AH14" s="4">
        <f>IF('Rhaniad y Ddeiliadaeth (Cymru)'!$D$8="Amcangyfrifon LlC",'Incwm (Gogledd)'!I14,'Incwm (Gogledd)'!AA14)</f>
        <v>16680.729951221405</v>
      </c>
    </row>
    <row r="15" spans="2:34" x14ac:dyDescent="0.35">
      <c r="B15" s="251">
        <v>21</v>
      </c>
      <c r="C15" s="258">
        <v>14970.1</v>
      </c>
      <c r="D15" s="258">
        <v>15353.423016166229</v>
      </c>
      <c r="E15" s="278">
        <f>D15*(1+'Rhaniad y Ddeiliadaeth (Gog)'!C$109)+(D$44*(-(50-$B15)*('Rhaniad y Ddeiliadaeth (Gog)'!C$110/40)))</f>
        <v>15508.5491770809</v>
      </c>
      <c r="F15" s="278">
        <f>E15*(1+'Rhaniad y Ddeiliadaeth (Gog)'!D$109)+(E$44*(-(50-$B15)*('Rhaniad y Ddeiliadaeth (Gog)'!D$110/40)))</f>
        <v>15846.33562193645</v>
      </c>
      <c r="G15" s="278">
        <f>F15*(1+'Rhaniad y Ddeiliadaeth (Gog)'!E$109)+(F$44*(-(50-$B15)*('Rhaniad y Ddeiliadaeth (Gog)'!E$110/40)))</f>
        <v>16187.542397426341</v>
      </c>
      <c r="H15" s="278">
        <f>G15*(1+'Rhaniad y Ddeiliadaeth (Gog)'!F$109)+(G$44*(-(50-$B15)*('Rhaniad y Ddeiliadaeth (Gog)'!F$110/40)))</f>
        <v>16541.768655569507</v>
      </c>
      <c r="I15" s="279">
        <f>H15*(1+'Rhaniad y Ddeiliadaeth (Gog)'!G$109)+(H$44*(-(50-$B15)*('Rhaniad y Ddeiliadaeth (Gog)'!G$110/40)))</f>
        <v>16897.997147070804</v>
      </c>
      <c r="M15" s="36" t="str">
        <f t="shared" si="1"/>
        <v/>
      </c>
      <c r="N15" s="190"/>
      <c r="O15" s="24">
        <f t="shared" si="4"/>
        <v>1</v>
      </c>
      <c r="U15" s="1">
        <f t="shared" si="2"/>
        <v>21</v>
      </c>
      <c r="V15" s="4" t="str">
        <f t="shared" si="3"/>
        <v/>
      </c>
      <c r="W15" s="4" t="e">
        <f>IF($W$3=$N$3,N15,V15*(1+'Rhaniad y Ddeiliadaeth (Gog)'!C$109)+(V$44*(-(50-$U15)*('Rhaniad y Ddeiliadaeth (Gog)'!C$110/40))))</f>
        <v>#VALUE!</v>
      </c>
      <c r="X15" s="4" t="e">
        <f>W15*(1+'Rhaniad y Ddeiliadaeth (Gog)'!D$109)+(W$44*(-(50-$U15)*('Rhaniad y Ddeiliadaeth (Gog)'!D$110/40)))</f>
        <v>#VALUE!</v>
      </c>
      <c r="Y15" s="4" t="e">
        <f>X15*(1+'Rhaniad y Ddeiliadaeth (Gog)'!E$109)+(X$44*(-(50-$U15)*('Rhaniad y Ddeiliadaeth (Gog)'!E$110/40)))</f>
        <v>#VALUE!</v>
      </c>
      <c r="Z15" s="4" t="e">
        <f>Y15*(1+'Rhaniad y Ddeiliadaeth (Gog)'!F$109)+(Y$44*(-(50-$U15)*('Rhaniad y Ddeiliadaeth (Gog)'!F$110/40)))</f>
        <v>#VALUE!</v>
      </c>
      <c r="AA15" s="4" t="e">
        <f>Z15*(1+'Rhaniad y Ddeiliadaeth (Gog)'!G$109)+(Z$44*(-(50-$U15)*('Rhaniad y Ddeiliadaeth (Gog)'!G$110/40)))</f>
        <v>#VALUE!</v>
      </c>
      <c r="AC15" s="260">
        <v>21</v>
      </c>
      <c r="AD15" s="4">
        <f>IF('Rhaniad y Ddeiliadaeth (Cymru)'!$D$8="Amcangyfrifon LlC",'Incwm (Gogledd)'!E15,'Incwm (Gogledd)'!W15)</f>
        <v>15508.5491770809</v>
      </c>
      <c r="AE15" s="4">
        <f>IF('Rhaniad y Ddeiliadaeth (Cymru)'!$D$8="Amcangyfrifon LlC",'Incwm (Gogledd)'!F15,'Incwm (Gogledd)'!X15)</f>
        <v>15846.33562193645</v>
      </c>
      <c r="AF15" s="4">
        <f>IF('Rhaniad y Ddeiliadaeth (Cymru)'!$D$8="Amcangyfrifon LlC",'Incwm (Gogledd)'!G15,'Incwm (Gogledd)'!Y15)</f>
        <v>16187.542397426341</v>
      </c>
      <c r="AG15" s="4">
        <f>IF('Rhaniad y Ddeiliadaeth (Cymru)'!$D$8="Amcangyfrifon LlC",'Incwm (Gogledd)'!H15,'Incwm (Gogledd)'!Z15)</f>
        <v>16541.768655569507</v>
      </c>
      <c r="AH15" s="4">
        <f>IF('Rhaniad y Ddeiliadaeth (Cymru)'!$D$8="Amcangyfrifon LlC",'Incwm (Gogledd)'!I15,'Incwm (Gogledd)'!AA15)</f>
        <v>16897.997147070804</v>
      </c>
    </row>
    <row r="16" spans="2:34" x14ac:dyDescent="0.35">
      <c r="B16" s="251">
        <v>22</v>
      </c>
      <c r="C16" s="258">
        <v>14970.1</v>
      </c>
      <c r="D16" s="258">
        <v>15353.423016166229</v>
      </c>
      <c r="E16" s="278">
        <f>D16*(1+'Rhaniad y Ddeiliadaeth (Gog)'!C$109)+(D$44*(-(50-$B16)*('Rhaniad y Ddeiliadaeth (Gog)'!C$110/40)))</f>
        <v>15515.083646900952</v>
      </c>
      <c r="F16" s="278">
        <f>E16*(1+'Rhaniad y Ddeiliadaeth (Gog)'!D$109)+(E$44*(-(50-$B16)*('Rhaniad y Ddeiliadaeth (Gog)'!D$110/40)))</f>
        <v>15859.775197749866</v>
      </c>
      <c r="G16" s="278">
        <f>F16*(1+'Rhaniad y Ddeiliadaeth (Gog)'!E$109)+(F$44*(-(50-$B16)*('Rhaniad y Ddeiliadaeth (Gog)'!E$110/40)))</f>
        <v>16208.351448034751</v>
      </c>
      <c r="H16" s="278">
        <f>G16*(1+'Rhaniad y Ddeiliadaeth (Gog)'!F$109)+(G$44*(-(50-$B16)*('Rhaniad y Ddeiliadaeth (Gog)'!F$110/40)))</f>
        <v>16570.445783279141</v>
      </c>
      <c r="I16" s="279">
        <f>H16*(1+'Rhaniad y Ddeiliadaeth (Gog)'!G$109)+(H$44*(-(50-$B16)*('Rhaniad y Ddeiliadaeth (Gog)'!G$110/40)))</f>
        <v>16935.057762752105</v>
      </c>
      <c r="M16" s="36" t="str">
        <f t="shared" si="1"/>
        <v/>
      </c>
      <c r="N16" s="190"/>
      <c r="O16" s="24">
        <f t="shared" si="4"/>
        <v>1</v>
      </c>
      <c r="U16" s="1">
        <f t="shared" si="2"/>
        <v>22</v>
      </c>
      <c r="V16" s="4" t="str">
        <f t="shared" si="3"/>
        <v/>
      </c>
      <c r="W16" s="4" t="e">
        <f>IF($W$3=$N$3,N16,V16*(1+'Rhaniad y Ddeiliadaeth (Gog)'!C$109)+(V$44*(-(50-$U16)*('Rhaniad y Ddeiliadaeth (Gog)'!C$110/40))))</f>
        <v>#VALUE!</v>
      </c>
      <c r="X16" s="4" t="e">
        <f>W16*(1+'Rhaniad y Ddeiliadaeth (Gog)'!D$109)+(W$44*(-(50-$U16)*('Rhaniad y Ddeiliadaeth (Gog)'!D$110/40)))</f>
        <v>#VALUE!</v>
      </c>
      <c r="Y16" s="4" t="e">
        <f>X16*(1+'Rhaniad y Ddeiliadaeth (Gog)'!E$109)+(X$44*(-(50-$U16)*('Rhaniad y Ddeiliadaeth (Gog)'!E$110/40)))</f>
        <v>#VALUE!</v>
      </c>
      <c r="Z16" s="4" t="e">
        <f>Y16*(1+'Rhaniad y Ddeiliadaeth (Gog)'!F$109)+(Y$44*(-(50-$U16)*('Rhaniad y Ddeiliadaeth (Gog)'!F$110/40)))</f>
        <v>#VALUE!</v>
      </c>
      <c r="AA16" s="4" t="e">
        <f>Z16*(1+'Rhaniad y Ddeiliadaeth (Gog)'!G$109)+(Z$44*(-(50-$U16)*('Rhaniad y Ddeiliadaeth (Gog)'!G$110/40)))</f>
        <v>#VALUE!</v>
      </c>
      <c r="AC16" s="260">
        <v>22</v>
      </c>
      <c r="AD16" s="4">
        <f>IF('Rhaniad y Ddeiliadaeth (Cymru)'!$D$8="Amcangyfrifon LlC",'Incwm (Gogledd)'!E16,'Incwm (Gogledd)'!W16)</f>
        <v>15515.083646900952</v>
      </c>
      <c r="AE16" s="4">
        <f>IF('Rhaniad y Ddeiliadaeth (Cymru)'!$D$8="Amcangyfrifon LlC",'Incwm (Gogledd)'!F16,'Incwm (Gogledd)'!X16)</f>
        <v>15859.775197749866</v>
      </c>
      <c r="AF16" s="4">
        <f>IF('Rhaniad y Ddeiliadaeth (Cymru)'!$D$8="Amcangyfrifon LlC",'Incwm (Gogledd)'!G16,'Incwm (Gogledd)'!Y16)</f>
        <v>16208.351448034751</v>
      </c>
      <c r="AG16" s="4">
        <f>IF('Rhaniad y Ddeiliadaeth (Cymru)'!$D$8="Amcangyfrifon LlC",'Incwm (Gogledd)'!H16,'Incwm (Gogledd)'!Z16)</f>
        <v>16570.445783279141</v>
      </c>
      <c r="AH16" s="4">
        <f>IF('Rhaniad y Ddeiliadaeth (Cymru)'!$D$8="Amcangyfrifon LlC",'Incwm (Gogledd)'!I16,'Incwm (Gogledd)'!AA16)</f>
        <v>16935.057762752105</v>
      </c>
    </row>
    <row r="17" spans="2:34" x14ac:dyDescent="0.35">
      <c r="B17" s="251">
        <v>23</v>
      </c>
      <c r="C17" s="258">
        <v>15070.1</v>
      </c>
      <c r="D17" s="258">
        <v>15455.983607051836</v>
      </c>
      <c r="E17" s="278">
        <f>D17*(1+'Rhaniad y Ddeiliadaeth (Gog)'!C$109)+(D$44*(-(50-$B17)*('Rhaniad y Ddeiliadaeth (Gog)'!C$110/40)))</f>
        <v>15626.480801685446</v>
      </c>
      <c r="F17" s="278">
        <f>E17*(1+'Rhaniad y Ddeiliadaeth (Gog)'!D$109)+(E$44*(-(50-$B17)*('Rhaniad y Ddeiliadaeth (Gog)'!D$110/40)))</f>
        <v>15981.671519480307</v>
      </c>
      <c r="G17" s="278">
        <f>F17*(1+'Rhaniad y Ddeiliadaeth (Gog)'!E$109)+(F$44*(-(50-$B17)*('Rhaniad y Ddeiliadaeth (Gog)'!E$110/40)))</f>
        <v>16341.324110543344</v>
      </c>
      <c r="H17" s="278">
        <f>G17*(1+'Rhaniad y Ddeiliadaeth (Gog)'!F$109)+(G$44*(-(50-$B17)*('Rhaniad y Ddeiliadaeth (Gog)'!F$110/40)))</f>
        <v>16715.176947763062</v>
      </c>
      <c r="I17" s="279">
        <f>H17*(1+'Rhaniad y Ddeiliadaeth (Gog)'!G$109)+(H$44*(-(50-$B17)*('Rhaniad y Ddeiliadaeth (Gog)'!G$110/40)))</f>
        <v>17092.176060091024</v>
      </c>
      <c r="M17" s="36" t="str">
        <f t="shared" si="1"/>
        <v/>
      </c>
      <c r="N17" s="190"/>
      <c r="O17" s="24">
        <f t="shared" si="4"/>
        <v>1</v>
      </c>
      <c r="U17" s="1">
        <f t="shared" si="2"/>
        <v>23</v>
      </c>
      <c r="V17" s="4" t="str">
        <f t="shared" si="3"/>
        <v/>
      </c>
      <c r="W17" s="4" t="e">
        <f>IF($W$3=$N$3,N17,V17*(1+'Rhaniad y Ddeiliadaeth (Gog)'!C$109)+(V$44*(-(50-$U17)*('Rhaniad y Ddeiliadaeth (Gog)'!C$110/40))))</f>
        <v>#VALUE!</v>
      </c>
      <c r="X17" s="4" t="e">
        <f>W17*(1+'Rhaniad y Ddeiliadaeth (Gog)'!D$109)+(W$44*(-(50-$U17)*('Rhaniad y Ddeiliadaeth (Gog)'!D$110/40)))</f>
        <v>#VALUE!</v>
      </c>
      <c r="Y17" s="4" t="e">
        <f>X17*(1+'Rhaniad y Ddeiliadaeth (Gog)'!E$109)+(X$44*(-(50-$U17)*('Rhaniad y Ddeiliadaeth (Gog)'!E$110/40)))</f>
        <v>#VALUE!</v>
      </c>
      <c r="Z17" s="4" t="e">
        <f>Y17*(1+'Rhaniad y Ddeiliadaeth (Gog)'!F$109)+(Y$44*(-(50-$U17)*('Rhaniad y Ddeiliadaeth (Gog)'!F$110/40)))</f>
        <v>#VALUE!</v>
      </c>
      <c r="AA17" s="4" t="e">
        <f>Z17*(1+'Rhaniad y Ddeiliadaeth (Gog)'!G$109)+(Z$44*(-(50-$U17)*('Rhaniad y Ddeiliadaeth (Gog)'!G$110/40)))</f>
        <v>#VALUE!</v>
      </c>
      <c r="AC17" s="260">
        <v>23</v>
      </c>
      <c r="AD17" s="4">
        <f>IF('Rhaniad y Ddeiliadaeth (Cymru)'!$D$8="Amcangyfrifon LlC",'Incwm (Gogledd)'!E17,'Incwm (Gogledd)'!W17)</f>
        <v>15626.480801685446</v>
      </c>
      <c r="AE17" s="4">
        <f>IF('Rhaniad y Ddeiliadaeth (Cymru)'!$D$8="Amcangyfrifon LlC",'Incwm (Gogledd)'!F17,'Incwm (Gogledd)'!X17)</f>
        <v>15981.671519480307</v>
      </c>
      <c r="AF17" s="4">
        <f>IF('Rhaniad y Ddeiliadaeth (Cymru)'!$D$8="Amcangyfrifon LlC",'Incwm (Gogledd)'!G17,'Incwm (Gogledd)'!Y17)</f>
        <v>16341.324110543344</v>
      </c>
      <c r="AG17" s="4">
        <f>IF('Rhaniad y Ddeiliadaeth (Cymru)'!$D$8="Amcangyfrifon LlC",'Incwm (Gogledd)'!H17,'Incwm (Gogledd)'!Z17)</f>
        <v>16715.176947763062</v>
      </c>
      <c r="AH17" s="4">
        <f>IF('Rhaniad y Ddeiliadaeth (Cymru)'!$D$8="Amcangyfrifon LlC",'Incwm (Gogledd)'!I17,'Incwm (Gogledd)'!AA17)</f>
        <v>17092.176060091024</v>
      </c>
    </row>
    <row r="18" spans="2:34" x14ac:dyDescent="0.35">
      <c r="B18" s="251">
        <v>24</v>
      </c>
      <c r="C18" s="258">
        <v>15137.5</v>
      </c>
      <c r="D18" s="258">
        <v>15525.109445308733</v>
      </c>
      <c r="E18" s="278">
        <f>D18*(1+'Rhaniad y Ddeiliadaeth (Gog)'!C$109)+(D$44*(-(50-$B18)*('Rhaniad y Ddeiliadaeth (Gog)'!C$110/40)))</f>
        <v>15703.692721171532</v>
      </c>
      <c r="F18" s="278">
        <f>E18*(1+'Rhaniad y Ddeiliadaeth (Gog)'!D$109)+(E$44*(-(50-$B18)*('Rhaniad y Ddeiliadaeth (Gog)'!D$110/40)))</f>
        <v>16068.2109420418</v>
      </c>
      <c r="G18" s="278">
        <f>F18*(1+'Rhaniad y Ddeiliadaeth (Gog)'!E$109)+(F$44*(-(50-$B18)*('Rhaniad y Ddeiliadaeth (Gog)'!E$110/40)))</f>
        <v>16437.731435572474</v>
      </c>
      <c r="H18" s="278">
        <f>G18*(1+'Rhaniad y Ddeiliadaeth (Gog)'!F$109)+(G$44*(-(50-$B18)*('Rhaniad y Ddeiliadaeth (Gog)'!F$110/40)))</f>
        <v>16822.074496258563</v>
      </c>
      <c r="I18" s="279">
        <f>H18*(1+'Rhaniad y Ddeiliadaeth (Gog)'!G$109)+(H$44*(-(50-$B18)*('Rhaniad y Ddeiliadaeth (Gog)'!G$110/40)))</f>
        <v>17210.155553209559</v>
      </c>
      <c r="M18" s="36" t="str">
        <f t="shared" si="1"/>
        <v/>
      </c>
      <c r="N18" s="190"/>
      <c r="O18" s="24">
        <f t="shared" si="4"/>
        <v>1</v>
      </c>
      <c r="U18" s="1">
        <f t="shared" si="2"/>
        <v>24</v>
      </c>
      <c r="V18" s="4" t="str">
        <f t="shared" si="3"/>
        <v/>
      </c>
      <c r="W18" s="4" t="e">
        <f>IF($W$3=$N$3,N18,V18*(1+'Rhaniad y Ddeiliadaeth (Gog)'!C$109)+(V$44*(-(50-$U18)*('Rhaniad y Ddeiliadaeth (Gog)'!C$110/40))))</f>
        <v>#VALUE!</v>
      </c>
      <c r="X18" s="4" t="e">
        <f>W18*(1+'Rhaniad y Ddeiliadaeth (Gog)'!D$109)+(W$44*(-(50-$U18)*('Rhaniad y Ddeiliadaeth (Gog)'!D$110/40)))</f>
        <v>#VALUE!</v>
      </c>
      <c r="Y18" s="4" t="e">
        <f>X18*(1+'Rhaniad y Ddeiliadaeth (Gog)'!E$109)+(X$44*(-(50-$U18)*('Rhaniad y Ddeiliadaeth (Gog)'!E$110/40)))</f>
        <v>#VALUE!</v>
      </c>
      <c r="Z18" s="4" t="e">
        <f>Y18*(1+'Rhaniad y Ddeiliadaeth (Gog)'!F$109)+(Y$44*(-(50-$U18)*('Rhaniad y Ddeiliadaeth (Gog)'!F$110/40)))</f>
        <v>#VALUE!</v>
      </c>
      <c r="AA18" s="4" t="e">
        <f>Z18*(1+'Rhaniad y Ddeiliadaeth (Gog)'!G$109)+(Z$44*(-(50-$U18)*('Rhaniad y Ddeiliadaeth (Gog)'!G$110/40)))</f>
        <v>#VALUE!</v>
      </c>
      <c r="AC18" s="260">
        <v>24</v>
      </c>
      <c r="AD18" s="4">
        <f>IF('Rhaniad y Ddeiliadaeth (Cymru)'!$D$8="Amcangyfrifon LlC",'Incwm (Gogledd)'!E18,'Incwm (Gogledd)'!W18)</f>
        <v>15703.692721171532</v>
      </c>
      <c r="AE18" s="4">
        <f>IF('Rhaniad y Ddeiliadaeth (Cymru)'!$D$8="Amcangyfrifon LlC",'Incwm (Gogledd)'!F18,'Incwm (Gogledd)'!X18)</f>
        <v>16068.2109420418</v>
      </c>
      <c r="AF18" s="4">
        <f>IF('Rhaniad y Ddeiliadaeth (Cymru)'!$D$8="Amcangyfrifon LlC",'Incwm (Gogledd)'!G18,'Incwm (Gogledd)'!Y18)</f>
        <v>16437.731435572474</v>
      </c>
      <c r="AG18" s="4">
        <f>IF('Rhaniad y Ddeiliadaeth (Cymru)'!$D$8="Amcangyfrifon LlC",'Incwm (Gogledd)'!H18,'Incwm (Gogledd)'!Z18)</f>
        <v>16822.074496258563</v>
      </c>
      <c r="AH18" s="4">
        <f>IF('Rhaniad y Ddeiliadaeth (Cymru)'!$D$8="Amcangyfrifon LlC",'Incwm (Gogledd)'!I18,'Incwm (Gogledd)'!AA18)</f>
        <v>17210.155553209559</v>
      </c>
    </row>
    <row r="19" spans="2:34" x14ac:dyDescent="0.35">
      <c r="B19" s="251">
        <v>25</v>
      </c>
      <c r="C19" s="258">
        <v>15434.5</v>
      </c>
      <c r="D19" s="258">
        <v>15829.714400238985</v>
      </c>
      <c r="E19" s="278">
        <f>D19*(1+'Rhaniad y Ddeiliadaeth (Gog)'!C$109)+(D$44*(-(50-$B19)*('Rhaniad y Ddeiliadaeth (Gog)'!C$110/40)))</f>
        <v>16021.669365335983</v>
      </c>
      <c r="F19" s="278">
        <f>E19*(1+'Rhaniad y Ddeiliadaeth (Gog)'!D$109)+(E$44*(-(50-$B19)*('Rhaniad y Ddeiliadaeth (Gog)'!D$110/40)))</f>
        <v>16403.767053228792</v>
      </c>
      <c r="G19" s="278">
        <f>F19*(1+'Rhaniad y Ddeiliadaeth (Gog)'!E$109)+(F$44*(-(50-$B19)*('Rhaniad y Ddeiliadaeth (Gog)'!E$110/40)))</f>
        <v>16791.666413524439</v>
      </c>
      <c r="H19" s="278">
        <f>G19*(1+'Rhaniad y Ddeiliadaeth (Gog)'!F$109)+(G$44*(-(50-$B19)*('Rhaniad y Ddeiliadaeth (Gog)'!F$110/40)))</f>
        <v>17195.43211318785</v>
      </c>
      <c r="I19" s="279">
        <f>H19*(1+'Rhaniad y Ddeiliadaeth (Gog)'!G$109)+(H$44*(-(50-$B19)*('Rhaniad y Ddeiliadaeth (Gog)'!G$110/40)))</f>
        <v>17603.787483414009</v>
      </c>
      <c r="M19" s="36" t="str">
        <f t="shared" si="1"/>
        <v/>
      </c>
      <c r="N19" s="190"/>
      <c r="O19" s="24">
        <f t="shared" si="4"/>
        <v>1</v>
      </c>
      <c r="U19" s="1">
        <f t="shared" si="2"/>
        <v>25</v>
      </c>
      <c r="V19" s="4" t="str">
        <f t="shared" si="3"/>
        <v/>
      </c>
      <c r="W19" s="4" t="e">
        <f>IF($W$3=$N$3,N19,V19*(1+'Rhaniad y Ddeiliadaeth (Gog)'!C$109)+(V$44*(-(50-$U19)*('Rhaniad y Ddeiliadaeth (Gog)'!C$110/40))))</f>
        <v>#VALUE!</v>
      </c>
      <c r="X19" s="4" t="e">
        <f>W19*(1+'Rhaniad y Ddeiliadaeth (Gog)'!D$109)+(W$44*(-(50-$U19)*('Rhaniad y Ddeiliadaeth (Gog)'!D$110/40)))</f>
        <v>#VALUE!</v>
      </c>
      <c r="Y19" s="4" t="e">
        <f>X19*(1+'Rhaniad y Ddeiliadaeth (Gog)'!E$109)+(X$44*(-(50-$U19)*('Rhaniad y Ddeiliadaeth (Gog)'!E$110/40)))</f>
        <v>#VALUE!</v>
      </c>
      <c r="Z19" s="4" t="e">
        <f>Y19*(1+'Rhaniad y Ddeiliadaeth (Gog)'!F$109)+(Y$44*(-(50-$U19)*('Rhaniad y Ddeiliadaeth (Gog)'!F$110/40)))</f>
        <v>#VALUE!</v>
      </c>
      <c r="AA19" s="4" t="e">
        <f>Z19*(1+'Rhaniad y Ddeiliadaeth (Gog)'!G$109)+(Z$44*(-(50-$U19)*('Rhaniad y Ddeiliadaeth (Gog)'!G$110/40)))</f>
        <v>#VALUE!</v>
      </c>
      <c r="AC19" s="260">
        <v>25</v>
      </c>
      <c r="AD19" s="4">
        <f>IF('Rhaniad y Ddeiliadaeth (Cymru)'!$D$8="Amcangyfrifon LlC",'Incwm (Gogledd)'!E19,'Incwm (Gogledd)'!W19)</f>
        <v>16021.669365335983</v>
      </c>
      <c r="AE19" s="4">
        <f>IF('Rhaniad y Ddeiliadaeth (Cymru)'!$D$8="Amcangyfrifon LlC",'Incwm (Gogledd)'!F19,'Incwm (Gogledd)'!X19)</f>
        <v>16403.767053228792</v>
      </c>
      <c r="AF19" s="4">
        <f>IF('Rhaniad y Ddeiliadaeth (Cymru)'!$D$8="Amcangyfrifon LlC",'Incwm (Gogledd)'!G19,'Incwm (Gogledd)'!Y19)</f>
        <v>16791.666413524439</v>
      </c>
      <c r="AG19" s="4">
        <f>IF('Rhaniad y Ddeiliadaeth (Cymru)'!$D$8="Amcangyfrifon LlC",'Incwm (Gogledd)'!H19,'Incwm (Gogledd)'!Z19)</f>
        <v>17195.43211318785</v>
      </c>
      <c r="AH19" s="4">
        <f>IF('Rhaniad y Ddeiliadaeth (Cymru)'!$D$8="Amcangyfrifon LlC",'Incwm (Gogledd)'!I19,'Incwm (Gogledd)'!AA19)</f>
        <v>17603.787483414009</v>
      </c>
    </row>
    <row r="20" spans="2:34" x14ac:dyDescent="0.35">
      <c r="B20" s="251">
        <v>26</v>
      </c>
      <c r="C20" s="258">
        <v>15709.6</v>
      </c>
      <c r="D20" s="258">
        <v>16111.858585765291</v>
      </c>
      <c r="E20" s="278">
        <f>D20*(1+'Rhaniad y Ddeiliadaeth (Gog)'!C$109)+(D$44*(-(50-$B20)*('Rhaniad y Ddeiliadaeth (Gog)'!C$110/40)))</f>
        <v>16316.681081493225</v>
      </c>
      <c r="F20" s="278">
        <f>E20*(1+'Rhaniad y Ddeiliadaeth (Gog)'!D$109)+(E$44*(-(50-$B20)*('Rhaniad y Ddeiliadaeth (Gog)'!D$110/40)))</f>
        <v>16715.57113705996</v>
      </c>
      <c r="G20" s="278">
        <f>F20*(1+'Rhaniad y Ddeiliadaeth (Gog)'!E$109)+(F$44*(-(50-$B20)*('Rhaniad y Ddeiliadaeth (Gog)'!E$110/40)))</f>
        <v>17121.037560470271</v>
      </c>
      <c r="H20" s="278">
        <f>G20*(1+'Rhaniad y Ddeiliadaeth (Gog)'!F$109)+(G$44*(-(50-$B20)*('Rhaniad y Ddeiliadaeth (Gog)'!F$110/40)))</f>
        <v>17543.373896063571</v>
      </c>
      <c r="I20" s="279">
        <f>H20*(1+'Rhaniad y Ddeiliadaeth (Gog)'!G$109)+(H$44*(-(50-$B20)*('Rhaniad y Ddeiliadaeth (Gog)'!G$110/40)))</f>
        <v>17971.126781335446</v>
      </c>
      <c r="M20" s="36" t="str">
        <f t="shared" si="1"/>
        <v/>
      </c>
      <c r="N20" s="190"/>
      <c r="O20" s="24">
        <f t="shared" si="4"/>
        <v>1</v>
      </c>
      <c r="U20" s="1">
        <f t="shared" si="2"/>
        <v>26</v>
      </c>
      <c r="V20" s="4" t="str">
        <f t="shared" si="3"/>
        <v/>
      </c>
      <c r="W20" s="4" t="e">
        <f>IF($W$3=$N$3,N20,V20*(1+'Rhaniad y Ddeiliadaeth (Gog)'!C$109)+(V$44*(-(50-$U20)*('Rhaniad y Ddeiliadaeth (Gog)'!C$110/40))))</f>
        <v>#VALUE!</v>
      </c>
      <c r="X20" s="4" t="e">
        <f>W20*(1+'Rhaniad y Ddeiliadaeth (Gog)'!D$109)+(W$44*(-(50-$U20)*('Rhaniad y Ddeiliadaeth (Gog)'!D$110/40)))</f>
        <v>#VALUE!</v>
      </c>
      <c r="Y20" s="4" t="e">
        <f>X20*(1+'Rhaniad y Ddeiliadaeth (Gog)'!E$109)+(X$44*(-(50-$U20)*('Rhaniad y Ddeiliadaeth (Gog)'!E$110/40)))</f>
        <v>#VALUE!</v>
      </c>
      <c r="Z20" s="4" t="e">
        <f>Y20*(1+'Rhaniad y Ddeiliadaeth (Gog)'!F$109)+(Y$44*(-(50-$U20)*('Rhaniad y Ddeiliadaeth (Gog)'!F$110/40)))</f>
        <v>#VALUE!</v>
      </c>
      <c r="AA20" s="4" t="e">
        <f>Z20*(1+'Rhaniad y Ddeiliadaeth (Gog)'!G$109)+(Z$44*(-(50-$U20)*('Rhaniad y Ddeiliadaeth (Gog)'!G$110/40)))</f>
        <v>#VALUE!</v>
      </c>
      <c r="AC20" s="260">
        <v>26</v>
      </c>
      <c r="AD20" s="4">
        <f>IF('Rhaniad y Ddeiliadaeth (Cymru)'!$D$8="Amcangyfrifon LlC",'Incwm (Gogledd)'!E20,'Incwm (Gogledd)'!W20)</f>
        <v>16316.681081493225</v>
      </c>
      <c r="AE20" s="4">
        <f>IF('Rhaniad y Ddeiliadaeth (Cymru)'!$D$8="Amcangyfrifon LlC",'Incwm (Gogledd)'!F20,'Incwm (Gogledd)'!X20)</f>
        <v>16715.57113705996</v>
      </c>
      <c r="AF20" s="4">
        <f>IF('Rhaniad y Ddeiliadaeth (Cymru)'!$D$8="Amcangyfrifon LlC",'Incwm (Gogledd)'!G20,'Incwm (Gogledd)'!Y20)</f>
        <v>17121.037560470271</v>
      </c>
      <c r="AG20" s="4">
        <f>IF('Rhaniad y Ddeiliadaeth (Cymru)'!$D$8="Amcangyfrifon LlC",'Incwm (Gogledd)'!H20,'Incwm (Gogledd)'!Z20)</f>
        <v>17543.373896063571</v>
      </c>
      <c r="AH20" s="4">
        <f>IF('Rhaniad y Ddeiliadaeth (Cymru)'!$D$8="Amcangyfrifon LlC",'Incwm (Gogledd)'!I20,'Incwm (Gogledd)'!AA20)</f>
        <v>17971.126781335446</v>
      </c>
    </row>
    <row r="21" spans="2:34" x14ac:dyDescent="0.35">
      <c r="B21" s="251">
        <v>27</v>
      </c>
      <c r="C21" s="258">
        <v>16001.24</v>
      </c>
      <c r="D21" s="258">
        <v>16410.966293024074</v>
      </c>
      <c r="E21" s="278">
        <f>D21*(1+'Rhaniad y Ddeiliadaeth (Gog)'!C$109)+(D$44*(-(50-$B21)*('Rhaniad y Ddeiliadaeth (Gog)'!C$110/40)))</f>
        <v>16629.037085743581</v>
      </c>
      <c r="F21" s="278">
        <f>E21*(1+'Rhaniad y Ddeiliadaeth (Gog)'!D$109)+(E$44*(-(50-$B21)*('Rhaniad y Ddeiliadaeth (Gog)'!D$110/40)))</f>
        <v>17045.313966665803</v>
      </c>
      <c r="G21" s="278">
        <f>F21*(1+'Rhaniad y Ddeiliadaeth (Gog)'!E$109)+(F$44*(-(50-$B21)*('Rhaniad y Ddeiliadaeth (Gog)'!E$110/40)))</f>
        <v>17468.960568824386</v>
      </c>
      <c r="H21" s="278">
        <f>G21*(1+'Rhaniad y Ddeiliadaeth (Gog)'!F$109)+(G$44*(-(50-$B21)*('Rhaniad y Ddeiliadaeth (Gog)'!F$110/40)))</f>
        <v>17910.511016621756</v>
      </c>
      <c r="I21" s="279">
        <f>H21*(1+'Rhaniad y Ddeiliadaeth (Gog)'!G$109)+(H$44*(-(50-$B21)*('Rhaniad y Ddeiliadaeth (Gog)'!G$110/40)))</f>
        <v>18358.32361980305</v>
      </c>
      <c r="M21" s="36" t="str">
        <f t="shared" si="1"/>
        <v/>
      </c>
      <c r="N21" s="190"/>
      <c r="O21" s="24">
        <f t="shared" si="4"/>
        <v>1</v>
      </c>
      <c r="U21" s="1">
        <f t="shared" si="2"/>
        <v>27</v>
      </c>
      <c r="V21" s="4" t="str">
        <f t="shared" si="3"/>
        <v/>
      </c>
      <c r="W21" s="4" t="e">
        <f>IF($W$3=$N$3,N21,V21*(1+'Rhaniad y Ddeiliadaeth (Gog)'!C$109)+(V$44*(-(50-$U21)*('Rhaniad y Ddeiliadaeth (Gog)'!C$110/40))))</f>
        <v>#VALUE!</v>
      </c>
      <c r="X21" s="4" t="e">
        <f>W21*(1+'Rhaniad y Ddeiliadaeth (Gog)'!D$109)+(W$44*(-(50-$U21)*('Rhaniad y Ddeiliadaeth (Gog)'!D$110/40)))</f>
        <v>#VALUE!</v>
      </c>
      <c r="Y21" s="4" t="e">
        <f>X21*(1+'Rhaniad y Ddeiliadaeth (Gog)'!E$109)+(X$44*(-(50-$U21)*('Rhaniad y Ddeiliadaeth (Gog)'!E$110/40)))</f>
        <v>#VALUE!</v>
      </c>
      <c r="Z21" s="4" t="e">
        <f>Y21*(1+'Rhaniad y Ddeiliadaeth (Gog)'!F$109)+(Y$44*(-(50-$U21)*('Rhaniad y Ddeiliadaeth (Gog)'!F$110/40)))</f>
        <v>#VALUE!</v>
      </c>
      <c r="AA21" s="4" t="e">
        <f>Z21*(1+'Rhaniad y Ddeiliadaeth (Gog)'!G$109)+(Z$44*(-(50-$U21)*('Rhaniad y Ddeiliadaeth (Gog)'!G$110/40)))</f>
        <v>#VALUE!</v>
      </c>
      <c r="AC21" s="260">
        <v>27</v>
      </c>
      <c r="AD21" s="4">
        <f>IF('Rhaniad y Ddeiliadaeth (Cymru)'!$D$8="Amcangyfrifon LlC",'Incwm (Gogledd)'!E21,'Incwm (Gogledd)'!W21)</f>
        <v>16629.037085743581</v>
      </c>
      <c r="AE21" s="4">
        <f>IF('Rhaniad y Ddeiliadaeth (Cymru)'!$D$8="Amcangyfrifon LlC",'Incwm (Gogledd)'!F21,'Incwm (Gogledd)'!X21)</f>
        <v>17045.313966665803</v>
      </c>
      <c r="AF21" s="4">
        <f>IF('Rhaniad y Ddeiliadaeth (Cymru)'!$D$8="Amcangyfrifon LlC",'Incwm (Gogledd)'!G21,'Incwm (Gogledd)'!Y21)</f>
        <v>17468.960568824386</v>
      </c>
      <c r="AG21" s="4">
        <f>IF('Rhaniad y Ddeiliadaeth (Cymru)'!$D$8="Amcangyfrifon LlC",'Incwm (Gogledd)'!H21,'Incwm (Gogledd)'!Z21)</f>
        <v>17910.511016621756</v>
      </c>
      <c r="AH21" s="4">
        <f>IF('Rhaniad y Ddeiliadaeth (Cymru)'!$D$8="Amcangyfrifon LlC",'Incwm (Gogledd)'!I21,'Incwm (Gogledd)'!AA21)</f>
        <v>18358.32361980305</v>
      </c>
    </row>
    <row r="22" spans="2:34" x14ac:dyDescent="0.35">
      <c r="B22" s="251">
        <v>28</v>
      </c>
      <c r="C22" s="258">
        <v>16387.5</v>
      </c>
      <c r="D22" s="258">
        <v>16807.116831378818</v>
      </c>
      <c r="E22" s="278">
        <f>D22*(1+'Rhaniad y Ddeiliadaeth (Gog)'!C$109)+(D$44*(-(50-$B22)*('Rhaniad y Ddeiliadaeth (Gog)'!C$110/40)))</f>
        <v>17040.614162507296</v>
      </c>
      <c r="F22" s="278">
        <f>E22*(1+'Rhaniad y Ddeiliadaeth (Gog)'!D$109)+(E$44*(-(50-$B22)*('Rhaniad y Ddeiliadaeth (Gog)'!D$110/40)))</f>
        <v>17477.678569258336</v>
      </c>
      <c r="G22" s="278">
        <f>F22*(1+'Rhaniad y Ddeiliadaeth (Gog)'!E$109)+(F$44*(-(50-$B22)*('Rhaniad y Ddeiliadaeth (Gog)'!E$110/40)))</f>
        <v>17923.01278675846</v>
      </c>
      <c r="H22" s="278">
        <f>G22*(1+'Rhaniad y Ddeiliadaeth (Gog)'!F$109)+(G$44*(-(50-$B22)*('Rhaniad y Ddeiliadaeth (Gog)'!F$110/40)))</f>
        <v>18387.458466775777</v>
      </c>
      <c r="I22" s="279">
        <f>H22*(1+'Rhaniad y Ddeiliadaeth (Gog)'!G$109)+(H$44*(-(50-$B22)*('Rhaniad y Ddeiliadaeth (Gog)'!G$110/40)))</f>
        <v>18859.119036655095</v>
      </c>
      <c r="M22" s="36" t="str">
        <f t="shared" si="1"/>
        <v/>
      </c>
      <c r="N22" s="190"/>
      <c r="O22" s="24">
        <f t="shared" si="4"/>
        <v>1</v>
      </c>
      <c r="U22" s="1">
        <f t="shared" si="2"/>
        <v>28</v>
      </c>
      <c r="V22" s="4" t="str">
        <f t="shared" si="3"/>
        <v/>
      </c>
      <c r="W22" s="4" t="e">
        <f>IF($W$3=$N$3,N22,V22*(1+'Rhaniad y Ddeiliadaeth (Gog)'!C$109)+(V$44*(-(50-$U22)*('Rhaniad y Ddeiliadaeth (Gog)'!C$110/40))))</f>
        <v>#VALUE!</v>
      </c>
      <c r="X22" s="4" t="e">
        <f>W22*(1+'Rhaniad y Ddeiliadaeth (Gog)'!D$109)+(W$44*(-(50-$U22)*('Rhaniad y Ddeiliadaeth (Gog)'!D$110/40)))</f>
        <v>#VALUE!</v>
      </c>
      <c r="Y22" s="4" t="e">
        <f>X22*(1+'Rhaniad y Ddeiliadaeth (Gog)'!E$109)+(X$44*(-(50-$U22)*('Rhaniad y Ddeiliadaeth (Gog)'!E$110/40)))</f>
        <v>#VALUE!</v>
      </c>
      <c r="Z22" s="4" t="e">
        <f>Y22*(1+'Rhaniad y Ddeiliadaeth (Gog)'!F$109)+(Y$44*(-(50-$U22)*('Rhaniad y Ddeiliadaeth (Gog)'!F$110/40)))</f>
        <v>#VALUE!</v>
      </c>
      <c r="AA22" s="4" t="e">
        <f>Z22*(1+'Rhaniad y Ddeiliadaeth (Gog)'!G$109)+(Z$44*(-(50-$U22)*('Rhaniad y Ddeiliadaeth (Gog)'!G$110/40)))</f>
        <v>#VALUE!</v>
      </c>
      <c r="AC22" s="260">
        <v>28</v>
      </c>
      <c r="AD22" s="4">
        <f>IF('Rhaniad y Ddeiliadaeth (Cymru)'!$D$8="Amcangyfrifon LlC",'Incwm (Gogledd)'!E22,'Incwm (Gogledd)'!W22)</f>
        <v>17040.614162507296</v>
      </c>
      <c r="AE22" s="4">
        <f>IF('Rhaniad y Ddeiliadaeth (Cymru)'!$D$8="Amcangyfrifon LlC",'Incwm (Gogledd)'!F22,'Incwm (Gogledd)'!X22)</f>
        <v>17477.678569258336</v>
      </c>
      <c r="AF22" s="4">
        <f>IF('Rhaniad y Ddeiliadaeth (Cymru)'!$D$8="Amcangyfrifon LlC",'Incwm (Gogledd)'!G22,'Incwm (Gogledd)'!Y22)</f>
        <v>17923.01278675846</v>
      </c>
      <c r="AG22" s="4">
        <f>IF('Rhaniad y Ddeiliadaeth (Cymru)'!$D$8="Amcangyfrifon LlC",'Incwm (Gogledd)'!H22,'Incwm (Gogledd)'!Z22)</f>
        <v>18387.458466775777</v>
      </c>
      <c r="AH22" s="4">
        <f>IF('Rhaniad y Ddeiliadaeth (Cymru)'!$D$8="Amcangyfrifon LlC",'Incwm (Gogledd)'!I22,'Incwm (Gogledd)'!AA22)</f>
        <v>18859.119036655095</v>
      </c>
    </row>
    <row r="23" spans="2:34" x14ac:dyDescent="0.35">
      <c r="B23" s="251">
        <v>29</v>
      </c>
      <c r="C23" s="258">
        <v>16554.75</v>
      </c>
      <c r="D23" s="258">
        <v>16978.649419634996</v>
      </c>
      <c r="E23" s="278">
        <f>D23*(1+'Rhaniad y Ddeiliadaeth (Gog)'!C$109)+(D$44*(-(50-$B23)*('Rhaniad y Ddeiliadaeth (Gog)'!C$110/40)))</f>
        <v>17222.531472930383</v>
      </c>
      <c r="F23" s="278">
        <f>E23*(1+'Rhaniad y Ddeiliadaeth (Gog)'!D$109)+(E$44*(-(50-$B23)*('Rhaniad y Ddeiliadaeth (Gog)'!D$110/40)))</f>
        <v>17672.512052617985</v>
      </c>
      <c r="G23" s="278">
        <f>F23*(1+'Rhaniad y Ddeiliadaeth (Gog)'!E$109)+(F$44*(-(50-$B23)*('Rhaniad y Ddeiliadaeth (Gog)'!E$110/40)))</f>
        <v>18131.415478269933</v>
      </c>
      <c r="H23" s="278">
        <f>G23*(1+'Rhaniad y Ddeiliadaeth (Gog)'!F$109)+(G$44*(-(50-$B23)*('Rhaniad y Ddeiliadaeth (Gog)'!F$110/40)))</f>
        <v>18610.235970990419</v>
      </c>
      <c r="I23" s="279">
        <f>H23*(1+'Rhaniad y Ddeiliadaeth (Gog)'!G$109)+(H$44*(-(50-$B23)*('Rhaniad y Ddeiliadaeth (Gog)'!G$110/40)))</f>
        <v>19096.976124908775</v>
      </c>
      <c r="M23" s="36" t="str">
        <f t="shared" si="1"/>
        <v/>
      </c>
      <c r="N23" s="190"/>
      <c r="O23" s="24">
        <f t="shared" si="4"/>
        <v>1</v>
      </c>
      <c r="U23" s="1">
        <f t="shared" si="2"/>
        <v>29</v>
      </c>
      <c r="V23" s="4" t="str">
        <f t="shared" si="3"/>
        <v/>
      </c>
      <c r="W23" s="4" t="e">
        <f>IF($W$3=$N$3,N23,V23*(1+'Rhaniad y Ddeiliadaeth (Gog)'!C$109)+(V$44*(-(50-$U23)*('Rhaniad y Ddeiliadaeth (Gog)'!C$110/40))))</f>
        <v>#VALUE!</v>
      </c>
      <c r="X23" s="4" t="e">
        <f>W23*(1+'Rhaniad y Ddeiliadaeth (Gog)'!D$109)+(W$44*(-(50-$U23)*('Rhaniad y Ddeiliadaeth (Gog)'!D$110/40)))</f>
        <v>#VALUE!</v>
      </c>
      <c r="Y23" s="4" t="e">
        <f>X23*(1+'Rhaniad y Ddeiliadaeth (Gog)'!E$109)+(X$44*(-(50-$U23)*('Rhaniad y Ddeiliadaeth (Gog)'!E$110/40)))</f>
        <v>#VALUE!</v>
      </c>
      <c r="Z23" s="4" t="e">
        <f>Y23*(1+'Rhaniad y Ddeiliadaeth (Gog)'!F$109)+(Y$44*(-(50-$U23)*('Rhaniad y Ddeiliadaeth (Gog)'!F$110/40)))</f>
        <v>#VALUE!</v>
      </c>
      <c r="AA23" s="4" t="e">
        <f>Z23*(1+'Rhaniad y Ddeiliadaeth (Gog)'!G$109)+(Z$44*(-(50-$U23)*('Rhaniad y Ddeiliadaeth (Gog)'!G$110/40)))</f>
        <v>#VALUE!</v>
      </c>
      <c r="AC23" s="260">
        <v>29</v>
      </c>
      <c r="AD23" s="4">
        <f>IF('Rhaniad y Ddeiliadaeth (Cymru)'!$D$8="Amcangyfrifon LlC",'Incwm (Gogledd)'!E23,'Incwm (Gogledd)'!W23)</f>
        <v>17222.531472930383</v>
      </c>
      <c r="AE23" s="4">
        <f>IF('Rhaniad y Ddeiliadaeth (Cymru)'!$D$8="Amcangyfrifon LlC",'Incwm (Gogledd)'!F23,'Incwm (Gogledd)'!X23)</f>
        <v>17672.512052617985</v>
      </c>
      <c r="AF23" s="4">
        <f>IF('Rhaniad y Ddeiliadaeth (Cymru)'!$D$8="Amcangyfrifon LlC",'Incwm (Gogledd)'!G23,'Incwm (Gogledd)'!Y23)</f>
        <v>18131.415478269933</v>
      </c>
      <c r="AG23" s="4">
        <f>IF('Rhaniad y Ddeiliadaeth (Cymru)'!$D$8="Amcangyfrifon LlC",'Incwm (Gogledd)'!H23,'Incwm (Gogledd)'!Z23)</f>
        <v>18610.235970990419</v>
      </c>
      <c r="AH23" s="4">
        <f>IF('Rhaniad y Ddeiliadaeth (Cymru)'!$D$8="Amcangyfrifon LlC",'Incwm (Gogledd)'!I23,'Incwm (Gogledd)'!AA23)</f>
        <v>19096.976124908775</v>
      </c>
    </row>
    <row r="24" spans="2:34" x14ac:dyDescent="0.35">
      <c r="B24" s="251">
        <v>30</v>
      </c>
      <c r="C24" s="258">
        <v>16908.75</v>
      </c>
      <c r="D24" s="258">
        <v>17293.564214501861</v>
      </c>
      <c r="E24" s="278">
        <f>D24*(1+'Rhaniad y Ddeiliadaeth (Gog)'!C$109)+(D$44*(-(50-$B24)*('Rhaniad y Ddeiliadaeth (Gog)'!C$110/40)))</f>
        <v>17551.049373614238</v>
      </c>
      <c r="F24" s="278">
        <f>E24*(1+'Rhaniad y Ddeiliadaeth (Gog)'!D$109)+(E$44*(-(50-$B24)*('Rhaniad y Ddeiliadaeth (Gog)'!D$110/40)))</f>
        <v>18018.97071107772</v>
      </c>
      <c r="G24" s="278">
        <f>F24*(1+'Rhaniad y Ddeiliadaeth (Gog)'!E$109)+(F$44*(-(50-$B24)*('Rhaniad y Ddeiliadaeth (Gog)'!E$110/40)))</f>
        <v>18496.62563390387</v>
      </c>
      <c r="H24" s="278">
        <f>G24*(1+'Rhaniad y Ddeiliadaeth (Gog)'!F$109)+(G$44*(-(50-$B24)*('Rhaniad y Ddeiliadaeth (Gog)'!F$110/40)))</f>
        <v>18995.259848154838</v>
      </c>
      <c r="I24" s="279">
        <f>H24*(1+'Rhaniad y Ddeiliadaeth (Gog)'!G$109)+(H$44*(-(50-$B24)*('Rhaniad y Ddeiliadaeth (Gog)'!G$110/40)))</f>
        <v>19502.67677927289</v>
      </c>
      <c r="M24" s="36" t="str">
        <f t="shared" si="1"/>
        <v/>
      </c>
      <c r="N24" s="190"/>
      <c r="O24" s="24">
        <f t="shared" si="4"/>
        <v>1</v>
      </c>
      <c r="U24" s="1">
        <f t="shared" si="2"/>
        <v>30</v>
      </c>
      <c r="V24" s="4" t="str">
        <f t="shared" si="3"/>
        <v/>
      </c>
      <c r="W24" s="4" t="e">
        <f>IF($W$3=$N$3,N24,V24*(1+'Rhaniad y Ddeiliadaeth (Gog)'!C$109)+(V$44*(-(50-$U24)*('Rhaniad y Ddeiliadaeth (Gog)'!C$110/40))))</f>
        <v>#VALUE!</v>
      </c>
      <c r="X24" s="4" t="e">
        <f>W24*(1+'Rhaniad y Ddeiliadaeth (Gog)'!D$109)+(W$44*(-(50-$U24)*('Rhaniad y Ddeiliadaeth (Gog)'!D$110/40)))</f>
        <v>#VALUE!</v>
      </c>
      <c r="Y24" s="4" t="e">
        <f>X24*(1+'Rhaniad y Ddeiliadaeth (Gog)'!E$109)+(X$44*(-(50-$U24)*('Rhaniad y Ddeiliadaeth (Gog)'!E$110/40)))</f>
        <v>#VALUE!</v>
      </c>
      <c r="Z24" s="4" t="e">
        <f>Y24*(1+'Rhaniad y Ddeiliadaeth (Gog)'!F$109)+(Y$44*(-(50-$U24)*('Rhaniad y Ddeiliadaeth (Gog)'!F$110/40)))</f>
        <v>#VALUE!</v>
      </c>
      <c r="AA24" s="4" t="e">
        <f>Z24*(1+'Rhaniad y Ddeiliadaeth (Gog)'!G$109)+(Z$44*(-(50-$U24)*('Rhaniad y Ddeiliadaeth (Gog)'!G$110/40)))</f>
        <v>#VALUE!</v>
      </c>
      <c r="AC24" s="260">
        <v>30</v>
      </c>
      <c r="AD24" s="4">
        <f>IF('Rhaniad y Ddeiliadaeth (Cymru)'!$D$8="Amcangyfrifon LlC",'Incwm (Gogledd)'!E24,'Incwm (Gogledd)'!W24)</f>
        <v>17551.049373614238</v>
      </c>
      <c r="AE24" s="4">
        <f>IF('Rhaniad y Ddeiliadaeth (Cymru)'!$D$8="Amcangyfrifon LlC",'Incwm (Gogledd)'!F24,'Incwm (Gogledd)'!X24)</f>
        <v>18018.97071107772</v>
      </c>
      <c r="AF24" s="4">
        <f>IF('Rhaniad y Ddeiliadaeth (Cymru)'!$D$8="Amcangyfrifon LlC",'Incwm (Gogledd)'!G24,'Incwm (Gogledd)'!Y24)</f>
        <v>18496.62563390387</v>
      </c>
      <c r="AG24" s="4">
        <f>IF('Rhaniad y Ddeiliadaeth (Cymru)'!$D$8="Amcangyfrifon LlC",'Incwm (Gogledd)'!H24,'Incwm (Gogledd)'!Z24)</f>
        <v>18995.259848154838</v>
      </c>
      <c r="AH24" s="4">
        <f>IF('Rhaniad y Ddeiliadaeth (Cymru)'!$D$8="Amcangyfrifon LlC",'Incwm (Gogledd)'!I24,'Incwm (Gogledd)'!AA24)</f>
        <v>19502.67677927289</v>
      </c>
    </row>
    <row r="25" spans="2:34" x14ac:dyDescent="0.35">
      <c r="B25" s="251">
        <v>31</v>
      </c>
      <c r="C25" s="258">
        <v>17287.5</v>
      </c>
      <c r="D25" s="258">
        <v>17680.933916356971</v>
      </c>
      <c r="E25" s="278">
        <f>D25*(1+'Rhaniad y Ddeiliadaeth (Gog)'!C$109)+(D$44*(-(50-$B25)*('Rhaniad y Ddeiliadaeth (Gog)'!C$110/40)))</f>
        <v>17953.648517590762</v>
      </c>
      <c r="F25" s="278">
        <f>E25*(1+'Rhaniad y Ddeiliadaeth (Gog)'!D$109)+(E$44*(-(50-$B25)*('Rhaniad y Ddeiliadaeth (Gog)'!D$110/40)))</f>
        <v>18442.049671446897</v>
      </c>
      <c r="G25" s="278">
        <f>F25*(1+'Rhaniad y Ddeiliadaeth (Gog)'!E$109)+(F$44*(-(50-$B25)*('Rhaniad y Ddeiliadaeth (Gog)'!E$110/40)))</f>
        <v>18941.074842253078</v>
      </c>
      <c r="H25" s="278">
        <f>G25*(1+'Rhaniad y Ddeiliadaeth (Gog)'!F$109)+(G$44*(-(50-$B25)*('Rhaniad y Ddeiliadaeth (Gog)'!F$110/40)))</f>
        <v>19462.271205768458</v>
      </c>
      <c r="I25" s="279">
        <f>H25*(1+'Rhaniad y Ddeiliadaeth (Gog)'!G$109)+(H$44*(-(50-$B25)*('Rhaniad y Ddeiliadaeth (Gog)'!G$110/40)))</f>
        <v>19993.193327174809</v>
      </c>
      <c r="M25" s="36" t="str">
        <f t="shared" si="1"/>
        <v/>
      </c>
      <c r="N25" s="190"/>
      <c r="O25" s="24">
        <f t="shared" si="4"/>
        <v>1</v>
      </c>
      <c r="U25" s="1">
        <f t="shared" si="2"/>
        <v>31</v>
      </c>
      <c r="V25" s="4" t="str">
        <f t="shared" si="3"/>
        <v/>
      </c>
      <c r="W25" s="4" t="e">
        <f>IF($W$3=$N$3,N25,V25*(1+'Rhaniad y Ddeiliadaeth (Gog)'!C$109)+(V$44*(-(50-$U25)*('Rhaniad y Ddeiliadaeth (Gog)'!C$110/40))))</f>
        <v>#VALUE!</v>
      </c>
      <c r="X25" s="4" t="e">
        <f>W25*(1+'Rhaniad y Ddeiliadaeth (Gog)'!D$109)+(W$44*(-(50-$U25)*('Rhaniad y Ddeiliadaeth (Gog)'!D$110/40)))</f>
        <v>#VALUE!</v>
      </c>
      <c r="Y25" s="4" t="e">
        <f>X25*(1+'Rhaniad y Ddeiliadaeth (Gog)'!E$109)+(X$44*(-(50-$U25)*('Rhaniad y Ddeiliadaeth (Gog)'!E$110/40)))</f>
        <v>#VALUE!</v>
      </c>
      <c r="Z25" s="4" t="e">
        <f>Y25*(1+'Rhaniad y Ddeiliadaeth (Gog)'!F$109)+(Y$44*(-(50-$U25)*('Rhaniad y Ddeiliadaeth (Gog)'!F$110/40)))</f>
        <v>#VALUE!</v>
      </c>
      <c r="AA25" s="4" t="e">
        <f>Z25*(1+'Rhaniad y Ddeiliadaeth (Gog)'!G$109)+(Z$44*(-(50-$U25)*('Rhaniad y Ddeiliadaeth (Gog)'!G$110/40)))</f>
        <v>#VALUE!</v>
      </c>
      <c r="AC25" s="260">
        <v>31</v>
      </c>
      <c r="AD25" s="4">
        <f>IF('Rhaniad y Ddeiliadaeth (Cymru)'!$D$8="Amcangyfrifon LlC",'Incwm (Gogledd)'!E25,'Incwm (Gogledd)'!W25)</f>
        <v>17953.648517590762</v>
      </c>
      <c r="AE25" s="4">
        <f>IF('Rhaniad y Ddeiliadaeth (Cymru)'!$D$8="Amcangyfrifon LlC",'Incwm (Gogledd)'!F25,'Incwm (Gogledd)'!X25)</f>
        <v>18442.049671446897</v>
      </c>
      <c r="AF25" s="4">
        <f>IF('Rhaniad y Ddeiliadaeth (Cymru)'!$D$8="Amcangyfrifon LlC",'Incwm (Gogledd)'!G25,'Incwm (Gogledd)'!Y25)</f>
        <v>18941.074842253078</v>
      </c>
      <c r="AG25" s="4">
        <f>IF('Rhaniad y Ddeiliadaeth (Cymru)'!$D$8="Amcangyfrifon LlC",'Incwm (Gogledd)'!H25,'Incwm (Gogledd)'!Z25)</f>
        <v>19462.271205768458</v>
      </c>
      <c r="AH25" s="4">
        <f>IF('Rhaniad y Ddeiliadaeth (Cymru)'!$D$8="Amcangyfrifon LlC",'Incwm (Gogledd)'!I25,'Incwm (Gogledd)'!AA25)</f>
        <v>19993.193327174809</v>
      </c>
    </row>
    <row r="26" spans="2:34" x14ac:dyDescent="0.35">
      <c r="B26" s="251">
        <v>32</v>
      </c>
      <c r="C26" s="258">
        <v>17527</v>
      </c>
      <c r="D26" s="258">
        <v>17925.884526506936</v>
      </c>
      <c r="E26" s="278">
        <f>D26*(1+'Rhaniad y Ddeiliadaeth (Gog)'!C$109)+(D$44*(-(50-$B26)*('Rhaniad y Ddeiliadaeth (Gog)'!C$110/40)))</f>
        <v>18210.631804468172</v>
      </c>
      <c r="F26" s="278">
        <f>E26*(1+'Rhaniad y Ddeiliadaeth (Gog)'!D$109)+(E$44*(-(50-$B26)*('Rhaniad y Ddeiliadaeth (Gog)'!D$110/40)))</f>
        <v>18714.521940596562</v>
      </c>
      <c r="G26" s="278">
        <f>F26*(1+'Rhaniad y Ddeiliadaeth (Gog)'!E$109)+(F$44*(-(50-$B26)*('Rhaniad y Ddeiliadaeth (Gog)'!E$110/40)))</f>
        <v>19229.76988039659</v>
      </c>
      <c r="H26" s="278">
        <f>G26*(1+'Rhaniad y Ddeiliadaeth (Gog)'!F$109)+(G$44*(-(50-$B26)*('Rhaniad y Ddeiliadaeth (Gog)'!F$110/40)))</f>
        <v>19768.12601813025</v>
      </c>
      <c r="I26" s="279">
        <f>H26*(1+'Rhaniad y Ddeiliadaeth (Gog)'!G$109)+(H$44*(-(50-$B26)*('Rhaniad y Ddeiliadaeth (Gog)'!G$110/40)))</f>
        <v>20316.993733659645</v>
      </c>
      <c r="M26" s="36" t="str">
        <f t="shared" si="1"/>
        <v/>
      </c>
      <c r="N26" s="190"/>
      <c r="O26" s="24">
        <f t="shared" si="4"/>
        <v>1</v>
      </c>
      <c r="U26" s="1">
        <f t="shared" si="2"/>
        <v>32</v>
      </c>
      <c r="V26" s="4" t="str">
        <f t="shared" si="3"/>
        <v/>
      </c>
      <c r="W26" s="4" t="e">
        <f>IF($W$3=$N$3,N26,V26*(1+'Rhaniad y Ddeiliadaeth (Gog)'!C$109)+(V$44*(-(50-$U26)*('Rhaniad y Ddeiliadaeth (Gog)'!C$110/40))))</f>
        <v>#VALUE!</v>
      </c>
      <c r="X26" s="4" t="e">
        <f>W26*(1+'Rhaniad y Ddeiliadaeth (Gog)'!D$109)+(W$44*(-(50-$U26)*('Rhaniad y Ddeiliadaeth (Gog)'!D$110/40)))</f>
        <v>#VALUE!</v>
      </c>
      <c r="Y26" s="4" t="e">
        <f>X26*(1+'Rhaniad y Ddeiliadaeth (Gog)'!E$109)+(X$44*(-(50-$U26)*('Rhaniad y Ddeiliadaeth (Gog)'!E$110/40)))</f>
        <v>#VALUE!</v>
      </c>
      <c r="Z26" s="4" t="e">
        <f>Y26*(1+'Rhaniad y Ddeiliadaeth (Gog)'!F$109)+(Y$44*(-(50-$U26)*('Rhaniad y Ddeiliadaeth (Gog)'!F$110/40)))</f>
        <v>#VALUE!</v>
      </c>
      <c r="AA26" s="4" t="e">
        <f>Z26*(1+'Rhaniad y Ddeiliadaeth (Gog)'!G$109)+(Z$44*(-(50-$U26)*('Rhaniad y Ddeiliadaeth (Gog)'!G$110/40)))</f>
        <v>#VALUE!</v>
      </c>
      <c r="AC26" s="260">
        <v>32</v>
      </c>
      <c r="AD26" s="4">
        <f>IF('Rhaniad y Ddeiliadaeth (Cymru)'!$D$8="Amcangyfrifon LlC",'Incwm (Gogledd)'!E26,'Incwm (Gogledd)'!W26)</f>
        <v>18210.631804468172</v>
      </c>
      <c r="AE26" s="4">
        <f>IF('Rhaniad y Ddeiliadaeth (Cymru)'!$D$8="Amcangyfrifon LlC",'Incwm (Gogledd)'!F26,'Incwm (Gogledd)'!X26)</f>
        <v>18714.521940596562</v>
      </c>
      <c r="AF26" s="4">
        <f>IF('Rhaniad y Ddeiliadaeth (Cymru)'!$D$8="Amcangyfrifon LlC",'Incwm (Gogledd)'!G26,'Incwm (Gogledd)'!Y26)</f>
        <v>19229.76988039659</v>
      </c>
      <c r="AG26" s="4">
        <f>IF('Rhaniad y Ddeiliadaeth (Cymru)'!$D$8="Amcangyfrifon LlC",'Incwm (Gogledd)'!H26,'Incwm (Gogledd)'!Z26)</f>
        <v>19768.12601813025</v>
      </c>
      <c r="AH26" s="4">
        <f>IF('Rhaniad y Ddeiliadaeth (Cymru)'!$D$8="Amcangyfrifon LlC",'Incwm (Gogledd)'!I26,'Incwm (Gogledd)'!AA26)</f>
        <v>20316.993733659645</v>
      </c>
    </row>
    <row r="27" spans="2:34" x14ac:dyDescent="0.35">
      <c r="B27" s="251">
        <v>33</v>
      </c>
      <c r="C27" s="258">
        <v>17864</v>
      </c>
      <c r="D27" s="258">
        <v>18270.55406980772</v>
      </c>
      <c r="E27" s="278">
        <f>D27*(1+'Rhaniad y Ddeiliadaeth (Gog)'!C$109)+(D$44*(-(50-$B27)*('Rhaniad y Ddeiliadaeth (Gog)'!C$110/40)))</f>
        <v>18569.57233419775</v>
      </c>
      <c r="F27" s="278">
        <f>E27*(1+'Rhaniad y Ddeiliadaeth (Gog)'!D$109)+(E$44*(-(50-$B27)*('Rhaniad y Ddeiliadaeth (Gog)'!D$110/40)))</f>
        <v>19092.44593250316</v>
      </c>
      <c r="G27" s="278">
        <f>F27*(1+'Rhaniad y Ddeiliadaeth (Gog)'!E$109)+(F$44*(-(50-$B27)*('Rhaniad y Ddeiliadaeth (Gog)'!E$110/40)))</f>
        <v>19627.52080073081</v>
      </c>
      <c r="H27" s="278">
        <f>G27*(1+'Rhaniad y Ddeiliadaeth (Gog)'!F$109)+(G$44*(-(50-$B27)*('Rhaniad y Ddeiliadaeth (Gog)'!F$110/40)))</f>
        <v>20186.819345120795</v>
      </c>
      <c r="I27" s="279">
        <f>H27*(1+'Rhaniad y Ddeiliadaeth (Gog)'!G$109)+(H$44*(-(50-$B27)*('Rhaniad y Ddeiliadaeth (Gog)'!G$110/40)))</f>
        <v>20757.525370221083</v>
      </c>
      <c r="M27" s="36" t="str">
        <f t="shared" si="1"/>
        <v/>
      </c>
      <c r="N27" s="190"/>
      <c r="O27" s="24">
        <f t="shared" si="4"/>
        <v>1</v>
      </c>
      <c r="U27" s="1">
        <f t="shared" si="2"/>
        <v>33</v>
      </c>
      <c r="V27" s="4" t="str">
        <f t="shared" si="3"/>
        <v/>
      </c>
      <c r="W27" s="4" t="e">
        <f>IF($W$3=$N$3,N27,V27*(1+'Rhaniad y Ddeiliadaeth (Gog)'!C$109)+(V$44*(-(50-$U27)*('Rhaniad y Ddeiliadaeth (Gog)'!C$110/40))))</f>
        <v>#VALUE!</v>
      </c>
      <c r="X27" s="4" t="e">
        <f>W27*(1+'Rhaniad y Ddeiliadaeth (Gog)'!D$109)+(W$44*(-(50-$U27)*('Rhaniad y Ddeiliadaeth (Gog)'!D$110/40)))</f>
        <v>#VALUE!</v>
      </c>
      <c r="Y27" s="4" t="e">
        <f>X27*(1+'Rhaniad y Ddeiliadaeth (Gog)'!E$109)+(X$44*(-(50-$U27)*('Rhaniad y Ddeiliadaeth (Gog)'!E$110/40)))</f>
        <v>#VALUE!</v>
      </c>
      <c r="Z27" s="4" t="e">
        <f>Y27*(1+'Rhaniad y Ddeiliadaeth (Gog)'!F$109)+(Y$44*(-(50-$U27)*('Rhaniad y Ddeiliadaeth (Gog)'!F$110/40)))</f>
        <v>#VALUE!</v>
      </c>
      <c r="AA27" s="4" t="e">
        <f>Z27*(1+'Rhaniad y Ddeiliadaeth (Gog)'!G$109)+(Z$44*(-(50-$U27)*('Rhaniad y Ddeiliadaeth (Gog)'!G$110/40)))</f>
        <v>#VALUE!</v>
      </c>
      <c r="AC27" s="260">
        <v>33</v>
      </c>
      <c r="AD27" s="4">
        <f>IF('Rhaniad y Ddeiliadaeth (Cymru)'!$D$8="Amcangyfrifon LlC",'Incwm (Gogledd)'!E27,'Incwm (Gogledd)'!W27)</f>
        <v>18569.57233419775</v>
      </c>
      <c r="AE27" s="4">
        <f>IF('Rhaniad y Ddeiliadaeth (Cymru)'!$D$8="Amcangyfrifon LlC",'Incwm (Gogledd)'!F27,'Incwm (Gogledd)'!X27)</f>
        <v>19092.44593250316</v>
      </c>
      <c r="AF27" s="4">
        <f>IF('Rhaniad y Ddeiliadaeth (Cymru)'!$D$8="Amcangyfrifon LlC",'Incwm (Gogledd)'!G27,'Incwm (Gogledd)'!Y27)</f>
        <v>19627.52080073081</v>
      </c>
      <c r="AG27" s="4">
        <f>IF('Rhaniad y Ddeiliadaeth (Cymru)'!$D$8="Amcangyfrifon LlC",'Incwm (Gogledd)'!H27,'Incwm (Gogledd)'!Z27)</f>
        <v>20186.819345120795</v>
      </c>
      <c r="AH27" s="4">
        <f>IF('Rhaniad y Ddeiliadaeth (Cymru)'!$D$8="Amcangyfrifon LlC",'Incwm (Gogledd)'!I27,'Incwm (Gogledd)'!AA27)</f>
        <v>20757.525370221083</v>
      </c>
    </row>
    <row r="28" spans="2:34" x14ac:dyDescent="0.35">
      <c r="B28" s="251">
        <v>34</v>
      </c>
      <c r="C28" s="258">
        <v>18328.900000000001</v>
      </c>
      <c r="D28" s="258">
        <v>18746.034398236607</v>
      </c>
      <c r="E28" s="278">
        <f>D28*(1+'Rhaniad y Ddeiliadaeth (Gog)'!C$109)+(D$44*(-(50-$B28)*('Rhaniad y Ddeiliadaeth (Gog)'!C$110/40)))</f>
        <v>19062.259852243133</v>
      </c>
      <c r="F28" s="278">
        <f>E28*(1+'Rhaniad y Ddeiliadaeth (Gog)'!D$109)+(E$44*(-(50-$B28)*('Rhaniad y Ddeiliadaeth (Gog)'!D$110/40)))</f>
        <v>19608.70095354423</v>
      </c>
      <c r="G28" s="278">
        <f>F28*(1+'Rhaniad y Ddeiliadaeth (Gog)'!E$109)+(F$44*(-(50-$B28)*('Rhaniad y Ddeiliadaeth (Gog)'!E$110/40)))</f>
        <v>20168.330668061852</v>
      </c>
      <c r="H28" s="278">
        <f>G28*(1+'Rhaniad y Ddeiliadaeth (Gog)'!F$109)+(G$44*(-(50-$B28)*('Rhaniad y Ddeiliadaeth (Gog)'!F$110/40)))</f>
        <v>20753.53365694228</v>
      </c>
      <c r="I28" s="279">
        <f>H28*(1+'Rhaniad y Ddeiliadaeth (Gog)'!G$109)+(H$44*(-(50-$B28)*('Rhaniad y Ddeiliadaeth (Gog)'!G$110/40)))</f>
        <v>21351.184435775296</v>
      </c>
      <c r="M28" s="36" t="str">
        <f t="shared" si="1"/>
        <v/>
      </c>
      <c r="N28" s="190"/>
      <c r="O28" s="24">
        <f t="shared" si="4"/>
        <v>1</v>
      </c>
      <c r="U28" s="1">
        <f t="shared" si="2"/>
        <v>34</v>
      </c>
      <c r="V28" s="4" t="str">
        <f t="shared" si="3"/>
        <v/>
      </c>
      <c r="W28" s="4" t="e">
        <f>IF($W$3=$N$3,N28,V28*(1+'Rhaniad y Ddeiliadaeth (Gog)'!C$109)+(V$44*(-(50-$U28)*('Rhaniad y Ddeiliadaeth (Gog)'!C$110/40))))</f>
        <v>#VALUE!</v>
      </c>
      <c r="X28" s="4" t="e">
        <f>W28*(1+'Rhaniad y Ddeiliadaeth (Gog)'!D$109)+(W$44*(-(50-$U28)*('Rhaniad y Ddeiliadaeth (Gog)'!D$110/40)))</f>
        <v>#VALUE!</v>
      </c>
      <c r="Y28" s="4" t="e">
        <f>X28*(1+'Rhaniad y Ddeiliadaeth (Gog)'!E$109)+(X$44*(-(50-$U28)*('Rhaniad y Ddeiliadaeth (Gog)'!E$110/40)))</f>
        <v>#VALUE!</v>
      </c>
      <c r="Z28" s="4" t="e">
        <f>Y28*(1+'Rhaniad y Ddeiliadaeth (Gog)'!F$109)+(Y$44*(-(50-$U28)*('Rhaniad y Ddeiliadaeth (Gog)'!F$110/40)))</f>
        <v>#VALUE!</v>
      </c>
      <c r="AA28" s="4" t="e">
        <f>Z28*(1+'Rhaniad y Ddeiliadaeth (Gog)'!G$109)+(Z$44*(-(50-$U28)*('Rhaniad y Ddeiliadaeth (Gog)'!G$110/40)))</f>
        <v>#VALUE!</v>
      </c>
      <c r="AC28" s="260">
        <v>34</v>
      </c>
      <c r="AD28" s="4">
        <f>IF('Rhaniad y Ddeiliadaeth (Cymru)'!$D$8="Amcangyfrifon LlC",'Incwm (Gogledd)'!E28,'Incwm (Gogledd)'!W28)</f>
        <v>19062.259852243133</v>
      </c>
      <c r="AE28" s="4">
        <f>IF('Rhaniad y Ddeiliadaeth (Cymru)'!$D$8="Amcangyfrifon LlC",'Incwm (Gogledd)'!F28,'Incwm (Gogledd)'!X28)</f>
        <v>19608.70095354423</v>
      </c>
      <c r="AF28" s="4">
        <f>IF('Rhaniad y Ddeiliadaeth (Cymru)'!$D$8="Amcangyfrifon LlC",'Incwm (Gogledd)'!G28,'Incwm (Gogledd)'!Y28)</f>
        <v>20168.330668061852</v>
      </c>
      <c r="AG28" s="4">
        <f>IF('Rhaniad y Ddeiliadaeth (Cymru)'!$D$8="Amcangyfrifon LlC",'Incwm (Gogledd)'!H28,'Incwm (Gogledd)'!Z28)</f>
        <v>20753.53365694228</v>
      </c>
      <c r="AH28" s="4">
        <f>IF('Rhaniad y Ddeiliadaeth (Cymru)'!$D$8="Amcangyfrifon LlC",'Incwm (Gogledd)'!I28,'Incwm (Gogledd)'!AA28)</f>
        <v>21351.184435775296</v>
      </c>
    </row>
    <row r="29" spans="2:34" x14ac:dyDescent="0.35">
      <c r="B29" s="251">
        <v>35</v>
      </c>
      <c r="C29" s="258">
        <v>18842.599999999999</v>
      </c>
      <c r="D29" s="258">
        <v>19271.425331155333</v>
      </c>
      <c r="E29" s="278">
        <f>D29*(1+'Rhaniad y Ddeiliadaeth (Gog)'!C$109)+(D$44*(-(50-$B29)*('Rhaniad y Ddeiliadaeth (Gog)'!C$110/40)))</f>
        <v>19605.978277480157</v>
      </c>
      <c r="F29" s="278">
        <f>E29*(1+'Rhaniad y Ddeiliadaeth (Gog)'!D$109)+(E$44*(-(50-$B29)*('Rhaniad y Ddeiliadaeth (Gog)'!D$110/40)))</f>
        <v>20177.735913770302</v>
      </c>
      <c r="G29" s="278">
        <f>F29*(1+'Rhaniad y Ddeiliadaeth (Gog)'!E$109)+(F$44*(-(50-$B29)*('Rhaniad y Ddeiliadaeth (Gog)'!E$110/40)))</f>
        <v>20763.724402581673</v>
      </c>
      <c r="H29" s="278">
        <f>G29*(1+'Rhaniad y Ddeiliadaeth (Gog)'!F$109)+(G$44*(-(50-$B29)*('Rhaniad y Ddeiliadaeth (Gog)'!F$110/40)))</f>
        <v>21376.725091983073</v>
      </c>
      <c r="I29" s="279">
        <f>H29*(1+'Rhaniad y Ddeiliadaeth (Gog)'!G$109)+(H$44*(-(50-$B29)*('Rhaniad y Ddeiliadaeth (Gog)'!G$110/40)))</f>
        <v>22003.268978537071</v>
      </c>
      <c r="M29" s="36" t="str">
        <f t="shared" si="1"/>
        <v/>
      </c>
      <c r="N29" s="190"/>
      <c r="O29" s="24">
        <f t="shared" si="4"/>
        <v>1</v>
      </c>
      <c r="U29" s="1">
        <f t="shared" si="2"/>
        <v>35</v>
      </c>
      <c r="V29" s="4" t="str">
        <f t="shared" si="3"/>
        <v/>
      </c>
      <c r="W29" s="4" t="e">
        <f>IF($W$3=$N$3,N29,V29*(1+'Rhaniad y Ddeiliadaeth (Gog)'!C$109)+(V$44*(-(50-$U29)*('Rhaniad y Ddeiliadaeth (Gog)'!C$110/40))))</f>
        <v>#VALUE!</v>
      </c>
      <c r="X29" s="4" t="e">
        <f>W29*(1+'Rhaniad y Ddeiliadaeth (Gog)'!D$109)+(W$44*(-(50-$U29)*('Rhaniad y Ddeiliadaeth (Gog)'!D$110/40)))</f>
        <v>#VALUE!</v>
      </c>
      <c r="Y29" s="4" t="e">
        <f>X29*(1+'Rhaniad y Ddeiliadaeth (Gog)'!E$109)+(X$44*(-(50-$U29)*('Rhaniad y Ddeiliadaeth (Gog)'!E$110/40)))</f>
        <v>#VALUE!</v>
      </c>
      <c r="Z29" s="4" t="e">
        <f>Y29*(1+'Rhaniad y Ddeiliadaeth (Gog)'!F$109)+(Y$44*(-(50-$U29)*('Rhaniad y Ddeiliadaeth (Gog)'!F$110/40)))</f>
        <v>#VALUE!</v>
      </c>
      <c r="AA29" s="4" t="e">
        <f>Z29*(1+'Rhaniad y Ddeiliadaeth (Gog)'!G$109)+(Z$44*(-(50-$U29)*('Rhaniad y Ddeiliadaeth (Gog)'!G$110/40)))</f>
        <v>#VALUE!</v>
      </c>
      <c r="AC29" s="260">
        <v>35</v>
      </c>
      <c r="AD29" s="4">
        <f>IF('Rhaniad y Ddeiliadaeth (Cymru)'!$D$8="Amcangyfrifon LlC",'Incwm (Gogledd)'!E29,'Incwm (Gogledd)'!W29)</f>
        <v>19605.978277480157</v>
      </c>
      <c r="AE29" s="4">
        <f>IF('Rhaniad y Ddeiliadaeth (Cymru)'!$D$8="Amcangyfrifon LlC",'Incwm (Gogledd)'!F29,'Incwm (Gogledd)'!X29)</f>
        <v>20177.735913770302</v>
      </c>
      <c r="AF29" s="4">
        <f>IF('Rhaniad y Ddeiliadaeth (Cymru)'!$D$8="Amcangyfrifon LlC",'Incwm (Gogledd)'!G29,'Incwm (Gogledd)'!Y29)</f>
        <v>20763.724402581673</v>
      </c>
      <c r="AG29" s="4">
        <f>IF('Rhaniad y Ddeiliadaeth (Cymru)'!$D$8="Amcangyfrifon LlC",'Incwm (Gogledd)'!H29,'Incwm (Gogledd)'!Z29)</f>
        <v>21376.725091983073</v>
      </c>
      <c r="AH29" s="4">
        <f>IF('Rhaniad y Ddeiliadaeth (Cymru)'!$D$8="Amcangyfrifon LlC",'Incwm (Gogledd)'!I29,'Incwm (Gogledd)'!AA29)</f>
        <v>22003.268978537071</v>
      </c>
    </row>
    <row r="30" spans="2:34" x14ac:dyDescent="0.35">
      <c r="B30" s="251">
        <v>36</v>
      </c>
      <c r="C30" s="258">
        <v>19291</v>
      </c>
      <c r="D30" s="258">
        <v>19730.030147820235</v>
      </c>
      <c r="E30" s="278">
        <f>D30*(1+'Rhaniad y Ddeiliadaeth (Gog)'!C$109)+(D$44*(-(50-$B30)*('Rhaniad y Ddeiliadaeth (Gog)'!C$110/40)))</f>
        <v>20081.411492889019</v>
      </c>
      <c r="F30" s="278">
        <f>E30*(1+'Rhaniad y Ddeiliadaeth (Gog)'!D$109)+(E$44*(-(50-$B30)*('Rhaniad y Ddeiliadaeth (Gog)'!D$110/40)))</f>
        <v>20676.145258652508</v>
      </c>
      <c r="G30" s="278">
        <f>F30*(1+'Rhaniad y Ddeiliadaeth (Gog)'!E$109)+(F$44*(-(50-$B30)*('Rhaniad y Ddeiliadaeth (Gog)'!E$110/40)))</f>
        <v>21286.078659080446</v>
      </c>
      <c r="H30" s="278">
        <f>G30*(1+'Rhaniad y Ddeiliadaeth (Gog)'!F$109)+(G$44*(-(50-$B30)*('Rhaniad y Ddeiliadaeth (Gog)'!F$110/40)))</f>
        <v>21924.343655175078</v>
      </c>
      <c r="I30" s="279">
        <f>H30*(1+'Rhaniad y Ddeiliadaeth (Gog)'!G$109)+(H$44*(-(50-$B30)*('Rhaniad y Ddeiliadaeth (Gog)'!G$110/40)))</f>
        <v>22577.173528232172</v>
      </c>
      <c r="M30" s="36" t="str">
        <f t="shared" si="1"/>
        <v/>
      </c>
      <c r="N30" s="190"/>
      <c r="O30" s="24">
        <f t="shared" si="4"/>
        <v>1</v>
      </c>
      <c r="U30" s="1">
        <f t="shared" si="2"/>
        <v>36</v>
      </c>
      <c r="V30" s="4" t="str">
        <f t="shared" si="3"/>
        <v/>
      </c>
      <c r="W30" s="4" t="e">
        <f>IF($W$3=$N$3,N30,V30*(1+'Rhaniad y Ddeiliadaeth (Gog)'!C$109)+(V$44*(-(50-$U30)*('Rhaniad y Ddeiliadaeth (Gog)'!C$110/40))))</f>
        <v>#VALUE!</v>
      </c>
      <c r="X30" s="4" t="e">
        <f>W30*(1+'Rhaniad y Ddeiliadaeth (Gog)'!D$109)+(W$44*(-(50-$U30)*('Rhaniad y Ddeiliadaeth (Gog)'!D$110/40)))</f>
        <v>#VALUE!</v>
      </c>
      <c r="Y30" s="4" t="e">
        <f>X30*(1+'Rhaniad y Ddeiliadaeth (Gog)'!E$109)+(X$44*(-(50-$U30)*('Rhaniad y Ddeiliadaeth (Gog)'!E$110/40)))</f>
        <v>#VALUE!</v>
      </c>
      <c r="Z30" s="4" t="e">
        <f>Y30*(1+'Rhaniad y Ddeiliadaeth (Gog)'!F$109)+(Y$44*(-(50-$U30)*('Rhaniad y Ddeiliadaeth (Gog)'!F$110/40)))</f>
        <v>#VALUE!</v>
      </c>
      <c r="AA30" s="4" t="e">
        <f>Z30*(1+'Rhaniad y Ddeiliadaeth (Gog)'!G$109)+(Z$44*(-(50-$U30)*('Rhaniad y Ddeiliadaeth (Gog)'!G$110/40)))</f>
        <v>#VALUE!</v>
      </c>
      <c r="AC30" s="260">
        <v>36</v>
      </c>
      <c r="AD30" s="4">
        <f>IF('Rhaniad y Ddeiliadaeth (Cymru)'!$D$8="Amcangyfrifon LlC",'Incwm (Gogledd)'!E30,'Incwm (Gogledd)'!W30)</f>
        <v>20081.411492889019</v>
      </c>
      <c r="AE30" s="4">
        <f>IF('Rhaniad y Ddeiliadaeth (Cymru)'!$D$8="Amcangyfrifon LlC",'Incwm (Gogledd)'!F30,'Incwm (Gogledd)'!X30)</f>
        <v>20676.145258652508</v>
      </c>
      <c r="AF30" s="4">
        <f>IF('Rhaniad y Ddeiliadaeth (Cymru)'!$D$8="Amcangyfrifon LlC",'Incwm (Gogledd)'!G30,'Incwm (Gogledd)'!Y30)</f>
        <v>21286.078659080446</v>
      </c>
      <c r="AG30" s="4">
        <f>IF('Rhaniad y Ddeiliadaeth (Cymru)'!$D$8="Amcangyfrifon LlC",'Incwm (Gogledd)'!H30,'Incwm (Gogledd)'!Z30)</f>
        <v>21924.343655175078</v>
      </c>
      <c r="AH30" s="4">
        <f>IF('Rhaniad y Ddeiliadaeth (Cymru)'!$D$8="Amcangyfrifon LlC",'Incwm (Gogledd)'!I30,'Incwm (Gogledd)'!AA30)</f>
        <v>22577.173528232172</v>
      </c>
    </row>
    <row r="31" spans="2:34" x14ac:dyDescent="0.35">
      <c r="B31" s="251">
        <v>37</v>
      </c>
      <c r="C31" s="258">
        <v>19857.7</v>
      </c>
      <c r="D31" s="258">
        <v>20309.627270041467</v>
      </c>
      <c r="E31" s="278">
        <f>D31*(1+'Rhaniad y Ddeiliadaeth (Gog)'!C$109)+(D$44*(-(50-$B31)*('Rhaniad y Ddeiliadaeth (Gog)'!C$110/40)))</f>
        <v>20680.55282962518</v>
      </c>
      <c r="F31" s="278">
        <f>E31*(1+'Rhaniad y Ddeiliadaeth (Gog)'!D$109)+(E$44*(-(50-$B31)*('Rhaniad y Ddeiliadaeth (Gog)'!D$110/40)))</f>
        <v>21302.502693813127</v>
      </c>
      <c r="G31" s="278">
        <f>F31*(1+'Rhaniad y Ddeiliadaeth (Gog)'!E$109)+(F$44*(-(50-$B31)*('Rhaniad y Ddeiliadaeth (Gog)'!E$110/40)))</f>
        <v>21940.754052637269</v>
      </c>
      <c r="H31" s="278">
        <f>G31*(1+'Rhaniad y Ddeiliadaeth (Gog)'!F$109)+(G$44*(-(50-$B31)*('Rhaniad y Ddeiliadaeth (Gog)'!F$110/40)))</f>
        <v>22608.872949449971</v>
      </c>
      <c r="I31" s="279">
        <f>H31*(1+'Rhaniad y Ddeiliadaeth (Gog)'!G$109)+(H$44*(-(50-$B31)*('Rhaniad y Ddeiliadaeth (Gog)'!G$110/40)))</f>
        <v>23292.711970420212</v>
      </c>
      <c r="M31" s="36" t="str">
        <f t="shared" si="1"/>
        <v/>
      </c>
      <c r="N31" s="190"/>
      <c r="O31" s="24">
        <f t="shared" si="4"/>
        <v>1</v>
      </c>
      <c r="U31" s="1">
        <f t="shared" si="2"/>
        <v>37</v>
      </c>
      <c r="V31" s="4" t="str">
        <f t="shared" si="3"/>
        <v/>
      </c>
      <c r="W31" s="4" t="e">
        <f>IF($W$3=$N$3,N31,V31*(1+'Rhaniad y Ddeiliadaeth (Gog)'!C$109)+(V$44*(-(50-$U31)*('Rhaniad y Ddeiliadaeth (Gog)'!C$110/40))))</f>
        <v>#VALUE!</v>
      </c>
      <c r="X31" s="4" t="e">
        <f>W31*(1+'Rhaniad y Ddeiliadaeth (Gog)'!D$109)+(W$44*(-(50-$U31)*('Rhaniad y Ddeiliadaeth (Gog)'!D$110/40)))</f>
        <v>#VALUE!</v>
      </c>
      <c r="Y31" s="4" t="e">
        <f>X31*(1+'Rhaniad y Ddeiliadaeth (Gog)'!E$109)+(X$44*(-(50-$U31)*('Rhaniad y Ddeiliadaeth (Gog)'!E$110/40)))</f>
        <v>#VALUE!</v>
      </c>
      <c r="Z31" s="4" t="e">
        <f>Y31*(1+'Rhaniad y Ddeiliadaeth (Gog)'!F$109)+(Y$44*(-(50-$U31)*('Rhaniad y Ddeiliadaeth (Gog)'!F$110/40)))</f>
        <v>#VALUE!</v>
      </c>
      <c r="AA31" s="4" t="e">
        <f>Z31*(1+'Rhaniad y Ddeiliadaeth (Gog)'!G$109)+(Z$44*(-(50-$U31)*('Rhaniad y Ddeiliadaeth (Gog)'!G$110/40)))</f>
        <v>#VALUE!</v>
      </c>
      <c r="AC31" s="260">
        <v>37</v>
      </c>
      <c r="AD31" s="4">
        <f>IF('Rhaniad y Ddeiliadaeth (Cymru)'!$D$8="Amcangyfrifon LlC",'Incwm (Gogledd)'!E31,'Incwm (Gogledd)'!W31)</f>
        <v>20680.55282962518</v>
      </c>
      <c r="AE31" s="4">
        <f>IF('Rhaniad y Ddeiliadaeth (Cymru)'!$D$8="Amcangyfrifon LlC",'Incwm (Gogledd)'!F31,'Incwm (Gogledd)'!X31)</f>
        <v>21302.502693813127</v>
      </c>
      <c r="AF31" s="4">
        <f>IF('Rhaniad y Ddeiliadaeth (Cymru)'!$D$8="Amcangyfrifon LlC",'Incwm (Gogledd)'!G31,'Incwm (Gogledd)'!Y31)</f>
        <v>21940.754052637269</v>
      </c>
      <c r="AG31" s="4">
        <f>IF('Rhaniad y Ddeiliadaeth (Cymru)'!$D$8="Amcangyfrifon LlC",'Incwm (Gogledd)'!H31,'Incwm (Gogledd)'!Z31)</f>
        <v>22608.872949449971</v>
      </c>
      <c r="AH31" s="4">
        <f>IF('Rhaniad y Ddeiliadaeth (Cymru)'!$D$8="Amcangyfrifon LlC",'Incwm (Gogledd)'!I31,'Incwm (Gogledd)'!AA31)</f>
        <v>23292.711970420212</v>
      </c>
    </row>
    <row r="32" spans="2:34" x14ac:dyDescent="0.35">
      <c r="B32" s="251">
        <v>38</v>
      </c>
      <c r="C32" s="258">
        <v>20373.5</v>
      </c>
      <c r="D32" s="258">
        <v>20837.165995366522</v>
      </c>
      <c r="E32" s="278">
        <f>D32*(1+'Rhaniad y Ddeiliadaeth (Gog)'!C$109)+(D$44*(-(50-$B32)*('Rhaniad y Ddeiliadaeth (Gog)'!C$110/40)))</f>
        <v>21226.467257015942</v>
      </c>
      <c r="F32" s="278">
        <f>E32*(1+'Rhaniad y Ddeiliadaeth (Gog)'!D$109)+(E$44*(-(50-$B32)*('Rhaniad y Ddeiliadaeth (Gog)'!D$110/40)))</f>
        <v>21873.808921913962</v>
      </c>
      <c r="G32" s="278">
        <f>F32*(1+'Rhaniad y Ddeiliadaeth (Gog)'!E$109)+(F$44*(-(50-$B32)*('Rhaniad y Ddeiliadaeth (Gog)'!E$110/40)))</f>
        <v>22538.496683081194</v>
      </c>
      <c r="H32" s="278">
        <f>G32*(1+'Rhaniad y Ddeiliadaeth (Gog)'!F$109)+(G$44*(-(50-$B32)*('Rhaniad y Ddeiliadaeth (Gog)'!F$110/40)))</f>
        <v>23234.494752498147</v>
      </c>
      <c r="I32" s="279">
        <f>H32*(1+'Rhaniad y Ddeiliadaeth (Gog)'!G$109)+(H$44*(-(50-$B32)*('Rhaniad y Ddeiliadaeth (Gog)'!G$110/40)))</f>
        <v>23947.310724291325</v>
      </c>
      <c r="M32" s="36" t="str">
        <f t="shared" si="1"/>
        <v/>
      </c>
      <c r="N32" s="190"/>
      <c r="O32" s="24">
        <f t="shared" si="4"/>
        <v>1</v>
      </c>
      <c r="U32" s="1">
        <f t="shared" si="2"/>
        <v>38</v>
      </c>
      <c r="V32" s="4" t="str">
        <f t="shared" si="3"/>
        <v/>
      </c>
      <c r="W32" s="4" t="e">
        <f>IF($W$3=$N$3,N32,V32*(1+'Rhaniad y Ddeiliadaeth (Gog)'!C$109)+(V$44*(-(50-$U32)*('Rhaniad y Ddeiliadaeth (Gog)'!C$110/40))))</f>
        <v>#VALUE!</v>
      </c>
      <c r="X32" s="4" t="e">
        <f>W32*(1+'Rhaniad y Ddeiliadaeth (Gog)'!D$109)+(W$44*(-(50-$U32)*('Rhaniad y Ddeiliadaeth (Gog)'!D$110/40)))</f>
        <v>#VALUE!</v>
      </c>
      <c r="Y32" s="4" t="e">
        <f>X32*(1+'Rhaniad y Ddeiliadaeth (Gog)'!E$109)+(X$44*(-(50-$U32)*('Rhaniad y Ddeiliadaeth (Gog)'!E$110/40)))</f>
        <v>#VALUE!</v>
      </c>
      <c r="Z32" s="4" t="e">
        <f>Y32*(1+'Rhaniad y Ddeiliadaeth (Gog)'!F$109)+(Y$44*(-(50-$U32)*('Rhaniad y Ddeiliadaeth (Gog)'!F$110/40)))</f>
        <v>#VALUE!</v>
      </c>
      <c r="AA32" s="4" t="e">
        <f>Z32*(1+'Rhaniad y Ddeiliadaeth (Gog)'!G$109)+(Z$44*(-(50-$U32)*('Rhaniad y Ddeiliadaeth (Gog)'!G$110/40)))</f>
        <v>#VALUE!</v>
      </c>
      <c r="AC32" s="260">
        <v>38</v>
      </c>
      <c r="AD32" s="4">
        <f>IF('Rhaniad y Ddeiliadaeth (Cymru)'!$D$8="Amcangyfrifon LlC",'Incwm (Gogledd)'!E32,'Incwm (Gogledd)'!W32)</f>
        <v>21226.467257015942</v>
      </c>
      <c r="AE32" s="4">
        <f>IF('Rhaniad y Ddeiliadaeth (Cymru)'!$D$8="Amcangyfrifon LlC",'Incwm (Gogledd)'!F32,'Incwm (Gogledd)'!X32)</f>
        <v>21873.808921913962</v>
      </c>
      <c r="AF32" s="4">
        <f>IF('Rhaniad y Ddeiliadaeth (Cymru)'!$D$8="Amcangyfrifon LlC",'Incwm (Gogledd)'!G32,'Incwm (Gogledd)'!Y32)</f>
        <v>22538.496683081194</v>
      </c>
      <c r="AG32" s="4">
        <f>IF('Rhaniad y Ddeiliadaeth (Cymru)'!$D$8="Amcangyfrifon LlC",'Incwm (Gogledd)'!H32,'Incwm (Gogledd)'!Z32)</f>
        <v>23234.494752498147</v>
      </c>
      <c r="AH32" s="4">
        <f>IF('Rhaniad y Ddeiliadaeth (Cymru)'!$D$8="Amcangyfrifon LlC",'Incwm (Gogledd)'!I32,'Incwm (Gogledd)'!AA32)</f>
        <v>23947.310724291325</v>
      </c>
    </row>
    <row r="33" spans="2:34" x14ac:dyDescent="0.35">
      <c r="B33" s="251">
        <v>39</v>
      </c>
      <c r="C33" s="258">
        <v>20843.05</v>
      </c>
      <c r="D33" s="258">
        <v>21317.402149837984</v>
      </c>
      <c r="E33" s="278">
        <f>D33*(1+'Rhaniad y Ddeiliadaeth (Gog)'!C$109)+(D$44*(-(50-$B33)*('Rhaniad y Ddeiliadaeth (Gog)'!C$110/40)))</f>
        <v>21724.017351258888</v>
      </c>
      <c r="F33" s="278">
        <f>E33*(1+'Rhaniad y Ddeiliadaeth (Gog)'!D$109)+(E$44*(-(50-$B33)*('Rhaniad y Ddeiliadaeth (Gog)'!D$110/40)))</f>
        <v>22395.093178963438</v>
      </c>
      <c r="G33" s="278">
        <f>F33*(1+'Rhaniad y Ddeiliadaeth (Gog)'!E$109)+(F$44*(-(50-$B33)*('Rhaniad y Ddeiliadaeth (Gog)'!E$110/40)))</f>
        <v>23084.507677101334</v>
      </c>
      <c r="H33" s="278">
        <f>G33*(1+'Rhaniad y Ddeiliadaeth (Gog)'!F$109)+(G$44*(-(50-$B33)*('Rhaniad y Ddeiliadaeth (Gog)'!F$110/40)))</f>
        <v>23806.590593478853</v>
      </c>
      <c r="I33" s="279">
        <f>H33*(1+'Rhaniad y Ddeiliadaeth (Gog)'!G$109)+(H$44*(-(50-$B33)*('Rhaniad y Ddeiliadaeth (Gog)'!G$110/40)))</f>
        <v>24546.536971587655</v>
      </c>
      <c r="M33" s="36" t="str">
        <f t="shared" si="1"/>
        <v/>
      </c>
      <c r="N33" s="190"/>
      <c r="O33" s="24">
        <f t="shared" si="4"/>
        <v>1</v>
      </c>
      <c r="U33" s="1">
        <f t="shared" si="2"/>
        <v>39</v>
      </c>
      <c r="V33" s="4" t="str">
        <f t="shared" si="3"/>
        <v/>
      </c>
      <c r="W33" s="4" t="e">
        <f>IF($W$3=$N$3,N33,V33*(1+'Rhaniad y Ddeiliadaeth (Gog)'!C$109)+(V$44*(-(50-$U33)*('Rhaniad y Ddeiliadaeth (Gog)'!C$110/40))))</f>
        <v>#VALUE!</v>
      </c>
      <c r="X33" s="4" t="e">
        <f>W33*(1+'Rhaniad y Ddeiliadaeth (Gog)'!D$109)+(W$44*(-(50-$U33)*('Rhaniad y Ddeiliadaeth (Gog)'!D$110/40)))</f>
        <v>#VALUE!</v>
      </c>
      <c r="Y33" s="4" t="e">
        <f>X33*(1+'Rhaniad y Ddeiliadaeth (Gog)'!E$109)+(X$44*(-(50-$U33)*('Rhaniad y Ddeiliadaeth (Gog)'!E$110/40)))</f>
        <v>#VALUE!</v>
      </c>
      <c r="Z33" s="4" t="e">
        <f>Y33*(1+'Rhaniad y Ddeiliadaeth (Gog)'!F$109)+(Y$44*(-(50-$U33)*('Rhaniad y Ddeiliadaeth (Gog)'!F$110/40)))</f>
        <v>#VALUE!</v>
      </c>
      <c r="AA33" s="4" t="e">
        <f>Z33*(1+'Rhaniad y Ddeiliadaeth (Gog)'!G$109)+(Z$44*(-(50-$U33)*('Rhaniad y Ddeiliadaeth (Gog)'!G$110/40)))</f>
        <v>#VALUE!</v>
      </c>
      <c r="AC33" s="260">
        <v>39</v>
      </c>
      <c r="AD33" s="4">
        <f>IF('Rhaniad y Ddeiliadaeth (Cymru)'!$D$8="Amcangyfrifon LlC",'Incwm (Gogledd)'!E33,'Incwm (Gogledd)'!W33)</f>
        <v>21724.017351258888</v>
      </c>
      <c r="AE33" s="4">
        <f>IF('Rhaniad y Ddeiliadaeth (Cymru)'!$D$8="Amcangyfrifon LlC",'Incwm (Gogledd)'!F33,'Incwm (Gogledd)'!X33)</f>
        <v>22395.093178963438</v>
      </c>
      <c r="AF33" s="4">
        <f>IF('Rhaniad y Ddeiliadaeth (Cymru)'!$D$8="Amcangyfrifon LlC",'Incwm (Gogledd)'!G33,'Incwm (Gogledd)'!Y33)</f>
        <v>23084.507677101334</v>
      </c>
      <c r="AG33" s="4">
        <f>IF('Rhaniad y Ddeiliadaeth (Cymru)'!$D$8="Amcangyfrifon LlC",'Incwm (Gogledd)'!H33,'Incwm (Gogledd)'!Z33)</f>
        <v>23806.590593478853</v>
      </c>
      <c r="AH33" s="4">
        <f>IF('Rhaniad y Ddeiliadaeth (Cymru)'!$D$8="Amcangyfrifon LlC",'Incwm (Gogledd)'!I33,'Incwm (Gogledd)'!AA33)</f>
        <v>24546.536971587655</v>
      </c>
    </row>
    <row r="34" spans="2:34" x14ac:dyDescent="0.35">
      <c r="B34" s="251">
        <v>40</v>
      </c>
      <c r="C34" s="258">
        <v>21225</v>
      </c>
      <c r="D34" s="258">
        <v>21742.427909865084</v>
      </c>
      <c r="E34" s="278">
        <f>D34*(1+'Rhaniad y Ddeiliadaeth (Gog)'!C$109)+(D$44*(-(50-$B34)*('Rhaniad y Ddeiliadaeth (Gog)'!C$110/40)))</f>
        <v>22165.11778828565</v>
      </c>
      <c r="F34" s="278">
        <f>E34*(1+'Rhaniad y Ddeiliadaeth (Gog)'!D$109)+(E$44*(-(50-$B34)*('Rhaniad y Ddeiliadaeth (Gog)'!D$110/40)))</f>
        <v>22857.993024705167</v>
      </c>
      <c r="G34" s="278">
        <f>F34*(1+'Rhaniad y Ddeiliadaeth (Gog)'!E$109)+(F$44*(-(50-$B34)*('Rhaniad y Ddeiliadaeth (Gog)'!E$110/40)))</f>
        <v>23570.13878054322</v>
      </c>
      <c r="H34" s="278">
        <f>G34*(1+'Rhaniad y Ddeiliadaeth (Gog)'!F$109)+(G$44*(-(50-$B34)*('Rhaniad y Ddeiliadaeth (Gog)'!F$110/40)))</f>
        <v>24316.21225122951</v>
      </c>
      <c r="I34" s="279">
        <f>H34*(1+'Rhaniad y Ddeiliadaeth (Gog)'!G$109)+(H$44*(-(50-$B34)*('Rhaniad y Ddeiliadaeth (Gog)'!G$110/40)))</f>
        <v>25081.133794431997</v>
      </c>
      <c r="M34" s="36" t="str">
        <f t="shared" si="1"/>
        <v/>
      </c>
      <c r="N34" s="190"/>
      <c r="O34" s="24">
        <f t="shared" si="4"/>
        <v>1</v>
      </c>
      <c r="U34" s="1">
        <f t="shared" si="2"/>
        <v>40</v>
      </c>
      <c r="V34" s="4" t="str">
        <f t="shared" si="3"/>
        <v/>
      </c>
      <c r="W34" s="4" t="e">
        <f>IF($W$3=$N$3,N34,V34*(1+'Rhaniad y Ddeiliadaeth (Gog)'!C$109)+(V$44*(-(50-$U34)*('Rhaniad y Ddeiliadaeth (Gog)'!C$110/40))))</f>
        <v>#VALUE!</v>
      </c>
      <c r="X34" s="4" t="e">
        <f>W34*(1+'Rhaniad y Ddeiliadaeth (Gog)'!D$109)+(W$44*(-(50-$U34)*('Rhaniad y Ddeiliadaeth (Gog)'!D$110/40)))</f>
        <v>#VALUE!</v>
      </c>
      <c r="Y34" s="4" t="e">
        <f>X34*(1+'Rhaniad y Ddeiliadaeth (Gog)'!E$109)+(X$44*(-(50-$U34)*('Rhaniad y Ddeiliadaeth (Gog)'!E$110/40)))</f>
        <v>#VALUE!</v>
      </c>
      <c r="Z34" s="4" t="e">
        <f>Y34*(1+'Rhaniad y Ddeiliadaeth (Gog)'!F$109)+(Y$44*(-(50-$U34)*('Rhaniad y Ddeiliadaeth (Gog)'!F$110/40)))</f>
        <v>#VALUE!</v>
      </c>
      <c r="AA34" s="4" t="e">
        <f>Z34*(1+'Rhaniad y Ddeiliadaeth (Gog)'!G$109)+(Z$44*(-(50-$U34)*('Rhaniad y Ddeiliadaeth (Gog)'!G$110/40)))</f>
        <v>#VALUE!</v>
      </c>
      <c r="AC34" s="260">
        <v>40</v>
      </c>
      <c r="AD34" s="4">
        <f>IF('Rhaniad y Ddeiliadaeth (Cymru)'!$D$8="Amcangyfrifon LlC",'Incwm (Gogledd)'!E34,'Incwm (Gogledd)'!W34)</f>
        <v>22165.11778828565</v>
      </c>
      <c r="AE34" s="4">
        <f>IF('Rhaniad y Ddeiliadaeth (Cymru)'!$D$8="Amcangyfrifon LlC",'Incwm (Gogledd)'!F34,'Incwm (Gogledd)'!X34)</f>
        <v>22857.993024705167</v>
      </c>
      <c r="AF34" s="4">
        <f>IF('Rhaniad y Ddeiliadaeth (Cymru)'!$D$8="Amcangyfrifon LlC",'Incwm (Gogledd)'!G34,'Incwm (Gogledd)'!Y34)</f>
        <v>23570.13878054322</v>
      </c>
      <c r="AG34" s="4">
        <f>IF('Rhaniad y Ddeiliadaeth (Cymru)'!$D$8="Amcangyfrifon LlC",'Incwm (Gogledd)'!H34,'Incwm (Gogledd)'!Z34)</f>
        <v>24316.21225122951</v>
      </c>
      <c r="AH34" s="4">
        <f>IF('Rhaniad y Ddeiliadaeth (Cymru)'!$D$8="Amcangyfrifon LlC",'Incwm (Gogledd)'!I34,'Incwm (Gogledd)'!AA34)</f>
        <v>25081.133794431997</v>
      </c>
    </row>
    <row r="35" spans="2:34" x14ac:dyDescent="0.35">
      <c r="B35" s="251">
        <v>41</v>
      </c>
      <c r="C35" s="258">
        <v>21525</v>
      </c>
      <c r="D35" s="258">
        <v>22049.741378555755</v>
      </c>
      <c r="E35" s="278">
        <f>D35*(1+'Rhaniad y Ddeiliadaeth (Gog)'!C$109)+(D$44*(-(50-$B35)*('Rhaniad y Ddeiliadaeth (Gog)'!C$110/40)))</f>
        <v>22485.863742013633</v>
      </c>
      <c r="F35" s="278">
        <f>E35*(1+'Rhaniad y Ddeiliadaeth (Gog)'!D$109)+(E$44*(-(50-$B35)*('Rhaniad y Ddeiliadaeth (Gog)'!D$110/40)))</f>
        <v>23196.413360700055</v>
      </c>
      <c r="G35" s="278">
        <f>F35*(1+'Rhaniad y Ddeiliadaeth (Gog)'!E$109)+(F$44*(-(50-$B35)*('Rhaniad y Ddeiliadaeth (Gog)'!E$110/40)))</f>
        <v>23927.035877605722</v>
      </c>
      <c r="H35" s="278">
        <f>G35*(1+'Rhaniad y Ddeiliadaeth (Gog)'!F$109)+(G$44*(-(50-$B35)*('Rhaniad y Ddeiliadaeth (Gog)'!F$110/40)))</f>
        <v>24692.634729162823</v>
      </c>
      <c r="I35" s="279">
        <f>H35*(1+'Rhaniad y Ddeiliadaeth (Gog)'!G$109)+(H$44*(-(50-$B35)*('Rhaniad y Ddeiliadaeth (Gog)'!G$110/40)))</f>
        <v>25477.936317551383</v>
      </c>
      <c r="M35" s="36" t="str">
        <f t="shared" si="1"/>
        <v/>
      </c>
      <c r="N35" s="190"/>
      <c r="O35" s="24">
        <f t="shared" si="4"/>
        <v>1</v>
      </c>
      <c r="U35" s="1">
        <f t="shared" si="2"/>
        <v>41</v>
      </c>
      <c r="V35" s="4" t="str">
        <f t="shared" si="3"/>
        <v/>
      </c>
      <c r="W35" s="4" t="e">
        <f>IF($W$3=$N$3,N35,V35*(1+'Rhaniad y Ddeiliadaeth (Gog)'!C$109)+(V$44*(-(50-$U35)*('Rhaniad y Ddeiliadaeth (Gog)'!C$110/40))))</f>
        <v>#VALUE!</v>
      </c>
      <c r="X35" s="4" t="e">
        <f>W35*(1+'Rhaniad y Ddeiliadaeth (Gog)'!D$109)+(W$44*(-(50-$U35)*('Rhaniad y Ddeiliadaeth (Gog)'!D$110/40)))</f>
        <v>#VALUE!</v>
      </c>
      <c r="Y35" s="4" t="e">
        <f>X35*(1+'Rhaniad y Ddeiliadaeth (Gog)'!E$109)+(X$44*(-(50-$U35)*('Rhaniad y Ddeiliadaeth (Gog)'!E$110/40)))</f>
        <v>#VALUE!</v>
      </c>
      <c r="Z35" s="4" t="e">
        <f>Y35*(1+'Rhaniad y Ddeiliadaeth (Gog)'!F$109)+(Y$44*(-(50-$U35)*('Rhaniad y Ddeiliadaeth (Gog)'!F$110/40)))</f>
        <v>#VALUE!</v>
      </c>
      <c r="AA35" s="4" t="e">
        <f>Z35*(1+'Rhaniad y Ddeiliadaeth (Gog)'!G$109)+(Z$44*(-(50-$U35)*('Rhaniad y Ddeiliadaeth (Gog)'!G$110/40)))</f>
        <v>#VALUE!</v>
      </c>
      <c r="AC35" s="260">
        <v>41</v>
      </c>
      <c r="AD35" s="4">
        <f>IF('Rhaniad y Ddeiliadaeth (Cymru)'!$D$8="Amcangyfrifon LlC",'Incwm (Gogledd)'!E35,'Incwm (Gogledd)'!W35)</f>
        <v>22485.863742013633</v>
      </c>
      <c r="AE35" s="4">
        <f>IF('Rhaniad y Ddeiliadaeth (Cymru)'!$D$8="Amcangyfrifon LlC",'Incwm (Gogledd)'!F35,'Incwm (Gogledd)'!X35)</f>
        <v>23196.413360700055</v>
      </c>
      <c r="AF35" s="4">
        <f>IF('Rhaniad y Ddeiliadaeth (Cymru)'!$D$8="Amcangyfrifon LlC",'Incwm (Gogledd)'!G35,'Incwm (Gogledd)'!Y35)</f>
        <v>23927.035877605722</v>
      </c>
      <c r="AG35" s="4">
        <f>IF('Rhaniad y Ddeiliadaeth (Cymru)'!$D$8="Amcangyfrifon LlC",'Incwm (Gogledd)'!H35,'Incwm (Gogledd)'!Z35)</f>
        <v>24692.634729162823</v>
      </c>
      <c r="AH35" s="4">
        <f>IF('Rhaniad y Ddeiliadaeth (Cymru)'!$D$8="Amcangyfrifon LlC",'Incwm (Gogledd)'!I35,'Incwm (Gogledd)'!AA35)</f>
        <v>25477.936317551383</v>
      </c>
    </row>
    <row r="36" spans="2:34" x14ac:dyDescent="0.35">
      <c r="B36" s="251">
        <v>42</v>
      </c>
      <c r="C36" s="258">
        <v>22006.57</v>
      </c>
      <c r="D36" s="258">
        <v>22543.051202280312</v>
      </c>
      <c r="E36" s="278">
        <f>D36*(1+'Rhaniad y Ddeiliadaeth (Gog)'!C$109)+(D$44*(-(50-$B36)*('Rhaniad y Ddeiliadaeth (Gog)'!C$110/40)))</f>
        <v>22996.780959518826</v>
      </c>
      <c r="F36" s="278">
        <f>E36*(1+'Rhaniad y Ddeiliadaeth (Gog)'!D$109)+(E$44*(-(50-$B36)*('Rhaniad y Ddeiliadaeth (Gog)'!D$110/40)))</f>
        <v>23731.522885448776</v>
      </c>
      <c r="G36" s="278">
        <f>F36*(1+'Rhaniad y Ddeiliadaeth (Gog)'!E$109)+(F$44*(-(50-$B36)*('Rhaniad y Ddeiliadaeth (Gog)'!E$110/40)))</f>
        <v>24487.344663317126</v>
      </c>
      <c r="H36" s="278">
        <f>G36*(1+'Rhaniad y Ddeiliadaeth (Gog)'!F$109)+(G$44*(-(50-$B36)*('Rhaniad y Ddeiliadaeth (Gog)'!F$110/40)))</f>
        <v>25279.524284563191</v>
      </c>
      <c r="I36" s="279">
        <f>H36*(1+'Rhaniad y Ddeiliadaeth (Gog)'!G$109)+(H$44*(-(50-$B36)*('Rhaniad y Ddeiliadaeth (Gog)'!G$110/40)))</f>
        <v>26092.466634449222</v>
      </c>
      <c r="M36" s="36" t="str">
        <f t="shared" si="1"/>
        <v/>
      </c>
      <c r="N36" s="190"/>
      <c r="O36" s="24">
        <f t="shared" si="4"/>
        <v>1</v>
      </c>
      <c r="U36" s="1">
        <f t="shared" si="2"/>
        <v>42</v>
      </c>
      <c r="V36" s="4" t="str">
        <f t="shared" si="3"/>
        <v/>
      </c>
      <c r="W36" s="4" t="e">
        <f>IF($W$3=$N$3,N36,V36*(1+'Rhaniad y Ddeiliadaeth (Gog)'!C$109)+(V$44*(-(50-$U36)*('Rhaniad y Ddeiliadaeth (Gog)'!C$110/40))))</f>
        <v>#VALUE!</v>
      </c>
      <c r="X36" s="4" t="e">
        <f>W36*(1+'Rhaniad y Ddeiliadaeth (Gog)'!D$109)+(W$44*(-(50-$U36)*('Rhaniad y Ddeiliadaeth (Gog)'!D$110/40)))</f>
        <v>#VALUE!</v>
      </c>
      <c r="Y36" s="4" t="e">
        <f>X36*(1+'Rhaniad y Ddeiliadaeth (Gog)'!E$109)+(X$44*(-(50-$U36)*('Rhaniad y Ddeiliadaeth (Gog)'!E$110/40)))</f>
        <v>#VALUE!</v>
      </c>
      <c r="Z36" s="4" t="e">
        <f>Y36*(1+'Rhaniad y Ddeiliadaeth (Gog)'!F$109)+(Y$44*(-(50-$U36)*('Rhaniad y Ddeiliadaeth (Gog)'!F$110/40)))</f>
        <v>#VALUE!</v>
      </c>
      <c r="AA36" s="4" t="e">
        <f>Z36*(1+'Rhaniad y Ddeiliadaeth (Gog)'!G$109)+(Z$44*(-(50-$U36)*('Rhaniad y Ddeiliadaeth (Gog)'!G$110/40)))</f>
        <v>#VALUE!</v>
      </c>
      <c r="AC36" s="260">
        <v>42</v>
      </c>
      <c r="AD36" s="4">
        <f>IF('Rhaniad y Ddeiliadaeth (Cymru)'!$D$8="Amcangyfrifon LlC",'Incwm (Gogledd)'!E36,'Incwm (Gogledd)'!W36)</f>
        <v>22996.780959518826</v>
      </c>
      <c r="AE36" s="4">
        <f>IF('Rhaniad y Ddeiliadaeth (Cymru)'!$D$8="Amcangyfrifon LlC",'Incwm (Gogledd)'!F36,'Incwm (Gogledd)'!X36)</f>
        <v>23731.522885448776</v>
      </c>
      <c r="AF36" s="4">
        <f>IF('Rhaniad y Ddeiliadaeth (Cymru)'!$D$8="Amcangyfrifon LlC",'Incwm (Gogledd)'!G36,'Incwm (Gogledd)'!Y36)</f>
        <v>24487.344663317126</v>
      </c>
      <c r="AG36" s="4">
        <f>IF('Rhaniad y Ddeiliadaeth (Cymru)'!$D$8="Amcangyfrifon LlC",'Incwm (Gogledd)'!H36,'Incwm (Gogledd)'!Z36)</f>
        <v>25279.524284563191</v>
      </c>
      <c r="AH36" s="4">
        <f>IF('Rhaniad y Ddeiliadaeth (Cymru)'!$D$8="Amcangyfrifon LlC",'Incwm (Gogledd)'!I36,'Incwm (Gogledd)'!AA36)</f>
        <v>26092.466634449222</v>
      </c>
    </row>
    <row r="37" spans="2:34" x14ac:dyDescent="0.35">
      <c r="B37" s="251">
        <v>43</v>
      </c>
      <c r="C37" s="258">
        <v>22577</v>
      </c>
      <c r="D37" s="258">
        <v>23127.387275431047</v>
      </c>
      <c r="E37" s="278">
        <f>D37*(1+'Rhaniad y Ddeiliadaeth (Gog)'!C$109)+(D$44*(-(50-$B37)*('Rhaniad y Ddeiliadaeth (Gog)'!C$110/40)))</f>
        <v>23600.767618557547</v>
      </c>
      <c r="F37" s="278">
        <f>E37*(1+'Rhaniad y Ddeiliadaeth (Gog)'!D$109)+(E$44*(-(50-$B37)*('Rhaniad y Ddeiliadaeth (Gog)'!D$110/40)))</f>
        <v>24362.891711363249</v>
      </c>
      <c r="G37" s="278">
        <f>F37*(1+'Rhaniad y Ddeiliadaeth (Gog)'!E$109)+(F$44*(-(50-$B37)*('Rhaniad y Ddeiliadaeth (Gog)'!E$110/40)))</f>
        <v>25147.202728388231</v>
      </c>
      <c r="H37" s="278">
        <f>G37*(1+'Rhaniad y Ddeiliadaeth (Gog)'!F$109)+(G$44*(-(50-$B37)*('Rhaniad y Ddeiliadaeth (Gog)'!F$110/40)))</f>
        <v>25969.41601269981</v>
      </c>
      <c r="I37" s="279">
        <f>H37*(1+'Rhaniad y Ddeiliadaeth (Gog)'!G$109)+(H$44*(-(50-$B37)*('Rhaniad y Ddeiliadaeth (Gog)'!G$110/40)))</f>
        <v>26813.552504330219</v>
      </c>
      <c r="M37" s="36" t="str">
        <f t="shared" si="1"/>
        <v/>
      </c>
      <c r="N37" s="190"/>
      <c r="O37" s="24">
        <f t="shared" si="4"/>
        <v>1</v>
      </c>
      <c r="U37" s="1">
        <f t="shared" si="2"/>
        <v>43</v>
      </c>
      <c r="V37" s="4" t="str">
        <f t="shared" si="3"/>
        <v/>
      </c>
      <c r="W37" s="4" t="e">
        <f>IF($W$3=$N$3,N37,V37*(1+'Rhaniad y Ddeiliadaeth (Gog)'!C$109)+(V$44*(-(50-$U37)*('Rhaniad y Ddeiliadaeth (Gog)'!C$110/40))))</f>
        <v>#VALUE!</v>
      </c>
      <c r="X37" s="4" t="e">
        <f>W37*(1+'Rhaniad y Ddeiliadaeth (Gog)'!D$109)+(W$44*(-(50-$U37)*('Rhaniad y Ddeiliadaeth (Gog)'!D$110/40)))</f>
        <v>#VALUE!</v>
      </c>
      <c r="Y37" s="4" t="e">
        <f>X37*(1+'Rhaniad y Ddeiliadaeth (Gog)'!E$109)+(X$44*(-(50-$U37)*('Rhaniad y Ddeiliadaeth (Gog)'!E$110/40)))</f>
        <v>#VALUE!</v>
      </c>
      <c r="Z37" s="4" t="e">
        <f>Y37*(1+'Rhaniad y Ddeiliadaeth (Gog)'!F$109)+(Y$44*(-(50-$U37)*('Rhaniad y Ddeiliadaeth (Gog)'!F$110/40)))</f>
        <v>#VALUE!</v>
      </c>
      <c r="AA37" s="4" t="e">
        <f>Z37*(1+'Rhaniad y Ddeiliadaeth (Gog)'!G$109)+(Z$44*(-(50-$U37)*('Rhaniad y Ddeiliadaeth (Gog)'!G$110/40)))</f>
        <v>#VALUE!</v>
      </c>
      <c r="AC37" s="260">
        <v>43</v>
      </c>
      <c r="AD37" s="4">
        <f>IF('Rhaniad y Ddeiliadaeth (Cymru)'!$D$8="Amcangyfrifon LlC",'Incwm (Gogledd)'!E37,'Incwm (Gogledd)'!W37)</f>
        <v>23600.767618557547</v>
      </c>
      <c r="AE37" s="4">
        <f>IF('Rhaniad y Ddeiliadaeth (Cymru)'!$D$8="Amcangyfrifon LlC",'Incwm (Gogledd)'!F37,'Incwm (Gogledd)'!X37)</f>
        <v>24362.891711363249</v>
      </c>
      <c r="AF37" s="4">
        <f>IF('Rhaniad y Ddeiliadaeth (Cymru)'!$D$8="Amcangyfrifon LlC",'Incwm (Gogledd)'!G37,'Incwm (Gogledd)'!Y37)</f>
        <v>25147.202728388231</v>
      </c>
      <c r="AG37" s="4">
        <f>IF('Rhaniad y Ddeiliadaeth (Cymru)'!$D$8="Amcangyfrifon LlC",'Incwm (Gogledd)'!H37,'Incwm (Gogledd)'!Z37)</f>
        <v>25969.41601269981</v>
      </c>
      <c r="AH37" s="4">
        <f>IF('Rhaniad y Ddeiliadaeth (Cymru)'!$D$8="Amcangyfrifon LlC",'Incwm (Gogledd)'!I37,'Incwm (Gogledd)'!AA37)</f>
        <v>26813.552504330219</v>
      </c>
    </row>
    <row r="38" spans="2:34" x14ac:dyDescent="0.35">
      <c r="B38" s="251">
        <v>44</v>
      </c>
      <c r="C38" s="258">
        <v>22897.16</v>
      </c>
      <c r="D38" s="258">
        <v>23455.352209217734</v>
      </c>
      <c r="E38" s="278">
        <f>D38*(1+'Rhaniad y Ddeiliadaeth (Gog)'!C$109)+(D$44*(-(50-$B38)*('Rhaniad y Ddeiliadaeth (Gog)'!C$110/40)))</f>
        <v>23942.628584004142</v>
      </c>
      <c r="F38" s="278">
        <f>E38*(1+'Rhaniad y Ddeiliadaeth (Gog)'!D$109)+(E$44*(-(50-$B38)*('Rhaniad y Ddeiliadaeth (Gog)'!D$110/40)))</f>
        <v>24723.150754442333</v>
      </c>
      <c r="G38" s="278">
        <f>F38*(1+'Rhaniad y Ddeiliadaeth (Gog)'!E$109)+(F$44*(-(50-$B38)*('Rhaniad y Ddeiliadaeth (Gog)'!E$110/40)))</f>
        <v>25526.684942172451</v>
      </c>
      <c r="H38" s="278">
        <f>G38*(1+'Rhaniad y Ddeiliadaeth (Gog)'!F$109)+(G$44*(-(50-$B38)*('Rhaniad y Ddeiliadaeth (Gog)'!F$110/40)))</f>
        <v>26369.206978168164</v>
      </c>
      <c r="I38" s="279">
        <f>H38*(1+'Rhaniad y Ddeiliadaeth (Gog)'!G$109)+(H$44*(-(50-$B38)*('Rhaniad y Ddeiliadaeth (Gog)'!G$110/40)))</f>
        <v>27234.529683629451</v>
      </c>
      <c r="M38" s="36" t="str">
        <f t="shared" si="1"/>
        <v/>
      </c>
      <c r="N38" s="190"/>
      <c r="O38" s="24">
        <f t="shared" si="4"/>
        <v>1</v>
      </c>
      <c r="U38" s="1">
        <f t="shared" si="2"/>
        <v>44</v>
      </c>
      <c r="V38" s="4" t="str">
        <f t="shared" si="3"/>
        <v/>
      </c>
      <c r="W38" s="4" t="e">
        <f>IF($W$3=$N$3,N38,V38*(1+'Rhaniad y Ddeiliadaeth (Gog)'!C$109)+(V$44*(-(50-$U38)*('Rhaniad y Ddeiliadaeth (Gog)'!C$110/40))))</f>
        <v>#VALUE!</v>
      </c>
      <c r="X38" s="4" t="e">
        <f>W38*(1+'Rhaniad y Ddeiliadaeth (Gog)'!D$109)+(W$44*(-(50-$U38)*('Rhaniad y Ddeiliadaeth (Gog)'!D$110/40)))</f>
        <v>#VALUE!</v>
      </c>
      <c r="Y38" s="4" t="e">
        <f>X38*(1+'Rhaniad y Ddeiliadaeth (Gog)'!E$109)+(X$44*(-(50-$U38)*('Rhaniad y Ddeiliadaeth (Gog)'!E$110/40)))</f>
        <v>#VALUE!</v>
      </c>
      <c r="Z38" s="4" t="e">
        <f>Y38*(1+'Rhaniad y Ddeiliadaeth (Gog)'!F$109)+(Y$44*(-(50-$U38)*('Rhaniad y Ddeiliadaeth (Gog)'!F$110/40)))</f>
        <v>#VALUE!</v>
      </c>
      <c r="AA38" s="4" t="e">
        <f>Z38*(1+'Rhaniad y Ddeiliadaeth (Gog)'!G$109)+(Z$44*(-(50-$U38)*('Rhaniad y Ddeiliadaeth (Gog)'!G$110/40)))</f>
        <v>#VALUE!</v>
      </c>
      <c r="AC38" s="260">
        <v>44</v>
      </c>
      <c r="AD38" s="4">
        <f>IF('Rhaniad y Ddeiliadaeth (Cymru)'!$D$8="Amcangyfrifon LlC",'Incwm (Gogledd)'!E38,'Incwm (Gogledd)'!W38)</f>
        <v>23942.628584004142</v>
      </c>
      <c r="AE38" s="4">
        <f>IF('Rhaniad y Ddeiliadaeth (Cymru)'!$D$8="Amcangyfrifon LlC",'Incwm (Gogledd)'!F38,'Incwm (Gogledd)'!X38)</f>
        <v>24723.150754442333</v>
      </c>
      <c r="AF38" s="4">
        <f>IF('Rhaniad y Ddeiliadaeth (Cymru)'!$D$8="Amcangyfrifon LlC",'Incwm (Gogledd)'!G38,'Incwm (Gogledd)'!Y38)</f>
        <v>25526.684942172451</v>
      </c>
      <c r="AG38" s="4">
        <f>IF('Rhaniad y Ddeiliadaeth (Cymru)'!$D$8="Amcangyfrifon LlC",'Incwm (Gogledd)'!H38,'Incwm (Gogledd)'!Z38)</f>
        <v>26369.206978168164</v>
      </c>
      <c r="AH38" s="4">
        <f>IF('Rhaniad y Ddeiliadaeth (Cymru)'!$D$8="Amcangyfrifon LlC",'Incwm (Gogledd)'!I38,'Incwm (Gogledd)'!AA38)</f>
        <v>27234.529683629451</v>
      </c>
    </row>
    <row r="39" spans="2:34" x14ac:dyDescent="0.35">
      <c r="B39" s="251">
        <v>45</v>
      </c>
      <c r="C39" s="258">
        <v>23525</v>
      </c>
      <c r="D39" s="258">
        <v>24098.497836493574</v>
      </c>
      <c r="E39" s="278">
        <f>D39*(1+'Rhaniad y Ddeiliadaeth (Gog)'!C$109)+(D$44*(-(50-$B39)*('Rhaniad y Ddeiliadaeth (Gog)'!C$110/40)))</f>
        <v>24606.744847346716</v>
      </c>
      <c r="F39" s="278">
        <f>E39*(1+'Rhaniad y Ddeiliadaeth (Gog)'!D$109)+(E$44*(-(50-$B39)*('Rhaniad y Ddeiliadaeth (Gog)'!D$110/40)))</f>
        <v>25416.710065163537</v>
      </c>
      <c r="G39" s="278">
        <f>F39*(1+'Rhaniad y Ddeiliadaeth (Gog)'!E$109)+(F$44*(-(50-$B39)*('Rhaniad y Ddeiliadaeth (Gog)'!E$110/40)))</f>
        <v>26250.859056399993</v>
      </c>
      <c r="H39" s="278">
        <f>G39*(1+'Rhaniad y Ddeiliadaeth (Gog)'!F$109)+(G$44*(-(50-$B39)*('Rhaniad y Ddeiliadaeth (Gog)'!F$110/40)))</f>
        <v>27125.645574825929</v>
      </c>
      <c r="I39" s="279">
        <f>H39*(1+'Rhaniad y Ddeiliadaeth (Gog)'!G$109)+(H$44*(-(50-$B39)*('Rhaniad y Ddeiliadaeth (Gog)'!G$110/40)))</f>
        <v>28024.458163197192</v>
      </c>
      <c r="M39" s="36" t="str">
        <f t="shared" si="1"/>
        <v/>
      </c>
      <c r="N39" s="190"/>
      <c r="O39" s="24">
        <f t="shared" si="4"/>
        <v>1</v>
      </c>
      <c r="U39" s="1">
        <f t="shared" si="2"/>
        <v>45</v>
      </c>
      <c r="V39" s="4" t="str">
        <f t="shared" si="3"/>
        <v/>
      </c>
      <c r="W39" s="4" t="e">
        <f>IF($W$3=$N$3,N39,V39*(1+'Rhaniad y Ddeiliadaeth (Gog)'!C$109)+(V$44*(-(50-$U39)*('Rhaniad y Ddeiliadaeth (Gog)'!C$110/40))))</f>
        <v>#VALUE!</v>
      </c>
      <c r="X39" s="4" t="e">
        <f>W39*(1+'Rhaniad y Ddeiliadaeth (Gog)'!D$109)+(W$44*(-(50-$U39)*('Rhaniad y Ddeiliadaeth (Gog)'!D$110/40)))</f>
        <v>#VALUE!</v>
      </c>
      <c r="Y39" s="4" t="e">
        <f>X39*(1+'Rhaniad y Ddeiliadaeth (Gog)'!E$109)+(X$44*(-(50-$U39)*('Rhaniad y Ddeiliadaeth (Gog)'!E$110/40)))</f>
        <v>#VALUE!</v>
      </c>
      <c r="Z39" s="4" t="e">
        <f>Y39*(1+'Rhaniad y Ddeiliadaeth (Gog)'!F$109)+(Y$44*(-(50-$U39)*('Rhaniad y Ddeiliadaeth (Gog)'!F$110/40)))</f>
        <v>#VALUE!</v>
      </c>
      <c r="AA39" s="4" t="e">
        <f>Z39*(1+'Rhaniad y Ddeiliadaeth (Gog)'!G$109)+(Z$44*(-(50-$U39)*('Rhaniad y Ddeiliadaeth (Gog)'!G$110/40)))</f>
        <v>#VALUE!</v>
      </c>
      <c r="AC39" s="260">
        <v>45</v>
      </c>
      <c r="AD39" s="4">
        <f>IF('Rhaniad y Ddeiliadaeth (Cymru)'!$D$8="Amcangyfrifon LlC",'Incwm (Gogledd)'!E39,'Incwm (Gogledd)'!W39)</f>
        <v>24606.744847346716</v>
      </c>
      <c r="AE39" s="4">
        <f>IF('Rhaniad y Ddeiliadaeth (Cymru)'!$D$8="Amcangyfrifon LlC",'Incwm (Gogledd)'!F39,'Incwm (Gogledd)'!X39)</f>
        <v>25416.710065163537</v>
      </c>
      <c r="AF39" s="4">
        <f>IF('Rhaniad y Ddeiliadaeth (Cymru)'!$D$8="Amcangyfrifon LlC",'Incwm (Gogledd)'!G39,'Incwm (Gogledd)'!Y39)</f>
        <v>26250.859056399993</v>
      </c>
      <c r="AG39" s="4">
        <f>IF('Rhaniad y Ddeiliadaeth (Cymru)'!$D$8="Amcangyfrifon LlC",'Incwm (Gogledd)'!H39,'Incwm (Gogledd)'!Z39)</f>
        <v>27125.645574825929</v>
      </c>
      <c r="AH39" s="4">
        <f>IF('Rhaniad y Ddeiliadaeth (Cymru)'!$D$8="Amcangyfrifon LlC",'Incwm (Gogledd)'!I39,'Incwm (Gogledd)'!AA39)</f>
        <v>28024.458163197192</v>
      </c>
    </row>
    <row r="40" spans="2:34" x14ac:dyDescent="0.35">
      <c r="B40" s="251">
        <v>46</v>
      </c>
      <c r="C40" s="258">
        <v>24096.6</v>
      </c>
      <c r="D40" s="258">
        <v>24684.0324321722</v>
      </c>
      <c r="E40" s="278">
        <f>D40*(1+'Rhaniad y Ddeiliadaeth (Gog)'!C$109)+(D$44*(-(50-$B40)*('Rhaniad y Ddeiliadaeth (Gog)'!C$110/40)))</f>
        <v>25211.956931172674</v>
      </c>
      <c r="F40" s="278">
        <f>E40*(1+'Rhaniad y Ddeiliadaeth (Gog)'!D$109)+(E$44*(-(50-$B40)*('Rhaniad y Ddeiliadaeth (Gog)'!D$110/40)))</f>
        <v>26049.346316042713</v>
      </c>
      <c r="G40" s="278">
        <f>F40*(1+'Rhaniad y Ddeiliadaeth (Gog)'!E$109)+(F$44*(-(50-$B40)*('Rhaniad y Ddeiliadaeth (Gog)'!E$110/40)))</f>
        <v>26912.027864852262</v>
      </c>
      <c r="H40" s="278">
        <f>G40*(1+'Rhaniad y Ddeiliadaeth (Gog)'!F$109)+(G$44*(-(50-$B40)*('Rhaniad y Ddeiliadaeth (Gog)'!F$110/40)))</f>
        <v>27816.893509828413</v>
      </c>
      <c r="I40" s="279">
        <f>H40*(1+'Rhaniad y Ddeiliadaeth (Gog)'!G$109)+(H$44*(-(50-$B40)*('Rhaniad y Ddeiliadaeth (Gog)'!G$110/40)))</f>
        <v>28746.947026517188</v>
      </c>
      <c r="M40" s="36" t="str">
        <f t="shared" si="1"/>
        <v/>
      </c>
      <c r="N40" s="190"/>
      <c r="O40" s="24">
        <f t="shared" si="4"/>
        <v>1</v>
      </c>
      <c r="U40" s="1">
        <f t="shared" si="2"/>
        <v>46</v>
      </c>
      <c r="V40" s="4" t="str">
        <f t="shared" si="3"/>
        <v/>
      </c>
      <c r="W40" s="4" t="e">
        <f>IF($W$3=$N$3,N40,V40*(1+'Rhaniad y Ddeiliadaeth (Gog)'!C$109)+(V$44*(-(50-$U40)*('Rhaniad y Ddeiliadaeth (Gog)'!C$110/40))))</f>
        <v>#VALUE!</v>
      </c>
      <c r="X40" s="4" t="e">
        <f>W40*(1+'Rhaniad y Ddeiliadaeth (Gog)'!D$109)+(W$44*(-(50-$U40)*('Rhaniad y Ddeiliadaeth (Gog)'!D$110/40)))</f>
        <v>#VALUE!</v>
      </c>
      <c r="Y40" s="4" t="e">
        <f>X40*(1+'Rhaniad y Ddeiliadaeth (Gog)'!E$109)+(X$44*(-(50-$U40)*('Rhaniad y Ddeiliadaeth (Gog)'!E$110/40)))</f>
        <v>#VALUE!</v>
      </c>
      <c r="Z40" s="4" t="e">
        <f>Y40*(1+'Rhaniad y Ddeiliadaeth (Gog)'!F$109)+(Y$44*(-(50-$U40)*('Rhaniad y Ddeiliadaeth (Gog)'!F$110/40)))</f>
        <v>#VALUE!</v>
      </c>
      <c r="AA40" s="4" t="e">
        <f>Z40*(1+'Rhaniad y Ddeiliadaeth (Gog)'!G$109)+(Z$44*(-(50-$U40)*('Rhaniad y Ddeiliadaeth (Gog)'!G$110/40)))</f>
        <v>#VALUE!</v>
      </c>
      <c r="AC40" s="260">
        <v>46</v>
      </c>
      <c r="AD40" s="4">
        <f>IF('Rhaniad y Ddeiliadaeth (Cymru)'!$D$8="Amcangyfrifon LlC",'Incwm (Gogledd)'!E40,'Incwm (Gogledd)'!W40)</f>
        <v>25211.956931172674</v>
      </c>
      <c r="AE40" s="4">
        <f>IF('Rhaniad y Ddeiliadaeth (Cymru)'!$D$8="Amcangyfrifon LlC",'Incwm (Gogledd)'!F40,'Incwm (Gogledd)'!X40)</f>
        <v>26049.346316042713</v>
      </c>
      <c r="AF40" s="4">
        <f>IF('Rhaniad y Ddeiliadaeth (Cymru)'!$D$8="Amcangyfrifon LlC",'Incwm (Gogledd)'!G40,'Incwm (Gogledd)'!Y40)</f>
        <v>26912.027864852262</v>
      </c>
      <c r="AG40" s="4">
        <f>IF('Rhaniad y Ddeiliadaeth (Cymru)'!$D$8="Amcangyfrifon LlC",'Incwm (Gogledd)'!H40,'Incwm (Gogledd)'!Z40)</f>
        <v>27816.893509828413</v>
      </c>
      <c r="AH40" s="4">
        <f>IF('Rhaniad y Ddeiliadaeth (Cymru)'!$D$8="Amcangyfrifon LlC",'Incwm (Gogledd)'!I40,'Incwm (Gogledd)'!AA40)</f>
        <v>28746.947026517188</v>
      </c>
    </row>
    <row r="41" spans="2:34" x14ac:dyDescent="0.35">
      <c r="B41" s="251">
        <v>47</v>
      </c>
      <c r="C41" s="258">
        <v>24606.400000000001</v>
      </c>
      <c r="D41" s="258">
        <v>25206.260453300551</v>
      </c>
      <c r="E41" s="278">
        <f>D41*(1+'Rhaniad y Ddeiliadaeth (Gog)'!C$109)+(D$44*(-(50-$B41)*('Rhaniad y Ddeiliadaeth (Gog)'!C$110/40)))</f>
        <v>25752.441449313603</v>
      </c>
      <c r="F41" s="278">
        <f>E41*(1+'Rhaniad y Ddeiliadaeth (Gog)'!D$109)+(E$44*(-(50-$B41)*('Rhaniad y Ddeiliadaeth (Gog)'!D$110/40)))</f>
        <v>26615.036530324513</v>
      </c>
      <c r="G41" s="278">
        <f>F41*(1+'Rhaniad y Ddeiliadaeth (Gog)'!E$109)+(F$44*(-(50-$B41)*('Rhaniad y Ddeiliadaeth (Gog)'!E$110/40)))</f>
        <v>27503.962535734998</v>
      </c>
      <c r="H41" s="278">
        <f>G41*(1+'Rhaniad y Ddeiliadaeth (Gog)'!F$109)+(G$44*(-(50-$B41)*('Rhaniad y Ddeiliadaeth (Gog)'!F$110/40)))</f>
        <v>28436.505902684832</v>
      </c>
      <c r="I41" s="279">
        <f>H41*(1+'Rhaniad y Ddeiliadaeth (Gog)'!G$109)+(H$44*(-(50-$B41)*('Rhaniad y Ddeiliadaeth (Gog)'!G$110/40)))</f>
        <v>29395.329056904957</v>
      </c>
      <c r="M41" s="36" t="str">
        <f t="shared" si="1"/>
        <v/>
      </c>
      <c r="N41" s="190"/>
      <c r="O41" s="24">
        <f t="shared" si="4"/>
        <v>1</v>
      </c>
      <c r="U41" s="1">
        <f t="shared" si="2"/>
        <v>47</v>
      </c>
      <c r="V41" s="4" t="str">
        <f t="shared" si="3"/>
        <v/>
      </c>
      <c r="W41" s="4" t="e">
        <f>IF($W$3=$N$3,N41,V41*(1+'Rhaniad y Ddeiliadaeth (Gog)'!C$109)+(V$44*(-(50-$U41)*('Rhaniad y Ddeiliadaeth (Gog)'!C$110/40))))</f>
        <v>#VALUE!</v>
      </c>
      <c r="X41" s="4" t="e">
        <f>W41*(1+'Rhaniad y Ddeiliadaeth (Gog)'!D$109)+(W$44*(-(50-$U41)*('Rhaniad y Ddeiliadaeth (Gog)'!D$110/40)))</f>
        <v>#VALUE!</v>
      </c>
      <c r="Y41" s="4" t="e">
        <f>X41*(1+'Rhaniad y Ddeiliadaeth (Gog)'!E$109)+(X$44*(-(50-$U41)*('Rhaniad y Ddeiliadaeth (Gog)'!E$110/40)))</f>
        <v>#VALUE!</v>
      </c>
      <c r="Z41" s="4" t="e">
        <f>Y41*(1+'Rhaniad y Ddeiliadaeth (Gog)'!F$109)+(Y$44*(-(50-$U41)*('Rhaniad y Ddeiliadaeth (Gog)'!F$110/40)))</f>
        <v>#VALUE!</v>
      </c>
      <c r="AA41" s="4" t="e">
        <f>Z41*(1+'Rhaniad y Ddeiliadaeth (Gog)'!G$109)+(Z$44*(-(50-$U41)*('Rhaniad y Ddeiliadaeth (Gog)'!G$110/40)))</f>
        <v>#VALUE!</v>
      </c>
      <c r="AC41" s="260">
        <v>47</v>
      </c>
      <c r="AD41" s="4">
        <f>IF('Rhaniad y Ddeiliadaeth (Cymru)'!$D$8="Amcangyfrifon LlC",'Incwm (Gogledd)'!E41,'Incwm (Gogledd)'!W41)</f>
        <v>25752.441449313603</v>
      </c>
      <c r="AE41" s="4">
        <f>IF('Rhaniad y Ddeiliadaeth (Cymru)'!$D$8="Amcangyfrifon LlC",'Incwm (Gogledd)'!F41,'Incwm (Gogledd)'!X41)</f>
        <v>26615.036530324513</v>
      </c>
      <c r="AF41" s="4">
        <f>IF('Rhaniad y Ddeiliadaeth (Cymru)'!$D$8="Amcangyfrifon LlC",'Incwm (Gogledd)'!G41,'Incwm (Gogledd)'!Y41)</f>
        <v>27503.962535734998</v>
      </c>
      <c r="AG41" s="4">
        <f>IF('Rhaniad y Ddeiliadaeth (Cymru)'!$D$8="Amcangyfrifon LlC",'Incwm (Gogledd)'!H41,'Incwm (Gogledd)'!Z41)</f>
        <v>28436.505902684832</v>
      </c>
      <c r="AH41" s="4">
        <f>IF('Rhaniad y Ddeiliadaeth (Cymru)'!$D$8="Amcangyfrifon LlC",'Incwm (Gogledd)'!I41,'Incwm (Gogledd)'!AA41)</f>
        <v>29395.329056904957</v>
      </c>
    </row>
    <row r="42" spans="2:34" x14ac:dyDescent="0.35">
      <c r="B42" s="251">
        <v>48</v>
      </c>
      <c r="C42" s="258">
        <v>24932.5</v>
      </c>
      <c r="D42" s="258">
        <v>25540.310193767313</v>
      </c>
      <c r="E42" s="278">
        <f>D42*(1+'Rhaniad y Ddeiliadaeth (Gog)'!C$109)+(D$44*(-(50-$B42)*('Rhaniad y Ddeiliadaeth (Gog)'!C$110/40)))</f>
        <v>26100.523802141575</v>
      </c>
      <c r="F42" s="278">
        <f>E42*(1+'Rhaniad y Ddeiliadaeth (Gog)'!D$109)+(E$44*(-(50-$B42)*('Rhaniad y Ddeiliadaeth (Gog)'!D$110/40)))</f>
        <v>26981.73019245519</v>
      </c>
      <c r="G42" s="278">
        <f>F42*(1+'Rhaniad y Ddeiliadaeth (Gog)'!E$109)+(F$44*(-(50-$B42)*('Rhaniad y Ddeiliadaeth (Gog)'!E$110/40)))</f>
        <v>27890.099292839008</v>
      </c>
      <c r="H42" s="278">
        <f>G42*(1+'Rhaniad y Ddeiliadaeth (Gog)'!F$109)+(G$44*(-(50-$B42)*('Rhaniad y Ddeiliadaeth (Gog)'!F$110/40)))</f>
        <v>28843.182226087611</v>
      </c>
      <c r="I42" s="279">
        <f>H42*(1+'Rhaniad y Ddeiliadaeth (Gog)'!G$109)+(H$44*(-(50-$B42)*('Rhaniad y Ddeiliadaeth (Gog)'!G$110/40)))</f>
        <v>29823.429125971463</v>
      </c>
      <c r="M42" s="36" t="str">
        <f t="shared" si="1"/>
        <v/>
      </c>
      <c r="N42" s="190"/>
      <c r="O42" s="24">
        <f t="shared" si="4"/>
        <v>1</v>
      </c>
      <c r="U42" s="1">
        <f t="shared" si="2"/>
        <v>48</v>
      </c>
      <c r="V42" s="4" t="str">
        <f t="shared" si="3"/>
        <v/>
      </c>
      <c r="W42" s="4" t="e">
        <f>IF($W$3=$N$3,N42,V42*(1+'Rhaniad y Ddeiliadaeth (Gog)'!C$109)+(V$44*(-(50-$U42)*('Rhaniad y Ddeiliadaeth (Gog)'!C$110/40))))</f>
        <v>#VALUE!</v>
      </c>
      <c r="X42" s="4" t="e">
        <f>W42*(1+'Rhaniad y Ddeiliadaeth (Gog)'!D$109)+(W$44*(-(50-$U42)*('Rhaniad y Ddeiliadaeth (Gog)'!D$110/40)))</f>
        <v>#VALUE!</v>
      </c>
      <c r="Y42" s="4" t="e">
        <f>X42*(1+'Rhaniad y Ddeiliadaeth (Gog)'!E$109)+(X$44*(-(50-$U42)*('Rhaniad y Ddeiliadaeth (Gog)'!E$110/40)))</f>
        <v>#VALUE!</v>
      </c>
      <c r="Z42" s="4" t="e">
        <f>Y42*(1+'Rhaniad y Ddeiliadaeth (Gog)'!F$109)+(Y$44*(-(50-$U42)*('Rhaniad y Ddeiliadaeth (Gog)'!F$110/40)))</f>
        <v>#VALUE!</v>
      </c>
      <c r="AA42" s="4" t="e">
        <f>Z42*(1+'Rhaniad y Ddeiliadaeth (Gog)'!G$109)+(Z$44*(-(50-$U42)*('Rhaniad y Ddeiliadaeth (Gog)'!G$110/40)))</f>
        <v>#VALUE!</v>
      </c>
      <c r="AC42" s="260">
        <v>48</v>
      </c>
      <c r="AD42" s="4">
        <f>IF('Rhaniad y Ddeiliadaeth (Cymru)'!$D$8="Amcangyfrifon LlC",'Incwm (Gogledd)'!E42,'Incwm (Gogledd)'!W42)</f>
        <v>26100.523802141575</v>
      </c>
      <c r="AE42" s="4">
        <f>IF('Rhaniad y Ddeiliadaeth (Cymru)'!$D$8="Amcangyfrifon LlC",'Incwm (Gogledd)'!F42,'Incwm (Gogledd)'!X42)</f>
        <v>26981.73019245519</v>
      </c>
      <c r="AF42" s="4">
        <f>IF('Rhaniad y Ddeiliadaeth (Cymru)'!$D$8="Amcangyfrifon LlC",'Incwm (Gogledd)'!G42,'Incwm (Gogledd)'!Y42)</f>
        <v>27890.099292839008</v>
      </c>
      <c r="AG42" s="4">
        <f>IF('Rhaniad y Ddeiliadaeth (Cymru)'!$D$8="Amcangyfrifon LlC",'Incwm (Gogledd)'!H42,'Incwm (Gogledd)'!Z42)</f>
        <v>28843.182226087611</v>
      </c>
      <c r="AH42" s="4">
        <f>IF('Rhaniad y Ddeiliadaeth (Cymru)'!$D$8="Amcangyfrifon LlC",'Incwm (Gogledd)'!I42,'Incwm (Gogledd)'!AA42)</f>
        <v>29823.429125971463</v>
      </c>
    </row>
    <row r="43" spans="2:34" x14ac:dyDescent="0.35">
      <c r="B43" s="251">
        <v>49</v>
      </c>
      <c r="C43" s="258">
        <v>25032.5</v>
      </c>
      <c r="D43" s="258">
        <v>25642.748016664202</v>
      </c>
      <c r="E43" s="278">
        <f>D43*(1+'Rhaniad y Ddeiliadaeth (Gog)'!C$109)+(D$44*(-(50-$B43)*('Rhaniad y Ddeiliadaeth (Gog)'!C$110/40)))</f>
        <v>26211.795433264273</v>
      </c>
      <c r="F43" s="278">
        <f>E43*(1+'Rhaniad y Ddeiliadaeth (Gog)'!D$109)+(E$44*(-(50-$B43)*('Rhaniad y Ddeiliadaeth (Gog)'!D$110/40)))</f>
        <v>27103.496688329098</v>
      </c>
      <c r="G43" s="278">
        <f>F43*(1+'Rhaniad y Ddeiliadaeth (Gog)'!E$109)+(F$44*(-(50-$B43)*('Rhaniad y Ddeiliadaeth (Gog)'!E$110/40)))</f>
        <v>28022.937692265448</v>
      </c>
      <c r="H43" s="278">
        <f>G43*(1+'Rhaniad y Ddeiliadaeth (Gog)'!F$109)+(G$44*(-(50-$B43)*('Rhaniad y Ddeiliadaeth (Gog)'!F$110/40)))</f>
        <v>28987.774470538468</v>
      </c>
      <c r="I43" s="279">
        <f>H43*(1+'Rhaniad y Ddeiliadaeth (Gog)'!G$109)+(H$44*(-(50-$B43)*('Rhaniad y Ddeiliadaeth (Gog)'!G$110/40)))</f>
        <v>29980.40371079879</v>
      </c>
      <c r="M43" s="36" t="str">
        <f t="shared" si="1"/>
        <v/>
      </c>
      <c r="N43" s="190"/>
      <c r="O43" s="24">
        <f t="shared" si="4"/>
        <v>1</v>
      </c>
      <c r="U43" s="1">
        <f t="shared" si="2"/>
        <v>49</v>
      </c>
      <c r="V43" s="4" t="str">
        <f t="shared" si="3"/>
        <v/>
      </c>
      <c r="W43" s="4" t="e">
        <f>IF($W$3=$N$3,N43,V43*(1+'Rhaniad y Ddeiliadaeth (Gog)'!C$109)+(V$44*(-(50-$U43)*('Rhaniad y Ddeiliadaeth (Gog)'!C$110/40))))</f>
        <v>#VALUE!</v>
      </c>
      <c r="X43" s="4" t="e">
        <f>W43*(1+'Rhaniad y Ddeiliadaeth (Gog)'!D$109)+(W$44*(-(50-$U43)*('Rhaniad y Ddeiliadaeth (Gog)'!D$110/40)))</f>
        <v>#VALUE!</v>
      </c>
      <c r="Y43" s="4" t="e">
        <f>X43*(1+'Rhaniad y Ddeiliadaeth (Gog)'!E$109)+(X$44*(-(50-$U43)*('Rhaniad y Ddeiliadaeth (Gog)'!E$110/40)))</f>
        <v>#VALUE!</v>
      </c>
      <c r="Z43" s="4" t="e">
        <f>Y43*(1+'Rhaniad y Ddeiliadaeth (Gog)'!F$109)+(Y$44*(-(50-$U43)*('Rhaniad y Ddeiliadaeth (Gog)'!F$110/40)))</f>
        <v>#VALUE!</v>
      </c>
      <c r="AA43" s="4" t="e">
        <f>Z43*(1+'Rhaniad y Ddeiliadaeth (Gog)'!G$109)+(Z$44*(-(50-$U43)*('Rhaniad y Ddeiliadaeth (Gog)'!G$110/40)))</f>
        <v>#VALUE!</v>
      </c>
      <c r="AC43" s="260">
        <v>49</v>
      </c>
      <c r="AD43" s="4">
        <f>IF('Rhaniad y Ddeiliadaeth (Cymru)'!$D$8="Amcangyfrifon LlC",'Incwm (Gogledd)'!E43,'Incwm (Gogledd)'!W43)</f>
        <v>26211.795433264273</v>
      </c>
      <c r="AE43" s="4">
        <f>IF('Rhaniad y Ddeiliadaeth (Cymru)'!$D$8="Amcangyfrifon LlC",'Incwm (Gogledd)'!F43,'Incwm (Gogledd)'!X43)</f>
        <v>27103.496688329098</v>
      </c>
      <c r="AF43" s="4">
        <f>IF('Rhaniad y Ddeiliadaeth (Cymru)'!$D$8="Amcangyfrifon LlC",'Incwm (Gogledd)'!G43,'Incwm (Gogledd)'!Y43)</f>
        <v>28022.937692265448</v>
      </c>
      <c r="AG43" s="4">
        <f>IF('Rhaniad y Ddeiliadaeth (Cymru)'!$D$8="Amcangyfrifon LlC",'Incwm (Gogledd)'!H43,'Incwm (Gogledd)'!Z43)</f>
        <v>28987.774470538468</v>
      </c>
      <c r="AH43" s="4">
        <f>IF('Rhaniad y Ddeiliadaeth (Cymru)'!$D$8="Amcangyfrifon LlC",'Incwm (Gogledd)'!I43,'Incwm (Gogledd)'!AA43)</f>
        <v>29980.40371079879</v>
      </c>
    </row>
    <row r="44" spans="2:34" x14ac:dyDescent="0.35">
      <c r="B44" s="251">
        <v>50</v>
      </c>
      <c r="C44" s="258">
        <v>25465</v>
      </c>
      <c r="D44" s="258">
        <v>26137.879280202582</v>
      </c>
      <c r="E44" s="278">
        <f>D44*(1+'Rhaniad y Ddeiliadaeth (Gog)'!C$109)+(D$44*(-(50-$B44)*('Rhaniad y Ddeiliadaeth (Gog)'!C$110/40)))</f>
        <v>26724.574974959771</v>
      </c>
      <c r="F44" s="278">
        <f>E44*(1+'Rhaniad y Ddeiliadaeth (Gog)'!D$109)+(E$44*(-(50-$B44)*('Rhaniad y Ddeiliadaeth (Gog)'!D$110/40)))</f>
        <v>27640.532366519259</v>
      </c>
      <c r="G44" s="278">
        <f>F44*(1+'Rhaniad y Ddeiliadaeth (Gog)'!E$109)+(F$44*(-(50-$B44)*('Rhaniad y Ddeiliadaeth (Gog)'!E$110/40)))</f>
        <v>28585.238464046866</v>
      </c>
      <c r="H44" s="278">
        <f>G44*(1+'Rhaniad y Ddeiliadaeth (Gog)'!F$109)+(G$44*(-(50-$B44)*('Rhaniad y Ddeiliadaeth (Gog)'!F$110/40)))</f>
        <v>29576.725104578396</v>
      </c>
      <c r="I44" s="279">
        <f>H44*(1+'Rhaniad y Ddeiliadaeth (Gog)'!G$109)+(H$44*(-(50-$B44)*('Rhaniad y Ddeiliadaeth (Gog)'!G$110/40)))</f>
        <v>30597.066209653047</v>
      </c>
      <c r="M44" s="36" t="str">
        <f t="shared" si="1"/>
        <v/>
      </c>
      <c r="N44" s="190"/>
      <c r="O44" s="24">
        <f t="shared" si="4"/>
        <v>1</v>
      </c>
      <c r="U44" s="1">
        <f t="shared" si="2"/>
        <v>50</v>
      </c>
      <c r="V44" s="4" t="str">
        <f t="shared" si="3"/>
        <v/>
      </c>
      <c r="W44" s="4" t="e">
        <f>IF($W$3=$N$3,N44,V44*(1+'Rhaniad y Ddeiliadaeth (Gog)'!C$109)+(V$44*(-(50-$U44)*('Rhaniad y Ddeiliadaeth (Gog)'!C$110/40))))</f>
        <v>#VALUE!</v>
      </c>
      <c r="X44" s="4" t="e">
        <f>W44*(1+'Rhaniad y Ddeiliadaeth (Gog)'!D$109)+(W$44*(-(50-$U44)*('Rhaniad y Ddeiliadaeth (Gog)'!D$110/40)))</f>
        <v>#VALUE!</v>
      </c>
      <c r="Y44" s="4" t="e">
        <f>X44*(1+'Rhaniad y Ddeiliadaeth (Gog)'!E$109)+(X$44*(-(50-$U44)*('Rhaniad y Ddeiliadaeth (Gog)'!E$110/40)))</f>
        <v>#VALUE!</v>
      </c>
      <c r="Z44" s="4" t="e">
        <f>Y44*(1+'Rhaniad y Ddeiliadaeth (Gog)'!F$109)+(Y$44*(-(50-$U44)*('Rhaniad y Ddeiliadaeth (Gog)'!F$110/40)))</f>
        <v>#VALUE!</v>
      </c>
      <c r="AA44" s="4" t="e">
        <f>Z44*(1+'Rhaniad y Ddeiliadaeth (Gog)'!G$109)+(Z$44*(-(50-$U44)*('Rhaniad y Ddeiliadaeth (Gog)'!G$110/40)))</f>
        <v>#VALUE!</v>
      </c>
      <c r="AC44" s="260">
        <v>50</v>
      </c>
      <c r="AD44" s="4">
        <f>IF('Rhaniad y Ddeiliadaeth (Cymru)'!$D$8="Amcangyfrifon LlC",'Incwm (Gogledd)'!E44,'Incwm (Gogledd)'!W44)</f>
        <v>26724.574974959771</v>
      </c>
      <c r="AE44" s="4">
        <f>IF('Rhaniad y Ddeiliadaeth (Cymru)'!$D$8="Amcangyfrifon LlC",'Incwm (Gogledd)'!F44,'Incwm (Gogledd)'!X44)</f>
        <v>27640.532366519259</v>
      </c>
      <c r="AF44" s="4">
        <f>IF('Rhaniad y Ddeiliadaeth (Cymru)'!$D$8="Amcangyfrifon LlC",'Incwm (Gogledd)'!G44,'Incwm (Gogledd)'!Y44)</f>
        <v>28585.238464046866</v>
      </c>
      <c r="AG44" s="4">
        <f>IF('Rhaniad y Ddeiliadaeth (Cymru)'!$D$8="Amcangyfrifon LlC",'Incwm (Gogledd)'!H44,'Incwm (Gogledd)'!Z44)</f>
        <v>29576.725104578396</v>
      </c>
      <c r="AH44" s="4">
        <f>IF('Rhaniad y Ddeiliadaeth (Cymru)'!$D$8="Amcangyfrifon LlC",'Incwm (Gogledd)'!I44,'Incwm (Gogledd)'!AA44)</f>
        <v>30597.066209653047</v>
      </c>
    </row>
    <row r="45" spans="2:34" x14ac:dyDescent="0.35">
      <c r="B45" s="251">
        <v>51</v>
      </c>
      <c r="C45" s="258">
        <v>26018.75</v>
      </c>
      <c r="D45" s="258">
        <v>26706.261398852184</v>
      </c>
      <c r="E45" s="278">
        <f>D45*(1+'Rhaniad y Ddeiliadaeth (Gog)'!C$109)+(D$44*(-(50-$B45)*('Rhaniad y Ddeiliadaeth (Gog)'!C$110/40)))</f>
        <v>27312.249574070374</v>
      </c>
      <c r="F45" s="278">
        <f>E45*(1+'Rhaniad y Ddeiliadaeth (Gog)'!D$109)+(E$44*(-(50-$B45)*('Rhaniad y Ddeiliadaeth (Gog)'!D$110/40)))</f>
        <v>28255.03005338549</v>
      </c>
      <c r="G45" s="278">
        <f>F45*(1+'Rhaniad y Ddeiliadaeth (Gog)'!E$109)+(F$44*(-(50-$B45)*('Rhaniad y Ddeiliadaeth (Gog)'!E$110/40)))</f>
        <v>29227.648763407127</v>
      </c>
      <c r="H45" s="278">
        <f>G45*(1+'Rhaniad y Ddeiliadaeth (Gog)'!F$109)+(G$44*(-(50-$B45)*('Rhaniad y Ddeiliadaeth (Gog)'!F$110/40)))</f>
        <v>30248.563886584521</v>
      </c>
      <c r="I45" s="279">
        <f>H45*(1+'Rhaniad y Ddeiliadaeth (Gog)'!G$109)+(H$44*(-(50-$B45)*('Rhaniad y Ddeiliadaeth (Gog)'!G$110/40)))</f>
        <v>31299.476340888843</v>
      </c>
      <c r="M45" s="36" t="str">
        <f t="shared" si="1"/>
        <v/>
      </c>
      <c r="N45" s="190"/>
      <c r="O45" s="24">
        <f t="shared" si="4"/>
        <v>1</v>
      </c>
      <c r="U45" s="1">
        <f t="shared" si="2"/>
        <v>51</v>
      </c>
      <c r="V45" s="4" t="str">
        <f t="shared" si="3"/>
        <v/>
      </c>
      <c r="W45" s="4" t="e">
        <f>IF($W$3=$N$3,N45,V45*(1+'Rhaniad y Ddeiliadaeth (Gog)'!C$109)+(V$44*(-(50-$U45)*('Rhaniad y Ddeiliadaeth (Gog)'!C$110/40))))</f>
        <v>#VALUE!</v>
      </c>
      <c r="X45" s="4" t="e">
        <f>W45*(1+'Rhaniad y Ddeiliadaeth (Gog)'!D$109)+(W$44*(-(50-$U45)*('Rhaniad y Ddeiliadaeth (Gog)'!D$110/40)))</f>
        <v>#VALUE!</v>
      </c>
      <c r="Y45" s="4" t="e">
        <f>X45*(1+'Rhaniad y Ddeiliadaeth (Gog)'!E$109)+(X$44*(-(50-$U45)*('Rhaniad y Ddeiliadaeth (Gog)'!E$110/40)))</f>
        <v>#VALUE!</v>
      </c>
      <c r="Z45" s="4" t="e">
        <f>Y45*(1+'Rhaniad y Ddeiliadaeth (Gog)'!F$109)+(Y$44*(-(50-$U45)*('Rhaniad y Ddeiliadaeth (Gog)'!F$110/40)))</f>
        <v>#VALUE!</v>
      </c>
      <c r="AA45" s="4" t="e">
        <f>Z45*(1+'Rhaniad y Ddeiliadaeth (Gog)'!G$109)+(Z$44*(-(50-$U45)*('Rhaniad y Ddeiliadaeth (Gog)'!G$110/40)))</f>
        <v>#VALUE!</v>
      </c>
      <c r="AC45" s="260">
        <v>51</v>
      </c>
      <c r="AD45" s="4">
        <f>IF('Rhaniad y Ddeiliadaeth (Cymru)'!$D$8="Amcangyfrifon LlC",'Incwm (Gogledd)'!E45,'Incwm (Gogledd)'!W45)</f>
        <v>27312.249574070374</v>
      </c>
      <c r="AE45" s="4">
        <f>IF('Rhaniad y Ddeiliadaeth (Cymru)'!$D$8="Amcangyfrifon LlC",'Incwm (Gogledd)'!F45,'Incwm (Gogledd)'!X45)</f>
        <v>28255.03005338549</v>
      </c>
      <c r="AF45" s="4">
        <f>IF('Rhaniad y Ddeiliadaeth (Cymru)'!$D$8="Amcangyfrifon LlC",'Incwm (Gogledd)'!G45,'Incwm (Gogledd)'!Y45)</f>
        <v>29227.648763407127</v>
      </c>
      <c r="AG45" s="4">
        <f>IF('Rhaniad y Ddeiliadaeth (Cymru)'!$D$8="Amcangyfrifon LlC",'Incwm (Gogledd)'!H45,'Incwm (Gogledd)'!Z45)</f>
        <v>30248.563886584521</v>
      </c>
      <c r="AH45" s="4">
        <f>IF('Rhaniad y Ddeiliadaeth (Cymru)'!$D$8="Amcangyfrifon LlC",'Incwm (Gogledd)'!I45,'Incwm (Gogledd)'!AA45)</f>
        <v>31299.476340888843</v>
      </c>
    </row>
    <row r="46" spans="2:34" x14ac:dyDescent="0.35">
      <c r="B46" s="251">
        <v>52</v>
      </c>
      <c r="C46" s="258">
        <v>26347</v>
      </c>
      <c r="D46" s="258">
        <v>27043.184975279695</v>
      </c>
      <c r="E46" s="278">
        <f>D46*(1+'Rhaniad y Ddeiliadaeth (Gog)'!C$109)+(D$44*(-(50-$B46)*('Rhaniad y Ddeiliadaeth (Gog)'!C$110/40)))</f>
        <v>27663.270269515033</v>
      </c>
      <c r="F46" s="278">
        <f>E46*(1+'Rhaniad y Ddeiliadaeth (Gog)'!D$109)+(E$44*(-(50-$B46)*('Rhaniad y Ddeiliadaeth (Gog)'!D$110/40)))</f>
        <v>28624.762766811706</v>
      </c>
      <c r="G46" s="278">
        <f>F46*(1+'Rhaniad y Ddeiliadaeth (Gog)'!E$109)+(F$44*(-(50-$B46)*('Rhaniad y Ddeiliadaeth (Gog)'!E$110/40)))</f>
        <v>29616.928441379499</v>
      </c>
      <c r="H46" s="278">
        <f>G46*(1+'Rhaniad y Ddeiliadaeth (Gog)'!F$109)+(G$44*(-(50-$B46)*('Rhaniad y Ddeiliadaeth (Gog)'!F$110/40)))</f>
        <v>30658.492143906478</v>
      </c>
      <c r="I46" s="279">
        <f>H46*(1+'Rhaniad y Ddeiliadaeth (Gog)'!G$109)+(H$44*(-(50-$B46)*('Rhaniad y Ddeiliadaeth (Gog)'!G$110/40)))</f>
        <v>31730.940529447373</v>
      </c>
      <c r="M46" s="36" t="str">
        <f t="shared" si="1"/>
        <v/>
      </c>
      <c r="N46" s="190"/>
      <c r="O46" s="24">
        <f t="shared" si="4"/>
        <v>1</v>
      </c>
      <c r="U46" s="1">
        <f t="shared" si="2"/>
        <v>52</v>
      </c>
      <c r="V46" s="4" t="str">
        <f t="shared" si="3"/>
        <v/>
      </c>
      <c r="W46" s="4" t="e">
        <f>IF($W$3=$N$3,N46,V46*(1+'Rhaniad y Ddeiliadaeth (Gog)'!C$109)+(V$44*(-(50-$U46)*('Rhaniad y Ddeiliadaeth (Gog)'!C$110/40))))</f>
        <v>#VALUE!</v>
      </c>
      <c r="X46" s="4" t="e">
        <f>W46*(1+'Rhaniad y Ddeiliadaeth (Gog)'!D$109)+(W$44*(-(50-$U46)*('Rhaniad y Ddeiliadaeth (Gog)'!D$110/40)))</f>
        <v>#VALUE!</v>
      </c>
      <c r="Y46" s="4" t="e">
        <f>X46*(1+'Rhaniad y Ddeiliadaeth (Gog)'!E$109)+(X$44*(-(50-$U46)*('Rhaniad y Ddeiliadaeth (Gog)'!E$110/40)))</f>
        <v>#VALUE!</v>
      </c>
      <c r="Z46" s="4" t="e">
        <f>Y46*(1+'Rhaniad y Ddeiliadaeth (Gog)'!F$109)+(Y$44*(-(50-$U46)*('Rhaniad y Ddeiliadaeth (Gog)'!F$110/40)))</f>
        <v>#VALUE!</v>
      </c>
      <c r="AA46" s="4" t="e">
        <f>Z46*(1+'Rhaniad y Ddeiliadaeth (Gog)'!G$109)+(Z$44*(-(50-$U46)*('Rhaniad y Ddeiliadaeth (Gog)'!G$110/40)))</f>
        <v>#VALUE!</v>
      </c>
      <c r="AC46" s="260">
        <v>52</v>
      </c>
      <c r="AD46" s="4">
        <f>IF('Rhaniad y Ddeiliadaeth (Cymru)'!$D$8="Amcangyfrifon LlC",'Incwm (Gogledd)'!E46,'Incwm (Gogledd)'!W46)</f>
        <v>27663.270269515033</v>
      </c>
      <c r="AE46" s="4">
        <f>IF('Rhaniad y Ddeiliadaeth (Cymru)'!$D$8="Amcangyfrifon LlC",'Incwm (Gogledd)'!F46,'Incwm (Gogledd)'!X46)</f>
        <v>28624.762766811706</v>
      </c>
      <c r="AF46" s="4">
        <f>IF('Rhaniad y Ddeiliadaeth (Cymru)'!$D$8="Amcangyfrifon LlC",'Incwm (Gogledd)'!G46,'Incwm (Gogledd)'!Y46)</f>
        <v>29616.928441379499</v>
      </c>
      <c r="AG46" s="4">
        <f>IF('Rhaniad y Ddeiliadaeth (Cymru)'!$D$8="Amcangyfrifon LlC",'Incwm (Gogledd)'!H46,'Incwm (Gogledd)'!Z46)</f>
        <v>30658.492143906478</v>
      </c>
      <c r="AH46" s="4">
        <f>IF('Rhaniad y Ddeiliadaeth (Cymru)'!$D$8="Amcangyfrifon LlC",'Incwm (Gogledd)'!I46,'Incwm (Gogledd)'!AA46)</f>
        <v>31730.940529447373</v>
      </c>
    </row>
    <row r="47" spans="2:34" x14ac:dyDescent="0.35">
      <c r="B47" s="251">
        <v>53</v>
      </c>
      <c r="C47" s="258">
        <v>26794</v>
      </c>
      <c r="D47" s="258">
        <v>27501.996364961633</v>
      </c>
      <c r="E47" s="278">
        <f>D47*(1+'Rhaniad y Ddeiliadaeth (Gog)'!C$109)+(D$44*(-(50-$B47)*('Rhaniad y Ddeiliadaeth (Gog)'!C$110/40)))</f>
        <v>28138.914694717256</v>
      </c>
      <c r="F47" s="278">
        <f>E47*(1+'Rhaniad y Ddeiliadaeth (Gog)'!D$109)+(E$44*(-(50-$B47)*('Rhaniad y Ddeiliadaeth (Gog)'!D$110/40)))</f>
        <v>29123.390560486267</v>
      </c>
      <c r="G47" s="278">
        <f>F47*(1+'Rhaniad y Ddeiliadaeth (Gog)'!E$109)+(F$44*(-(50-$B47)*('Rhaniad y Ddeiliadaeth (Gog)'!E$110/40)))</f>
        <v>30139.50861287654</v>
      </c>
      <c r="H47" s="278">
        <f>G47*(1+'Rhaniad y Ddeiliadaeth (Gog)'!F$109)+(G$44*(-(50-$B47)*('Rhaniad y Ddeiliadaeth (Gog)'!F$110/40)))</f>
        <v>31206.344458018881</v>
      </c>
      <c r="I47" s="279">
        <f>H47*(1+'Rhaniad y Ddeiliadaeth (Gog)'!G$109)+(H$44*(-(50-$B47)*('Rhaniad y Ddeiliadaeth (Gog)'!G$110/40)))</f>
        <v>32305.086894027743</v>
      </c>
      <c r="M47" s="36" t="str">
        <f t="shared" si="1"/>
        <v/>
      </c>
      <c r="N47" s="190"/>
      <c r="O47" s="24">
        <f t="shared" si="4"/>
        <v>1</v>
      </c>
      <c r="U47" s="1">
        <f t="shared" si="2"/>
        <v>53</v>
      </c>
      <c r="V47" s="4" t="str">
        <f t="shared" si="3"/>
        <v/>
      </c>
      <c r="W47" s="4" t="e">
        <f>IF($W$3=$N$3,N47,V47*(1+'Rhaniad y Ddeiliadaeth (Gog)'!C$109)+(V$44*(-(50-$U47)*('Rhaniad y Ddeiliadaeth (Gog)'!C$110/40))))</f>
        <v>#VALUE!</v>
      </c>
      <c r="X47" s="4" t="e">
        <f>W47*(1+'Rhaniad y Ddeiliadaeth (Gog)'!D$109)+(W$44*(-(50-$U47)*('Rhaniad y Ddeiliadaeth (Gog)'!D$110/40)))</f>
        <v>#VALUE!</v>
      </c>
      <c r="Y47" s="4" t="e">
        <f>X47*(1+'Rhaniad y Ddeiliadaeth (Gog)'!E$109)+(X$44*(-(50-$U47)*('Rhaniad y Ddeiliadaeth (Gog)'!E$110/40)))</f>
        <v>#VALUE!</v>
      </c>
      <c r="Z47" s="4" t="e">
        <f>Y47*(1+'Rhaniad y Ddeiliadaeth (Gog)'!F$109)+(Y$44*(-(50-$U47)*('Rhaniad y Ddeiliadaeth (Gog)'!F$110/40)))</f>
        <v>#VALUE!</v>
      </c>
      <c r="AA47" s="4" t="e">
        <f>Z47*(1+'Rhaniad y Ddeiliadaeth (Gog)'!G$109)+(Z$44*(-(50-$U47)*('Rhaniad y Ddeiliadaeth (Gog)'!G$110/40)))</f>
        <v>#VALUE!</v>
      </c>
      <c r="AC47" s="260">
        <v>53</v>
      </c>
      <c r="AD47" s="4">
        <f>IF('Rhaniad y Ddeiliadaeth (Cymru)'!$D$8="Amcangyfrifon LlC",'Incwm (Gogledd)'!E47,'Incwm (Gogledd)'!W47)</f>
        <v>28138.914694717256</v>
      </c>
      <c r="AE47" s="4">
        <f>IF('Rhaniad y Ddeiliadaeth (Cymru)'!$D$8="Amcangyfrifon LlC",'Incwm (Gogledd)'!F47,'Incwm (Gogledd)'!X47)</f>
        <v>29123.390560486267</v>
      </c>
      <c r="AF47" s="4">
        <f>IF('Rhaniad y Ddeiliadaeth (Cymru)'!$D$8="Amcangyfrifon LlC",'Incwm (Gogledd)'!G47,'Incwm (Gogledd)'!Y47)</f>
        <v>30139.50861287654</v>
      </c>
      <c r="AG47" s="4">
        <f>IF('Rhaniad y Ddeiliadaeth (Cymru)'!$D$8="Amcangyfrifon LlC",'Incwm (Gogledd)'!H47,'Incwm (Gogledd)'!Z47)</f>
        <v>31206.344458018881</v>
      </c>
      <c r="AH47" s="4">
        <f>IF('Rhaniad y Ddeiliadaeth (Cymru)'!$D$8="Amcangyfrifon LlC",'Incwm (Gogledd)'!I47,'Incwm (Gogledd)'!AA47)</f>
        <v>32305.086894027743</v>
      </c>
    </row>
    <row r="48" spans="2:34" x14ac:dyDescent="0.35">
      <c r="B48" s="251">
        <v>54</v>
      </c>
      <c r="C48" s="258">
        <v>27162.5</v>
      </c>
      <c r="D48" s="258">
        <v>27880.233494934328</v>
      </c>
      <c r="E48" s="278">
        <f>D48*(1+'Rhaniad y Ddeiliadaeth (Gog)'!C$109)+(D$44*(-(50-$B48)*('Rhaniad y Ddeiliadaeth (Gog)'!C$110/40)))</f>
        <v>28532.176275406055</v>
      </c>
      <c r="F48" s="278">
        <f>E48*(1+'Rhaniad y Ddeiliadaeth (Gog)'!D$109)+(E$44*(-(50-$B48)*('Rhaniad y Ddeiliadaeth (Gog)'!D$110/40)))</f>
        <v>29536.811922165078</v>
      </c>
      <c r="G48" s="278">
        <f>F48*(1+'Rhaniad y Ddeiliadaeth (Gog)'!E$109)+(F$44*(-(50-$B48)*('Rhaniad y Ddeiliadaeth (Gog)'!E$110/40)))</f>
        <v>30573.970142338323</v>
      </c>
      <c r="H48" s="278">
        <f>G48*(1+'Rhaniad y Ddeiliadaeth (Gog)'!F$109)+(G$44*(-(50-$B48)*('Rhaniad y Ddeiliadaeth (Gog)'!F$110/40)))</f>
        <v>31663.021711431913</v>
      </c>
      <c r="I48" s="279">
        <f>H48*(1+'Rhaniad y Ddeiliadaeth (Gog)'!G$109)+(H$44*(-(50-$B48)*('Rhaniad y Ddeiliadaeth (Gog)'!G$110/40)))</f>
        <v>32784.912830669462</v>
      </c>
      <c r="M48" s="36" t="str">
        <f t="shared" si="1"/>
        <v/>
      </c>
      <c r="N48" s="190"/>
      <c r="O48" s="24">
        <f t="shared" si="4"/>
        <v>1</v>
      </c>
      <c r="U48" s="1">
        <f t="shared" si="2"/>
        <v>54</v>
      </c>
      <c r="V48" s="4" t="str">
        <f t="shared" si="3"/>
        <v/>
      </c>
      <c r="W48" s="4" t="e">
        <f>IF($W$3=$N$3,N48,V48*(1+'Rhaniad y Ddeiliadaeth (Gog)'!C$109)+(V$44*(-(50-$U48)*('Rhaniad y Ddeiliadaeth (Gog)'!C$110/40))))</f>
        <v>#VALUE!</v>
      </c>
      <c r="X48" s="4" t="e">
        <f>W48*(1+'Rhaniad y Ddeiliadaeth (Gog)'!D$109)+(W$44*(-(50-$U48)*('Rhaniad y Ddeiliadaeth (Gog)'!D$110/40)))</f>
        <v>#VALUE!</v>
      </c>
      <c r="Y48" s="4" t="e">
        <f>X48*(1+'Rhaniad y Ddeiliadaeth (Gog)'!E$109)+(X$44*(-(50-$U48)*('Rhaniad y Ddeiliadaeth (Gog)'!E$110/40)))</f>
        <v>#VALUE!</v>
      </c>
      <c r="Z48" s="4" t="e">
        <f>Y48*(1+'Rhaniad y Ddeiliadaeth (Gog)'!F$109)+(Y$44*(-(50-$U48)*('Rhaniad y Ddeiliadaeth (Gog)'!F$110/40)))</f>
        <v>#VALUE!</v>
      </c>
      <c r="AA48" s="4" t="e">
        <f>Z48*(1+'Rhaniad y Ddeiliadaeth (Gog)'!G$109)+(Z$44*(-(50-$U48)*('Rhaniad y Ddeiliadaeth (Gog)'!G$110/40)))</f>
        <v>#VALUE!</v>
      </c>
      <c r="AC48" s="260">
        <v>54</v>
      </c>
      <c r="AD48" s="4">
        <f>IF('Rhaniad y Ddeiliadaeth (Cymru)'!$D$8="Amcangyfrifon LlC",'Incwm (Gogledd)'!E48,'Incwm (Gogledd)'!W48)</f>
        <v>28532.176275406055</v>
      </c>
      <c r="AE48" s="4">
        <f>IF('Rhaniad y Ddeiliadaeth (Cymru)'!$D$8="Amcangyfrifon LlC",'Incwm (Gogledd)'!F48,'Incwm (Gogledd)'!X48)</f>
        <v>29536.811922165078</v>
      </c>
      <c r="AF48" s="4">
        <f>IF('Rhaniad y Ddeiliadaeth (Cymru)'!$D$8="Amcangyfrifon LlC",'Incwm (Gogledd)'!G48,'Incwm (Gogledd)'!Y48)</f>
        <v>30573.970142338323</v>
      </c>
      <c r="AG48" s="4">
        <f>IF('Rhaniad y Ddeiliadaeth (Cymru)'!$D$8="Amcangyfrifon LlC",'Incwm (Gogledd)'!H48,'Incwm (Gogledd)'!Z48)</f>
        <v>31663.021711431913</v>
      </c>
      <c r="AH48" s="4">
        <f>IF('Rhaniad y Ddeiliadaeth (Cymru)'!$D$8="Amcangyfrifon LlC",'Incwm (Gogledd)'!I48,'Incwm (Gogledd)'!AA48)</f>
        <v>32784.912830669462</v>
      </c>
    </row>
    <row r="49" spans="2:34" x14ac:dyDescent="0.35">
      <c r="B49" s="251">
        <v>55</v>
      </c>
      <c r="C49" s="258">
        <v>27870.92</v>
      </c>
      <c r="D49" s="258">
        <v>28607.372565803405</v>
      </c>
      <c r="E49" s="278">
        <f>D49*(1+'Rhaniad y Ddeiliadaeth (Gog)'!C$109)+(D$44*(-(50-$B49)*('Rhaniad y Ddeiliadaeth (Gog)'!C$110/40)))</f>
        <v>29282.171314782787</v>
      </c>
      <c r="F49" s="278">
        <f>E49*(1+'Rhaniad y Ddeiliadaeth (Gog)'!D$109)+(E$44*(-(50-$B49)*('Rhaniad y Ddeiliadaeth (Gog)'!D$110/40)))</f>
        <v>30319.1934158693</v>
      </c>
      <c r="G49" s="278">
        <f>F49*(1+'Rhaniad y Ddeiliadaeth (Gog)'!E$109)+(F$44*(-(50-$B49)*('Rhaniad y Ddeiliadaeth (Gog)'!E$110/40)))</f>
        <v>31390.00222976982</v>
      </c>
      <c r="H49" s="278">
        <f>G49*(1+'Rhaniad y Ddeiliadaeth (Gog)'!F$109)+(G$44*(-(50-$B49)*('Rhaniad y Ddeiliadaeth (Gog)'!F$110/40)))</f>
        <v>32514.504399659327</v>
      </c>
      <c r="I49" s="279">
        <f>H49*(1+'Rhaniad y Ddeiliadaeth (Gog)'!G$109)+(H$44*(-(50-$B49)*('Rhaniad y Ddeiliadaeth (Gog)'!G$110/40)))</f>
        <v>33673.164243297251</v>
      </c>
      <c r="M49" s="36" t="str">
        <f t="shared" si="1"/>
        <v/>
      </c>
      <c r="N49" s="190"/>
      <c r="O49" s="24">
        <f t="shared" si="4"/>
        <v>1</v>
      </c>
      <c r="U49" s="1">
        <f t="shared" si="2"/>
        <v>55</v>
      </c>
      <c r="V49" s="4" t="str">
        <f t="shared" si="3"/>
        <v/>
      </c>
      <c r="W49" s="4" t="e">
        <f>IF($W$3=$N$3,N49,V49*(1+'Rhaniad y Ddeiliadaeth (Gog)'!C$109)+(V$44*(-(50-$U49)*('Rhaniad y Ddeiliadaeth (Gog)'!C$110/40))))</f>
        <v>#VALUE!</v>
      </c>
      <c r="X49" s="4" t="e">
        <f>W49*(1+'Rhaniad y Ddeiliadaeth (Gog)'!D$109)+(W$44*(-(50-$U49)*('Rhaniad y Ddeiliadaeth (Gog)'!D$110/40)))</f>
        <v>#VALUE!</v>
      </c>
      <c r="Y49" s="4" t="e">
        <f>X49*(1+'Rhaniad y Ddeiliadaeth (Gog)'!E$109)+(X$44*(-(50-$U49)*('Rhaniad y Ddeiliadaeth (Gog)'!E$110/40)))</f>
        <v>#VALUE!</v>
      </c>
      <c r="Z49" s="4" t="e">
        <f>Y49*(1+'Rhaniad y Ddeiliadaeth (Gog)'!F$109)+(Y$44*(-(50-$U49)*('Rhaniad y Ddeiliadaeth (Gog)'!F$110/40)))</f>
        <v>#VALUE!</v>
      </c>
      <c r="AA49" s="4" t="e">
        <f>Z49*(1+'Rhaniad y Ddeiliadaeth (Gog)'!G$109)+(Z$44*(-(50-$U49)*('Rhaniad y Ddeiliadaeth (Gog)'!G$110/40)))</f>
        <v>#VALUE!</v>
      </c>
      <c r="AC49" s="260">
        <v>55</v>
      </c>
      <c r="AD49" s="4">
        <f>IF('Rhaniad y Ddeiliadaeth (Cymru)'!$D$8="Amcangyfrifon LlC",'Incwm (Gogledd)'!E49,'Incwm (Gogledd)'!W49)</f>
        <v>29282.171314782787</v>
      </c>
      <c r="AE49" s="4">
        <f>IF('Rhaniad y Ddeiliadaeth (Cymru)'!$D$8="Amcangyfrifon LlC",'Incwm (Gogledd)'!F49,'Incwm (Gogledd)'!X49)</f>
        <v>30319.1934158693</v>
      </c>
      <c r="AF49" s="4">
        <f>IF('Rhaniad y Ddeiliadaeth (Cymru)'!$D$8="Amcangyfrifon LlC",'Incwm (Gogledd)'!G49,'Incwm (Gogledd)'!Y49)</f>
        <v>31390.00222976982</v>
      </c>
      <c r="AG49" s="4">
        <f>IF('Rhaniad y Ddeiliadaeth (Cymru)'!$D$8="Amcangyfrifon LlC",'Incwm (Gogledd)'!H49,'Incwm (Gogledd)'!Z49)</f>
        <v>32514.504399659327</v>
      </c>
      <c r="AH49" s="4">
        <f>IF('Rhaniad y Ddeiliadaeth (Cymru)'!$D$8="Amcangyfrifon LlC",'Incwm (Gogledd)'!I49,'Incwm (Gogledd)'!AA49)</f>
        <v>33673.164243297251</v>
      </c>
    </row>
    <row r="50" spans="2:34" x14ac:dyDescent="0.35">
      <c r="B50" s="251">
        <v>56</v>
      </c>
      <c r="C50" s="258">
        <v>28762</v>
      </c>
      <c r="D50" s="258">
        <v>29521.998187990837</v>
      </c>
      <c r="E50" s="278">
        <f>D50*(1+'Rhaniad y Ddeiliadaeth (Gog)'!C$109)+(D$44*(-(50-$B50)*('Rhaniad y Ddeiliadaeth (Gog)'!C$110/40)))</f>
        <v>30223.861263443887</v>
      </c>
      <c r="F50" s="278">
        <f>E50*(1+'Rhaniad y Ddeiliadaeth (Gog)'!D$109)+(E$44*(-(50-$B50)*('Rhaniad y Ddeiliadaeth (Gog)'!D$110/40)))</f>
        <v>31299.839965221221</v>
      </c>
      <c r="G50" s="278">
        <f>F50*(1+'Rhaniad y Ddeiliadaeth (Gog)'!E$109)+(F$44*(-(50-$B50)*('Rhaniad y Ddeiliadaeth (Gog)'!E$110/40)))</f>
        <v>32411.075733177873</v>
      </c>
      <c r="H50" s="278">
        <f>G50*(1+'Rhaniad y Ddeiliadaeth (Gog)'!F$109)+(G$44*(-(50-$B50)*('Rhaniad y Ddeiliadaeth (Gog)'!F$110/40)))</f>
        <v>33578.140420209631</v>
      </c>
      <c r="I50" s="279">
        <f>H50*(1+'Rhaniad y Ddeiliadaeth (Gog)'!G$109)+(H$44*(-(50-$B50)*('Rhaniad y Ddeiliadaeth (Gog)'!G$110/40)))</f>
        <v>34780.887877164205</v>
      </c>
      <c r="M50" s="36" t="str">
        <f t="shared" si="1"/>
        <v/>
      </c>
      <c r="N50" s="190"/>
      <c r="O50" s="24">
        <f t="shared" si="4"/>
        <v>1</v>
      </c>
      <c r="U50" s="1">
        <f t="shared" si="2"/>
        <v>56</v>
      </c>
      <c r="V50" s="4" t="str">
        <f t="shared" si="3"/>
        <v/>
      </c>
      <c r="W50" s="4" t="e">
        <f>IF($W$3=$N$3,N50,V50*(1+'Rhaniad y Ddeiliadaeth (Gog)'!C$109)+(V$44*(-(50-$U50)*('Rhaniad y Ddeiliadaeth (Gog)'!C$110/40))))</f>
        <v>#VALUE!</v>
      </c>
      <c r="X50" s="4" t="e">
        <f>W50*(1+'Rhaniad y Ddeiliadaeth (Gog)'!D$109)+(W$44*(-(50-$U50)*('Rhaniad y Ddeiliadaeth (Gog)'!D$110/40)))</f>
        <v>#VALUE!</v>
      </c>
      <c r="Y50" s="4" t="e">
        <f>X50*(1+'Rhaniad y Ddeiliadaeth (Gog)'!E$109)+(X$44*(-(50-$U50)*('Rhaniad y Ddeiliadaeth (Gog)'!E$110/40)))</f>
        <v>#VALUE!</v>
      </c>
      <c r="Z50" s="4" t="e">
        <f>Y50*(1+'Rhaniad y Ddeiliadaeth (Gog)'!F$109)+(Y$44*(-(50-$U50)*('Rhaniad y Ddeiliadaeth (Gog)'!F$110/40)))</f>
        <v>#VALUE!</v>
      </c>
      <c r="AA50" s="4" t="e">
        <f>Z50*(1+'Rhaniad y Ddeiliadaeth (Gog)'!G$109)+(Z$44*(-(50-$U50)*('Rhaniad y Ddeiliadaeth (Gog)'!G$110/40)))</f>
        <v>#VALUE!</v>
      </c>
      <c r="AC50" s="260">
        <v>56</v>
      </c>
      <c r="AD50" s="4">
        <f>IF('Rhaniad y Ddeiliadaeth (Cymru)'!$D$8="Amcangyfrifon LlC",'Incwm (Gogledd)'!E50,'Incwm (Gogledd)'!W50)</f>
        <v>30223.861263443887</v>
      </c>
      <c r="AE50" s="4">
        <f>IF('Rhaniad y Ddeiliadaeth (Cymru)'!$D$8="Amcangyfrifon LlC",'Incwm (Gogledd)'!F50,'Incwm (Gogledd)'!X50)</f>
        <v>31299.839965221221</v>
      </c>
      <c r="AF50" s="4">
        <f>IF('Rhaniad y Ddeiliadaeth (Cymru)'!$D$8="Amcangyfrifon LlC",'Incwm (Gogledd)'!G50,'Incwm (Gogledd)'!Y50)</f>
        <v>32411.075733177873</v>
      </c>
      <c r="AG50" s="4">
        <f>IF('Rhaniad y Ddeiliadaeth (Cymru)'!$D$8="Amcangyfrifon LlC",'Incwm (Gogledd)'!H50,'Incwm (Gogledd)'!Z50)</f>
        <v>33578.140420209631</v>
      </c>
      <c r="AH50" s="4">
        <f>IF('Rhaniad y Ddeiliadaeth (Cymru)'!$D$8="Amcangyfrifon LlC",'Incwm (Gogledd)'!I50,'Incwm (Gogledd)'!AA50)</f>
        <v>34780.887877164205</v>
      </c>
    </row>
    <row r="51" spans="2:34" x14ac:dyDescent="0.35">
      <c r="B51" s="251">
        <v>57</v>
      </c>
      <c r="C51" s="258">
        <v>29564</v>
      </c>
      <c r="D51" s="258">
        <v>30345.189987822858</v>
      </c>
      <c r="E51" s="278">
        <f>D51*(1+'Rhaniad y Ddeiliadaeth (Gog)'!C$109)+(D$44*(-(50-$B51)*('Rhaniad y Ddeiliadaeth (Gog)'!C$110/40)))</f>
        <v>31072.065049184519</v>
      </c>
      <c r="F51" s="278">
        <f>E51*(1+'Rhaniad y Ddeiliadaeth (Gog)'!D$109)+(E$44*(-(50-$B51)*('Rhaniad y Ddeiliadaeth (Gog)'!D$110/40)))</f>
        <v>32183.796209322416</v>
      </c>
      <c r="G51" s="278">
        <f>F51*(1+'Rhaniad y Ddeiliadaeth (Gog)'!E$109)+(F$44*(-(50-$B51)*('Rhaniad y Ddeiliadaeth (Gog)'!E$110/40)))</f>
        <v>33332.154222159166</v>
      </c>
      <c r="H51" s="278">
        <f>G51*(1+'Rhaniad y Ddeiliadaeth (Gog)'!F$109)+(G$44*(-(50-$B51)*('Rhaniad y Ddeiliadaeth (Gog)'!F$110/40)))</f>
        <v>34538.313072516627</v>
      </c>
      <c r="I51" s="279">
        <f>H51*(1+'Rhaniad y Ddeiliadaeth (Gog)'!G$109)+(H$44*(-(50-$B51)*('Rhaniad y Ddeiliadaeth (Gog)'!G$110/40)))</f>
        <v>35781.578852167782</v>
      </c>
      <c r="M51" s="36" t="str">
        <f t="shared" si="1"/>
        <v/>
      </c>
      <c r="N51" s="190"/>
      <c r="O51" s="24">
        <f t="shared" si="4"/>
        <v>1</v>
      </c>
      <c r="U51" s="1">
        <f t="shared" si="2"/>
        <v>57</v>
      </c>
      <c r="V51" s="4" t="str">
        <f t="shared" si="3"/>
        <v/>
      </c>
      <c r="W51" s="4" t="e">
        <f>IF($W$3=$N$3,N51,V51*(1+'Rhaniad y Ddeiliadaeth (Gog)'!C$109)+(V$44*(-(50-$U51)*('Rhaniad y Ddeiliadaeth (Gog)'!C$110/40))))</f>
        <v>#VALUE!</v>
      </c>
      <c r="X51" s="4" t="e">
        <f>W51*(1+'Rhaniad y Ddeiliadaeth (Gog)'!D$109)+(W$44*(-(50-$U51)*('Rhaniad y Ddeiliadaeth (Gog)'!D$110/40)))</f>
        <v>#VALUE!</v>
      </c>
      <c r="Y51" s="4" t="e">
        <f>X51*(1+'Rhaniad y Ddeiliadaeth (Gog)'!E$109)+(X$44*(-(50-$U51)*('Rhaniad y Ddeiliadaeth (Gog)'!E$110/40)))</f>
        <v>#VALUE!</v>
      </c>
      <c r="Z51" s="4" t="e">
        <f>Y51*(1+'Rhaniad y Ddeiliadaeth (Gog)'!F$109)+(Y$44*(-(50-$U51)*('Rhaniad y Ddeiliadaeth (Gog)'!F$110/40)))</f>
        <v>#VALUE!</v>
      </c>
      <c r="AA51" s="4" t="e">
        <f>Z51*(1+'Rhaniad y Ddeiliadaeth (Gog)'!G$109)+(Z$44*(-(50-$U51)*('Rhaniad y Ddeiliadaeth (Gog)'!G$110/40)))</f>
        <v>#VALUE!</v>
      </c>
      <c r="AC51" s="260">
        <v>57</v>
      </c>
      <c r="AD51" s="4">
        <f>IF('Rhaniad y Ddeiliadaeth (Cymru)'!$D$8="Amcangyfrifon LlC",'Incwm (Gogledd)'!E51,'Incwm (Gogledd)'!W51)</f>
        <v>31072.065049184519</v>
      </c>
      <c r="AE51" s="4">
        <f>IF('Rhaniad y Ddeiliadaeth (Cymru)'!$D$8="Amcangyfrifon LlC",'Incwm (Gogledd)'!F51,'Incwm (Gogledd)'!X51)</f>
        <v>32183.796209322416</v>
      </c>
      <c r="AF51" s="4">
        <f>IF('Rhaniad y Ddeiliadaeth (Cymru)'!$D$8="Amcangyfrifon LlC",'Incwm (Gogledd)'!G51,'Incwm (Gogledd)'!Y51)</f>
        <v>33332.154222159166</v>
      </c>
      <c r="AG51" s="4">
        <f>IF('Rhaniad y Ddeiliadaeth (Cymru)'!$D$8="Amcangyfrifon LlC",'Incwm (Gogledd)'!H51,'Incwm (Gogledd)'!Z51)</f>
        <v>34538.313072516627</v>
      </c>
      <c r="AH51" s="4">
        <f>IF('Rhaniad y Ddeiliadaeth (Cymru)'!$D$8="Amcangyfrifon LlC",'Incwm (Gogledd)'!I51,'Incwm (Gogledd)'!AA51)</f>
        <v>35781.578852167782</v>
      </c>
    </row>
    <row r="52" spans="2:34" x14ac:dyDescent="0.35">
      <c r="B52" s="251">
        <v>58</v>
      </c>
      <c r="C52" s="258">
        <v>30239.25</v>
      </c>
      <c r="D52" s="258">
        <v>31038.282584875942</v>
      </c>
      <c r="E52" s="278">
        <f>D52*(1+'Rhaniad y Ddeiliadaeth (Gog)'!C$109)+(D$44*(-(50-$B52)*('Rhaniad y Ddeiliadaeth (Gog)'!C$110/40)))</f>
        <v>31787.249401268131</v>
      </c>
      <c r="F52" s="278">
        <f>E52*(1+'Rhaniad y Ddeiliadaeth (Gog)'!D$109)+(E$44*(-(50-$B52)*('Rhaniad y Ddeiliadaeth (Gog)'!D$110/40)))</f>
        <v>32930.173915137486</v>
      </c>
      <c r="G52" s="278">
        <f>F52*(1+'Rhaniad y Ddeiliadaeth (Gog)'!E$109)+(F$44*(-(50-$B52)*('Rhaniad y Ddeiliadaeth (Gog)'!E$110/40)))</f>
        <v>34110.951973841504</v>
      </c>
      <c r="H52" s="278">
        <f>G52*(1+'Rhaniad y Ddeiliadaeth (Gog)'!F$109)+(G$44*(-(50-$B52)*('Rhaniad y Ddeiliadaeth (Gog)'!F$110/40)))</f>
        <v>35351.26994210203</v>
      </c>
      <c r="I52" s="279">
        <f>H52*(1+'Rhaniad y Ddeiliadaeth (Gog)'!G$109)+(H$44*(-(50-$B52)*('Rhaniad y Ddeiliadaeth (Gog)'!G$110/40)))</f>
        <v>36629.975378238567</v>
      </c>
      <c r="M52" s="36" t="str">
        <f t="shared" si="1"/>
        <v/>
      </c>
      <c r="N52" s="190"/>
      <c r="O52" s="24">
        <f t="shared" si="4"/>
        <v>1</v>
      </c>
      <c r="U52" s="1">
        <f t="shared" si="2"/>
        <v>58</v>
      </c>
      <c r="V52" s="4" t="str">
        <f t="shared" si="3"/>
        <v/>
      </c>
      <c r="W52" s="4" t="e">
        <f>IF($W$3=$N$3,N52,V52*(1+'Rhaniad y Ddeiliadaeth (Gog)'!C$109)+(V$44*(-(50-$U52)*('Rhaniad y Ddeiliadaeth (Gog)'!C$110/40))))</f>
        <v>#VALUE!</v>
      </c>
      <c r="X52" s="4" t="e">
        <f>W52*(1+'Rhaniad y Ddeiliadaeth (Gog)'!D$109)+(W$44*(-(50-$U52)*('Rhaniad y Ddeiliadaeth (Gog)'!D$110/40)))</f>
        <v>#VALUE!</v>
      </c>
      <c r="Y52" s="4" t="e">
        <f>X52*(1+'Rhaniad y Ddeiliadaeth (Gog)'!E$109)+(X$44*(-(50-$U52)*('Rhaniad y Ddeiliadaeth (Gog)'!E$110/40)))</f>
        <v>#VALUE!</v>
      </c>
      <c r="Z52" s="4" t="e">
        <f>Y52*(1+'Rhaniad y Ddeiliadaeth (Gog)'!F$109)+(Y$44*(-(50-$U52)*('Rhaniad y Ddeiliadaeth (Gog)'!F$110/40)))</f>
        <v>#VALUE!</v>
      </c>
      <c r="AA52" s="4" t="e">
        <f>Z52*(1+'Rhaniad y Ddeiliadaeth (Gog)'!G$109)+(Z$44*(-(50-$U52)*('Rhaniad y Ddeiliadaeth (Gog)'!G$110/40)))</f>
        <v>#VALUE!</v>
      </c>
      <c r="AC52" s="260">
        <v>58</v>
      </c>
      <c r="AD52" s="4">
        <f>IF('Rhaniad y Ddeiliadaeth (Cymru)'!$D$8="Amcangyfrifon LlC",'Incwm (Gogledd)'!E52,'Incwm (Gogledd)'!W52)</f>
        <v>31787.249401268131</v>
      </c>
      <c r="AE52" s="4">
        <f>IF('Rhaniad y Ddeiliadaeth (Cymru)'!$D$8="Amcangyfrifon LlC",'Incwm (Gogledd)'!F52,'Incwm (Gogledd)'!X52)</f>
        <v>32930.173915137486</v>
      </c>
      <c r="AF52" s="4">
        <f>IF('Rhaniad y Ddeiliadaeth (Cymru)'!$D$8="Amcangyfrifon LlC",'Incwm (Gogledd)'!G52,'Incwm (Gogledd)'!Y52)</f>
        <v>34110.951973841504</v>
      </c>
      <c r="AG52" s="4">
        <f>IF('Rhaniad y Ddeiliadaeth (Cymru)'!$D$8="Amcangyfrifon LlC",'Incwm (Gogledd)'!H52,'Incwm (Gogledd)'!Z52)</f>
        <v>35351.26994210203</v>
      </c>
      <c r="AH52" s="4">
        <f>IF('Rhaniad y Ddeiliadaeth (Cymru)'!$D$8="Amcangyfrifon LlC",'Incwm (Gogledd)'!I52,'Incwm (Gogledd)'!AA52)</f>
        <v>36629.975378238567</v>
      </c>
    </row>
    <row r="53" spans="2:34" x14ac:dyDescent="0.35">
      <c r="B53" s="251">
        <v>59</v>
      </c>
      <c r="C53" s="258">
        <v>30823</v>
      </c>
      <c r="D53" s="258">
        <v>31637.457414242457</v>
      </c>
      <c r="E53" s="278">
        <f>D53*(1+'Rhaniad y Ddeiliadaeth (Gog)'!C$109)+(D$44*(-(50-$B53)*('Rhaniad y Ddeiliadaeth (Gog)'!C$110/40)))</f>
        <v>32406.407890001701</v>
      </c>
      <c r="F53" s="278">
        <f>E53*(1+'Rhaniad y Ddeiliadaeth (Gog)'!D$109)+(E$44*(-(50-$B53)*('Rhaniad y Ddeiliadaeth (Gog)'!D$110/40)))</f>
        <v>33577.234569645407</v>
      </c>
      <c r="G53" s="278">
        <f>F53*(1+'Rhaniad y Ddeiliadaeth (Gog)'!E$109)+(F$44*(-(50-$B53)*('Rhaniad y Ddeiliadaeth (Gog)'!E$110/40)))</f>
        <v>34787.038187355371</v>
      </c>
      <c r="H53" s="278">
        <f>G53*(1+'Rhaniad y Ddeiliadaeth (Gog)'!F$109)+(G$44*(-(50-$B53)*('Rhaniad y Ddeiliadaeth (Gog)'!F$110/40)))</f>
        <v>36057.952696349967</v>
      </c>
      <c r="I53" s="279">
        <f>H53*(1+'Rhaniad y Ddeiliadaeth (Gog)'!G$109)+(H$44*(-(50-$B53)*('Rhaniad y Ddeiliadaeth (Gog)'!G$110/40)))</f>
        <v>37368.431532890419</v>
      </c>
      <c r="M53" s="36" t="str">
        <f t="shared" si="1"/>
        <v/>
      </c>
      <c r="N53" s="190"/>
      <c r="O53" s="24">
        <f t="shared" si="4"/>
        <v>1</v>
      </c>
      <c r="U53" s="1">
        <f t="shared" si="2"/>
        <v>59</v>
      </c>
      <c r="V53" s="4" t="str">
        <f t="shared" si="3"/>
        <v/>
      </c>
      <c r="W53" s="4" t="e">
        <f>IF($W$3=$N$3,N53,V53*(1+'Rhaniad y Ddeiliadaeth (Gog)'!C$109)+(V$44*(-(50-$U53)*('Rhaniad y Ddeiliadaeth (Gog)'!C$110/40))))</f>
        <v>#VALUE!</v>
      </c>
      <c r="X53" s="4" t="e">
        <f>W53*(1+'Rhaniad y Ddeiliadaeth (Gog)'!D$109)+(W$44*(-(50-$U53)*('Rhaniad y Ddeiliadaeth (Gog)'!D$110/40)))</f>
        <v>#VALUE!</v>
      </c>
      <c r="Y53" s="4" t="e">
        <f>X53*(1+'Rhaniad y Ddeiliadaeth (Gog)'!E$109)+(X$44*(-(50-$U53)*('Rhaniad y Ddeiliadaeth (Gog)'!E$110/40)))</f>
        <v>#VALUE!</v>
      </c>
      <c r="Z53" s="4" t="e">
        <f>Y53*(1+'Rhaniad y Ddeiliadaeth (Gog)'!F$109)+(Y$44*(-(50-$U53)*('Rhaniad y Ddeiliadaeth (Gog)'!F$110/40)))</f>
        <v>#VALUE!</v>
      </c>
      <c r="AA53" s="4" t="e">
        <f>Z53*(1+'Rhaniad y Ddeiliadaeth (Gog)'!G$109)+(Z$44*(-(50-$U53)*('Rhaniad y Ddeiliadaeth (Gog)'!G$110/40)))</f>
        <v>#VALUE!</v>
      </c>
      <c r="AC53" s="260">
        <v>59</v>
      </c>
      <c r="AD53" s="4">
        <f>IF('Rhaniad y Ddeiliadaeth (Cymru)'!$D$8="Amcangyfrifon LlC",'Incwm (Gogledd)'!E53,'Incwm (Gogledd)'!W53)</f>
        <v>32406.407890001701</v>
      </c>
      <c r="AE53" s="4">
        <f>IF('Rhaniad y Ddeiliadaeth (Cymru)'!$D$8="Amcangyfrifon LlC",'Incwm (Gogledd)'!F53,'Incwm (Gogledd)'!X53)</f>
        <v>33577.234569645407</v>
      </c>
      <c r="AF53" s="4">
        <f>IF('Rhaniad y Ddeiliadaeth (Cymru)'!$D$8="Amcangyfrifon LlC",'Incwm (Gogledd)'!G53,'Incwm (Gogledd)'!Y53)</f>
        <v>34787.038187355371</v>
      </c>
      <c r="AG53" s="4">
        <f>IF('Rhaniad y Ddeiliadaeth (Cymru)'!$D$8="Amcangyfrifon LlC",'Incwm (Gogledd)'!H53,'Incwm (Gogledd)'!Z53)</f>
        <v>36057.952696349967</v>
      </c>
      <c r="AH53" s="4">
        <f>IF('Rhaniad y Ddeiliadaeth (Cymru)'!$D$8="Amcangyfrifon LlC",'Incwm (Gogledd)'!I53,'Incwm (Gogledd)'!AA53)</f>
        <v>37368.431532890419</v>
      </c>
    </row>
    <row r="54" spans="2:34" x14ac:dyDescent="0.35">
      <c r="B54" s="251">
        <v>60</v>
      </c>
      <c r="C54" s="258">
        <v>31335.35</v>
      </c>
      <c r="D54" s="258">
        <v>32308.209769354598</v>
      </c>
      <c r="E54" s="278">
        <f>D54*(1+'Rhaniad y Ddeiliadaeth (Gog)'!C$109)+(D$44*(-(50-$B54)*('Rhaniad y Ddeiliadaeth (Gog)'!C$110/40)))</f>
        <v>33098.750546922929</v>
      </c>
      <c r="F54" s="278">
        <f>E54*(1+'Rhaniad y Ddeiliadaeth (Gog)'!D$109)+(E$44*(-(50-$B54)*('Rhaniad y Ddeiliadaeth (Gog)'!D$110/40)))</f>
        <v>34299.987704628809</v>
      </c>
      <c r="G54" s="278">
        <f>F54*(1+'Rhaniad y Ddeiliadaeth (Gog)'!E$109)+(F$44*(-(50-$B54)*('Rhaniad y Ddeiliadaeth (Gog)'!E$110/40)))</f>
        <v>35541.403920801611</v>
      </c>
      <c r="H54" s="278">
        <f>G54*(1+'Rhaniad y Ddeiliadaeth (Gog)'!F$109)+(G$44*(-(50-$B54)*('Rhaniad y Ddeiliadaeth (Gog)'!F$110/40)))</f>
        <v>36845.630116613014</v>
      </c>
      <c r="I54" s="279">
        <f>H54*(1+'Rhaniad y Ddeiliadaeth (Gog)'!G$109)+(H$44*(-(50-$B54)*('Rhaniad y Ddeiliadaeth (Gog)'!G$110/40)))</f>
        <v>38190.676516424806</v>
      </c>
      <c r="M54" s="36" t="str">
        <f t="shared" si="1"/>
        <v/>
      </c>
      <c r="N54" s="190"/>
      <c r="O54" s="24">
        <f t="shared" si="4"/>
        <v>1</v>
      </c>
      <c r="U54" s="1">
        <f t="shared" si="2"/>
        <v>60</v>
      </c>
      <c r="V54" s="4" t="str">
        <f t="shared" si="3"/>
        <v/>
      </c>
      <c r="W54" s="4" t="e">
        <f>IF($W$3=$N$3,N54,V54*(1+'Rhaniad y Ddeiliadaeth (Gog)'!C$109)+(V$44*(-(50-$U54)*('Rhaniad y Ddeiliadaeth (Gog)'!C$110/40))))</f>
        <v>#VALUE!</v>
      </c>
      <c r="X54" s="4" t="e">
        <f>W54*(1+'Rhaniad y Ddeiliadaeth (Gog)'!D$109)+(W$44*(-(50-$U54)*('Rhaniad y Ddeiliadaeth (Gog)'!D$110/40)))</f>
        <v>#VALUE!</v>
      </c>
      <c r="Y54" s="4" t="e">
        <f>X54*(1+'Rhaniad y Ddeiliadaeth (Gog)'!E$109)+(X$44*(-(50-$U54)*('Rhaniad y Ddeiliadaeth (Gog)'!E$110/40)))</f>
        <v>#VALUE!</v>
      </c>
      <c r="Z54" s="4" t="e">
        <f>Y54*(1+'Rhaniad y Ddeiliadaeth (Gog)'!F$109)+(Y$44*(-(50-$U54)*('Rhaniad y Ddeiliadaeth (Gog)'!F$110/40)))</f>
        <v>#VALUE!</v>
      </c>
      <c r="AA54" s="4" t="e">
        <f>Z54*(1+'Rhaniad y Ddeiliadaeth (Gog)'!G$109)+(Z$44*(-(50-$U54)*('Rhaniad y Ddeiliadaeth (Gog)'!G$110/40)))</f>
        <v>#VALUE!</v>
      </c>
      <c r="AC54" s="260">
        <v>60</v>
      </c>
      <c r="AD54" s="4">
        <f>IF('Rhaniad y Ddeiliadaeth (Cymru)'!$D$8="Amcangyfrifon LlC",'Incwm (Gogledd)'!E54,'Incwm (Gogledd)'!W54)</f>
        <v>33098.750546922929</v>
      </c>
      <c r="AE54" s="4">
        <f>IF('Rhaniad y Ddeiliadaeth (Cymru)'!$D$8="Amcangyfrifon LlC",'Incwm (Gogledd)'!F54,'Incwm (Gogledd)'!X54)</f>
        <v>34299.987704628809</v>
      </c>
      <c r="AF54" s="4">
        <f>IF('Rhaniad y Ddeiliadaeth (Cymru)'!$D$8="Amcangyfrifon LlC",'Incwm (Gogledd)'!G54,'Incwm (Gogledd)'!Y54)</f>
        <v>35541.403920801611</v>
      </c>
      <c r="AG54" s="4">
        <f>IF('Rhaniad y Ddeiliadaeth (Cymru)'!$D$8="Amcangyfrifon LlC",'Incwm (Gogledd)'!H54,'Incwm (Gogledd)'!Z54)</f>
        <v>36845.630116613014</v>
      </c>
      <c r="AH54" s="4">
        <f>IF('Rhaniad y Ddeiliadaeth (Cymru)'!$D$8="Amcangyfrifon LlC",'Incwm (Gogledd)'!I54,'Incwm (Gogledd)'!AA54)</f>
        <v>38190.676516424806</v>
      </c>
    </row>
    <row r="55" spans="2:34" x14ac:dyDescent="0.35">
      <c r="B55" s="251">
        <v>61</v>
      </c>
      <c r="C55" s="258">
        <v>31771</v>
      </c>
      <c r="D55" s="258">
        <v>32757.385271974465</v>
      </c>
      <c r="E55" s="278">
        <f>D55*(1+'Rhaniad y Ddeiliadaeth (Gog)'!C$109)+(D$44*(-(50-$B55)*('Rhaniad y Ddeiliadaeth (Gog)'!C$110/40)))</f>
        <v>33564.542796151734</v>
      </c>
      <c r="F55" s="278">
        <f>E55*(1+'Rhaniad y Ddeiliadaeth (Gog)'!D$109)+(E$44*(-(50-$B55)*('Rhaniad y Ddeiliadaeth (Gog)'!D$110/40)))</f>
        <v>34788.425649105433</v>
      </c>
      <c r="G55" s="278">
        <f>F55*(1+'Rhaniad y Ddeiliadaeth (Gog)'!E$109)+(F$44*(-(50-$B55)*('Rhaniad y Ddeiliadaeth (Gog)'!E$110/40)))</f>
        <v>36053.445971492103</v>
      </c>
      <c r="H55" s="278">
        <f>G55*(1+'Rhaniad y Ddeiliadaeth (Gog)'!F$109)+(G$44*(-(50-$B55)*('Rhaniad y Ddeiliadaeth (Gog)'!F$110/40)))</f>
        <v>37382.578792380547</v>
      </c>
      <c r="I55" s="279">
        <f>H55*(1+'Rhaniad y Ddeiliadaeth (Gog)'!G$109)+(H$44*(-(50-$B55)*('Rhaniad y Ddeiliadaeth (Gog)'!G$110/40)))</f>
        <v>38753.543087749349</v>
      </c>
      <c r="M55" s="36" t="str">
        <f t="shared" si="1"/>
        <v/>
      </c>
      <c r="N55" s="190"/>
      <c r="O55" s="24">
        <f t="shared" si="4"/>
        <v>1</v>
      </c>
      <c r="U55" s="1">
        <f t="shared" si="2"/>
        <v>61</v>
      </c>
      <c r="V55" s="4" t="str">
        <f t="shared" si="3"/>
        <v/>
      </c>
      <c r="W55" s="4" t="e">
        <f>IF($W$3=$N$3,N55,V55*(1+'Rhaniad y Ddeiliadaeth (Gog)'!C$109)+(V$44*(-(50-$U55)*('Rhaniad y Ddeiliadaeth (Gog)'!C$110/40))))</f>
        <v>#VALUE!</v>
      </c>
      <c r="X55" s="4" t="e">
        <f>W55*(1+'Rhaniad y Ddeiliadaeth (Gog)'!D$109)+(W$44*(-(50-$U55)*('Rhaniad y Ddeiliadaeth (Gog)'!D$110/40)))</f>
        <v>#VALUE!</v>
      </c>
      <c r="Y55" s="4" t="e">
        <f>X55*(1+'Rhaniad y Ddeiliadaeth (Gog)'!E$109)+(X$44*(-(50-$U55)*('Rhaniad y Ddeiliadaeth (Gog)'!E$110/40)))</f>
        <v>#VALUE!</v>
      </c>
      <c r="Z55" s="4" t="e">
        <f>Y55*(1+'Rhaniad y Ddeiliadaeth (Gog)'!F$109)+(Y$44*(-(50-$U55)*('Rhaniad y Ddeiliadaeth (Gog)'!F$110/40)))</f>
        <v>#VALUE!</v>
      </c>
      <c r="AA55" s="4" t="e">
        <f>Z55*(1+'Rhaniad y Ddeiliadaeth (Gog)'!G$109)+(Z$44*(-(50-$U55)*('Rhaniad y Ddeiliadaeth (Gog)'!G$110/40)))</f>
        <v>#VALUE!</v>
      </c>
      <c r="AC55" s="260">
        <v>61</v>
      </c>
      <c r="AD55" s="4">
        <f>IF('Rhaniad y Ddeiliadaeth (Cymru)'!$D$8="Amcangyfrifon LlC",'Incwm (Gogledd)'!E55,'Incwm (Gogledd)'!W55)</f>
        <v>33564.542796151734</v>
      </c>
      <c r="AE55" s="4">
        <f>IF('Rhaniad y Ddeiliadaeth (Cymru)'!$D$8="Amcangyfrifon LlC",'Incwm (Gogledd)'!F55,'Incwm (Gogledd)'!X55)</f>
        <v>34788.425649105433</v>
      </c>
      <c r="AF55" s="4">
        <f>IF('Rhaniad y Ddeiliadaeth (Cymru)'!$D$8="Amcangyfrifon LlC",'Incwm (Gogledd)'!G55,'Incwm (Gogledd)'!Y55)</f>
        <v>36053.445971492103</v>
      </c>
      <c r="AG55" s="4">
        <f>IF('Rhaniad y Ddeiliadaeth (Cymru)'!$D$8="Amcangyfrifon LlC",'Incwm (Gogledd)'!H55,'Incwm (Gogledd)'!Z55)</f>
        <v>37382.578792380547</v>
      </c>
      <c r="AH55" s="4">
        <f>IF('Rhaniad y Ddeiliadaeth (Cymru)'!$D$8="Amcangyfrifon LlC",'Incwm (Gogledd)'!I55,'Incwm (Gogledd)'!AA55)</f>
        <v>38753.543087749349</v>
      </c>
    </row>
    <row r="56" spans="2:34" x14ac:dyDescent="0.35">
      <c r="B56" s="251">
        <v>62</v>
      </c>
      <c r="C56" s="258">
        <v>32514.2</v>
      </c>
      <c r="D56" s="258">
        <v>33523.659192660984</v>
      </c>
      <c r="E56" s="278">
        <f>D56*(1+'Rhaniad y Ddeiliadaeth (Gog)'!C$109)+(D$44*(-(50-$B56)*('Rhaniad y Ddeiliadaeth (Gog)'!C$110/40)))</f>
        <v>34354.551113456197</v>
      </c>
      <c r="F56" s="278">
        <f>E56*(1+'Rhaniad y Ddeiliadaeth (Gog)'!D$109)+(E$44*(-(50-$B56)*('Rhaniad y Ddeiliadaeth (Gog)'!D$110/40)))</f>
        <v>35612.191834790276</v>
      </c>
      <c r="G56" s="278">
        <f>F56*(1+'Rhaniad y Ddeiliadaeth (Gog)'!E$109)+(F$44*(-(50-$B56)*('Rhaniad y Ddeiliadaeth (Gog)'!E$110/40)))</f>
        <v>36912.277208858213</v>
      </c>
      <c r="H56" s="278">
        <f>G56*(1+'Rhaniad y Ddeiliadaeth (Gog)'!F$109)+(G$44*(-(50-$B56)*('Rhaniad y Ddeiliadaeth (Gog)'!F$110/40)))</f>
        <v>38278.345130503607</v>
      </c>
      <c r="I56" s="279">
        <f>H56*(1+'Rhaniad y Ddeiliadaeth (Gog)'!G$109)+(H$44*(-(50-$B56)*('Rhaniad y Ddeiliadaeth (Gog)'!G$110/40)))</f>
        <v>39687.605852481582</v>
      </c>
      <c r="M56" s="36" t="str">
        <f t="shared" si="1"/>
        <v/>
      </c>
      <c r="N56" s="190"/>
      <c r="O56" s="24">
        <f t="shared" si="4"/>
        <v>1</v>
      </c>
      <c r="U56" s="1">
        <f t="shared" si="2"/>
        <v>62</v>
      </c>
      <c r="V56" s="4" t="str">
        <f t="shared" si="3"/>
        <v/>
      </c>
      <c r="W56" s="4" t="e">
        <f>IF($W$3=$N$3,N56,V56*(1+'Rhaniad y Ddeiliadaeth (Gog)'!C$109)+(V$44*(-(50-$U56)*('Rhaniad y Ddeiliadaeth (Gog)'!C$110/40))))</f>
        <v>#VALUE!</v>
      </c>
      <c r="X56" s="4" t="e">
        <f>W56*(1+'Rhaniad y Ddeiliadaeth (Gog)'!D$109)+(W$44*(-(50-$U56)*('Rhaniad y Ddeiliadaeth (Gog)'!D$110/40)))</f>
        <v>#VALUE!</v>
      </c>
      <c r="Y56" s="4" t="e">
        <f>X56*(1+'Rhaniad y Ddeiliadaeth (Gog)'!E$109)+(X$44*(-(50-$U56)*('Rhaniad y Ddeiliadaeth (Gog)'!E$110/40)))</f>
        <v>#VALUE!</v>
      </c>
      <c r="Z56" s="4" t="e">
        <f>Y56*(1+'Rhaniad y Ddeiliadaeth (Gog)'!F$109)+(Y$44*(-(50-$U56)*('Rhaniad y Ddeiliadaeth (Gog)'!F$110/40)))</f>
        <v>#VALUE!</v>
      </c>
      <c r="AA56" s="4" t="e">
        <f>Z56*(1+'Rhaniad y Ddeiliadaeth (Gog)'!G$109)+(Z$44*(-(50-$U56)*('Rhaniad y Ddeiliadaeth (Gog)'!G$110/40)))</f>
        <v>#VALUE!</v>
      </c>
      <c r="AC56" s="260">
        <v>62</v>
      </c>
      <c r="AD56" s="4">
        <f>IF('Rhaniad y Ddeiliadaeth (Cymru)'!$D$8="Amcangyfrifon LlC",'Incwm (Gogledd)'!E56,'Incwm (Gogledd)'!W56)</f>
        <v>34354.551113456197</v>
      </c>
      <c r="AE56" s="4">
        <f>IF('Rhaniad y Ddeiliadaeth (Cymru)'!$D$8="Amcangyfrifon LlC",'Incwm (Gogledd)'!F56,'Incwm (Gogledd)'!X56)</f>
        <v>35612.191834790276</v>
      </c>
      <c r="AF56" s="4">
        <f>IF('Rhaniad y Ddeiliadaeth (Cymru)'!$D$8="Amcangyfrifon LlC",'Incwm (Gogledd)'!G56,'Incwm (Gogledd)'!Y56)</f>
        <v>36912.277208858213</v>
      </c>
      <c r="AG56" s="4">
        <f>IF('Rhaniad y Ddeiliadaeth (Cymru)'!$D$8="Amcangyfrifon LlC",'Incwm (Gogledd)'!H56,'Incwm (Gogledd)'!Z56)</f>
        <v>38278.345130503607</v>
      </c>
      <c r="AH56" s="4">
        <f>IF('Rhaniad y Ddeiliadaeth (Cymru)'!$D$8="Amcangyfrifon LlC",'Incwm (Gogledd)'!I56,'Incwm (Gogledd)'!AA56)</f>
        <v>39687.605852481582</v>
      </c>
    </row>
    <row r="57" spans="2:34" x14ac:dyDescent="0.35">
      <c r="B57" s="251">
        <v>63</v>
      </c>
      <c r="C57" s="258">
        <v>33343.699999999997</v>
      </c>
      <c r="D57" s="258">
        <v>34378.912445095681</v>
      </c>
      <c r="E57" s="278">
        <f>D57*(1+'Rhaniad y Ddeiliadaeth (Gog)'!C$109)+(D$44*(-(50-$B57)*('Rhaniad y Ddeiliadaeth (Gog)'!C$110/40)))</f>
        <v>35235.536009121664</v>
      </c>
      <c r="F57" s="278">
        <f>E57*(1+'Rhaniad y Ddeiliadaeth (Gog)'!D$109)+(E$44*(-(50-$B57)*('Rhaniad y Ddeiliadaeth (Gog)'!D$110/40)))</f>
        <v>36530.052727730108</v>
      </c>
      <c r="G57" s="278">
        <f>F57*(1+'Rhaniad y Ddeiliadaeth (Gog)'!E$109)+(F$44*(-(50-$B57)*('Rhaniad y Ddeiliadaeth (Gog)'!E$110/40)))</f>
        <v>37868.419149557463</v>
      </c>
      <c r="H57" s="278">
        <f>G57*(1+'Rhaniad y Ddeiliadaeth (Gog)'!F$109)+(G$44*(-(50-$B57)*('Rhaniad y Ddeiliadaeth (Gog)'!F$110/40)))</f>
        <v>39274.797419728238</v>
      </c>
      <c r="I57" s="279">
        <f>H57*(1+'Rhaniad y Ddeiliadaeth (Gog)'!G$109)+(H$44*(-(50-$B57)*('Rhaniad y Ddeiliadaeth (Gog)'!G$110/40)))</f>
        <v>40725.828043294416</v>
      </c>
      <c r="M57" s="36" t="str">
        <f t="shared" si="1"/>
        <v/>
      </c>
      <c r="N57" s="190"/>
      <c r="O57" s="24">
        <f t="shared" si="4"/>
        <v>1</v>
      </c>
      <c r="U57" s="1">
        <f t="shared" si="2"/>
        <v>63</v>
      </c>
      <c r="V57" s="4" t="str">
        <f t="shared" si="3"/>
        <v/>
      </c>
      <c r="W57" s="4" t="e">
        <f>IF($W$3=$N$3,N57,V57*(1+'Rhaniad y Ddeiliadaeth (Gog)'!C$109)+(V$44*(-(50-$U57)*('Rhaniad y Ddeiliadaeth (Gog)'!C$110/40))))</f>
        <v>#VALUE!</v>
      </c>
      <c r="X57" s="4" t="e">
        <f>W57*(1+'Rhaniad y Ddeiliadaeth (Gog)'!D$109)+(W$44*(-(50-$U57)*('Rhaniad y Ddeiliadaeth (Gog)'!D$110/40)))</f>
        <v>#VALUE!</v>
      </c>
      <c r="Y57" s="4" t="e">
        <f>X57*(1+'Rhaniad y Ddeiliadaeth (Gog)'!E$109)+(X$44*(-(50-$U57)*('Rhaniad y Ddeiliadaeth (Gog)'!E$110/40)))</f>
        <v>#VALUE!</v>
      </c>
      <c r="Z57" s="4" t="e">
        <f>Y57*(1+'Rhaniad y Ddeiliadaeth (Gog)'!F$109)+(Y$44*(-(50-$U57)*('Rhaniad y Ddeiliadaeth (Gog)'!F$110/40)))</f>
        <v>#VALUE!</v>
      </c>
      <c r="AA57" s="4" t="e">
        <f>Z57*(1+'Rhaniad y Ddeiliadaeth (Gog)'!G$109)+(Z$44*(-(50-$U57)*('Rhaniad y Ddeiliadaeth (Gog)'!G$110/40)))</f>
        <v>#VALUE!</v>
      </c>
      <c r="AC57" s="260">
        <v>63</v>
      </c>
      <c r="AD57" s="4">
        <f>IF('Rhaniad y Ddeiliadaeth (Cymru)'!$D$8="Amcangyfrifon LlC",'Incwm (Gogledd)'!E57,'Incwm (Gogledd)'!W57)</f>
        <v>35235.536009121664</v>
      </c>
      <c r="AE57" s="4">
        <f>IF('Rhaniad y Ddeiliadaeth (Cymru)'!$D$8="Amcangyfrifon LlC",'Incwm (Gogledd)'!F57,'Incwm (Gogledd)'!X57)</f>
        <v>36530.052727730108</v>
      </c>
      <c r="AF57" s="4">
        <f>IF('Rhaniad y Ddeiliadaeth (Cymru)'!$D$8="Amcangyfrifon LlC",'Incwm (Gogledd)'!G57,'Incwm (Gogledd)'!Y57)</f>
        <v>37868.419149557463</v>
      </c>
      <c r="AG57" s="4">
        <f>IF('Rhaniad y Ddeiliadaeth (Cymru)'!$D$8="Amcangyfrifon LlC",'Incwm (Gogledd)'!H57,'Incwm (Gogledd)'!Z57)</f>
        <v>39274.797419728238</v>
      </c>
      <c r="AH57" s="4">
        <f>IF('Rhaniad y Ddeiliadaeth (Cymru)'!$D$8="Amcangyfrifon LlC",'Incwm (Gogledd)'!I57,'Incwm (Gogledd)'!AA57)</f>
        <v>40725.828043294416</v>
      </c>
    </row>
    <row r="58" spans="2:34" x14ac:dyDescent="0.35">
      <c r="B58" s="251">
        <v>64</v>
      </c>
      <c r="C58" s="258">
        <v>34206.199999999997</v>
      </c>
      <c r="D58" s="258">
        <v>35268.190239218558</v>
      </c>
      <c r="E58" s="278">
        <f>D58*(1+'Rhaniad y Ddeiliadaeth (Gog)'!C$109)+(D$44*(-(50-$B58)*('Rhaniad y Ddeiliadaeth (Gog)'!C$110/40)))</f>
        <v>36151.309167659827</v>
      </c>
      <c r="F58" s="278">
        <f>E58*(1+'Rhaniad y Ddeiliadaeth (Gog)'!D$109)+(E$44*(-(50-$B58)*('Rhaniad y Ddeiliadaeth (Gog)'!D$110/40)))</f>
        <v>37483.894215564666</v>
      </c>
      <c r="G58" s="278">
        <f>F58*(1+'Rhaniad y Ddeiliadaeth (Gog)'!E$109)+(F$44*(-(50-$B58)*('Rhaniad y Ddeiliadaeth (Gog)'!E$110/40)))</f>
        <v>38861.771440314587</v>
      </c>
      <c r="H58" s="278">
        <f>G58*(1+'Rhaniad y Ddeiliadaeth (Gog)'!F$109)+(G$44*(-(50-$B58)*('Rhaniad y Ddeiliadaeth (Gog)'!F$110/40)))</f>
        <v>40309.750709953478</v>
      </c>
      <c r="I58" s="279">
        <f>H58*(1+'Rhaniad y Ddeiliadaeth (Gog)'!G$109)+(H$44*(-(50-$B58)*('Rhaniad y Ddeiliadaeth (Gog)'!G$110/40)))</f>
        <v>41803.879446861138</v>
      </c>
      <c r="M58" s="36" t="str">
        <f t="shared" si="1"/>
        <v/>
      </c>
      <c r="N58" s="190"/>
      <c r="O58" s="24">
        <f t="shared" si="4"/>
        <v>1</v>
      </c>
      <c r="U58" s="1">
        <f t="shared" si="2"/>
        <v>64</v>
      </c>
      <c r="V58" s="4" t="str">
        <f t="shared" si="3"/>
        <v/>
      </c>
      <c r="W58" s="4" t="e">
        <f>IF($W$3=$N$3,N58,V58*(1+'Rhaniad y Ddeiliadaeth (Gog)'!C$109)+(V$44*(-(50-$U58)*('Rhaniad y Ddeiliadaeth (Gog)'!C$110/40))))</f>
        <v>#VALUE!</v>
      </c>
      <c r="X58" s="4" t="e">
        <f>W58*(1+'Rhaniad y Ddeiliadaeth (Gog)'!D$109)+(W$44*(-(50-$U58)*('Rhaniad y Ddeiliadaeth (Gog)'!D$110/40)))</f>
        <v>#VALUE!</v>
      </c>
      <c r="Y58" s="4" t="e">
        <f>X58*(1+'Rhaniad y Ddeiliadaeth (Gog)'!E$109)+(X$44*(-(50-$U58)*('Rhaniad y Ddeiliadaeth (Gog)'!E$110/40)))</f>
        <v>#VALUE!</v>
      </c>
      <c r="Z58" s="4" t="e">
        <f>Y58*(1+'Rhaniad y Ddeiliadaeth (Gog)'!F$109)+(Y$44*(-(50-$U58)*('Rhaniad y Ddeiliadaeth (Gog)'!F$110/40)))</f>
        <v>#VALUE!</v>
      </c>
      <c r="AA58" s="4" t="e">
        <f>Z58*(1+'Rhaniad y Ddeiliadaeth (Gog)'!G$109)+(Z$44*(-(50-$U58)*('Rhaniad y Ddeiliadaeth (Gog)'!G$110/40)))</f>
        <v>#VALUE!</v>
      </c>
      <c r="AC58" s="260">
        <v>64</v>
      </c>
      <c r="AD58" s="4">
        <f>IF('Rhaniad y Ddeiliadaeth (Cymru)'!$D$8="Amcangyfrifon LlC",'Incwm (Gogledd)'!E58,'Incwm (Gogledd)'!W58)</f>
        <v>36151.309167659827</v>
      </c>
      <c r="AE58" s="4">
        <f>IF('Rhaniad y Ddeiliadaeth (Cymru)'!$D$8="Amcangyfrifon LlC",'Incwm (Gogledd)'!F58,'Incwm (Gogledd)'!X58)</f>
        <v>37483.894215564666</v>
      </c>
      <c r="AF58" s="4">
        <f>IF('Rhaniad y Ddeiliadaeth (Cymru)'!$D$8="Amcangyfrifon LlC",'Incwm (Gogledd)'!G58,'Incwm (Gogledd)'!Y58)</f>
        <v>38861.771440314587</v>
      </c>
      <c r="AG58" s="4">
        <f>IF('Rhaniad y Ddeiliadaeth (Cymru)'!$D$8="Amcangyfrifon LlC",'Incwm (Gogledd)'!H58,'Incwm (Gogledd)'!Z58)</f>
        <v>40309.750709953478</v>
      </c>
      <c r="AH58" s="4">
        <f>IF('Rhaniad y Ddeiliadaeth (Cymru)'!$D$8="Amcangyfrifon LlC",'Incwm (Gogledd)'!I58,'Incwm (Gogledd)'!AA58)</f>
        <v>41803.879446861138</v>
      </c>
    </row>
    <row r="59" spans="2:34" x14ac:dyDescent="0.35">
      <c r="B59" s="251">
        <v>65</v>
      </c>
      <c r="C59" s="258">
        <v>34842</v>
      </c>
      <c r="D59" s="258">
        <v>35923.729742410826</v>
      </c>
      <c r="E59" s="278">
        <f>D59*(1+'Rhaniad y Ddeiliadaeth (Gog)'!C$109)+(D$44*(-(50-$B59)*('Rhaniad y Ddeiliadaeth (Gog)'!C$110/40)))</f>
        <v>36828.097502160432</v>
      </c>
      <c r="F59" s="278">
        <f>E59*(1+'Rhaniad y Ddeiliadaeth (Gog)'!D$109)+(E$44*(-(50-$B59)*('Rhaniad y Ddeiliadaeth (Gog)'!D$110/40)))</f>
        <v>38190.559919683052</v>
      </c>
      <c r="G59" s="278">
        <f>F59*(1+'Rhaniad y Ddeiliadaeth (Gog)'!E$109)+(F$44*(-(50-$B59)*('Rhaniad y Ddeiliadaeth (Gog)'!E$110/40)))</f>
        <v>39599.499902037831</v>
      </c>
      <c r="H59" s="278">
        <f>G59*(1+'Rhaniad y Ddeiliadaeth (Gog)'!F$109)+(G$44*(-(50-$B59)*('Rhaniad y Ddeiliadaeth (Gog)'!F$110/40)))</f>
        <v>41080.213790274604</v>
      </c>
      <c r="I59" s="279">
        <f>H59*(1+'Rhaniad y Ddeiliadaeth (Gog)'!G$109)+(H$44*(-(50-$B59)*('Rhaniad y Ddeiliadaeth (Gog)'!G$110/40)))</f>
        <v>42608.316228267133</v>
      </c>
      <c r="M59" s="36" t="str">
        <f t="shared" si="1"/>
        <v/>
      </c>
      <c r="N59" s="190"/>
      <c r="O59" s="24">
        <f t="shared" si="4"/>
        <v>1</v>
      </c>
      <c r="U59" s="1">
        <f t="shared" si="2"/>
        <v>65</v>
      </c>
      <c r="V59" s="4" t="str">
        <f t="shared" si="3"/>
        <v/>
      </c>
      <c r="W59" s="4" t="e">
        <f>IF($W$3=$N$3,N59,V59*(1+'Rhaniad y Ddeiliadaeth (Gog)'!C$109)+(V$44*(-(50-$U59)*('Rhaniad y Ddeiliadaeth (Gog)'!C$110/40))))</f>
        <v>#VALUE!</v>
      </c>
      <c r="X59" s="4" t="e">
        <f>W59*(1+'Rhaniad y Ddeiliadaeth (Gog)'!D$109)+(W$44*(-(50-$U59)*('Rhaniad y Ddeiliadaeth (Gog)'!D$110/40)))</f>
        <v>#VALUE!</v>
      </c>
      <c r="Y59" s="4" t="e">
        <f>X59*(1+'Rhaniad y Ddeiliadaeth (Gog)'!E$109)+(X$44*(-(50-$U59)*('Rhaniad y Ddeiliadaeth (Gog)'!E$110/40)))</f>
        <v>#VALUE!</v>
      </c>
      <c r="Z59" s="4" t="e">
        <f>Y59*(1+'Rhaniad y Ddeiliadaeth (Gog)'!F$109)+(Y$44*(-(50-$U59)*('Rhaniad y Ddeiliadaeth (Gog)'!F$110/40)))</f>
        <v>#VALUE!</v>
      </c>
      <c r="AA59" s="4" t="e">
        <f>Z59*(1+'Rhaniad y Ddeiliadaeth (Gog)'!G$109)+(Z$44*(-(50-$U59)*('Rhaniad y Ddeiliadaeth (Gog)'!G$110/40)))</f>
        <v>#VALUE!</v>
      </c>
      <c r="AC59" s="260">
        <v>65</v>
      </c>
      <c r="AD59" s="4">
        <f>IF('Rhaniad y Ddeiliadaeth (Cymru)'!$D$8="Amcangyfrifon LlC",'Incwm (Gogledd)'!E59,'Incwm (Gogledd)'!W59)</f>
        <v>36828.097502160432</v>
      </c>
      <c r="AE59" s="4">
        <f>IF('Rhaniad y Ddeiliadaeth (Cymru)'!$D$8="Amcangyfrifon LlC",'Incwm (Gogledd)'!F59,'Incwm (Gogledd)'!X59)</f>
        <v>38190.559919683052</v>
      </c>
      <c r="AF59" s="4">
        <f>IF('Rhaniad y Ddeiliadaeth (Cymru)'!$D$8="Amcangyfrifon LlC",'Incwm (Gogledd)'!G59,'Incwm (Gogledd)'!Y59)</f>
        <v>39599.499902037831</v>
      </c>
      <c r="AG59" s="4">
        <f>IF('Rhaniad y Ddeiliadaeth (Cymru)'!$D$8="Amcangyfrifon LlC",'Incwm (Gogledd)'!H59,'Incwm (Gogledd)'!Z59)</f>
        <v>41080.213790274604</v>
      </c>
      <c r="AH59" s="4">
        <f>IF('Rhaniad y Ddeiliadaeth (Cymru)'!$D$8="Amcangyfrifon LlC",'Incwm (Gogledd)'!I59,'Incwm (Gogledd)'!AA59)</f>
        <v>42608.316228267133</v>
      </c>
    </row>
    <row r="60" spans="2:34" x14ac:dyDescent="0.35">
      <c r="B60" s="251">
        <v>66</v>
      </c>
      <c r="C60" s="258">
        <v>35409.379999999997</v>
      </c>
      <c r="D60" s="258">
        <v>36508.725029169589</v>
      </c>
      <c r="E60" s="278">
        <f>D60*(1+'Rhaniad y Ddeiliadaeth (Gog)'!C$109)+(D$44*(-(50-$B60)*('Rhaniad y Ddeiliadaeth (Gog)'!C$110/40)))</f>
        <v>37432.758171638307</v>
      </c>
      <c r="F60" s="278">
        <f>E60*(1+'Rhaniad y Ddeiliadaeth (Gog)'!D$109)+(E$44*(-(50-$B60)*('Rhaniad y Ddeiliadaeth (Gog)'!D$110/40)))</f>
        <v>38822.625857053048</v>
      </c>
      <c r="G60" s="278">
        <f>F60*(1+'Rhaniad y Ddeiliadaeth (Gog)'!E$109)+(F$44*(-(50-$B60)*('Rhaniad y Ddeiliadaeth (Gog)'!E$110/40)))</f>
        <v>40260.078904641101</v>
      </c>
      <c r="H60" s="278">
        <f>G60*(1+'Rhaniad y Ddeiliadaeth (Gog)'!F$109)+(G$44*(-(50-$B60)*('Rhaniad y Ddeiliadaeth (Gog)'!F$110/40)))</f>
        <v>41770.851461854494</v>
      </c>
      <c r="I60" s="279">
        <f>H60*(1+'Rhaniad y Ddeiliadaeth (Gog)'!G$109)+(H$44*(-(50-$B60)*('Rhaniad y Ddeiliadaeth (Gog)'!G$110/40)))</f>
        <v>43330.173775230076</v>
      </c>
      <c r="M60" s="36" t="str">
        <f t="shared" si="1"/>
        <v/>
      </c>
      <c r="N60" s="190"/>
      <c r="O60" s="24">
        <f t="shared" si="4"/>
        <v>1</v>
      </c>
      <c r="U60" s="1">
        <f t="shared" si="2"/>
        <v>66</v>
      </c>
      <c r="V60" s="4" t="str">
        <f t="shared" si="3"/>
        <v/>
      </c>
      <c r="W60" s="4" t="e">
        <f>IF($W$3=$N$3,N60,V60*(1+'Rhaniad y Ddeiliadaeth (Gog)'!C$109)+(V$44*(-(50-$U60)*('Rhaniad y Ddeiliadaeth (Gog)'!C$110/40))))</f>
        <v>#VALUE!</v>
      </c>
      <c r="X60" s="4" t="e">
        <f>W60*(1+'Rhaniad y Ddeiliadaeth (Gog)'!D$109)+(W$44*(-(50-$U60)*('Rhaniad y Ddeiliadaeth (Gog)'!D$110/40)))</f>
        <v>#VALUE!</v>
      </c>
      <c r="Y60" s="4" t="e">
        <f>X60*(1+'Rhaniad y Ddeiliadaeth (Gog)'!E$109)+(X$44*(-(50-$U60)*('Rhaniad y Ddeiliadaeth (Gog)'!E$110/40)))</f>
        <v>#VALUE!</v>
      </c>
      <c r="Z60" s="4" t="e">
        <f>Y60*(1+'Rhaniad y Ddeiliadaeth (Gog)'!F$109)+(Y$44*(-(50-$U60)*('Rhaniad y Ddeiliadaeth (Gog)'!F$110/40)))</f>
        <v>#VALUE!</v>
      </c>
      <c r="AA60" s="4" t="e">
        <f>Z60*(1+'Rhaniad y Ddeiliadaeth (Gog)'!G$109)+(Z$44*(-(50-$U60)*('Rhaniad y Ddeiliadaeth (Gog)'!G$110/40)))</f>
        <v>#VALUE!</v>
      </c>
      <c r="AC60" s="260">
        <v>66</v>
      </c>
      <c r="AD60" s="4">
        <f>IF('Rhaniad y Ddeiliadaeth (Cymru)'!$D$8="Amcangyfrifon LlC",'Incwm (Gogledd)'!E60,'Incwm (Gogledd)'!W60)</f>
        <v>37432.758171638307</v>
      </c>
      <c r="AE60" s="4">
        <f>IF('Rhaniad y Ddeiliadaeth (Cymru)'!$D$8="Amcangyfrifon LlC",'Incwm (Gogledd)'!F60,'Incwm (Gogledd)'!X60)</f>
        <v>38822.625857053048</v>
      </c>
      <c r="AF60" s="4">
        <f>IF('Rhaniad y Ddeiliadaeth (Cymru)'!$D$8="Amcangyfrifon LlC",'Incwm (Gogledd)'!G60,'Incwm (Gogledd)'!Y60)</f>
        <v>40260.078904641101</v>
      </c>
      <c r="AG60" s="4">
        <f>IF('Rhaniad y Ddeiliadaeth (Cymru)'!$D$8="Amcangyfrifon LlC",'Incwm (Gogledd)'!H60,'Incwm (Gogledd)'!Z60)</f>
        <v>41770.851461854494</v>
      </c>
      <c r="AH60" s="4">
        <f>IF('Rhaniad y Ddeiliadaeth (Cymru)'!$D$8="Amcangyfrifon LlC",'Incwm (Gogledd)'!I60,'Incwm (Gogledd)'!AA60)</f>
        <v>43330.173775230076</v>
      </c>
    </row>
    <row r="61" spans="2:34" x14ac:dyDescent="0.35">
      <c r="B61" s="251">
        <v>67</v>
      </c>
      <c r="C61" s="258">
        <v>36162.5</v>
      </c>
      <c r="D61" s="258">
        <v>37285.226933296923</v>
      </c>
      <c r="E61" s="278">
        <f>D61*(1+'Rhaniad y Ddeiliadaeth (Gog)'!C$109)+(D$44*(-(50-$B61)*('Rhaniad y Ddeiliadaeth (Gog)'!C$110/40)))</f>
        <v>38233.224051600257</v>
      </c>
      <c r="F61" s="278">
        <f>E61*(1+'Rhaniad y Ddeiliadaeth (Gog)'!D$109)+(E$44*(-(50-$B61)*('Rhaniad y Ddeiliadaeth (Gog)'!D$110/40)))</f>
        <v>39657.208027627465</v>
      </c>
      <c r="G61" s="278">
        <f>F61*(1+'Rhaniad y Ddeiliadaeth (Gog)'!E$109)+(F$44*(-(50-$B61)*('Rhaniad y Ddeiliadaeth (Gog)'!E$110/40)))</f>
        <v>41130.095798751885</v>
      </c>
      <c r="H61" s="278">
        <f>G61*(1+'Rhaniad y Ddeiliadaeth (Gog)'!F$109)+(G$44*(-(50-$B61)*('Rhaniad y Ddeiliadaeth (Gog)'!F$110/40)))</f>
        <v>42678.191434217741</v>
      </c>
      <c r="I61" s="279">
        <f>H61*(1+'Rhaniad y Ddeiliadaeth (Gog)'!G$109)+(H$44*(-(50-$B61)*('Rhaniad y Ddeiliadaeth (Gog)'!G$110/40)))</f>
        <v>44276.209442705302</v>
      </c>
      <c r="M61" s="36" t="str">
        <f t="shared" si="1"/>
        <v/>
      </c>
      <c r="N61" s="190"/>
      <c r="O61" s="24">
        <f t="shared" si="4"/>
        <v>1</v>
      </c>
      <c r="U61" s="1">
        <f t="shared" si="2"/>
        <v>67</v>
      </c>
      <c r="V61" s="4" t="str">
        <f t="shared" si="3"/>
        <v/>
      </c>
      <c r="W61" s="4" t="e">
        <f>IF($W$3=$N$3,N61,V61*(1+'Rhaniad y Ddeiliadaeth (Gog)'!C$109)+(V$44*(-(50-$U61)*('Rhaniad y Ddeiliadaeth (Gog)'!C$110/40))))</f>
        <v>#VALUE!</v>
      </c>
      <c r="X61" s="4" t="e">
        <f>W61*(1+'Rhaniad y Ddeiliadaeth (Gog)'!D$109)+(W$44*(-(50-$U61)*('Rhaniad y Ddeiliadaeth (Gog)'!D$110/40)))</f>
        <v>#VALUE!</v>
      </c>
      <c r="Y61" s="4" t="e">
        <f>X61*(1+'Rhaniad y Ddeiliadaeth (Gog)'!E$109)+(X$44*(-(50-$U61)*('Rhaniad y Ddeiliadaeth (Gog)'!E$110/40)))</f>
        <v>#VALUE!</v>
      </c>
      <c r="Z61" s="4" t="e">
        <f>Y61*(1+'Rhaniad y Ddeiliadaeth (Gog)'!F$109)+(Y$44*(-(50-$U61)*('Rhaniad y Ddeiliadaeth (Gog)'!F$110/40)))</f>
        <v>#VALUE!</v>
      </c>
      <c r="AA61" s="4" t="e">
        <f>Z61*(1+'Rhaniad y Ddeiliadaeth (Gog)'!G$109)+(Z$44*(-(50-$U61)*('Rhaniad y Ddeiliadaeth (Gog)'!G$110/40)))</f>
        <v>#VALUE!</v>
      </c>
      <c r="AC61" s="260">
        <v>67</v>
      </c>
      <c r="AD61" s="4">
        <f>IF('Rhaniad y Ddeiliadaeth (Cymru)'!$D$8="Amcangyfrifon LlC",'Incwm (Gogledd)'!E61,'Incwm (Gogledd)'!W61)</f>
        <v>38233.224051600257</v>
      </c>
      <c r="AE61" s="4">
        <f>IF('Rhaniad y Ddeiliadaeth (Cymru)'!$D$8="Amcangyfrifon LlC",'Incwm (Gogledd)'!F61,'Incwm (Gogledd)'!X61)</f>
        <v>39657.208027627465</v>
      </c>
      <c r="AF61" s="4">
        <f>IF('Rhaniad y Ddeiliadaeth (Cymru)'!$D$8="Amcangyfrifon LlC",'Incwm (Gogledd)'!G61,'Incwm (Gogledd)'!Y61)</f>
        <v>41130.095798751885</v>
      </c>
      <c r="AG61" s="4">
        <f>IF('Rhaniad y Ddeiliadaeth (Cymru)'!$D$8="Amcangyfrifon LlC",'Incwm (Gogledd)'!H61,'Incwm (Gogledd)'!Z61)</f>
        <v>42678.191434217741</v>
      </c>
      <c r="AH61" s="4">
        <f>IF('Rhaniad y Ddeiliadaeth (Cymru)'!$D$8="Amcangyfrifon LlC",'Incwm (Gogledd)'!I61,'Incwm (Gogledd)'!AA61)</f>
        <v>44276.209442705302</v>
      </c>
    </row>
    <row r="62" spans="2:34" x14ac:dyDescent="0.35">
      <c r="B62" s="251">
        <v>68</v>
      </c>
      <c r="C62" s="258">
        <v>36949</v>
      </c>
      <c r="D62" s="258">
        <v>38096.145176865204</v>
      </c>
      <c r="E62" s="278">
        <f>D62*(1+'Rhaniad y Ddeiliadaeth (Gog)'!C$109)+(D$44*(-(50-$B62)*('Rhaniad y Ddeiliadaeth (Gog)'!C$110/40)))</f>
        <v>39068.878786552821</v>
      </c>
      <c r="F62" s="278">
        <f>E62*(1+'Rhaniad y Ddeiliadaeth (Gog)'!D$109)+(E$44*(-(50-$B62)*('Rhaniad y Ddeiliadaeth (Gog)'!D$110/40)))</f>
        <v>40528.185115098408</v>
      </c>
      <c r="G62" s="278">
        <f>F62*(1+'Rhaniad y Ddeiliadaeth (Gog)'!E$109)+(F$44*(-(50-$B62)*('Rhaniad y Ddeiliadaeth (Gog)'!E$110/40)))</f>
        <v>42037.751525739368</v>
      </c>
      <c r="H62" s="278">
        <f>G62*(1+'Rhaniad y Ddeiliadaeth (Gog)'!F$109)+(G$44*(-(50-$B62)*('Rhaniad y Ddeiliadaeth (Gog)'!F$110/40)))</f>
        <v>43624.475752441591</v>
      </c>
      <c r="I62" s="279">
        <f>H62*(1+'Rhaniad y Ddeiliadaeth (Gog)'!G$109)+(H$44*(-(50-$B62)*('Rhaniad y Ddeiliadaeth (Gog)'!G$110/40)))</f>
        <v>45262.532962353987</v>
      </c>
      <c r="M62" s="36" t="str">
        <f t="shared" si="1"/>
        <v/>
      </c>
      <c r="N62" s="190"/>
      <c r="O62" s="24">
        <f t="shared" si="4"/>
        <v>1</v>
      </c>
      <c r="U62" s="1">
        <f t="shared" si="2"/>
        <v>68</v>
      </c>
      <c r="V62" s="4" t="str">
        <f t="shared" si="3"/>
        <v/>
      </c>
      <c r="W62" s="4" t="e">
        <f>IF($W$3=$N$3,N62,V62*(1+'Rhaniad y Ddeiliadaeth (Gog)'!C$109)+(V$44*(-(50-$U62)*('Rhaniad y Ddeiliadaeth (Gog)'!C$110/40))))</f>
        <v>#VALUE!</v>
      </c>
      <c r="X62" s="4" t="e">
        <f>W62*(1+'Rhaniad y Ddeiliadaeth (Gog)'!D$109)+(W$44*(-(50-$U62)*('Rhaniad y Ddeiliadaeth (Gog)'!D$110/40)))</f>
        <v>#VALUE!</v>
      </c>
      <c r="Y62" s="4" t="e">
        <f>X62*(1+'Rhaniad y Ddeiliadaeth (Gog)'!E$109)+(X$44*(-(50-$U62)*('Rhaniad y Ddeiliadaeth (Gog)'!E$110/40)))</f>
        <v>#VALUE!</v>
      </c>
      <c r="Z62" s="4" t="e">
        <f>Y62*(1+'Rhaniad y Ddeiliadaeth (Gog)'!F$109)+(Y$44*(-(50-$U62)*('Rhaniad y Ddeiliadaeth (Gog)'!F$110/40)))</f>
        <v>#VALUE!</v>
      </c>
      <c r="AA62" s="4" t="e">
        <f>Z62*(1+'Rhaniad y Ddeiliadaeth (Gog)'!G$109)+(Z$44*(-(50-$U62)*('Rhaniad y Ddeiliadaeth (Gog)'!G$110/40)))</f>
        <v>#VALUE!</v>
      </c>
      <c r="AC62" s="260">
        <v>68</v>
      </c>
      <c r="AD62" s="4">
        <f>IF('Rhaniad y Ddeiliadaeth (Cymru)'!$D$8="Amcangyfrifon LlC",'Incwm (Gogledd)'!E62,'Incwm (Gogledd)'!W62)</f>
        <v>39068.878786552821</v>
      </c>
      <c r="AE62" s="4">
        <f>IF('Rhaniad y Ddeiliadaeth (Cymru)'!$D$8="Amcangyfrifon LlC",'Incwm (Gogledd)'!F62,'Incwm (Gogledd)'!X62)</f>
        <v>40528.185115098408</v>
      </c>
      <c r="AF62" s="4">
        <f>IF('Rhaniad y Ddeiliadaeth (Cymru)'!$D$8="Amcangyfrifon LlC",'Incwm (Gogledd)'!G62,'Incwm (Gogledd)'!Y62)</f>
        <v>42037.751525739368</v>
      </c>
      <c r="AG62" s="4">
        <f>IF('Rhaniad y Ddeiliadaeth (Cymru)'!$D$8="Amcangyfrifon LlC",'Incwm (Gogledd)'!H62,'Incwm (Gogledd)'!Z62)</f>
        <v>43624.475752441591</v>
      </c>
      <c r="AH62" s="4">
        <f>IF('Rhaniad y Ddeiliadaeth (Cymru)'!$D$8="Amcangyfrifon LlC",'Incwm (Gogledd)'!I62,'Incwm (Gogledd)'!AA62)</f>
        <v>45262.532962353987</v>
      </c>
    </row>
    <row r="63" spans="2:34" x14ac:dyDescent="0.35">
      <c r="B63" s="251">
        <v>69</v>
      </c>
      <c r="C63" s="258">
        <v>37805.839999999997</v>
      </c>
      <c r="D63" s="258">
        <v>38979.587246565199</v>
      </c>
      <c r="E63" s="278">
        <f>D63*(1+'Rhaniad y Ddeiliadaeth (Gog)'!C$109)+(D$44*(-(50-$B63)*('Rhaniad y Ddeiliadaeth (Gog)'!C$110/40)))</f>
        <v>39978.685230913419</v>
      </c>
      <c r="F63" s="278">
        <f>E63*(1+'Rhaniad y Ddeiliadaeth (Gog)'!D$109)+(E$44*(-(50-$B63)*('Rhaniad y Ddeiliadaeth (Gog)'!D$110/40)))</f>
        <v>41475.855385747986</v>
      </c>
      <c r="G63" s="278">
        <f>F63*(1+'Rhaniad y Ddeiliadaeth (Gog)'!E$109)+(F$44*(-(50-$B63)*('Rhaniad y Ddeiliadaeth (Gog)'!E$110/40)))</f>
        <v>43024.721677668378</v>
      </c>
      <c r="H63" s="278">
        <f>G63*(1+'Rhaniad y Ddeiliadaeth (Gog)'!F$109)+(G$44*(-(50-$B63)*('Rhaniad y Ddeiliadaeth (Gog)'!F$110/40)))</f>
        <v>44652.825537646713</v>
      </c>
      <c r="I63" s="279">
        <f>H63*(1+'Rhaniad y Ddeiliadaeth (Gog)'!G$109)+(H$44*(-(50-$B63)*('Rhaniad y Ddeiliadaeth (Gog)'!G$110/40)))</f>
        <v>46333.753052460488</v>
      </c>
      <c r="M63" s="36" t="str">
        <f t="shared" si="1"/>
        <v/>
      </c>
      <c r="N63" s="190"/>
      <c r="O63" s="24">
        <f t="shared" si="4"/>
        <v>1</v>
      </c>
      <c r="U63" s="1">
        <f t="shared" si="2"/>
        <v>69</v>
      </c>
      <c r="V63" s="4" t="str">
        <f t="shared" si="3"/>
        <v/>
      </c>
      <c r="W63" s="4" t="e">
        <f>IF($W$3=$N$3,N63,V63*(1+'Rhaniad y Ddeiliadaeth (Gog)'!C$109)+(V$44*(-(50-$U63)*('Rhaniad y Ddeiliadaeth (Gog)'!C$110/40))))</f>
        <v>#VALUE!</v>
      </c>
      <c r="X63" s="4" t="e">
        <f>W63*(1+'Rhaniad y Ddeiliadaeth (Gog)'!D$109)+(W$44*(-(50-$U63)*('Rhaniad y Ddeiliadaeth (Gog)'!D$110/40)))</f>
        <v>#VALUE!</v>
      </c>
      <c r="Y63" s="4" t="e">
        <f>X63*(1+'Rhaniad y Ddeiliadaeth (Gog)'!E$109)+(X$44*(-(50-$U63)*('Rhaniad y Ddeiliadaeth (Gog)'!E$110/40)))</f>
        <v>#VALUE!</v>
      </c>
      <c r="Z63" s="4" t="e">
        <f>Y63*(1+'Rhaniad y Ddeiliadaeth (Gog)'!F$109)+(Y$44*(-(50-$U63)*('Rhaniad y Ddeiliadaeth (Gog)'!F$110/40)))</f>
        <v>#VALUE!</v>
      </c>
      <c r="AA63" s="4" t="e">
        <f>Z63*(1+'Rhaniad y Ddeiliadaeth (Gog)'!G$109)+(Z$44*(-(50-$U63)*('Rhaniad y Ddeiliadaeth (Gog)'!G$110/40)))</f>
        <v>#VALUE!</v>
      </c>
      <c r="AC63" s="260">
        <v>69</v>
      </c>
      <c r="AD63" s="4">
        <f>IF('Rhaniad y Ddeiliadaeth (Cymru)'!$D$8="Amcangyfrifon LlC",'Incwm (Gogledd)'!E63,'Incwm (Gogledd)'!W63)</f>
        <v>39978.685230913419</v>
      </c>
      <c r="AE63" s="4">
        <f>IF('Rhaniad y Ddeiliadaeth (Cymru)'!$D$8="Amcangyfrifon LlC",'Incwm (Gogledd)'!F63,'Incwm (Gogledd)'!X63)</f>
        <v>41475.855385747986</v>
      </c>
      <c r="AF63" s="4">
        <f>IF('Rhaniad y Ddeiliadaeth (Cymru)'!$D$8="Amcangyfrifon LlC",'Incwm (Gogledd)'!G63,'Incwm (Gogledd)'!Y63)</f>
        <v>43024.721677668378</v>
      </c>
      <c r="AG63" s="4">
        <f>IF('Rhaniad y Ddeiliadaeth (Cymru)'!$D$8="Amcangyfrifon LlC",'Incwm (Gogledd)'!H63,'Incwm (Gogledd)'!Z63)</f>
        <v>44652.825537646713</v>
      </c>
      <c r="AH63" s="4">
        <f>IF('Rhaniad y Ddeiliadaeth (Cymru)'!$D$8="Amcangyfrifon LlC",'Incwm (Gogledd)'!I63,'Incwm (Gogledd)'!AA63)</f>
        <v>46333.753052460488</v>
      </c>
    </row>
    <row r="64" spans="2:34" x14ac:dyDescent="0.35">
      <c r="B64" s="251">
        <v>70</v>
      </c>
      <c r="C64" s="258">
        <v>38547</v>
      </c>
      <c r="D64" s="258">
        <v>39847.77130143535</v>
      </c>
      <c r="E64" s="278">
        <f>D64*(1+'Rhaniad y Ddeiliadaeth (Gog)'!C$109)+(D$44*(-(50-$B64)*('Rhaniad y Ddeiliadaeth (Gog)'!C$110/40)))</f>
        <v>40872.891176208366</v>
      </c>
      <c r="F64" s="278">
        <f>E64*(1+'Rhaniad y Ddeiliadaeth (Gog)'!D$109)+(E$44*(-(50-$B64)*('Rhaniad y Ddeiliadaeth (Gog)'!D$110/40)))</f>
        <v>42407.390466230376</v>
      </c>
      <c r="G64" s="278">
        <f>F64*(1+'Rhaniad y Ddeiliadaeth (Gog)'!E$109)+(F$44*(-(50-$B64)*('Rhaniad y Ddeiliadaeth (Gog)'!E$110/40)))</f>
        <v>43995.00516624099</v>
      </c>
      <c r="H64" s="278">
        <f>G64*(1+'Rhaniad y Ddeiliadaeth (Gog)'!F$109)+(G$44*(-(50-$B64)*('Rhaniad y Ddeiliadaeth (Gog)'!F$110/40)))</f>
        <v>45663.9098781145</v>
      </c>
      <c r="I64" s="279">
        <f>H64*(1+'Rhaniad y Ddeiliadaeth (Gog)'!G$109)+(H$44*(-(50-$B64)*('Rhaniad y Ddeiliadaeth (Gog)'!G$110/40)))</f>
        <v>47387.112072624332</v>
      </c>
      <c r="M64" s="36" t="str">
        <f t="shared" si="1"/>
        <v/>
      </c>
      <c r="N64" s="190"/>
      <c r="O64" s="24">
        <f t="shared" si="4"/>
        <v>1</v>
      </c>
      <c r="U64" s="1">
        <f t="shared" si="2"/>
        <v>70</v>
      </c>
      <c r="V64" s="4" t="str">
        <f t="shared" si="3"/>
        <v/>
      </c>
      <c r="W64" s="4" t="e">
        <f>IF($W$3=$N$3,N64,V64*(1+'Rhaniad y Ddeiliadaeth (Gog)'!C$109)+(V$44*(-(50-$U64)*('Rhaniad y Ddeiliadaeth (Gog)'!C$110/40))))</f>
        <v>#VALUE!</v>
      </c>
      <c r="X64" s="4" t="e">
        <f>W64*(1+'Rhaniad y Ddeiliadaeth (Gog)'!D$109)+(W$44*(-(50-$U64)*('Rhaniad y Ddeiliadaeth (Gog)'!D$110/40)))</f>
        <v>#VALUE!</v>
      </c>
      <c r="Y64" s="4" t="e">
        <f>X64*(1+'Rhaniad y Ddeiliadaeth (Gog)'!E$109)+(X$44*(-(50-$U64)*('Rhaniad y Ddeiliadaeth (Gog)'!E$110/40)))</f>
        <v>#VALUE!</v>
      </c>
      <c r="Z64" s="4" t="e">
        <f>Y64*(1+'Rhaniad y Ddeiliadaeth (Gog)'!F$109)+(Y$44*(-(50-$U64)*('Rhaniad y Ddeiliadaeth (Gog)'!F$110/40)))</f>
        <v>#VALUE!</v>
      </c>
      <c r="AA64" s="4" t="e">
        <f>Z64*(1+'Rhaniad y Ddeiliadaeth (Gog)'!G$109)+(Z$44*(-(50-$U64)*('Rhaniad y Ddeiliadaeth (Gog)'!G$110/40)))</f>
        <v>#VALUE!</v>
      </c>
      <c r="AC64" s="260">
        <v>70</v>
      </c>
      <c r="AD64" s="4">
        <f>IF('Rhaniad y Ddeiliadaeth (Cymru)'!$D$8="Amcangyfrifon LlC",'Incwm (Gogledd)'!E64,'Incwm (Gogledd)'!W64)</f>
        <v>40872.891176208366</v>
      </c>
      <c r="AE64" s="4">
        <f>IF('Rhaniad y Ddeiliadaeth (Cymru)'!$D$8="Amcangyfrifon LlC",'Incwm (Gogledd)'!F64,'Incwm (Gogledd)'!X64)</f>
        <v>42407.390466230376</v>
      </c>
      <c r="AF64" s="4">
        <f>IF('Rhaniad y Ddeiliadaeth (Cymru)'!$D$8="Amcangyfrifon LlC",'Incwm (Gogledd)'!G64,'Incwm (Gogledd)'!Y64)</f>
        <v>43995.00516624099</v>
      </c>
      <c r="AG64" s="4">
        <f>IF('Rhaniad y Ddeiliadaeth (Cymru)'!$D$8="Amcangyfrifon LlC",'Incwm (Gogledd)'!H64,'Incwm (Gogledd)'!Z64)</f>
        <v>45663.9098781145</v>
      </c>
      <c r="AH64" s="4">
        <f>IF('Rhaniad y Ddeiliadaeth (Cymru)'!$D$8="Amcangyfrifon LlC",'Incwm (Gogledd)'!I64,'Incwm (Gogledd)'!AA64)</f>
        <v>47387.112072624332</v>
      </c>
    </row>
    <row r="65" spans="2:34" x14ac:dyDescent="0.35">
      <c r="B65" s="251">
        <v>71</v>
      </c>
      <c r="C65" s="258">
        <v>39568.85</v>
      </c>
      <c r="D65" s="258">
        <v>40904.103703551511</v>
      </c>
      <c r="E65" s="278">
        <f>D65*(1+'Rhaniad y Ddeiliadaeth (Gog)'!C$109)+(D$44*(-(50-$B65)*('Rhaniad y Ddeiliadaeth (Gog)'!C$110/40)))</f>
        <v>41959.468681509679</v>
      </c>
      <c r="F65" s="278">
        <f>E65*(1+'Rhaniad y Ddeiliadaeth (Gog)'!D$109)+(E$44*(-(50-$B65)*('Rhaniad y Ddeiliadaeth (Gog)'!D$110/40)))</f>
        <v>43537.890444591823</v>
      </c>
      <c r="G65" s="278">
        <f>F65*(1+'Rhaniad y Ddeiliadaeth (Gog)'!E$109)+(F$44*(-(50-$B65)*('Rhaniad y Ddeiliadaeth (Gog)'!E$110/40)))</f>
        <v>45171.053832431404</v>
      </c>
      <c r="H65" s="278">
        <f>G65*(1+'Rhaniad y Ddeiliadaeth (Gog)'!F$109)+(G$44*(-(50-$B65)*('Rhaniad y Ddeiliadaeth (Gog)'!F$110/40)))</f>
        <v>46887.896416412492</v>
      </c>
      <c r="I65" s="279">
        <f>H65*(1+'Rhaniad y Ddeiliadaeth (Gog)'!G$109)+(H$44*(-(50-$B65)*('Rhaniad y Ddeiliadaeth (Gog)'!G$110/40)))</f>
        <v>48660.718013979029</v>
      </c>
      <c r="M65" s="36" t="str">
        <f t="shared" si="1"/>
        <v/>
      </c>
      <c r="N65" s="190"/>
      <c r="O65" s="24">
        <f t="shared" si="4"/>
        <v>1</v>
      </c>
      <c r="U65" s="1">
        <f t="shared" si="2"/>
        <v>71</v>
      </c>
      <c r="V65" s="4" t="str">
        <f t="shared" si="3"/>
        <v/>
      </c>
      <c r="W65" s="4" t="e">
        <f>IF($W$3=$N$3,N65,V65*(1+'Rhaniad y Ddeiliadaeth (Gog)'!C$109)+(V$44*(-(50-$U65)*('Rhaniad y Ddeiliadaeth (Gog)'!C$110/40))))</f>
        <v>#VALUE!</v>
      </c>
      <c r="X65" s="4" t="e">
        <f>W65*(1+'Rhaniad y Ddeiliadaeth (Gog)'!D$109)+(W$44*(-(50-$U65)*('Rhaniad y Ddeiliadaeth (Gog)'!D$110/40)))</f>
        <v>#VALUE!</v>
      </c>
      <c r="Y65" s="4" t="e">
        <f>X65*(1+'Rhaniad y Ddeiliadaeth (Gog)'!E$109)+(X$44*(-(50-$U65)*('Rhaniad y Ddeiliadaeth (Gog)'!E$110/40)))</f>
        <v>#VALUE!</v>
      </c>
      <c r="Z65" s="4" t="e">
        <f>Y65*(1+'Rhaniad y Ddeiliadaeth (Gog)'!F$109)+(Y$44*(-(50-$U65)*('Rhaniad y Ddeiliadaeth (Gog)'!F$110/40)))</f>
        <v>#VALUE!</v>
      </c>
      <c r="AA65" s="4" t="e">
        <f>Z65*(1+'Rhaniad y Ddeiliadaeth (Gog)'!G$109)+(Z$44*(-(50-$U65)*('Rhaniad y Ddeiliadaeth (Gog)'!G$110/40)))</f>
        <v>#VALUE!</v>
      </c>
      <c r="AC65" s="260">
        <v>71</v>
      </c>
      <c r="AD65" s="4">
        <f>IF('Rhaniad y Ddeiliadaeth (Cymru)'!$D$8="Amcangyfrifon LlC",'Incwm (Gogledd)'!E65,'Incwm (Gogledd)'!W65)</f>
        <v>41959.468681509679</v>
      </c>
      <c r="AE65" s="4">
        <f>IF('Rhaniad y Ddeiliadaeth (Cymru)'!$D$8="Amcangyfrifon LlC",'Incwm (Gogledd)'!F65,'Incwm (Gogledd)'!X65)</f>
        <v>43537.890444591823</v>
      </c>
      <c r="AF65" s="4">
        <f>IF('Rhaniad y Ddeiliadaeth (Cymru)'!$D$8="Amcangyfrifon LlC",'Incwm (Gogledd)'!G65,'Incwm (Gogledd)'!Y65)</f>
        <v>45171.053832431404</v>
      </c>
      <c r="AG65" s="4">
        <f>IF('Rhaniad y Ddeiliadaeth (Cymru)'!$D$8="Amcangyfrifon LlC",'Incwm (Gogledd)'!H65,'Incwm (Gogledd)'!Z65)</f>
        <v>46887.896416412492</v>
      </c>
      <c r="AH65" s="4">
        <f>IF('Rhaniad y Ddeiliadaeth (Cymru)'!$D$8="Amcangyfrifon LlC",'Incwm (Gogledd)'!I65,'Incwm (Gogledd)'!AA65)</f>
        <v>48660.718013979029</v>
      </c>
    </row>
    <row r="66" spans="2:34" x14ac:dyDescent="0.35">
      <c r="B66" s="251">
        <v>72</v>
      </c>
      <c r="C66" s="258">
        <v>40110</v>
      </c>
      <c r="D66" s="258">
        <v>41463.514849419458</v>
      </c>
      <c r="E66" s="278">
        <f>D66*(1+'Rhaniad y Ddeiliadaeth (Gog)'!C$109)+(D$44*(-(50-$B66)*('Rhaniad y Ddeiliadaeth (Gog)'!C$110/40)))</f>
        <v>42537.970943716755</v>
      </c>
      <c r="F66" s="278">
        <f>E66*(1+'Rhaniad y Ddeiliadaeth (Gog)'!D$109)+(E$44*(-(50-$B66)*('Rhaniad y Ddeiliadaeth (Gog)'!D$110/40)))</f>
        <v>44142.901422116709</v>
      </c>
      <c r="G66" s="278">
        <f>F66*(1+'Rhaniad y Ddeiliadaeth (Gog)'!E$109)+(F$44*(-(50-$B66)*('Rhaniad y Ddeiliadaeth (Gog)'!E$110/40)))</f>
        <v>45803.653182958777</v>
      </c>
      <c r="H66" s="278">
        <f>G66*(1+'Rhaniad y Ddeiliadaeth (Gog)'!F$109)+(G$44*(-(50-$B66)*('Rhaniad y Ddeiliadaeth (Gog)'!F$110/40)))</f>
        <v>47549.583954201778</v>
      </c>
      <c r="I66" s="279">
        <f>H66*(1+'Rhaniad y Ddeiliadaeth (Gog)'!G$109)+(H$44*(-(50-$B66)*('Rhaniad y Ddeiliadaeth (Gog)'!G$110/40)))</f>
        <v>49352.626702262147</v>
      </c>
      <c r="M66" s="36" t="str">
        <f t="shared" si="1"/>
        <v/>
      </c>
      <c r="N66" s="190"/>
      <c r="O66" s="24">
        <f t="shared" si="4"/>
        <v>1</v>
      </c>
      <c r="U66" s="1">
        <f t="shared" si="2"/>
        <v>72</v>
      </c>
      <c r="V66" s="4" t="str">
        <f t="shared" si="3"/>
        <v/>
      </c>
      <c r="W66" s="4" t="e">
        <f>IF($W$3=$N$3,N66,V66*(1+'Rhaniad y Ddeiliadaeth (Gog)'!C$109)+(V$44*(-(50-$U66)*('Rhaniad y Ddeiliadaeth (Gog)'!C$110/40))))</f>
        <v>#VALUE!</v>
      </c>
      <c r="X66" s="4" t="e">
        <f>W66*(1+'Rhaniad y Ddeiliadaeth (Gog)'!D$109)+(W$44*(-(50-$U66)*('Rhaniad y Ddeiliadaeth (Gog)'!D$110/40)))</f>
        <v>#VALUE!</v>
      </c>
      <c r="Y66" s="4" t="e">
        <f>X66*(1+'Rhaniad y Ddeiliadaeth (Gog)'!E$109)+(X$44*(-(50-$U66)*('Rhaniad y Ddeiliadaeth (Gog)'!E$110/40)))</f>
        <v>#VALUE!</v>
      </c>
      <c r="Z66" s="4" t="e">
        <f>Y66*(1+'Rhaniad y Ddeiliadaeth (Gog)'!F$109)+(Y$44*(-(50-$U66)*('Rhaniad y Ddeiliadaeth (Gog)'!F$110/40)))</f>
        <v>#VALUE!</v>
      </c>
      <c r="AA66" s="4" t="e">
        <f>Z66*(1+'Rhaniad y Ddeiliadaeth (Gog)'!G$109)+(Z$44*(-(50-$U66)*('Rhaniad y Ddeiliadaeth (Gog)'!G$110/40)))</f>
        <v>#VALUE!</v>
      </c>
      <c r="AC66" s="260">
        <v>72</v>
      </c>
      <c r="AD66" s="4">
        <f>IF('Rhaniad y Ddeiliadaeth (Cymru)'!$D$8="Amcangyfrifon LlC",'Incwm (Gogledd)'!E66,'Incwm (Gogledd)'!W66)</f>
        <v>42537.970943716755</v>
      </c>
      <c r="AE66" s="4">
        <f>IF('Rhaniad y Ddeiliadaeth (Cymru)'!$D$8="Amcangyfrifon LlC",'Incwm (Gogledd)'!F66,'Incwm (Gogledd)'!X66)</f>
        <v>44142.901422116709</v>
      </c>
      <c r="AF66" s="4">
        <f>IF('Rhaniad y Ddeiliadaeth (Cymru)'!$D$8="Amcangyfrifon LlC",'Incwm (Gogledd)'!G66,'Incwm (Gogledd)'!Y66)</f>
        <v>45803.653182958777</v>
      </c>
      <c r="AG66" s="4">
        <f>IF('Rhaniad y Ddeiliadaeth (Cymru)'!$D$8="Amcangyfrifon LlC",'Incwm (Gogledd)'!H66,'Incwm (Gogledd)'!Z66)</f>
        <v>47549.583954201778</v>
      </c>
      <c r="AH66" s="4">
        <f>IF('Rhaniad y Ddeiliadaeth (Cymru)'!$D$8="Amcangyfrifon LlC",'Incwm (Gogledd)'!I66,'Incwm (Gogledd)'!AA66)</f>
        <v>49352.626702262147</v>
      </c>
    </row>
    <row r="67" spans="2:34" x14ac:dyDescent="0.35">
      <c r="B67" s="251">
        <v>73</v>
      </c>
      <c r="C67" s="258">
        <v>40984</v>
      </c>
      <c r="D67" s="258">
        <v>42367.008042598034</v>
      </c>
      <c r="E67" s="278">
        <f>D67*(1+'Rhaniad y Ddeiliadaeth (Gog)'!C$109)+(D$44*(-(50-$B67)*('Rhaniad y Ddeiliadaeth (Gog)'!C$110/40)))</f>
        <v>43468.278582799045</v>
      </c>
      <c r="F67" s="278">
        <f>E67*(1+'Rhaniad y Ddeiliadaeth (Gog)'!D$109)+(E$44*(-(50-$B67)*('Rhaniad y Ddeiliadaeth (Gog)'!D$110/40)))</f>
        <v>45111.775544905671</v>
      </c>
      <c r="G67" s="278">
        <f>F67*(1+'Rhaniad y Ddeiliadaeth (Gog)'!E$109)+(F$44*(-(50-$B67)*('Rhaniad y Ddeiliadaeth (Gog)'!E$110/40)))</f>
        <v>46812.551898409045</v>
      </c>
      <c r="H67" s="278">
        <f>G67*(1+'Rhaniad y Ddeiliadaeth (Gog)'!F$109)+(G$44*(-(50-$B67)*('Rhaniad y Ddeiliadaeth (Gog)'!F$110/40)))</f>
        <v>48600.622901018134</v>
      </c>
      <c r="I67" s="279">
        <f>H67*(1+'Rhaniad y Ddeiliadaeth (Gog)'!G$109)+(H$44*(-(50-$B67)*('Rhaniad y Ddeiliadaeth (Gog)'!G$110/40)))</f>
        <v>50447.318687164487</v>
      </c>
      <c r="M67" s="36" t="str">
        <f t="shared" si="1"/>
        <v/>
      </c>
      <c r="N67" s="190"/>
      <c r="O67" s="24">
        <f t="shared" si="4"/>
        <v>1</v>
      </c>
      <c r="U67" s="1">
        <f t="shared" si="2"/>
        <v>73</v>
      </c>
      <c r="V67" s="4" t="str">
        <f t="shared" si="3"/>
        <v/>
      </c>
      <c r="W67" s="4" t="e">
        <f>IF($W$3=$N$3,N67,V67*(1+'Rhaniad y Ddeiliadaeth (Gog)'!C$109)+(V$44*(-(50-$U67)*('Rhaniad y Ddeiliadaeth (Gog)'!C$110/40))))</f>
        <v>#VALUE!</v>
      </c>
      <c r="X67" s="4" t="e">
        <f>W67*(1+'Rhaniad y Ddeiliadaeth (Gog)'!D$109)+(W$44*(-(50-$U67)*('Rhaniad y Ddeiliadaeth (Gog)'!D$110/40)))</f>
        <v>#VALUE!</v>
      </c>
      <c r="Y67" s="4" t="e">
        <f>X67*(1+'Rhaniad y Ddeiliadaeth (Gog)'!E$109)+(X$44*(-(50-$U67)*('Rhaniad y Ddeiliadaeth (Gog)'!E$110/40)))</f>
        <v>#VALUE!</v>
      </c>
      <c r="Z67" s="4" t="e">
        <f>Y67*(1+'Rhaniad y Ddeiliadaeth (Gog)'!F$109)+(Y$44*(-(50-$U67)*('Rhaniad y Ddeiliadaeth (Gog)'!F$110/40)))</f>
        <v>#VALUE!</v>
      </c>
      <c r="AA67" s="4" t="e">
        <f>Z67*(1+'Rhaniad y Ddeiliadaeth (Gog)'!G$109)+(Z$44*(-(50-$U67)*('Rhaniad y Ddeiliadaeth (Gog)'!G$110/40)))</f>
        <v>#VALUE!</v>
      </c>
      <c r="AC67" s="260">
        <v>73</v>
      </c>
      <c r="AD67" s="4">
        <f>IF('Rhaniad y Ddeiliadaeth (Cymru)'!$D$8="Amcangyfrifon LlC",'Incwm (Gogledd)'!E67,'Incwm (Gogledd)'!W67)</f>
        <v>43468.278582799045</v>
      </c>
      <c r="AE67" s="4">
        <f>IF('Rhaniad y Ddeiliadaeth (Cymru)'!$D$8="Amcangyfrifon LlC",'Incwm (Gogledd)'!F67,'Incwm (Gogledd)'!X67)</f>
        <v>45111.775544905671</v>
      </c>
      <c r="AF67" s="4">
        <f>IF('Rhaniad y Ddeiliadaeth (Cymru)'!$D$8="Amcangyfrifon LlC",'Incwm (Gogledd)'!G67,'Incwm (Gogledd)'!Y67)</f>
        <v>46812.551898409045</v>
      </c>
      <c r="AG67" s="4">
        <f>IF('Rhaniad y Ddeiliadaeth (Cymru)'!$D$8="Amcangyfrifon LlC",'Incwm (Gogledd)'!H67,'Incwm (Gogledd)'!Z67)</f>
        <v>48600.622901018134</v>
      </c>
      <c r="AH67" s="4">
        <f>IF('Rhaniad y Ddeiliadaeth (Cymru)'!$D$8="Amcangyfrifon LlC",'Incwm (Gogledd)'!I67,'Incwm (Gogledd)'!AA67)</f>
        <v>50447.318687164487</v>
      </c>
    </row>
    <row r="68" spans="2:34" x14ac:dyDescent="0.35">
      <c r="B68" s="251">
        <v>74</v>
      </c>
      <c r="C68" s="258">
        <v>42025</v>
      </c>
      <c r="D68" s="258">
        <v>43443.13666284849</v>
      </c>
      <c r="E68" s="278">
        <f>D68*(1+'Rhaniad y Ddeiliadaeth (Gog)'!C$109)+(D$44*(-(50-$B68)*('Rhaniad y Ddeiliadaeth (Gog)'!C$110/40)))</f>
        <v>44575.096655825044</v>
      </c>
      <c r="F68" s="278">
        <f>E68*(1+'Rhaniad y Ddeiliadaeth (Gog)'!D$109)+(E$44*(-(50-$B68)*('Rhaniad y Ddeiliadaeth (Gog)'!D$110/40)))</f>
        <v>46263.209815686554</v>
      </c>
      <c r="G68" s="278">
        <f>F68*(1+'Rhaniad y Ddeiliadaeth (Gog)'!E$109)+(F$44*(-(50-$B68)*('Rhaniad y Ddeiliadaeth (Gog)'!E$110/40)))</f>
        <v>48010.250355310818</v>
      </c>
      <c r="H68" s="278">
        <f>G68*(1+'Rhaniad y Ddeiliadaeth (Gog)'!F$109)+(G$44*(-(50-$B68)*('Rhaniad y Ddeiliadaeth (Gog)'!F$110/40)))</f>
        <v>49847.010158808014</v>
      </c>
      <c r="I68" s="279">
        <f>H68*(1+'Rhaniad y Ddeiliadaeth (Gog)'!G$109)+(H$44*(-(50-$B68)*('Rhaniad y Ddeiliadaeth (Gog)'!G$110/40)))</f>
        <v>51744.098130487837</v>
      </c>
      <c r="M68" s="36" t="str">
        <f t="shared" ref="M68:M84" si="5">IF(ISBLANK($L$4),"",B68)</f>
        <v/>
      </c>
      <c r="N68" s="190"/>
      <c r="O68" s="24">
        <f t="shared" si="4"/>
        <v>1</v>
      </c>
      <c r="U68" s="1">
        <f t="shared" ref="U68:U84" si="6">B68</f>
        <v>74</v>
      </c>
      <c r="V68" s="4" t="str">
        <f t="shared" ref="V68:V84" si="7">IF($N$3=$V$3,N68,"")</f>
        <v/>
      </c>
      <c r="W68" s="4" t="e">
        <f>IF($W$3=$N$3,N68,V68*(1+'Rhaniad y Ddeiliadaeth (Gog)'!C$109)+(V$44*(-(50-$U68)*('Rhaniad y Ddeiliadaeth (Gog)'!C$110/40))))</f>
        <v>#VALUE!</v>
      </c>
      <c r="X68" s="4" t="e">
        <f>W68*(1+'Rhaniad y Ddeiliadaeth (Gog)'!D$109)+(W$44*(-(50-$U68)*('Rhaniad y Ddeiliadaeth (Gog)'!D$110/40)))</f>
        <v>#VALUE!</v>
      </c>
      <c r="Y68" s="4" t="e">
        <f>X68*(1+'Rhaniad y Ddeiliadaeth (Gog)'!E$109)+(X$44*(-(50-$U68)*('Rhaniad y Ddeiliadaeth (Gog)'!E$110/40)))</f>
        <v>#VALUE!</v>
      </c>
      <c r="Z68" s="4" t="e">
        <f>Y68*(1+'Rhaniad y Ddeiliadaeth (Gog)'!F$109)+(Y$44*(-(50-$U68)*('Rhaniad y Ddeiliadaeth (Gog)'!F$110/40)))</f>
        <v>#VALUE!</v>
      </c>
      <c r="AA68" s="4" t="e">
        <f>Z68*(1+'Rhaniad y Ddeiliadaeth (Gog)'!G$109)+(Z$44*(-(50-$U68)*('Rhaniad y Ddeiliadaeth (Gog)'!G$110/40)))</f>
        <v>#VALUE!</v>
      </c>
      <c r="AC68" s="260">
        <v>74</v>
      </c>
      <c r="AD68" s="4">
        <f>IF('Rhaniad y Ddeiliadaeth (Cymru)'!$D$8="Amcangyfrifon LlC",'Incwm (Gogledd)'!E68,'Incwm (Gogledd)'!W68)</f>
        <v>44575.096655825044</v>
      </c>
      <c r="AE68" s="4">
        <f>IF('Rhaniad y Ddeiliadaeth (Cymru)'!$D$8="Amcangyfrifon LlC",'Incwm (Gogledd)'!F68,'Incwm (Gogledd)'!X68)</f>
        <v>46263.209815686554</v>
      </c>
      <c r="AF68" s="4">
        <f>IF('Rhaniad y Ddeiliadaeth (Cymru)'!$D$8="Amcangyfrifon LlC",'Incwm (Gogledd)'!G68,'Incwm (Gogledd)'!Y68)</f>
        <v>48010.250355310818</v>
      </c>
      <c r="AG68" s="4">
        <f>IF('Rhaniad y Ddeiliadaeth (Cymru)'!$D$8="Amcangyfrifon LlC",'Incwm (Gogledd)'!H68,'Incwm (Gogledd)'!Z68)</f>
        <v>49847.010158808014</v>
      </c>
      <c r="AH68" s="4">
        <f>IF('Rhaniad y Ddeiliadaeth (Cymru)'!$D$8="Amcangyfrifon LlC",'Incwm (Gogledd)'!I68,'Incwm (Gogledd)'!AA68)</f>
        <v>51744.098130487837</v>
      </c>
    </row>
    <row r="69" spans="2:34" x14ac:dyDescent="0.35">
      <c r="B69" s="251">
        <v>75</v>
      </c>
      <c r="C69" s="258">
        <v>43190.6</v>
      </c>
      <c r="D69" s="258">
        <v>44648.069919105859</v>
      </c>
      <c r="E69" s="278">
        <f>D69*(1+'Rhaniad y Ddeiliadaeth (Gog)'!C$109)+(D$44*(-(50-$B69)*('Rhaniad y Ddeiliadaeth (Gog)'!C$110/40)))</f>
        <v>45813.610537649743</v>
      </c>
      <c r="F69" s="278">
        <f>E69*(1+'Rhaniad y Ddeiliadaeth (Gog)'!D$109)+(E$44*(-(50-$B69)*('Rhaniad y Ddeiliadaeth (Gog)'!D$110/40)))</f>
        <v>47550.853634011066</v>
      </c>
      <c r="G69" s="278">
        <f>F69*(1+'Rhaniad y Ddeiliadaeth (Gog)'!E$109)+(F$44*(-(50-$B69)*('Rhaniad y Ddeiliadaeth (Gog)'!E$110/40)))</f>
        <v>49348.813769008098</v>
      </c>
      <c r="H69" s="278">
        <f>G69*(1+'Rhaniad y Ddeiliadaeth (Gog)'!F$109)+(G$44*(-(50-$B69)*('Rhaniad y Ddeiliadaeth (Gog)'!F$110/40)))</f>
        <v>51239.148312090663</v>
      </c>
      <c r="I69" s="279">
        <f>H69*(1+'Rhaniad y Ddeiliadaeth (Gog)'!G$109)+(H$44*(-(50-$B69)*('Rhaniad y Ddeiliadaeth (Gog)'!G$110/40)))</f>
        <v>53191.656599674934</v>
      </c>
      <c r="M69" s="36" t="str">
        <f t="shared" si="5"/>
        <v/>
      </c>
      <c r="N69" s="190"/>
      <c r="O69" s="24">
        <f t="shared" ref="O69:O84" si="8">IF(ISBLANK(N69),1,0)</f>
        <v>1</v>
      </c>
      <c r="U69" s="1">
        <f t="shared" si="6"/>
        <v>75</v>
      </c>
      <c r="V69" s="4" t="str">
        <f t="shared" si="7"/>
        <v/>
      </c>
      <c r="W69" s="4" t="e">
        <f>IF($W$3=$N$3,N69,V69*(1+'Rhaniad y Ddeiliadaeth (Gog)'!C$109)+(V$44*(-(50-$U69)*('Rhaniad y Ddeiliadaeth (Gog)'!C$110/40))))</f>
        <v>#VALUE!</v>
      </c>
      <c r="X69" s="4" t="e">
        <f>W69*(1+'Rhaniad y Ddeiliadaeth (Gog)'!D$109)+(W$44*(-(50-$U69)*('Rhaniad y Ddeiliadaeth (Gog)'!D$110/40)))</f>
        <v>#VALUE!</v>
      </c>
      <c r="Y69" s="4" t="e">
        <f>X69*(1+'Rhaniad y Ddeiliadaeth (Gog)'!E$109)+(X$44*(-(50-$U69)*('Rhaniad y Ddeiliadaeth (Gog)'!E$110/40)))</f>
        <v>#VALUE!</v>
      </c>
      <c r="Z69" s="4" t="e">
        <f>Y69*(1+'Rhaniad y Ddeiliadaeth (Gog)'!F$109)+(Y$44*(-(50-$U69)*('Rhaniad y Ddeiliadaeth (Gog)'!F$110/40)))</f>
        <v>#VALUE!</v>
      </c>
      <c r="AA69" s="4" t="e">
        <f>Z69*(1+'Rhaniad y Ddeiliadaeth (Gog)'!G$109)+(Z$44*(-(50-$U69)*('Rhaniad y Ddeiliadaeth (Gog)'!G$110/40)))</f>
        <v>#VALUE!</v>
      </c>
      <c r="AC69" s="260">
        <v>75</v>
      </c>
      <c r="AD69" s="4">
        <f>IF('Rhaniad y Ddeiliadaeth (Cymru)'!$D$8="Amcangyfrifon LlC",'Incwm (Gogledd)'!E69,'Incwm (Gogledd)'!W69)</f>
        <v>45813.610537649743</v>
      </c>
      <c r="AE69" s="4">
        <f>IF('Rhaniad y Ddeiliadaeth (Cymru)'!$D$8="Amcangyfrifon LlC",'Incwm (Gogledd)'!F69,'Incwm (Gogledd)'!X69)</f>
        <v>47550.853634011066</v>
      </c>
      <c r="AF69" s="4">
        <f>IF('Rhaniad y Ddeiliadaeth (Cymru)'!$D$8="Amcangyfrifon LlC",'Incwm (Gogledd)'!G69,'Incwm (Gogledd)'!Y69)</f>
        <v>49348.813769008098</v>
      </c>
      <c r="AG69" s="4">
        <f>IF('Rhaniad y Ddeiliadaeth (Cymru)'!$D$8="Amcangyfrifon LlC",'Incwm (Gogledd)'!H69,'Incwm (Gogledd)'!Z69)</f>
        <v>51239.148312090663</v>
      </c>
      <c r="AH69" s="4">
        <f>IF('Rhaniad y Ddeiliadaeth (Cymru)'!$D$8="Amcangyfrifon LlC",'Incwm (Gogledd)'!I69,'Incwm (Gogledd)'!AA69)</f>
        <v>53191.656599674934</v>
      </c>
    </row>
    <row r="70" spans="2:34" x14ac:dyDescent="0.35">
      <c r="B70" s="251">
        <v>76</v>
      </c>
      <c r="C70" s="258">
        <v>44720.14</v>
      </c>
      <c r="D70" s="258">
        <v>46229.224356971259</v>
      </c>
      <c r="E70" s="278">
        <f>D70*(1+'Rhaniad y Ddeiliadaeth (Gog)'!C$109)+(D$44*(-(50-$B70)*('Rhaniad y Ddeiliadaeth (Gog)'!C$110/40)))</f>
        <v>47436.790331626966</v>
      </c>
      <c r="F70" s="278">
        <f>E70*(1+'Rhaniad y Ddeiliadaeth (Gog)'!D$109)+(E$44*(-(50-$B70)*('Rhaniad y Ddeiliadaeth (Gog)'!D$110/40)))</f>
        <v>49236.347394013268</v>
      </c>
      <c r="G70" s="278">
        <f>F70*(1+'Rhaniad y Ddeiliadaeth (Gog)'!E$109)+(F$44*(-(50-$B70)*('Rhaniad y Ddeiliadaeth (Gog)'!E$110/40)))</f>
        <v>51098.82495458475</v>
      </c>
      <c r="H70" s="278">
        <f>G70*(1+'Rhaniad y Ddeiliadaeth (Gog)'!F$109)+(G$44*(-(50-$B70)*('Rhaniad y Ddeiliadaeth (Gog)'!F$110/40)))</f>
        <v>53057.005413251711</v>
      </c>
      <c r="I70" s="279">
        <f>H70*(1+'Rhaniad y Ddeiliadaeth (Gog)'!G$109)+(H$44*(-(50-$B70)*('Rhaniad y Ddeiliadaeth (Gog)'!G$110/40)))</f>
        <v>55079.620515674775</v>
      </c>
      <c r="M70" s="36" t="str">
        <f t="shared" si="5"/>
        <v/>
      </c>
      <c r="N70" s="190"/>
      <c r="O70" s="24">
        <f t="shared" si="8"/>
        <v>1</v>
      </c>
      <c r="U70" s="1">
        <f t="shared" si="6"/>
        <v>76</v>
      </c>
      <c r="V70" s="4" t="str">
        <f t="shared" si="7"/>
        <v/>
      </c>
      <c r="W70" s="4" t="e">
        <f>IF($W$3=$N$3,N70,V70*(1+'Rhaniad y Ddeiliadaeth (Gog)'!C$109)+(V$44*(-(50-$U70)*('Rhaniad y Ddeiliadaeth (Gog)'!C$110/40))))</f>
        <v>#VALUE!</v>
      </c>
      <c r="X70" s="4" t="e">
        <f>W70*(1+'Rhaniad y Ddeiliadaeth (Gog)'!D$109)+(W$44*(-(50-$U70)*('Rhaniad y Ddeiliadaeth (Gog)'!D$110/40)))</f>
        <v>#VALUE!</v>
      </c>
      <c r="Y70" s="4" t="e">
        <f>X70*(1+'Rhaniad y Ddeiliadaeth (Gog)'!E$109)+(X$44*(-(50-$U70)*('Rhaniad y Ddeiliadaeth (Gog)'!E$110/40)))</f>
        <v>#VALUE!</v>
      </c>
      <c r="Z70" s="4" t="e">
        <f>Y70*(1+'Rhaniad y Ddeiliadaeth (Gog)'!F$109)+(Y$44*(-(50-$U70)*('Rhaniad y Ddeiliadaeth (Gog)'!F$110/40)))</f>
        <v>#VALUE!</v>
      </c>
      <c r="AA70" s="4" t="e">
        <f>Z70*(1+'Rhaniad y Ddeiliadaeth (Gog)'!G$109)+(Z$44*(-(50-$U70)*('Rhaniad y Ddeiliadaeth (Gog)'!G$110/40)))</f>
        <v>#VALUE!</v>
      </c>
      <c r="AC70" s="260">
        <v>76</v>
      </c>
      <c r="AD70" s="4">
        <f>IF('Rhaniad y Ddeiliadaeth (Cymru)'!$D$8="Amcangyfrifon LlC",'Incwm (Gogledd)'!E70,'Incwm (Gogledd)'!W70)</f>
        <v>47436.790331626966</v>
      </c>
      <c r="AE70" s="4">
        <f>IF('Rhaniad y Ddeiliadaeth (Cymru)'!$D$8="Amcangyfrifon LlC",'Incwm (Gogledd)'!F70,'Incwm (Gogledd)'!X70)</f>
        <v>49236.347394013268</v>
      </c>
      <c r="AF70" s="4">
        <f>IF('Rhaniad y Ddeiliadaeth (Cymru)'!$D$8="Amcangyfrifon LlC",'Incwm (Gogledd)'!G70,'Incwm (Gogledd)'!Y70)</f>
        <v>51098.82495458475</v>
      </c>
      <c r="AG70" s="4">
        <f>IF('Rhaniad y Ddeiliadaeth (Cymru)'!$D$8="Amcangyfrifon LlC",'Incwm (Gogledd)'!H70,'Incwm (Gogledd)'!Z70)</f>
        <v>53057.005413251711</v>
      </c>
      <c r="AH70" s="4">
        <f>IF('Rhaniad y Ddeiliadaeth (Cymru)'!$D$8="Amcangyfrifon LlC",'Incwm (Gogledd)'!I70,'Incwm (Gogledd)'!AA70)</f>
        <v>55079.620515674775</v>
      </c>
    </row>
    <row r="71" spans="2:34" x14ac:dyDescent="0.35">
      <c r="B71" s="251">
        <v>77</v>
      </c>
      <c r="C71" s="258">
        <v>45677</v>
      </c>
      <c r="D71" s="258">
        <v>47218.373666839507</v>
      </c>
      <c r="E71" s="278">
        <f>D71*(1+'Rhaniad y Ddeiliadaeth (Gog)'!C$109)+(D$44*(-(50-$B71)*('Rhaniad y Ddeiliadaeth (Gog)'!C$110/40)))</f>
        <v>48454.676740509109</v>
      </c>
      <c r="F71" s="278">
        <f>E71*(1+'Rhaniad y Ddeiliadaeth (Gog)'!D$109)+(E$44*(-(50-$B71)*('Rhaniad y Ddeiliadaeth (Gog)'!D$110/40)))</f>
        <v>50295.801959093311</v>
      </c>
      <c r="G71" s="278">
        <f>F71*(1+'Rhaniad y Ddeiliadaeth (Gog)'!E$109)+(F$44*(-(50-$B71)*('Rhaniad y Ddeiliadaeth (Gog)'!E$110/40)))</f>
        <v>52201.399996841435</v>
      </c>
      <c r="H71" s="278">
        <f>G71*(1+'Rhaniad y Ddeiliadaeth (Gog)'!F$109)+(G$44*(-(50-$B71)*('Rhaniad y Ddeiliadaeth (Gog)'!F$110/40)))</f>
        <v>54204.969875321163</v>
      </c>
      <c r="I71" s="279">
        <f>H71*(1+'Rhaniad y Ddeiliadaeth (Gog)'!G$109)+(H$44*(-(50-$B71)*('Rhaniad y Ddeiliadaeth (Gog)'!G$110/40)))</f>
        <v>56274.581762881098</v>
      </c>
      <c r="M71" s="36" t="str">
        <f t="shared" si="5"/>
        <v/>
      </c>
      <c r="N71" s="190"/>
      <c r="O71" s="24">
        <f t="shared" si="8"/>
        <v>1</v>
      </c>
      <c r="U71" s="1">
        <f t="shared" si="6"/>
        <v>77</v>
      </c>
      <c r="V71" s="4" t="str">
        <f t="shared" si="7"/>
        <v/>
      </c>
      <c r="W71" s="4" t="e">
        <f>IF($W$3=$N$3,N71,V71*(1+'Rhaniad y Ddeiliadaeth (Gog)'!C$109)+(V$44*(-(50-$U71)*('Rhaniad y Ddeiliadaeth (Gog)'!C$110/40))))</f>
        <v>#VALUE!</v>
      </c>
      <c r="X71" s="4" t="e">
        <f>W71*(1+'Rhaniad y Ddeiliadaeth (Gog)'!D$109)+(W$44*(-(50-$U71)*('Rhaniad y Ddeiliadaeth (Gog)'!D$110/40)))</f>
        <v>#VALUE!</v>
      </c>
      <c r="Y71" s="4" t="e">
        <f>X71*(1+'Rhaniad y Ddeiliadaeth (Gog)'!E$109)+(X$44*(-(50-$U71)*('Rhaniad y Ddeiliadaeth (Gog)'!E$110/40)))</f>
        <v>#VALUE!</v>
      </c>
      <c r="Z71" s="4" t="e">
        <f>Y71*(1+'Rhaniad y Ddeiliadaeth (Gog)'!F$109)+(Y$44*(-(50-$U71)*('Rhaniad y Ddeiliadaeth (Gog)'!F$110/40)))</f>
        <v>#VALUE!</v>
      </c>
      <c r="AA71" s="4" t="e">
        <f>Z71*(1+'Rhaniad y Ddeiliadaeth (Gog)'!G$109)+(Z$44*(-(50-$U71)*('Rhaniad y Ddeiliadaeth (Gog)'!G$110/40)))</f>
        <v>#VALUE!</v>
      </c>
      <c r="AC71" s="260">
        <v>77</v>
      </c>
      <c r="AD71" s="4">
        <f>IF('Rhaniad y Ddeiliadaeth (Cymru)'!$D$8="Amcangyfrifon LlC",'Incwm (Gogledd)'!E71,'Incwm (Gogledd)'!W71)</f>
        <v>48454.676740509109</v>
      </c>
      <c r="AE71" s="4">
        <f>IF('Rhaniad y Ddeiliadaeth (Cymru)'!$D$8="Amcangyfrifon LlC",'Incwm (Gogledd)'!F71,'Incwm (Gogledd)'!X71)</f>
        <v>50295.801959093311</v>
      </c>
      <c r="AF71" s="4">
        <f>IF('Rhaniad y Ddeiliadaeth (Cymru)'!$D$8="Amcangyfrifon LlC",'Incwm (Gogledd)'!G71,'Incwm (Gogledd)'!Y71)</f>
        <v>52201.399996841435</v>
      </c>
      <c r="AG71" s="4">
        <f>IF('Rhaniad y Ddeiliadaeth (Cymru)'!$D$8="Amcangyfrifon LlC",'Incwm (Gogledd)'!H71,'Incwm (Gogledd)'!Z71)</f>
        <v>54204.969875321163</v>
      </c>
      <c r="AH71" s="4">
        <f>IF('Rhaniad y Ddeiliadaeth (Cymru)'!$D$8="Amcangyfrifon LlC",'Incwm (Gogledd)'!I71,'Incwm (Gogledd)'!AA71)</f>
        <v>56274.581762881098</v>
      </c>
    </row>
    <row r="72" spans="2:34" x14ac:dyDescent="0.35">
      <c r="B72" s="251">
        <v>78</v>
      </c>
      <c r="C72" s="258">
        <v>46612.5</v>
      </c>
      <c r="D72" s="258">
        <v>48185.442181963714</v>
      </c>
      <c r="E72" s="278">
        <f>D72*(1+'Rhaniad y Ddeiliadaeth (Gog)'!C$109)+(D$44*(-(50-$B72)*('Rhaniad y Ddeiliadaeth (Gog)'!C$110/40)))</f>
        <v>49449.986725025767</v>
      </c>
      <c r="F72" s="278">
        <f>E72*(1+'Rhaniad y Ddeiliadaeth (Gog)'!D$109)+(E$44*(-(50-$B72)*('Rhaniad y Ddeiliadaeth (Gog)'!D$110/40)))</f>
        <v>51331.906316023014</v>
      </c>
      <c r="G72" s="278">
        <f>F72*(1+'Rhaniad y Ddeiliadaeth (Gog)'!E$109)+(F$44*(-(50-$B72)*('Rhaniad y Ddeiliadaeth (Gog)'!E$110/40)))</f>
        <v>53279.826760790311</v>
      </c>
      <c r="H72" s="278">
        <f>G72*(1+'Rhaniad y Ddeiliadaeth (Gog)'!F$109)+(G$44*(-(50-$B72)*('Rhaniad y Ddeiliadaeth (Gog)'!F$110/40)))</f>
        <v>55327.948469591836</v>
      </c>
      <c r="I72" s="279">
        <f>H72*(1+'Rhaniad y Ddeiliadaeth (Gog)'!G$109)+(H$44*(-(50-$B72)*('Rhaniad y Ddeiliadaeth (Gog)'!G$110/40)))</f>
        <v>57443.695177082198</v>
      </c>
      <c r="M72" s="36" t="str">
        <f t="shared" si="5"/>
        <v/>
      </c>
      <c r="N72" s="190"/>
      <c r="O72" s="24">
        <f t="shared" si="8"/>
        <v>1</v>
      </c>
      <c r="U72" s="1">
        <f t="shared" si="6"/>
        <v>78</v>
      </c>
      <c r="V72" s="4" t="str">
        <f t="shared" si="7"/>
        <v/>
      </c>
      <c r="W72" s="4" t="e">
        <f>IF($W$3=$N$3,N72,V72*(1+'Rhaniad y Ddeiliadaeth (Gog)'!C$109)+(V$44*(-(50-$U72)*('Rhaniad y Ddeiliadaeth (Gog)'!C$110/40))))</f>
        <v>#VALUE!</v>
      </c>
      <c r="X72" s="4" t="e">
        <f>W72*(1+'Rhaniad y Ddeiliadaeth (Gog)'!D$109)+(W$44*(-(50-$U72)*('Rhaniad y Ddeiliadaeth (Gog)'!D$110/40)))</f>
        <v>#VALUE!</v>
      </c>
      <c r="Y72" s="4" t="e">
        <f>X72*(1+'Rhaniad y Ddeiliadaeth (Gog)'!E$109)+(X$44*(-(50-$U72)*('Rhaniad y Ddeiliadaeth (Gog)'!E$110/40)))</f>
        <v>#VALUE!</v>
      </c>
      <c r="Z72" s="4" t="e">
        <f>Y72*(1+'Rhaniad y Ddeiliadaeth (Gog)'!F$109)+(Y$44*(-(50-$U72)*('Rhaniad y Ddeiliadaeth (Gog)'!F$110/40)))</f>
        <v>#VALUE!</v>
      </c>
      <c r="AA72" s="4" t="e">
        <f>Z72*(1+'Rhaniad y Ddeiliadaeth (Gog)'!G$109)+(Z$44*(-(50-$U72)*('Rhaniad y Ddeiliadaeth (Gog)'!G$110/40)))</f>
        <v>#VALUE!</v>
      </c>
      <c r="AC72" s="260">
        <v>78</v>
      </c>
      <c r="AD72" s="4">
        <f>IF('Rhaniad y Ddeiliadaeth (Cymru)'!$D$8="Amcangyfrifon LlC",'Incwm (Gogledd)'!E72,'Incwm (Gogledd)'!W72)</f>
        <v>49449.986725025767</v>
      </c>
      <c r="AE72" s="4">
        <f>IF('Rhaniad y Ddeiliadaeth (Cymru)'!$D$8="Amcangyfrifon LlC",'Incwm (Gogledd)'!F72,'Incwm (Gogledd)'!X72)</f>
        <v>51331.906316023014</v>
      </c>
      <c r="AF72" s="4">
        <f>IF('Rhaniad y Ddeiliadaeth (Cymru)'!$D$8="Amcangyfrifon LlC",'Incwm (Gogledd)'!G72,'Incwm (Gogledd)'!Y72)</f>
        <v>53279.826760790311</v>
      </c>
      <c r="AG72" s="4">
        <f>IF('Rhaniad y Ddeiliadaeth (Cymru)'!$D$8="Amcangyfrifon LlC",'Incwm (Gogledd)'!H72,'Incwm (Gogledd)'!Z72)</f>
        <v>55327.948469591836</v>
      </c>
      <c r="AH72" s="4">
        <f>IF('Rhaniad y Ddeiliadaeth (Cymru)'!$D$8="Amcangyfrifon LlC",'Incwm (Gogledd)'!I72,'Incwm (Gogledd)'!AA72)</f>
        <v>57443.695177082198</v>
      </c>
    </row>
    <row r="73" spans="2:34" x14ac:dyDescent="0.35">
      <c r="B73" s="251">
        <v>79</v>
      </c>
      <c r="C73" s="258">
        <v>48255.5</v>
      </c>
      <c r="D73" s="258">
        <v>49883.88533573076</v>
      </c>
      <c r="E73" s="278">
        <f>D73*(1+'Rhaniad y Ddeiliadaeth (Gog)'!C$109)+(D$44*(-(50-$B73)*('Rhaniad y Ddeiliadaeth (Gog)'!C$110/40)))</f>
        <v>51193.087919214078</v>
      </c>
      <c r="F73" s="278">
        <f>E73*(1+'Rhaniad y Ddeiliadaeth (Gog)'!D$109)+(E$44*(-(50-$B73)*('Rhaniad y Ddeiliadaeth (Gog)'!D$110/40)))</f>
        <v>53141.431659205817</v>
      </c>
      <c r="G73" s="278">
        <f>F73*(1+'Rhaniad y Ddeiliadaeth (Gog)'!E$109)+(F$44*(-(50-$B73)*('Rhaniad y Ddeiliadaeth (Gog)'!E$110/40)))</f>
        <v>55158.108716816569</v>
      </c>
      <c r="H73" s="278">
        <f>G73*(1+'Rhaniad y Ddeiliadaeth (Gog)'!F$109)+(G$44*(-(50-$B73)*('Rhaniad y Ddeiliadaeth (Gog)'!F$110/40)))</f>
        <v>57278.525447178348</v>
      </c>
      <c r="I73" s="279">
        <f>H73*(1+'Rhaniad y Ddeiliadaeth (Gog)'!G$109)+(H$44*(-(50-$B73)*('Rhaniad y Ddeiliadaeth (Gog)'!G$110/40)))</f>
        <v>59468.95755435415</v>
      </c>
      <c r="M73" s="36" t="str">
        <f t="shared" si="5"/>
        <v/>
      </c>
      <c r="N73" s="190"/>
      <c r="O73" s="24">
        <f t="shared" si="8"/>
        <v>1</v>
      </c>
      <c r="U73" s="1">
        <f t="shared" si="6"/>
        <v>79</v>
      </c>
      <c r="V73" s="4" t="str">
        <f t="shared" si="7"/>
        <v/>
      </c>
      <c r="W73" s="4" t="e">
        <f>IF($W$3=$N$3,N73,V73*(1+'Rhaniad y Ddeiliadaeth (Gog)'!C$109)+(V$44*(-(50-$U73)*('Rhaniad y Ddeiliadaeth (Gog)'!C$110/40))))</f>
        <v>#VALUE!</v>
      </c>
      <c r="X73" s="4" t="e">
        <f>W73*(1+'Rhaniad y Ddeiliadaeth (Gog)'!D$109)+(W$44*(-(50-$U73)*('Rhaniad y Ddeiliadaeth (Gog)'!D$110/40)))</f>
        <v>#VALUE!</v>
      </c>
      <c r="Y73" s="4" t="e">
        <f>X73*(1+'Rhaniad y Ddeiliadaeth (Gog)'!E$109)+(X$44*(-(50-$U73)*('Rhaniad y Ddeiliadaeth (Gog)'!E$110/40)))</f>
        <v>#VALUE!</v>
      </c>
      <c r="Z73" s="4" t="e">
        <f>Y73*(1+'Rhaniad y Ddeiliadaeth (Gog)'!F$109)+(Y$44*(-(50-$U73)*('Rhaniad y Ddeiliadaeth (Gog)'!F$110/40)))</f>
        <v>#VALUE!</v>
      </c>
      <c r="AA73" s="4" t="e">
        <f>Z73*(1+'Rhaniad y Ddeiliadaeth (Gog)'!G$109)+(Z$44*(-(50-$U73)*('Rhaniad y Ddeiliadaeth (Gog)'!G$110/40)))</f>
        <v>#VALUE!</v>
      </c>
      <c r="AC73" s="260">
        <v>79</v>
      </c>
      <c r="AD73" s="4">
        <f>IF('Rhaniad y Ddeiliadaeth (Cymru)'!$D$8="Amcangyfrifon LlC",'Incwm (Gogledd)'!E73,'Incwm (Gogledd)'!W73)</f>
        <v>51193.087919214078</v>
      </c>
      <c r="AE73" s="4">
        <f>IF('Rhaniad y Ddeiliadaeth (Cymru)'!$D$8="Amcangyfrifon LlC",'Incwm (Gogledd)'!F73,'Incwm (Gogledd)'!X73)</f>
        <v>53141.431659205817</v>
      </c>
      <c r="AF73" s="4">
        <f>IF('Rhaniad y Ddeiliadaeth (Cymru)'!$D$8="Amcangyfrifon LlC",'Incwm (Gogledd)'!G73,'Incwm (Gogledd)'!Y73)</f>
        <v>55158.108716816569</v>
      </c>
      <c r="AG73" s="4">
        <f>IF('Rhaniad y Ddeiliadaeth (Cymru)'!$D$8="Amcangyfrifon LlC",'Incwm (Gogledd)'!H73,'Incwm (Gogledd)'!Z73)</f>
        <v>57278.525447178348</v>
      </c>
      <c r="AH73" s="4">
        <f>IF('Rhaniad y Ddeiliadaeth (Cymru)'!$D$8="Amcangyfrifon LlC",'Incwm (Gogledd)'!I73,'Incwm (Gogledd)'!AA73)</f>
        <v>59468.95755435415</v>
      </c>
    </row>
    <row r="74" spans="2:34" x14ac:dyDescent="0.35">
      <c r="B74" s="251">
        <v>80</v>
      </c>
      <c r="C74" s="258">
        <v>49285</v>
      </c>
      <c r="D74" s="258">
        <v>50907.661075899356</v>
      </c>
      <c r="E74" s="278">
        <f>D74*(1+'Rhaniad y Ddeiliadaeth (Gog)'!C$109)+(D$44*(-(50-$B74)*('Rhaniad y Ddeiliadaeth (Gog)'!C$110/40)))</f>
        <v>52246.377989684697</v>
      </c>
      <c r="F74" s="278">
        <f>E74*(1+'Rhaniad y Ddeiliadaeth (Gog)'!D$109)+(E$44*(-(50-$B74)*('Rhaniad y Ddeiliadaeth (Gog)'!D$110/40)))</f>
        <v>54237.503310056032</v>
      </c>
      <c r="G74" s="278">
        <f>F74*(1+'Rhaniad y Ddeiliadaeth (Gog)'!E$109)+(F$44*(-(50-$B74)*('Rhaniad y Ddeiliadaeth (Gog)'!E$110/40)))</f>
        <v>56298.552354175517</v>
      </c>
      <c r="H74" s="278">
        <f>G74*(1+'Rhaniad y Ddeiliadaeth (Gog)'!F$109)+(G$44*(-(50-$B74)*('Rhaniad y Ddeiliadaeth (Gog)'!F$110/40)))</f>
        <v>58465.67198669818</v>
      </c>
      <c r="I74" s="279">
        <f>H74*(1+'Rhaniad y Ddeiliadaeth (Gog)'!G$109)+(H$44*(-(50-$B74)*('Rhaniad y Ddeiliadaeth (Gog)'!G$110/40)))</f>
        <v>60704.452586614163</v>
      </c>
      <c r="M74" s="36" t="str">
        <f t="shared" si="5"/>
        <v/>
      </c>
      <c r="N74" s="190"/>
      <c r="O74" s="24">
        <f t="shared" si="8"/>
        <v>1</v>
      </c>
      <c r="U74" s="1">
        <f t="shared" si="6"/>
        <v>80</v>
      </c>
      <c r="V74" s="4" t="str">
        <f t="shared" si="7"/>
        <v/>
      </c>
      <c r="W74" s="4" t="e">
        <f>IF($W$3=$N$3,N74,V74*(1+'Rhaniad y Ddeiliadaeth (Gog)'!C$109)+(V$44*(-(50-$U74)*('Rhaniad y Ddeiliadaeth (Gog)'!C$110/40))))</f>
        <v>#VALUE!</v>
      </c>
      <c r="X74" s="4" t="e">
        <f>W74*(1+'Rhaniad y Ddeiliadaeth (Gog)'!D$109)+(W$44*(-(50-$U74)*('Rhaniad y Ddeiliadaeth (Gog)'!D$110/40)))</f>
        <v>#VALUE!</v>
      </c>
      <c r="Y74" s="4" t="e">
        <f>X74*(1+'Rhaniad y Ddeiliadaeth (Gog)'!E$109)+(X$44*(-(50-$U74)*('Rhaniad y Ddeiliadaeth (Gog)'!E$110/40)))</f>
        <v>#VALUE!</v>
      </c>
      <c r="Z74" s="4" t="e">
        <f>Y74*(1+'Rhaniad y Ddeiliadaeth (Gog)'!F$109)+(Y$44*(-(50-$U74)*('Rhaniad y Ddeiliadaeth (Gog)'!F$110/40)))</f>
        <v>#VALUE!</v>
      </c>
      <c r="AA74" s="4" t="e">
        <f>Z74*(1+'Rhaniad y Ddeiliadaeth (Gog)'!G$109)+(Z$44*(-(50-$U74)*('Rhaniad y Ddeiliadaeth (Gog)'!G$110/40)))</f>
        <v>#VALUE!</v>
      </c>
      <c r="AC74" s="260">
        <v>80</v>
      </c>
      <c r="AD74" s="4">
        <f>IF('Rhaniad y Ddeiliadaeth (Cymru)'!$D$8="Amcangyfrifon LlC",'Incwm (Gogledd)'!E74,'Incwm (Gogledd)'!W74)</f>
        <v>52246.377989684697</v>
      </c>
      <c r="AE74" s="4">
        <f>IF('Rhaniad y Ddeiliadaeth (Cymru)'!$D$8="Amcangyfrifon LlC",'Incwm (Gogledd)'!F74,'Incwm (Gogledd)'!X74)</f>
        <v>54237.503310056032</v>
      </c>
      <c r="AF74" s="4">
        <f>IF('Rhaniad y Ddeiliadaeth (Cymru)'!$D$8="Amcangyfrifon LlC",'Incwm (Gogledd)'!G74,'Incwm (Gogledd)'!Y74)</f>
        <v>56298.552354175517</v>
      </c>
      <c r="AG74" s="4">
        <f>IF('Rhaniad y Ddeiliadaeth (Cymru)'!$D$8="Amcangyfrifon LlC",'Incwm (Gogledd)'!H74,'Incwm (Gogledd)'!Z74)</f>
        <v>58465.67198669818</v>
      </c>
      <c r="AH74" s="4">
        <f>IF('Rhaniad y Ddeiliadaeth (Cymru)'!$D$8="Amcangyfrifon LlC",'Incwm (Gogledd)'!I74,'Incwm (Gogledd)'!AA74)</f>
        <v>60704.452586614163</v>
      </c>
    </row>
    <row r="75" spans="2:34" x14ac:dyDescent="0.35">
      <c r="B75" s="251">
        <v>81</v>
      </c>
      <c r="C75" s="258">
        <v>50654.75</v>
      </c>
      <c r="D75" s="258">
        <v>52322.508773144225</v>
      </c>
      <c r="E75" s="278">
        <f>D75*(1+'Rhaniad y Ddeiliadaeth (Gog)'!C$109)+(D$44*(-(50-$B75)*('Rhaniad y Ddeiliadaeth (Gog)'!C$110/40)))</f>
        <v>53699.518091041537</v>
      </c>
      <c r="F75" s="278">
        <f>E75*(1+'Rhaniad y Ddeiliadaeth (Gog)'!D$109)+(E$44*(-(50-$B75)*('Rhaniad y Ddeiliadaeth (Gog)'!D$110/40)))</f>
        <v>55747.12944141042</v>
      </c>
      <c r="G75" s="278">
        <f>F75*(1+'Rhaniad y Ddeiliadaeth (Gog)'!E$109)+(F$44*(-(50-$B75)*('Rhaniad y Ddeiliadaeth (Gog)'!E$110/40)))</f>
        <v>57866.685056503644</v>
      </c>
      <c r="H75" s="278">
        <f>G75*(1+'Rhaniad y Ddeiliadaeth (Gog)'!F$109)+(G$44*(-(50-$B75)*('Rhaniad y Ddeiliadaeth (Gog)'!F$110/40)))</f>
        <v>60095.342100780392</v>
      </c>
      <c r="I75" s="279">
        <f>H75*(1+'Rhaniad y Ddeiliadaeth (Gog)'!G$109)+(H$44*(-(50-$B75)*('Rhaniad y Ddeiliadaeth (Gog)'!G$110/40)))</f>
        <v>62397.737420224483</v>
      </c>
      <c r="M75" s="36" t="str">
        <f t="shared" si="5"/>
        <v/>
      </c>
      <c r="N75" s="190"/>
      <c r="O75" s="24">
        <f t="shared" si="8"/>
        <v>1</v>
      </c>
      <c r="U75" s="1">
        <f t="shared" si="6"/>
        <v>81</v>
      </c>
      <c r="V75" s="4" t="str">
        <f t="shared" si="7"/>
        <v/>
      </c>
      <c r="W75" s="4" t="e">
        <f>IF($W$3=$N$3,N75,V75*(1+'Rhaniad y Ddeiliadaeth (Gog)'!C$109)+(V$44*(-(50-$U75)*('Rhaniad y Ddeiliadaeth (Gog)'!C$110/40))))</f>
        <v>#VALUE!</v>
      </c>
      <c r="X75" s="4" t="e">
        <f>W75*(1+'Rhaniad y Ddeiliadaeth (Gog)'!D$109)+(W$44*(-(50-$U75)*('Rhaniad y Ddeiliadaeth (Gog)'!D$110/40)))</f>
        <v>#VALUE!</v>
      </c>
      <c r="Y75" s="4" t="e">
        <f>X75*(1+'Rhaniad y Ddeiliadaeth (Gog)'!E$109)+(X$44*(-(50-$U75)*('Rhaniad y Ddeiliadaeth (Gog)'!E$110/40)))</f>
        <v>#VALUE!</v>
      </c>
      <c r="Z75" s="4" t="e">
        <f>Y75*(1+'Rhaniad y Ddeiliadaeth (Gog)'!F$109)+(Y$44*(-(50-$U75)*('Rhaniad y Ddeiliadaeth (Gog)'!F$110/40)))</f>
        <v>#VALUE!</v>
      </c>
      <c r="AA75" s="4" t="e">
        <f>Z75*(1+'Rhaniad y Ddeiliadaeth (Gog)'!G$109)+(Z$44*(-(50-$U75)*('Rhaniad y Ddeiliadaeth (Gog)'!G$110/40)))</f>
        <v>#VALUE!</v>
      </c>
      <c r="AC75" s="260">
        <v>81</v>
      </c>
      <c r="AD75" s="4">
        <f>IF('Rhaniad y Ddeiliadaeth (Cymru)'!$D$8="Amcangyfrifon LlC",'Incwm (Gogledd)'!E75,'Incwm (Gogledd)'!W75)</f>
        <v>53699.518091041537</v>
      </c>
      <c r="AE75" s="4">
        <f>IF('Rhaniad y Ddeiliadaeth (Cymru)'!$D$8="Amcangyfrifon LlC",'Incwm (Gogledd)'!F75,'Incwm (Gogledd)'!X75)</f>
        <v>55747.12944141042</v>
      </c>
      <c r="AF75" s="4">
        <f>IF('Rhaniad y Ddeiliadaeth (Cymru)'!$D$8="Amcangyfrifon LlC",'Incwm (Gogledd)'!G75,'Incwm (Gogledd)'!Y75)</f>
        <v>57866.685056503644</v>
      </c>
      <c r="AG75" s="4">
        <f>IF('Rhaniad y Ddeiliadaeth (Cymru)'!$D$8="Amcangyfrifon LlC",'Incwm (Gogledd)'!H75,'Incwm (Gogledd)'!Z75)</f>
        <v>60095.342100780392</v>
      </c>
      <c r="AH75" s="4">
        <f>IF('Rhaniad y Ddeiliadaeth (Cymru)'!$D$8="Amcangyfrifon LlC",'Incwm (Gogledd)'!I75,'Incwm (Gogledd)'!AA75)</f>
        <v>62397.737420224483</v>
      </c>
    </row>
    <row r="76" spans="2:34" x14ac:dyDescent="0.35">
      <c r="B76" s="251">
        <v>82</v>
      </c>
      <c r="C76" s="258">
        <v>51775.95</v>
      </c>
      <c r="D76" s="258">
        <v>53480.623201434741</v>
      </c>
      <c r="E76" s="278">
        <f>D76*(1+'Rhaniad y Ddeiliadaeth (Gog)'!C$109)+(D$44*(-(50-$B76)*('Rhaniad y Ddeiliadaeth (Gog)'!C$110/40)))</f>
        <v>54890.162240787868</v>
      </c>
      <c r="F76" s="278">
        <f>E76*(1+'Rhaniad y Ddeiliadaeth (Gog)'!D$109)+(E$44*(-(50-$B76)*('Rhaniad y Ddeiliadaeth (Gog)'!D$110/40)))</f>
        <v>56985.262841697295</v>
      </c>
      <c r="G76" s="278">
        <f>F76*(1+'Rhaniad y Ddeiliadaeth (Gog)'!E$109)+(F$44*(-(50-$B76)*('Rhaniad y Ddeiliadaeth (Gog)'!E$110/40)))</f>
        <v>59154.04587079749</v>
      </c>
      <c r="H76" s="278">
        <f>G76*(1+'Rhaniad y Ddeiliadaeth (Gog)'!F$109)+(G$44*(-(50-$B76)*('Rhaniad y Ddeiliadaeth (Gog)'!F$110/40)))</f>
        <v>61434.501678806431</v>
      </c>
      <c r="I76" s="279">
        <f>H76*(1+'Rhaniad y Ddeiliadaeth (Gog)'!G$109)+(H$44*(-(50-$B76)*('Rhaniad y Ddeiliadaeth (Gog)'!G$110/40)))</f>
        <v>63790.489653457873</v>
      </c>
      <c r="M76" s="36" t="str">
        <f t="shared" si="5"/>
        <v/>
      </c>
      <c r="N76" s="190"/>
      <c r="O76" s="24">
        <f t="shared" si="8"/>
        <v>1</v>
      </c>
      <c r="U76" s="1">
        <f t="shared" si="6"/>
        <v>82</v>
      </c>
      <c r="V76" s="4" t="str">
        <f t="shared" si="7"/>
        <v/>
      </c>
      <c r="W76" s="4" t="e">
        <f>IF($W$3=$N$3,N76,V76*(1+'Rhaniad y Ddeiliadaeth (Gog)'!C$109)+(V$44*(-(50-$U76)*('Rhaniad y Ddeiliadaeth (Gog)'!C$110/40))))</f>
        <v>#VALUE!</v>
      </c>
      <c r="X76" s="4" t="e">
        <f>W76*(1+'Rhaniad y Ddeiliadaeth (Gog)'!D$109)+(W$44*(-(50-$U76)*('Rhaniad y Ddeiliadaeth (Gog)'!D$110/40)))</f>
        <v>#VALUE!</v>
      </c>
      <c r="Y76" s="4" t="e">
        <f>X76*(1+'Rhaniad y Ddeiliadaeth (Gog)'!E$109)+(X$44*(-(50-$U76)*('Rhaniad y Ddeiliadaeth (Gog)'!E$110/40)))</f>
        <v>#VALUE!</v>
      </c>
      <c r="Z76" s="4" t="e">
        <f>Y76*(1+'Rhaniad y Ddeiliadaeth (Gog)'!F$109)+(Y$44*(-(50-$U76)*('Rhaniad y Ddeiliadaeth (Gog)'!F$110/40)))</f>
        <v>#VALUE!</v>
      </c>
      <c r="AA76" s="4" t="e">
        <f>Z76*(1+'Rhaniad y Ddeiliadaeth (Gog)'!G$109)+(Z$44*(-(50-$U76)*('Rhaniad y Ddeiliadaeth (Gog)'!G$110/40)))</f>
        <v>#VALUE!</v>
      </c>
      <c r="AC76" s="260">
        <v>82</v>
      </c>
      <c r="AD76" s="4">
        <f>IF('Rhaniad y Ddeiliadaeth (Cymru)'!$D$8="Amcangyfrifon LlC",'Incwm (Gogledd)'!E76,'Incwm (Gogledd)'!W76)</f>
        <v>54890.162240787868</v>
      </c>
      <c r="AE76" s="4">
        <f>IF('Rhaniad y Ddeiliadaeth (Cymru)'!$D$8="Amcangyfrifon LlC",'Incwm (Gogledd)'!F76,'Incwm (Gogledd)'!X76)</f>
        <v>56985.262841697295</v>
      </c>
      <c r="AF76" s="4">
        <f>IF('Rhaniad y Ddeiliadaeth (Cymru)'!$D$8="Amcangyfrifon LlC",'Incwm (Gogledd)'!G76,'Incwm (Gogledd)'!Y76)</f>
        <v>59154.04587079749</v>
      </c>
      <c r="AG76" s="4">
        <f>IF('Rhaniad y Ddeiliadaeth (Cymru)'!$D$8="Amcangyfrifon LlC",'Incwm (Gogledd)'!H76,'Incwm (Gogledd)'!Z76)</f>
        <v>61434.501678806431</v>
      </c>
      <c r="AH76" s="4">
        <f>IF('Rhaniad y Ddeiliadaeth (Cymru)'!$D$8="Amcangyfrifon LlC",'Incwm (Gogledd)'!I76,'Incwm (Gogledd)'!AA76)</f>
        <v>63790.489653457873</v>
      </c>
    </row>
    <row r="77" spans="2:34" x14ac:dyDescent="0.35">
      <c r="B77" s="251">
        <v>83</v>
      </c>
      <c r="C77" s="258">
        <v>53053</v>
      </c>
      <c r="D77" s="258">
        <v>54799.718840614565</v>
      </c>
      <c r="E77" s="278">
        <f>D77*(1+'Rhaniad y Ddeiliadaeth (Gog)'!C$109)+(D$44*(-(50-$B77)*('Rhaniad y Ddeiliadaeth (Gog)'!C$110/40)))</f>
        <v>56245.401015593539</v>
      </c>
      <c r="F77" s="278">
        <f>E77*(1+'Rhaniad y Ddeiliadaeth (Gog)'!D$109)+(E$44*(-(50-$B77)*('Rhaniad y Ddeiliadaeth (Gog)'!D$110/40)))</f>
        <v>58393.632178966152</v>
      </c>
      <c r="G77" s="278">
        <f>F77*(1+'Rhaniad y Ddeiliadaeth (Gog)'!E$109)+(F$44*(-(50-$B77)*('Rhaniad y Ddeiliadaeth (Gog)'!E$110/40)))</f>
        <v>60617.460995089903</v>
      </c>
      <c r="H77" s="278">
        <f>G77*(1+'Rhaniad y Ddeiliadaeth (Gog)'!F$109)+(G$44*(-(50-$B77)*('Rhaniad y Ddeiliadaeth (Gog)'!F$110/40)))</f>
        <v>62955.822057654666</v>
      </c>
      <c r="I77" s="279">
        <f>H77*(1+'Rhaniad y Ddeiliadaeth (Gog)'!G$109)+(H$44*(-(50-$B77)*('Rhaniad y Ddeiliadaeth (Gog)'!G$110/40)))</f>
        <v>65371.686890790028</v>
      </c>
      <c r="M77" s="36" t="str">
        <f t="shared" si="5"/>
        <v/>
      </c>
      <c r="N77" s="190"/>
      <c r="O77" s="24">
        <f t="shared" si="8"/>
        <v>1</v>
      </c>
      <c r="U77" s="1">
        <f t="shared" si="6"/>
        <v>83</v>
      </c>
      <c r="V77" s="4" t="str">
        <f t="shared" si="7"/>
        <v/>
      </c>
      <c r="W77" s="4" t="e">
        <f>IF($W$3=$N$3,N77,V77*(1+'Rhaniad y Ddeiliadaeth (Gog)'!C$109)+(V$44*(-(50-$U77)*('Rhaniad y Ddeiliadaeth (Gog)'!C$110/40))))</f>
        <v>#VALUE!</v>
      </c>
      <c r="X77" s="4" t="e">
        <f>W77*(1+'Rhaniad y Ddeiliadaeth (Gog)'!D$109)+(W$44*(-(50-$U77)*('Rhaniad y Ddeiliadaeth (Gog)'!D$110/40)))</f>
        <v>#VALUE!</v>
      </c>
      <c r="Y77" s="4" t="e">
        <f>X77*(1+'Rhaniad y Ddeiliadaeth (Gog)'!E$109)+(X$44*(-(50-$U77)*('Rhaniad y Ddeiliadaeth (Gog)'!E$110/40)))</f>
        <v>#VALUE!</v>
      </c>
      <c r="Z77" s="4" t="e">
        <f>Y77*(1+'Rhaniad y Ddeiliadaeth (Gog)'!F$109)+(Y$44*(-(50-$U77)*('Rhaniad y Ddeiliadaeth (Gog)'!F$110/40)))</f>
        <v>#VALUE!</v>
      </c>
      <c r="AA77" s="4" t="e">
        <f>Z77*(1+'Rhaniad y Ddeiliadaeth (Gog)'!G$109)+(Z$44*(-(50-$U77)*('Rhaniad y Ddeiliadaeth (Gog)'!G$110/40)))</f>
        <v>#VALUE!</v>
      </c>
      <c r="AC77" s="260">
        <v>83</v>
      </c>
      <c r="AD77" s="4">
        <f>IF('Rhaniad y Ddeiliadaeth (Cymru)'!$D$8="Amcangyfrifon LlC",'Incwm (Gogledd)'!E77,'Incwm (Gogledd)'!W77)</f>
        <v>56245.401015593539</v>
      </c>
      <c r="AE77" s="4">
        <f>IF('Rhaniad y Ddeiliadaeth (Cymru)'!$D$8="Amcangyfrifon LlC",'Incwm (Gogledd)'!F77,'Incwm (Gogledd)'!X77)</f>
        <v>58393.632178966152</v>
      </c>
      <c r="AF77" s="4">
        <f>IF('Rhaniad y Ddeiliadaeth (Cymru)'!$D$8="Amcangyfrifon LlC",'Incwm (Gogledd)'!G77,'Incwm (Gogledd)'!Y77)</f>
        <v>60617.460995089903</v>
      </c>
      <c r="AG77" s="4">
        <f>IF('Rhaniad y Ddeiliadaeth (Cymru)'!$D$8="Amcangyfrifon LlC",'Incwm (Gogledd)'!H77,'Incwm (Gogledd)'!Z77)</f>
        <v>62955.822057654666</v>
      </c>
      <c r="AH77" s="4">
        <f>IF('Rhaniad y Ddeiliadaeth (Cymru)'!$D$8="Amcangyfrifon LlC",'Incwm (Gogledd)'!I77,'Incwm (Gogledd)'!AA77)</f>
        <v>65371.686890790028</v>
      </c>
    </row>
    <row r="78" spans="2:34" x14ac:dyDescent="0.35">
      <c r="B78" s="251">
        <v>84</v>
      </c>
      <c r="C78" s="258">
        <v>54624.800000000003</v>
      </c>
      <c r="D78" s="258">
        <v>56423.268839175966</v>
      </c>
      <c r="E78" s="278">
        <f>D78*(1+'Rhaniad y Ddeiliadaeth (Gog)'!C$109)+(D$44*(-(50-$B78)*('Rhaniad y Ddeiliadaeth (Gog)'!C$110/40)))</f>
        <v>57911.927988899268</v>
      </c>
      <c r="F78" s="278">
        <f>E78*(1+'Rhaniad y Ddeiliadaeth (Gog)'!D$109)+(E$44*(-(50-$B78)*('Rhaniad y Ddeiliadaeth (Gog)'!D$110/40)))</f>
        <v>60123.958798400148</v>
      </c>
      <c r="G78" s="278">
        <f>F78*(1+'Rhaniad y Ddeiliadaeth (Gog)'!E$109)+(F$44*(-(50-$B78)*('Rhaniad y Ddeiliadaeth (Gog)'!E$110/40)))</f>
        <v>62413.83735051527</v>
      </c>
      <c r="H78" s="278">
        <f>G78*(1+'Rhaniad y Ddeiliadaeth (Gog)'!F$109)+(G$44*(-(50-$B78)*('Rhaniad y Ddeiliadaeth (Gog)'!F$110/40)))</f>
        <v>64821.652516979833</v>
      </c>
      <c r="I78" s="279">
        <f>H78*(1+'Rhaniad y Ddeiliadaeth (Gog)'!G$109)+(H$44*(-(50-$B78)*('Rhaniad y Ddeiliadaeth (Gog)'!G$110/40)))</f>
        <v>67309.27915512312</v>
      </c>
      <c r="M78" s="36" t="str">
        <f t="shared" si="5"/>
        <v/>
      </c>
      <c r="N78" s="190"/>
      <c r="O78" s="24">
        <f t="shared" si="8"/>
        <v>1</v>
      </c>
      <c r="U78" s="1">
        <f t="shared" si="6"/>
        <v>84</v>
      </c>
      <c r="V78" s="4" t="str">
        <f t="shared" si="7"/>
        <v/>
      </c>
      <c r="W78" s="4" t="e">
        <f>IF($W$3=$N$3,N78,V78*(1+'Rhaniad y Ddeiliadaeth (Gog)'!C$109)+(V$44*(-(50-$U78)*('Rhaniad y Ddeiliadaeth (Gog)'!C$110/40))))</f>
        <v>#VALUE!</v>
      </c>
      <c r="X78" s="4" t="e">
        <f>W78*(1+'Rhaniad y Ddeiliadaeth (Gog)'!D$109)+(W$44*(-(50-$U78)*('Rhaniad y Ddeiliadaeth (Gog)'!D$110/40)))</f>
        <v>#VALUE!</v>
      </c>
      <c r="Y78" s="4" t="e">
        <f>X78*(1+'Rhaniad y Ddeiliadaeth (Gog)'!E$109)+(X$44*(-(50-$U78)*('Rhaniad y Ddeiliadaeth (Gog)'!E$110/40)))</f>
        <v>#VALUE!</v>
      </c>
      <c r="Z78" s="4" t="e">
        <f>Y78*(1+'Rhaniad y Ddeiliadaeth (Gog)'!F$109)+(Y$44*(-(50-$U78)*('Rhaniad y Ddeiliadaeth (Gog)'!F$110/40)))</f>
        <v>#VALUE!</v>
      </c>
      <c r="AA78" s="4" t="e">
        <f>Z78*(1+'Rhaniad y Ddeiliadaeth (Gog)'!G$109)+(Z$44*(-(50-$U78)*('Rhaniad y Ddeiliadaeth (Gog)'!G$110/40)))</f>
        <v>#VALUE!</v>
      </c>
      <c r="AC78" s="260">
        <v>84</v>
      </c>
      <c r="AD78" s="4">
        <f>IF('Rhaniad y Ddeiliadaeth (Cymru)'!$D$8="Amcangyfrifon LlC",'Incwm (Gogledd)'!E78,'Incwm (Gogledd)'!W78)</f>
        <v>57911.927988899268</v>
      </c>
      <c r="AE78" s="4">
        <f>IF('Rhaniad y Ddeiliadaeth (Cymru)'!$D$8="Amcangyfrifon LlC",'Incwm (Gogledd)'!F78,'Incwm (Gogledd)'!X78)</f>
        <v>60123.958798400148</v>
      </c>
      <c r="AF78" s="4">
        <f>IF('Rhaniad y Ddeiliadaeth (Cymru)'!$D$8="Amcangyfrifon LlC",'Incwm (Gogledd)'!G78,'Incwm (Gogledd)'!Y78)</f>
        <v>62413.83735051527</v>
      </c>
      <c r="AG78" s="4">
        <f>IF('Rhaniad y Ddeiliadaeth (Cymru)'!$D$8="Amcangyfrifon LlC",'Incwm (Gogledd)'!H78,'Incwm (Gogledd)'!Z78)</f>
        <v>64821.652516979833</v>
      </c>
      <c r="AH78" s="4">
        <f>IF('Rhaniad y Ddeiliadaeth (Cymru)'!$D$8="Amcangyfrifon LlC",'Incwm (Gogledd)'!I78,'Incwm (Gogledd)'!AA78)</f>
        <v>67309.27915512312</v>
      </c>
    </row>
    <row r="79" spans="2:34" x14ac:dyDescent="0.35">
      <c r="B79" s="251">
        <v>85</v>
      </c>
      <c r="C79" s="258">
        <v>56814</v>
      </c>
      <c r="D79" s="258">
        <v>58684.546137083213</v>
      </c>
      <c r="E79" s="278">
        <f>D79*(1+'Rhaniad y Ddeiliadaeth (Gog)'!C$109)+(D$44*(-(50-$B79)*('Rhaniad y Ddeiliadaeth (Gog)'!C$110/40)))</f>
        <v>60230.496807002091</v>
      </c>
      <c r="F79" s="278">
        <f>E79*(1+'Rhaniad y Ddeiliadaeth (Gog)'!D$109)+(E$44*(-(50-$B79)*('Rhaniad y Ddeiliadaeth (Gog)'!D$110/40)))</f>
        <v>62528.675327957164</v>
      </c>
      <c r="G79" s="278">
        <f>F79*(1+'Rhaniad y Ddeiliadaeth (Gog)'!E$109)+(F$44*(-(50-$B79)*('Rhaniad y Ddeiliadaeth (Gog)'!E$110/40)))</f>
        <v>64907.653109168801</v>
      </c>
      <c r="H79" s="278">
        <f>G79*(1+'Rhaniad y Ddeiliadaeth (Gog)'!F$109)+(G$44*(-(50-$B79)*('Rhaniad y Ddeiliadaeth (Gog)'!F$110/40)))</f>
        <v>67409.113251746836</v>
      </c>
      <c r="I79" s="279">
        <f>H79*(1+'Rhaniad y Ddeiliadaeth (Gog)'!G$109)+(H$44*(-(50-$B79)*('Rhaniad y Ddeiliadaeth (Gog)'!G$110/40)))</f>
        <v>69993.396575250619</v>
      </c>
      <c r="M79" s="36" t="str">
        <f t="shared" si="5"/>
        <v/>
      </c>
      <c r="N79" s="190"/>
      <c r="O79" s="24">
        <f t="shared" si="8"/>
        <v>1</v>
      </c>
      <c r="U79" s="1">
        <f t="shared" si="6"/>
        <v>85</v>
      </c>
      <c r="V79" s="4" t="str">
        <f t="shared" si="7"/>
        <v/>
      </c>
      <c r="W79" s="4" t="e">
        <f>IF($W$3=$N$3,N79,V79*(1+'Rhaniad y Ddeiliadaeth (Gog)'!C$109)+(V$44*(-(50-$U79)*('Rhaniad y Ddeiliadaeth (Gog)'!C$110/40))))</f>
        <v>#VALUE!</v>
      </c>
      <c r="X79" s="4" t="e">
        <f>W79*(1+'Rhaniad y Ddeiliadaeth (Gog)'!D$109)+(W$44*(-(50-$U79)*('Rhaniad y Ddeiliadaeth (Gog)'!D$110/40)))</f>
        <v>#VALUE!</v>
      </c>
      <c r="Y79" s="4" t="e">
        <f>X79*(1+'Rhaniad y Ddeiliadaeth (Gog)'!E$109)+(X$44*(-(50-$U79)*('Rhaniad y Ddeiliadaeth (Gog)'!E$110/40)))</f>
        <v>#VALUE!</v>
      </c>
      <c r="Z79" s="4" t="e">
        <f>Y79*(1+'Rhaniad y Ddeiliadaeth (Gog)'!F$109)+(Y$44*(-(50-$U79)*('Rhaniad y Ddeiliadaeth (Gog)'!F$110/40)))</f>
        <v>#VALUE!</v>
      </c>
      <c r="AA79" s="4" t="e">
        <f>Z79*(1+'Rhaniad y Ddeiliadaeth (Gog)'!G$109)+(Z$44*(-(50-$U79)*('Rhaniad y Ddeiliadaeth (Gog)'!G$110/40)))</f>
        <v>#VALUE!</v>
      </c>
      <c r="AC79" s="260">
        <v>85</v>
      </c>
      <c r="AD79" s="4">
        <f>IF('Rhaniad y Ddeiliadaeth (Cymru)'!$D$8="Amcangyfrifon LlC",'Incwm (Gogledd)'!E79,'Incwm (Gogledd)'!W79)</f>
        <v>60230.496807002091</v>
      </c>
      <c r="AE79" s="4">
        <f>IF('Rhaniad y Ddeiliadaeth (Cymru)'!$D$8="Amcangyfrifon LlC",'Incwm (Gogledd)'!F79,'Incwm (Gogledd)'!X79)</f>
        <v>62528.675327957164</v>
      </c>
      <c r="AF79" s="4">
        <f>IF('Rhaniad y Ddeiliadaeth (Cymru)'!$D$8="Amcangyfrifon LlC",'Incwm (Gogledd)'!G79,'Incwm (Gogledd)'!Y79)</f>
        <v>64907.653109168801</v>
      </c>
      <c r="AG79" s="4">
        <f>IF('Rhaniad y Ddeiliadaeth (Cymru)'!$D$8="Amcangyfrifon LlC",'Incwm (Gogledd)'!H79,'Incwm (Gogledd)'!Z79)</f>
        <v>67409.113251746836</v>
      </c>
      <c r="AH79" s="4">
        <f>IF('Rhaniad y Ddeiliadaeth (Cymru)'!$D$8="Amcangyfrifon LlC",'Incwm (Gogledd)'!I79,'Incwm (Gogledd)'!AA79)</f>
        <v>69993.396575250619</v>
      </c>
    </row>
    <row r="80" spans="2:34" x14ac:dyDescent="0.35">
      <c r="B80" s="251">
        <v>86</v>
      </c>
      <c r="C80" s="258">
        <v>58237.5</v>
      </c>
      <c r="D80" s="258">
        <v>60154.913501221243</v>
      </c>
      <c r="E80" s="278">
        <f>D80*(1+'Rhaniad y Ddeiliadaeth (Gog)'!C$109)+(D$44*(-(50-$B80)*('Rhaniad y Ddeiliadaeth (Gog)'!C$110/40)))</f>
        <v>61740.402780010758</v>
      </c>
      <c r="F80" s="278">
        <f>E80*(1+'Rhaniad y Ddeiliadaeth (Gog)'!D$109)+(E$44*(-(50-$B80)*('Rhaniad y Ddeiliadaeth (Gog)'!D$110/40)))</f>
        <v>64097.012922980328</v>
      </c>
      <c r="G80" s="278">
        <f>F80*(1+'Rhaniad y Ddeiliadaeth (Gog)'!E$109)+(F$44*(-(50-$B80)*('Rhaniad y Ddeiliadaeth (Gog)'!E$110/40)))</f>
        <v>66536.503932526248</v>
      </c>
      <c r="H80" s="278">
        <f>G80*(1+'Rhaniad y Ddeiliadaeth (Gog)'!F$109)+(G$44*(-(50-$B80)*('Rhaniad y Ddeiliadaeth (Gog)'!F$110/40)))</f>
        <v>69101.607511123802</v>
      </c>
      <c r="I80" s="279">
        <f>H80*(1+'Rhaniad y Ddeiliadaeth (Gog)'!G$109)+(H$44*(-(50-$B80)*('Rhaniad y Ddeiliadaeth (Gog)'!G$110/40)))</f>
        <v>71751.672868407317</v>
      </c>
      <c r="M80" s="36" t="str">
        <f t="shared" si="5"/>
        <v/>
      </c>
      <c r="N80" s="190"/>
      <c r="O80" s="24">
        <f t="shared" si="8"/>
        <v>1</v>
      </c>
      <c r="U80" s="1">
        <f t="shared" si="6"/>
        <v>86</v>
      </c>
      <c r="V80" s="4" t="str">
        <f t="shared" si="7"/>
        <v/>
      </c>
      <c r="W80" s="4" t="e">
        <f>IF($W$3=$N$3,N80,V80*(1+'Rhaniad y Ddeiliadaeth (Gog)'!C$109)+(V$44*(-(50-$U80)*('Rhaniad y Ddeiliadaeth (Gog)'!C$110/40))))</f>
        <v>#VALUE!</v>
      </c>
      <c r="X80" s="4" t="e">
        <f>W80*(1+'Rhaniad y Ddeiliadaeth (Gog)'!D$109)+(W$44*(-(50-$U80)*('Rhaniad y Ddeiliadaeth (Gog)'!D$110/40)))</f>
        <v>#VALUE!</v>
      </c>
      <c r="Y80" s="4" t="e">
        <f>X80*(1+'Rhaniad y Ddeiliadaeth (Gog)'!E$109)+(X$44*(-(50-$U80)*('Rhaniad y Ddeiliadaeth (Gog)'!E$110/40)))</f>
        <v>#VALUE!</v>
      </c>
      <c r="Z80" s="4" t="e">
        <f>Y80*(1+'Rhaniad y Ddeiliadaeth (Gog)'!F$109)+(Y$44*(-(50-$U80)*('Rhaniad y Ddeiliadaeth (Gog)'!F$110/40)))</f>
        <v>#VALUE!</v>
      </c>
      <c r="AA80" s="4" t="e">
        <f>Z80*(1+'Rhaniad y Ddeiliadaeth (Gog)'!G$109)+(Z$44*(-(50-$U80)*('Rhaniad y Ddeiliadaeth (Gog)'!G$110/40)))</f>
        <v>#VALUE!</v>
      </c>
      <c r="AC80" s="260">
        <v>86</v>
      </c>
      <c r="AD80" s="4">
        <f>IF('Rhaniad y Ddeiliadaeth (Cymru)'!$D$8="Amcangyfrifon LlC",'Incwm (Gogledd)'!E80,'Incwm (Gogledd)'!W80)</f>
        <v>61740.402780010758</v>
      </c>
      <c r="AE80" s="4">
        <f>IF('Rhaniad y Ddeiliadaeth (Cymru)'!$D$8="Amcangyfrifon LlC",'Incwm (Gogledd)'!F80,'Incwm (Gogledd)'!X80)</f>
        <v>64097.012922980328</v>
      </c>
      <c r="AF80" s="4">
        <f>IF('Rhaniad y Ddeiliadaeth (Cymru)'!$D$8="Amcangyfrifon LlC",'Incwm (Gogledd)'!G80,'Incwm (Gogledd)'!Y80)</f>
        <v>66536.503932526248</v>
      </c>
      <c r="AG80" s="4">
        <f>IF('Rhaniad y Ddeiliadaeth (Cymru)'!$D$8="Amcangyfrifon LlC",'Incwm (Gogledd)'!H80,'Incwm (Gogledd)'!Z80)</f>
        <v>69101.607511123802</v>
      </c>
      <c r="AH80" s="4">
        <f>IF('Rhaniad y Ddeiliadaeth (Cymru)'!$D$8="Amcangyfrifon LlC",'Incwm (Gogledd)'!I80,'Incwm (Gogledd)'!AA80)</f>
        <v>71751.672868407317</v>
      </c>
    </row>
    <row r="81" spans="2:34" x14ac:dyDescent="0.35">
      <c r="B81" s="251">
        <v>87</v>
      </c>
      <c r="C81" s="258">
        <v>59269.75</v>
      </c>
      <c r="D81" s="258">
        <v>61221.149336578797</v>
      </c>
      <c r="E81" s="278">
        <f>D81*(1+'Rhaniad y Ddeiliadaeth (Gog)'!C$109)+(D$44*(-(50-$B81)*('Rhaniad y Ddeiliadaeth (Gog)'!C$110/40)))</f>
        <v>62837.106012856057</v>
      </c>
      <c r="F81" s="278">
        <f>E81*(1+'Rhaniad y Ddeiliadaeth (Gog)'!D$109)+(E$44*(-(50-$B81)*('Rhaniad y Ddeiliadaeth (Gog)'!D$110/40)))</f>
        <v>65237.985677809738</v>
      </c>
      <c r="G81" s="278">
        <f>F81*(1+'Rhaniad y Ddeiliadaeth (Gog)'!E$109)+(F$44*(-(50-$B81)*('Rhaniad y Ddeiliadaeth (Gog)'!E$110/40)))</f>
        <v>67723.383316763182</v>
      </c>
      <c r="H81" s="278">
        <f>G81*(1+'Rhaniad y Ddeiliadaeth (Gog)'!F$109)+(G$44*(-(50-$B81)*('Rhaniad y Ddeiliadaeth (Gog)'!F$110/40)))</f>
        <v>70336.800433820172</v>
      </c>
      <c r="I81" s="279">
        <f>H81*(1+'Rhaniad y Ddeiliadaeth (Gog)'!G$109)+(H$44*(-(50-$B81)*('Rhaniad y Ddeiliadaeth (Gog)'!G$110/40)))</f>
        <v>73036.871793237893</v>
      </c>
      <c r="M81" s="36" t="str">
        <f t="shared" si="5"/>
        <v/>
      </c>
      <c r="N81" s="190"/>
      <c r="O81" s="24">
        <f t="shared" si="8"/>
        <v>1</v>
      </c>
      <c r="U81" s="1">
        <f t="shared" si="6"/>
        <v>87</v>
      </c>
      <c r="V81" s="4" t="str">
        <f t="shared" si="7"/>
        <v/>
      </c>
      <c r="W81" s="4" t="e">
        <f>IF($W$3=$N$3,N81,V81*(1+'Rhaniad y Ddeiliadaeth (Gog)'!C$109)+(V$44*(-(50-$U81)*('Rhaniad y Ddeiliadaeth (Gog)'!C$110/40))))</f>
        <v>#VALUE!</v>
      </c>
      <c r="X81" s="4" t="e">
        <f>W81*(1+'Rhaniad y Ddeiliadaeth (Gog)'!D$109)+(W$44*(-(50-$U81)*('Rhaniad y Ddeiliadaeth (Gog)'!D$110/40)))</f>
        <v>#VALUE!</v>
      </c>
      <c r="Y81" s="4" t="e">
        <f>X81*(1+'Rhaniad y Ddeiliadaeth (Gog)'!E$109)+(X$44*(-(50-$U81)*('Rhaniad y Ddeiliadaeth (Gog)'!E$110/40)))</f>
        <v>#VALUE!</v>
      </c>
      <c r="Z81" s="4" t="e">
        <f>Y81*(1+'Rhaniad y Ddeiliadaeth (Gog)'!F$109)+(Y$44*(-(50-$U81)*('Rhaniad y Ddeiliadaeth (Gog)'!F$110/40)))</f>
        <v>#VALUE!</v>
      </c>
      <c r="AA81" s="4" t="e">
        <f>Z81*(1+'Rhaniad y Ddeiliadaeth (Gog)'!G$109)+(Z$44*(-(50-$U81)*('Rhaniad y Ddeiliadaeth (Gog)'!G$110/40)))</f>
        <v>#VALUE!</v>
      </c>
      <c r="AC81" s="260">
        <v>87</v>
      </c>
      <c r="AD81" s="4">
        <f>IF('Rhaniad y Ddeiliadaeth (Cymru)'!$D$8="Amcangyfrifon LlC",'Incwm (Gogledd)'!E81,'Incwm (Gogledd)'!W81)</f>
        <v>62837.106012856057</v>
      </c>
      <c r="AE81" s="4">
        <f>IF('Rhaniad y Ddeiliadaeth (Cymru)'!$D$8="Amcangyfrifon LlC",'Incwm (Gogledd)'!F81,'Incwm (Gogledd)'!X81)</f>
        <v>65237.985677809738</v>
      </c>
      <c r="AF81" s="4">
        <f>IF('Rhaniad y Ddeiliadaeth (Cymru)'!$D$8="Amcangyfrifon LlC",'Incwm (Gogledd)'!G81,'Incwm (Gogledd)'!Y81)</f>
        <v>67723.383316763182</v>
      </c>
      <c r="AG81" s="4">
        <f>IF('Rhaniad y Ddeiliadaeth (Cymru)'!$D$8="Amcangyfrifon LlC",'Incwm (Gogledd)'!H81,'Incwm (Gogledd)'!Z81)</f>
        <v>70336.800433820172</v>
      </c>
      <c r="AH81" s="4">
        <f>IF('Rhaniad y Ddeiliadaeth (Cymru)'!$D$8="Amcangyfrifon LlC",'Incwm (Gogledd)'!I81,'Incwm (Gogledd)'!AA81)</f>
        <v>73036.871793237893</v>
      </c>
    </row>
    <row r="82" spans="2:34" x14ac:dyDescent="0.35">
      <c r="B82" s="251">
        <v>88</v>
      </c>
      <c r="C82" s="258">
        <v>60867.65</v>
      </c>
      <c r="D82" s="258">
        <v>62871.658652459482</v>
      </c>
      <c r="E82" s="278">
        <f>D82*(1+'Rhaniad y Ddeiliadaeth (Gog)'!C$109)+(D$44*(-(50-$B82)*('Rhaniad y Ddeiliadaeth (Gog)'!C$110/40)))</f>
        <v>64531.197437326678</v>
      </c>
      <c r="F82" s="278">
        <f>E82*(1+'Rhaniad y Ddeiliadaeth (Gog)'!D$109)+(E$44*(-(50-$B82)*('Rhaniad y Ddeiliadaeth (Gog)'!D$110/40)))</f>
        <v>66996.821491695009</v>
      </c>
      <c r="G82" s="278">
        <f>F82*(1+'Rhaniad y Ddeiliadaeth (Gog)'!E$109)+(F$44*(-(50-$B82)*('Rhaniad y Ddeiliadaeth (Gog)'!E$110/40)))</f>
        <v>69549.243262120959</v>
      </c>
      <c r="H82" s="278">
        <f>G82*(1+'Rhaniad y Ddeiliadaeth (Gog)'!F$109)+(G$44*(-(50-$B82)*('Rhaniad y Ddeiliadaeth (Gog)'!F$110/40)))</f>
        <v>72233.137129279203</v>
      </c>
      <c r="I82" s="279">
        <f>H82*(1+'Rhaniad y Ddeiliadaeth (Gog)'!G$109)+(H$44*(-(50-$B82)*('Rhaniad y Ddeiliadaeth (Gog)'!G$110/40)))</f>
        <v>75006.022701183319</v>
      </c>
      <c r="M82" s="36" t="str">
        <f t="shared" si="5"/>
        <v/>
      </c>
      <c r="N82" s="190"/>
      <c r="O82" s="24">
        <f t="shared" si="8"/>
        <v>1</v>
      </c>
      <c r="U82" s="1">
        <f t="shared" si="6"/>
        <v>88</v>
      </c>
      <c r="V82" s="4" t="str">
        <f t="shared" si="7"/>
        <v/>
      </c>
      <c r="W82" s="4" t="e">
        <f>IF($W$3=$N$3,N82,V82*(1+'Rhaniad y Ddeiliadaeth (Gog)'!C$109)+(V$44*(-(50-$U82)*('Rhaniad y Ddeiliadaeth (Gog)'!C$110/40))))</f>
        <v>#VALUE!</v>
      </c>
      <c r="X82" s="4" t="e">
        <f>W82*(1+'Rhaniad y Ddeiliadaeth (Gog)'!D$109)+(W$44*(-(50-$U82)*('Rhaniad y Ddeiliadaeth (Gog)'!D$110/40)))</f>
        <v>#VALUE!</v>
      </c>
      <c r="Y82" s="4" t="e">
        <f>X82*(1+'Rhaniad y Ddeiliadaeth (Gog)'!E$109)+(X$44*(-(50-$U82)*('Rhaniad y Ddeiliadaeth (Gog)'!E$110/40)))</f>
        <v>#VALUE!</v>
      </c>
      <c r="Z82" s="4" t="e">
        <f>Y82*(1+'Rhaniad y Ddeiliadaeth (Gog)'!F$109)+(Y$44*(-(50-$U82)*('Rhaniad y Ddeiliadaeth (Gog)'!F$110/40)))</f>
        <v>#VALUE!</v>
      </c>
      <c r="AA82" s="4" t="e">
        <f>Z82*(1+'Rhaniad y Ddeiliadaeth (Gog)'!G$109)+(Z$44*(-(50-$U82)*('Rhaniad y Ddeiliadaeth (Gog)'!G$110/40)))</f>
        <v>#VALUE!</v>
      </c>
      <c r="AC82" s="260">
        <v>88</v>
      </c>
      <c r="AD82" s="4">
        <f>IF('Rhaniad y Ddeiliadaeth (Cymru)'!$D$8="Amcangyfrifon LlC",'Incwm (Gogledd)'!E82,'Incwm (Gogledd)'!W82)</f>
        <v>64531.197437326678</v>
      </c>
      <c r="AE82" s="4">
        <f>IF('Rhaniad y Ddeiliadaeth (Cymru)'!$D$8="Amcangyfrifon LlC",'Incwm (Gogledd)'!F82,'Incwm (Gogledd)'!X82)</f>
        <v>66996.821491695009</v>
      </c>
      <c r="AF82" s="4">
        <f>IF('Rhaniad y Ddeiliadaeth (Cymru)'!$D$8="Amcangyfrifon LlC",'Incwm (Gogledd)'!G82,'Incwm (Gogledd)'!Y82)</f>
        <v>69549.243262120959</v>
      </c>
      <c r="AG82" s="4">
        <f>IF('Rhaniad y Ddeiliadaeth (Cymru)'!$D$8="Amcangyfrifon LlC",'Incwm (Gogledd)'!H82,'Incwm (Gogledd)'!Z82)</f>
        <v>72233.137129279203</v>
      </c>
      <c r="AH82" s="4">
        <f>IF('Rhaniad y Ddeiliadaeth (Cymru)'!$D$8="Amcangyfrifon LlC",'Incwm (Gogledd)'!I82,'Incwm (Gogledd)'!AA82)</f>
        <v>75006.022701183319</v>
      </c>
    </row>
    <row r="83" spans="2:34" x14ac:dyDescent="0.35">
      <c r="B83" s="251">
        <v>89</v>
      </c>
      <c r="C83" s="258">
        <v>63632.5</v>
      </c>
      <c r="D83" s="258">
        <v>65727.538671242088</v>
      </c>
      <c r="E83" s="278">
        <f>D83*(1+'Rhaniad y Ddeiliadaeth (Gog)'!C$109)+(D$44*(-(50-$B83)*('Rhaniad y Ddeiliadaeth (Gog)'!C$110/40)))</f>
        <v>67457.715539455166</v>
      </c>
      <c r="F83" s="278">
        <f>E83*(1+'Rhaniad y Ddeiliadaeth (Gog)'!D$109)+(E$44*(-(50-$B83)*('Rhaniad y Ddeiliadaeth (Gog)'!D$110/40)))</f>
        <v>70030.324143316015</v>
      </c>
      <c r="G83" s="278">
        <f>F83*(1+'Rhaniad y Ddeiliadaeth (Gog)'!E$109)+(F$44*(-(50-$B83)*('Rhaniad y Ddeiliadaeth (Gog)'!E$110/40)))</f>
        <v>72693.335976505419</v>
      </c>
      <c r="H83" s="278">
        <f>G83*(1+'Rhaniad y Ddeiliadaeth (Gog)'!F$109)+(G$44*(-(50-$B83)*('Rhaniad y Ddeiliadaeth (Gog)'!F$110/40)))</f>
        <v>75493.429849886947</v>
      </c>
      <c r="I83" s="279">
        <f>H83*(1+'Rhaniad y Ddeiliadaeth (Gog)'!G$109)+(H$44*(-(50-$B83)*('Rhaniad y Ddeiliadaeth (Gog)'!G$110/40)))</f>
        <v>78386.183538759869</v>
      </c>
      <c r="M83" s="36" t="str">
        <f t="shared" si="5"/>
        <v/>
      </c>
      <c r="N83" s="190"/>
      <c r="O83" s="24">
        <f t="shared" si="8"/>
        <v>1</v>
      </c>
      <c r="U83" s="1">
        <f t="shared" si="6"/>
        <v>89</v>
      </c>
      <c r="V83" s="4" t="str">
        <f t="shared" si="7"/>
        <v/>
      </c>
      <c r="W83" s="4" t="e">
        <f>IF($W$3=$N$3,N83,V83*(1+'Rhaniad y Ddeiliadaeth (Gog)'!C$109)+(V$44*(-(50-$U83)*('Rhaniad y Ddeiliadaeth (Gog)'!C$110/40))))</f>
        <v>#VALUE!</v>
      </c>
      <c r="X83" s="4" t="e">
        <f>W83*(1+'Rhaniad y Ddeiliadaeth (Gog)'!D$109)+(W$44*(-(50-$U83)*('Rhaniad y Ddeiliadaeth (Gog)'!D$110/40)))</f>
        <v>#VALUE!</v>
      </c>
      <c r="Y83" s="4" t="e">
        <f>X83*(1+'Rhaniad y Ddeiliadaeth (Gog)'!E$109)+(X$44*(-(50-$U83)*('Rhaniad y Ddeiliadaeth (Gog)'!E$110/40)))</f>
        <v>#VALUE!</v>
      </c>
      <c r="Z83" s="4" t="e">
        <f>Y83*(1+'Rhaniad y Ddeiliadaeth (Gog)'!F$109)+(Y$44*(-(50-$U83)*('Rhaniad y Ddeiliadaeth (Gog)'!F$110/40)))</f>
        <v>#VALUE!</v>
      </c>
      <c r="AA83" s="4" t="e">
        <f>Z83*(1+'Rhaniad y Ddeiliadaeth (Gog)'!G$109)+(Z$44*(-(50-$U83)*('Rhaniad y Ddeiliadaeth (Gog)'!G$110/40)))</f>
        <v>#VALUE!</v>
      </c>
      <c r="AC83" s="260">
        <v>89</v>
      </c>
      <c r="AD83" s="4">
        <f>IF('Rhaniad y Ddeiliadaeth (Cymru)'!$D$8="Amcangyfrifon LlC",'Incwm (Gogledd)'!E83,'Incwm (Gogledd)'!W83)</f>
        <v>67457.715539455166</v>
      </c>
      <c r="AE83" s="4">
        <f>IF('Rhaniad y Ddeiliadaeth (Cymru)'!$D$8="Amcangyfrifon LlC",'Incwm (Gogledd)'!F83,'Incwm (Gogledd)'!X83)</f>
        <v>70030.324143316015</v>
      </c>
      <c r="AF83" s="4">
        <f>IF('Rhaniad y Ddeiliadaeth (Cymru)'!$D$8="Amcangyfrifon LlC",'Incwm (Gogledd)'!G83,'Incwm (Gogledd)'!Y83)</f>
        <v>72693.335976505419</v>
      </c>
      <c r="AG83" s="4">
        <f>IF('Rhaniad y Ddeiliadaeth (Cymru)'!$D$8="Amcangyfrifon LlC",'Incwm (Gogledd)'!H83,'Incwm (Gogledd)'!Z83)</f>
        <v>75493.429849886947</v>
      </c>
      <c r="AH83" s="4">
        <f>IF('Rhaniad y Ddeiliadaeth (Cymru)'!$D$8="Amcangyfrifon LlC",'Incwm (Gogledd)'!I83,'Incwm (Gogledd)'!AA83)</f>
        <v>78386.183538759869</v>
      </c>
    </row>
    <row r="84" spans="2:34" x14ac:dyDescent="0.35">
      <c r="B84" s="253">
        <v>90</v>
      </c>
      <c r="C84" s="259">
        <v>65350.6</v>
      </c>
      <c r="D84" s="259">
        <v>67328.845650905991</v>
      </c>
      <c r="E84" s="286">
        <f>D84*(1+'Rhaniad y Ddeiliadaeth (Gog)'!C$109)+(D$44*(-(50-$B84)*('Rhaniad y Ddeiliadaeth (Gog)'!C$110/40)))</f>
        <v>69101.500222928458</v>
      </c>
      <c r="F84" s="286">
        <f>E84*(1+'Rhaniad y Ddeiliadaeth (Gog)'!D$109)+(E$44*(-(50-$B84)*('Rhaniad y Ddeiliadaeth (Gog)'!D$110/40)))</f>
        <v>71737.129004263988</v>
      </c>
      <c r="G84" s="286">
        <f>F84*(1+'Rhaniad y Ddeiliadaeth (Gog)'!E$109)+(F$44*(-(50-$B84)*('Rhaniad y Ddeiliadaeth (Gog)'!E$110/40)))</f>
        <v>74465.386639990393</v>
      </c>
      <c r="H84" s="286">
        <f>G84*(1+'Rhaniad y Ddeiliadaeth (Gog)'!F$109)+(G$44*(-(50-$B84)*('Rhaniad y Ddeiliadaeth (Gog)'!F$110/40)))</f>
        <v>77334.090874141475</v>
      </c>
      <c r="I84" s="287">
        <f>H84*(1+'Rhaniad y Ddeiliadaeth (Gog)'!G$109)+(H$44*(-(50-$B84)*('Rhaniad y Ddeiliadaeth (Gog)'!G$110/40)))</f>
        <v>80297.738070091989</v>
      </c>
      <c r="M84" s="37" t="str">
        <f t="shared" si="5"/>
        <v/>
      </c>
      <c r="N84" s="192"/>
      <c r="O84" s="24">
        <f t="shared" si="8"/>
        <v>1</v>
      </c>
      <c r="U84" s="1">
        <f t="shared" si="6"/>
        <v>90</v>
      </c>
      <c r="V84" s="4" t="str">
        <f t="shared" si="7"/>
        <v/>
      </c>
      <c r="W84" s="4" t="e">
        <f>IF($W$3=$N$3,N84,V84*(1+'Rhaniad y Ddeiliadaeth (Gog)'!C$109)+(V$44*(-(50-$U84)*('Rhaniad y Ddeiliadaeth (Gog)'!C$110/40))))</f>
        <v>#VALUE!</v>
      </c>
      <c r="X84" s="4" t="e">
        <f>W84*(1+'Rhaniad y Ddeiliadaeth (Gog)'!D$109)+(W$44*(-(50-$U84)*('Rhaniad y Ddeiliadaeth (Gog)'!D$110/40)))</f>
        <v>#VALUE!</v>
      </c>
      <c r="Y84" s="4" t="e">
        <f>X84*(1+'Rhaniad y Ddeiliadaeth (Gog)'!E$109)+(X$44*(-(50-$U84)*('Rhaniad y Ddeiliadaeth (Gog)'!E$110/40)))</f>
        <v>#VALUE!</v>
      </c>
      <c r="Z84" s="4" t="e">
        <f>Y84*(1+'Rhaniad y Ddeiliadaeth (Gog)'!F$109)+(Y$44*(-(50-$U84)*('Rhaniad y Ddeiliadaeth (Gog)'!F$110/40)))</f>
        <v>#VALUE!</v>
      </c>
      <c r="AA84" s="4" t="e">
        <f>Z84*(1+'Rhaniad y Ddeiliadaeth (Gog)'!G$109)+(Z$44*(-(50-$U84)*('Rhaniad y Ddeiliadaeth (Gog)'!G$110/40)))</f>
        <v>#VALUE!</v>
      </c>
      <c r="AC84" s="260">
        <v>90</v>
      </c>
      <c r="AD84" s="4">
        <f>IF('Rhaniad y Ddeiliadaeth (Cymru)'!$D$8="Amcangyfrifon LlC",'Incwm (Gogledd)'!E84,'Incwm (Gogledd)'!W84)</f>
        <v>69101.500222928458</v>
      </c>
      <c r="AE84" s="4">
        <f>IF('Rhaniad y Ddeiliadaeth (Cymru)'!$D$8="Amcangyfrifon LlC",'Incwm (Gogledd)'!F84,'Incwm (Gogledd)'!X84)</f>
        <v>71737.129004263988</v>
      </c>
      <c r="AF84" s="4">
        <f>IF('Rhaniad y Ddeiliadaeth (Cymru)'!$D$8="Amcangyfrifon LlC",'Incwm (Gogledd)'!G84,'Incwm (Gogledd)'!Y84)</f>
        <v>74465.386639990393</v>
      </c>
      <c r="AG84" s="4">
        <f>IF('Rhaniad y Ddeiliadaeth (Cymru)'!$D$8="Amcangyfrifon LlC",'Incwm (Gogledd)'!H84,'Incwm (Gogledd)'!Z84)</f>
        <v>77334.090874141475</v>
      </c>
      <c r="AH84" s="4">
        <f>IF('Rhaniad y Ddeiliadaeth (Cymru)'!$D$8="Amcangyfrifon LlC",'Incwm (Gogledd)'!I84,'Incwm (Gogledd)'!AA84)</f>
        <v>80297.738070091989</v>
      </c>
    </row>
    <row r="85" spans="2:34" x14ac:dyDescent="0.35">
      <c r="O85" s="24">
        <f>IF(SUM(O4:O84)&gt;0,1,0)</f>
        <v>1</v>
      </c>
    </row>
  </sheetData>
  <mergeCells count="3">
    <mergeCell ref="B2:I2"/>
    <mergeCell ref="K2:N2"/>
    <mergeCell ref="K9:K10"/>
  </mergeCells>
  <dataValidations count="2">
    <dataValidation type="list" allowBlank="1" showInputMessage="1" showErrorMessage="1" sqref="L4">
      <formula1>"2017,2018"</formula1>
    </dataValidation>
    <dataValidation type="decimal" operator="greaterThan" allowBlank="1" showInputMessage="1" showErrorMessage="1" sqref="N4:N84">
      <formula1>0</formula1>
    </dataValidation>
  </dataValidations>
  <pageMargins left="0.7" right="0.7" top="0.75" bottom="0.75" header="0.3" footer="0.3"/>
  <pageSetup paperSize="9"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1:AH85"/>
  <sheetViews>
    <sheetView showGridLines="0" zoomScale="64" zoomScaleNormal="64" workbookViewId="0"/>
  </sheetViews>
  <sheetFormatPr defaultColWidth="9.1796875" defaultRowHeight="14.5" x14ac:dyDescent="0.35"/>
  <cols>
    <col min="1" max="1" width="2.1796875" style="1" customWidth="1"/>
    <col min="2" max="2" width="10.1796875" style="1" bestFit="1" customWidth="1"/>
    <col min="3" max="4" width="9.1796875" style="1"/>
    <col min="5" max="9" width="10.1796875" style="1" bestFit="1" customWidth="1"/>
    <col min="10" max="10" width="9.1796875" style="1"/>
    <col min="11" max="11" width="53.81640625" style="1" customWidth="1"/>
    <col min="12" max="12" width="9.1796875" style="1"/>
    <col min="13" max="13" width="10.1796875" style="1" customWidth="1"/>
    <col min="14" max="14" width="9.1796875" style="1"/>
    <col min="15" max="15" width="9.1796875" style="1" hidden="1" customWidth="1"/>
    <col min="16" max="20" width="9.1796875" style="1"/>
    <col min="21" max="21" width="9.1796875" style="1" hidden="1" customWidth="1"/>
    <col min="22" max="27" width="10.1796875" style="1" hidden="1" customWidth="1"/>
    <col min="28" max="29" width="9.1796875" style="1" customWidth="1"/>
    <col min="30" max="30" width="10.1796875" style="1" customWidth="1"/>
    <col min="31" max="34" width="9.1796875" style="1" customWidth="1"/>
    <col min="35" max="16384" width="9.1796875" style="1"/>
  </cols>
  <sheetData>
    <row r="1" spans="2:34" ht="9.75" customHeight="1" x14ac:dyDescent="0.35"/>
    <row r="2" spans="2:34" ht="26.25" customHeight="1" x14ac:dyDescent="0.35">
      <c r="B2" s="568" t="s">
        <v>133</v>
      </c>
      <c r="C2" s="569"/>
      <c r="D2" s="569"/>
      <c r="E2" s="569"/>
      <c r="F2" s="569"/>
      <c r="G2" s="569"/>
      <c r="H2" s="569"/>
      <c r="I2" s="570"/>
      <c r="K2" s="564" t="s">
        <v>136</v>
      </c>
      <c r="L2" s="565"/>
      <c r="M2" s="565"/>
      <c r="N2" s="566"/>
      <c r="O2" s="39"/>
      <c r="V2" s="1" t="s">
        <v>4</v>
      </c>
      <c r="AC2" s="366" t="s">
        <v>128</v>
      </c>
    </row>
    <row r="3" spans="2:34" x14ac:dyDescent="0.35">
      <c r="B3" s="257" t="s">
        <v>122</v>
      </c>
      <c r="C3" s="325" t="s">
        <v>22</v>
      </c>
      <c r="D3" s="325" t="s">
        <v>21</v>
      </c>
      <c r="E3" s="326" t="s">
        <v>0</v>
      </c>
      <c r="F3" s="326" t="s">
        <v>1</v>
      </c>
      <c r="G3" s="326" t="s">
        <v>2</v>
      </c>
      <c r="H3" s="326" t="s">
        <v>3</v>
      </c>
      <c r="I3" s="38" t="s">
        <v>20</v>
      </c>
      <c r="M3" s="23" t="s">
        <v>122</v>
      </c>
      <c r="N3" s="38">
        <f>L4</f>
        <v>0</v>
      </c>
      <c r="O3" s="40" t="s">
        <v>5</v>
      </c>
      <c r="V3" s="1">
        <v>2017</v>
      </c>
      <c r="W3" s="1">
        <v>2018</v>
      </c>
      <c r="X3" s="1">
        <v>2019</v>
      </c>
      <c r="Y3" s="1">
        <v>2020</v>
      </c>
      <c r="Z3" s="1">
        <v>2021</v>
      </c>
      <c r="AA3" s="1">
        <v>2022</v>
      </c>
      <c r="AD3" s="324" t="str">
        <f>E3</f>
        <v>2019/20</v>
      </c>
      <c r="AE3" s="324" t="str">
        <f t="shared" ref="AE3:AH3" si="0">F3</f>
        <v>2020/21</v>
      </c>
      <c r="AF3" s="324" t="str">
        <f t="shared" si="0"/>
        <v>2021/22</v>
      </c>
      <c r="AG3" s="324" t="str">
        <f t="shared" si="0"/>
        <v>2022/23</v>
      </c>
      <c r="AH3" s="324" t="str">
        <f t="shared" si="0"/>
        <v>2023/24</v>
      </c>
    </row>
    <row r="4" spans="2:34" x14ac:dyDescent="0.35">
      <c r="B4" s="251">
        <v>10</v>
      </c>
      <c r="C4" s="258">
        <v>11560</v>
      </c>
      <c r="D4" s="258">
        <v>11841.015114230315</v>
      </c>
      <c r="E4" s="278">
        <f>D4*(1+'Rhaniad y Ddeiliadaeth (Canol)'!C$109)+(D$44*(-(50-$B4)*('Rhaniad y Ddeiliadaeth (Canol)'!C$110/40)))</f>
        <v>11849.861229211752</v>
      </c>
      <c r="F4" s="278">
        <f>E4*(1+'Rhaniad y Ddeiliadaeth (Canol)'!D$109)+(E$44*(-(50-$B4)*('Rhaniad y Ddeiliadaeth (Canol)'!D$110/40)))</f>
        <v>11993.296244199972</v>
      </c>
      <c r="G4" s="278">
        <f>F4*(1+'Rhaniad y Ddeiliadaeth (Canol)'!E$109)+(F$44*(-(50-$B4)*('Rhaniad y Ddeiliadaeth (Canol)'!E$110/40)))</f>
        <v>12131.495757612736</v>
      </c>
      <c r="H4" s="278">
        <f>G4*(1+'Rhaniad y Ddeiliadaeth (Canol)'!F$109)+(G$44*(-(50-$B4)*('Rhaniad y Ddeiliadaeth (Canol)'!F$110/40)))</f>
        <v>12271.282491880231</v>
      </c>
      <c r="I4" s="279">
        <f>H4*(1+'Rhaniad y Ddeiliadaeth (Canol)'!G$109)+(H$44*(-(50-$B4)*('Rhaniad y Ddeiliadaeth (Canol)'!G$110/40)))</f>
        <v>12403.874628838585</v>
      </c>
      <c r="J4" s="4"/>
      <c r="K4" s="41" t="str">
        <f>IF('Rhaniad y Ddeiliadaeth (Canol)'!D8="Arall","Dewiswch data ar gyfer pa flwyddyn:","")</f>
        <v/>
      </c>
      <c r="L4" s="201"/>
      <c r="M4" s="36" t="str">
        <f t="shared" ref="M4:M67" si="1">IF(ISBLANK($L$4),"",B4)</f>
        <v/>
      </c>
      <c r="N4" s="190"/>
      <c r="O4" s="13">
        <f>IF(ISBLANK(N4),1,0)</f>
        <v>1</v>
      </c>
      <c r="P4" s="10" t="str">
        <f>IF(K4="","","&lt;&lt; Rhowch y gwerthoedd yma.")</f>
        <v/>
      </c>
      <c r="U4" s="1">
        <f t="shared" ref="U4:U67" si="2">B4</f>
        <v>10</v>
      </c>
      <c r="V4" s="4" t="str">
        <f t="shared" ref="V4:V67" si="3">IF($N$3=$V$3,N4,"")</f>
        <v/>
      </c>
      <c r="W4" s="4" t="e">
        <f>IF($W$3=$N$3,N4,V4*(1+'Rhaniad y Ddeiliadaeth (Canol)'!C$109)+(V$44*(-(50-$U4)*('Rhaniad y Ddeiliadaeth (Canol)'!C$110/40))))</f>
        <v>#VALUE!</v>
      </c>
      <c r="X4" s="4" t="e">
        <f>W4*(1+'Rhaniad y Ddeiliadaeth (Canol)'!D$109)+(W$44*(-(50-$U4)*('Rhaniad y Ddeiliadaeth (Canol)'!D$110/40)))</f>
        <v>#VALUE!</v>
      </c>
      <c r="Y4" s="4" t="e">
        <f>X4*(1+'Rhaniad y Ddeiliadaeth (Canol)'!E$109)+(X$44*(-(50-$U4)*('Rhaniad y Ddeiliadaeth (Canol)'!E$110/40)))</f>
        <v>#VALUE!</v>
      </c>
      <c r="Z4" s="4" t="e">
        <f>Y4*(1+'Rhaniad y Ddeiliadaeth (Canol)'!F$109)+(Y$44*(-(50-$U4)*('Rhaniad y Ddeiliadaeth (Canol)'!F$110/40)))</f>
        <v>#VALUE!</v>
      </c>
      <c r="AA4" s="4" t="e">
        <f>Z4*(1+'Rhaniad y Ddeiliadaeth (Canol)'!G$109)+(Z$44*(-(50-$U4)*('Rhaniad y Ddeiliadaeth (Canol)'!G$110/40)))</f>
        <v>#VALUE!</v>
      </c>
      <c r="AC4" s="260">
        <v>10</v>
      </c>
      <c r="AD4" s="4">
        <f>IF('Rhaniad y Ddeiliadaeth (Cymru)'!$D$8="Amcangyfrifon LlC",'Incwm (Canolbarth)'!E4,'Incwm (Canolbarth)'!W4)</f>
        <v>11849.861229211752</v>
      </c>
      <c r="AE4" s="4">
        <f>IF('Rhaniad y Ddeiliadaeth (Cymru)'!$D$8="Amcangyfrifon LlC",'Incwm (Canolbarth)'!F4,'Incwm (Canolbarth)'!X4)</f>
        <v>11993.296244199972</v>
      </c>
      <c r="AF4" s="4">
        <f>IF('Rhaniad y Ddeiliadaeth (Cymru)'!$D$8="Amcangyfrifon LlC",'Incwm (Canolbarth)'!G4,'Incwm (Canolbarth)'!Y4)</f>
        <v>12131.495757612736</v>
      </c>
      <c r="AG4" s="4">
        <f>IF('Rhaniad y Ddeiliadaeth (Cymru)'!$D$8="Amcangyfrifon LlC",'Incwm (Canolbarth)'!H4,'Incwm (Canolbarth)'!Z4)</f>
        <v>12271.282491880231</v>
      </c>
      <c r="AH4" s="4">
        <f>IF('Rhaniad y Ddeiliadaeth (Cymru)'!$D$8="Amcangyfrifon LlC",'Incwm (Canolbarth)'!I4,'Incwm (Canolbarth)'!AA4)</f>
        <v>12403.874628838585</v>
      </c>
    </row>
    <row r="5" spans="2:34" x14ac:dyDescent="0.35">
      <c r="B5" s="251">
        <v>11</v>
      </c>
      <c r="C5" s="258">
        <v>11968</v>
      </c>
      <c r="D5" s="258">
        <v>12258.93329473256</v>
      </c>
      <c r="E5" s="278">
        <f>D5*(1+'Rhaniad y Ddeiliadaeth (Canol)'!C$109)+(D$44*(-(50-$B5)*('Rhaniad y Ddeiliadaeth (Canol)'!C$110/40)))</f>
        <v>12283.583566601512</v>
      </c>
      <c r="F5" s="278">
        <f>E5*(1+'Rhaniad y Ddeiliadaeth (Canol)'!D$109)+(E$44*(-(50-$B5)*('Rhaniad y Ddeiliadaeth (Canol)'!D$110/40)))</f>
        <v>12448.451640323026</v>
      </c>
      <c r="G5" s="278">
        <f>F5*(1+'Rhaniad y Ddeiliadaeth (Canol)'!E$109)+(F$44*(-(50-$B5)*('Rhaniad y Ddeiliadaeth (Canol)'!E$110/40)))</f>
        <v>12609.000357037823</v>
      </c>
      <c r="H5" s="278">
        <f>G5*(1+'Rhaniad y Ddeiliadaeth (Canol)'!F$109)+(G$44*(-(50-$B5)*('Rhaniad y Ddeiliadaeth (Canol)'!F$110/40)))</f>
        <v>12772.374402041771</v>
      </c>
      <c r="I5" s="279">
        <f>H5*(1+'Rhaniad y Ddeiliadaeth (Canol)'!G$109)+(H$44*(-(50-$B5)*('Rhaniad y Ddeiliadaeth (Canol)'!G$110/40)))</f>
        <v>12929.521860443094</v>
      </c>
      <c r="K5" s="42" t="str">
        <f>IF(K4="","","Dim ond data ar gyfer un blwyddyn sydd angen (naill ai 2017 neu 2018)")</f>
        <v/>
      </c>
      <c r="M5" s="36" t="str">
        <f t="shared" si="1"/>
        <v/>
      </c>
      <c r="N5" s="190"/>
      <c r="O5" s="13">
        <f t="shared" ref="O5:O68" si="4">IF(ISBLANK(N5),1,0)</f>
        <v>1</v>
      </c>
      <c r="U5" s="1">
        <f t="shared" si="2"/>
        <v>11</v>
      </c>
      <c r="V5" s="4" t="str">
        <f t="shared" si="3"/>
        <v/>
      </c>
      <c r="W5" s="4" t="e">
        <f>IF($W$3=$N$3,N5,V5*(1+'Rhaniad y Ddeiliadaeth (Canol)'!C$109)+(V$44*(-(50-$U5)*('Rhaniad y Ddeiliadaeth (Canol)'!C$110/40))))</f>
        <v>#VALUE!</v>
      </c>
      <c r="X5" s="4" t="e">
        <f>W5*(1+'Rhaniad y Ddeiliadaeth (Canol)'!D$109)+(W$44*(-(50-$U5)*('Rhaniad y Ddeiliadaeth (Canol)'!D$110/40)))</f>
        <v>#VALUE!</v>
      </c>
      <c r="Y5" s="4" t="e">
        <f>X5*(1+'Rhaniad y Ddeiliadaeth (Canol)'!E$109)+(X$44*(-(50-$U5)*('Rhaniad y Ddeiliadaeth (Canol)'!E$110/40)))</f>
        <v>#VALUE!</v>
      </c>
      <c r="Z5" s="4" t="e">
        <f>Y5*(1+'Rhaniad y Ddeiliadaeth (Canol)'!F$109)+(Y$44*(-(50-$U5)*('Rhaniad y Ddeiliadaeth (Canol)'!F$110/40)))</f>
        <v>#VALUE!</v>
      </c>
      <c r="AA5" s="4" t="e">
        <f>Z5*(1+'Rhaniad y Ddeiliadaeth (Canol)'!G$109)+(Z$44*(-(50-$U5)*('Rhaniad y Ddeiliadaeth (Canol)'!G$110/40)))</f>
        <v>#VALUE!</v>
      </c>
      <c r="AC5" s="260">
        <v>11</v>
      </c>
      <c r="AD5" s="4">
        <f>IF('Rhaniad y Ddeiliadaeth (Cymru)'!$D$8="Amcangyfrifon LlC",'Incwm (Canolbarth)'!E5,'Incwm (Canolbarth)'!W5)</f>
        <v>12283.583566601512</v>
      </c>
      <c r="AE5" s="4">
        <f>IF('Rhaniad y Ddeiliadaeth (Cymru)'!$D$8="Amcangyfrifon LlC",'Incwm (Canolbarth)'!F5,'Incwm (Canolbarth)'!X5)</f>
        <v>12448.451640323026</v>
      </c>
      <c r="AF5" s="4">
        <f>IF('Rhaniad y Ddeiliadaeth (Cymru)'!$D$8="Amcangyfrifon LlC",'Incwm (Canolbarth)'!G5,'Incwm (Canolbarth)'!Y5)</f>
        <v>12609.000357037823</v>
      </c>
      <c r="AG5" s="4">
        <f>IF('Rhaniad y Ddeiliadaeth (Cymru)'!$D$8="Amcangyfrifon LlC",'Incwm (Canolbarth)'!H5,'Incwm (Canolbarth)'!Z5)</f>
        <v>12772.374402041771</v>
      </c>
      <c r="AH5" s="4">
        <f>IF('Rhaniad y Ddeiliadaeth (Cymru)'!$D$8="Amcangyfrifon LlC",'Incwm (Canolbarth)'!I5,'Incwm (Canolbarth)'!AA5)</f>
        <v>12929.521860443094</v>
      </c>
    </row>
    <row r="6" spans="2:34" x14ac:dyDescent="0.35">
      <c r="B6" s="251">
        <v>12</v>
      </c>
      <c r="C6" s="258">
        <v>12618.64</v>
      </c>
      <c r="D6" s="258">
        <v>12925.389875521731</v>
      </c>
      <c r="E6" s="278">
        <f>D6*(1+'Rhaniad y Ddeiliadaeth (Canol)'!C$109)+(D$44*(-(50-$B6)*('Rhaniad y Ddeiliadaeth (Canol)'!C$110/40)))</f>
        <v>12971.423043389619</v>
      </c>
      <c r="F6" s="278">
        <f>E6*(1+'Rhaniad y Ddeiliadaeth (Canol)'!D$109)+(E$44*(-(50-$B6)*('Rhaniad y Ddeiliadaeth (Canol)'!D$110/40)))</f>
        <v>13166.433780108371</v>
      </c>
      <c r="G6" s="278">
        <f>F6*(1+'Rhaniad y Ddeiliadaeth (Canol)'!E$109)+(F$44*(-(50-$B6)*('Rhaniad y Ddeiliadaeth (Canol)'!E$110/40)))</f>
        <v>13358.314668471781</v>
      </c>
      <c r="H6" s="278">
        <f>G6*(1+'Rhaniad y Ddeiliadaeth (Canol)'!F$109)+(G$44*(-(50-$B6)*('Rhaniad y Ddeiliadaeth (Canol)'!F$110/40)))</f>
        <v>13554.70381676191</v>
      </c>
      <c r="I6" s="279">
        <f>H6*(1+'Rhaniad y Ddeiliadaeth (Canol)'!G$109)+(H$44*(-(50-$B6)*('Rhaniad y Ddeiliadaeth (Canol)'!G$110/40)))</f>
        <v>13746.108758869777</v>
      </c>
      <c r="M6" s="36" t="str">
        <f t="shared" si="1"/>
        <v/>
      </c>
      <c r="N6" s="190"/>
      <c r="O6" s="13">
        <f t="shared" si="4"/>
        <v>1</v>
      </c>
      <c r="U6" s="1">
        <f t="shared" si="2"/>
        <v>12</v>
      </c>
      <c r="V6" s="4" t="str">
        <f t="shared" si="3"/>
        <v/>
      </c>
      <c r="W6" s="4" t="e">
        <f>IF($W$3=$N$3,N6,V6*(1+'Rhaniad y Ddeiliadaeth (Canol)'!C$109)+(V$44*(-(50-$U6)*('Rhaniad y Ddeiliadaeth (Canol)'!C$110/40))))</f>
        <v>#VALUE!</v>
      </c>
      <c r="X6" s="4" t="e">
        <f>W6*(1+'Rhaniad y Ddeiliadaeth (Canol)'!D$109)+(W$44*(-(50-$U6)*('Rhaniad y Ddeiliadaeth (Canol)'!D$110/40)))</f>
        <v>#VALUE!</v>
      </c>
      <c r="Y6" s="4" t="e">
        <f>X6*(1+'Rhaniad y Ddeiliadaeth (Canol)'!E$109)+(X$44*(-(50-$U6)*('Rhaniad y Ddeiliadaeth (Canol)'!E$110/40)))</f>
        <v>#VALUE!</v>
      </c>
      <c r="Z6" s="4" t="e">
        <f>Y6*(1+'Rhaniad y Ddeiliadaeth (Canol)'!F$109)+(Y$44*(-(50-$U6)*('Rhaniad y Ddeiliadaeth (Canol)'!F$110/40)))</f>
        <v>#VALUE!</v>
      </c>
      <c r="AA6" s="4" t="e">
        <f>Z6*(1+'Rhaniad y Ddeiliadaeth (Canol)'!G$109)+(Z$44*(-(50-$U6)*('Rhaniad y Ddeiliadaeth (Canol)'!G$110/40)))</f>
        <v>#VALUE!</v>
      </c>
      <c r="AC6" s="260">
        <v>12</v>
      </c>
      <c r="AD6" s="4">
        <f>IF('Rhaniad y Ddeiliadaeth (Cymru)'!$D$8="Amcangyfrifon LlC",'Incwm (Canolbarth)'!E6,'Incwm (Canolbarth)'!W6)</f>
        <v>12971.423043389619</v>
      </c>
      <c r="AE6" s="4">
        <f>IF('Rhaniad y Ddeiliadaeth (Cymru)'!$D$8="Amcangyfrifon LlC",'Incwm (Canolbarth)'!F6,'Incwm (Canolbarth)'!X6)</f>
        <v>13166.433780108371</v>
      </c>
      <c r="AF6" s="4">
        <f>IF('Rhaniad y Ddeiliadaeth (Cymru)'!$D$8="Amcangyfrifon LlC",'Incwm (Canolbarth)'!G6,'Incwm (Canolbarth)'!Y6)</f>
        <v>13358.314668471781</v>
      </c>
      <c r="AG6" s="4">
        <f>IF('Rhaniad y Ddeiliadaeth (Cymru)'!$D$8="Amcangyfrifon LlC",'Incwm (Canolbarth)'!H6,'Incwm (Canolbarth)'!Z6)</f>
        <v>13554.70381676191</v>
      </c>
      <c r="AH6" s="4">
        <f>IF('Rhaniad y Ddeiliadaeth (Cymru)'!$D$8="Amcangyfrifon LlC",'Incwm (Canolbarth)'!I6,'Incwm (Canolbarth)'!AA6)</f>
        <v>13746.108758869777</v>
      </c>
    </row>
    <row r="7" spans="2:34" x14ac:dyDescent="0.35">
      <c r="B7" s="251">
        <v>13</v>
      </c>
      <c r="C7" s="258">
        <v>12919.199999999999</v>
      </c>
      <c r="D7" s="258">
        <v>13233.256268491719</v>
      </c>
      <c r="E7" s="278">
        <f>D7*(1+'Rhaniad y Ddeiliadaeth (Canol)'!C$109)+(D$44*(-(50-$B7)*('Rhaniad y Ddeiliadaeth (Canol)'!C$110/40)))</f>
        <v>13292.623350376482</v>
      </c>
      <c r="F7" s="278">
        <f>E7*(1+'Rhaniad y Ddeiliadaeth (Canol)'!D$109)+(E$44*(-(50-$B7)*('Rhaniad y Ddeiliadaeth (Canol)'!D$110/40)))</f>
        <v>13505.210568668468</v>
      </c>
      <c r="G7" s="278">
        <f>F7*(1+'Rhaniad y Ddeiliadaeth (Canol)'!E$109)+(F$44*(-(50-$B7)*('Rhaniad y Ddeiliadaeth (Canol)'!E$110/40)))</f>
        <v>13715.463038675665</v>
      </c>
      <c r="H7" s="278">
        <f>G7*(1+'Rhaniad y Ddeiliadaeth (Canol)'!F$109)+(G$44*(-(50-$B7)*('Rhaniad y Ddeiliadaeth (Canol)'!F$110/40)))</f>
        <v>13931.264909705453</v>
      </c>
      <c r="I7" s="279">
        <f>H7*(1+'Rhaniad y Ddeiliadaeth (Canol)'!G$109)+(H$44*(-(50-$B7)*('Rhaniad y Ddeiliadaeth (Canol)'!G$110/40)))</f>
        <v>14142.929095471924</v>
      </c>
      <c r="K7" s="10" t="str">
        <f>IF(K4="","",IF(O85=1,"Dewis defnyddiwr anghyflawn",IF(O85=0,"Dewis defnyddiwr yn gyflawn","")))</f>
        <v/>
      </c>
      <c r="M7" s="36" t="str">
        <f t="shared" si="1"/>
        <v/>
      </c>
      <c r="N7" s="190"/>
      <c r="O7" s="13">
        <f t="shared" si="4"/>
        <v>1</v>
      </c>
      <c r="U7" s="1">
        <f t="shared" si="2"/>
        <v>13</v>
      </c>
      <c r="V7" s="4" t="str">
        <f t="shared" si="3"/>
        <v/>
      </c>
      <c r="W7" s="4" t="e">
        <f>IF($W$3=$N$3,N7,V7*(1+'Rhaniad y Ddeiliadaeth (Canol)'!C$109)+(V$44*(-(50-$U7)*('Rhaniad y Ddeiliadaeth (Canol)'!C$110/40))))</f>
        <v>#VALUE!</v>
      </c>
      <c r="X7" s="4" t="e">
        <f>W7*(1+'Rhaniad y Ddeiliadaeth (Canol)'!D$109)+(W$44*(-(50-$U7)*('Rhaniad y Ddeiliadaeth (Canol)'!D$110/40)))</f>
        <v>#VALUE!</v>
      </c>
      <c r="Y7" s="4" t="e">
        <f>X7*(1+'Rhaniad y Ddeiliadaeth (Canol)'!E$109)+(X$44*(-(50-$U7)*('Rhaniad y Ddeiliadaeth (Canol)'!E$110/40)))</f>
        <v>#VALUE!</v>
      </c>
      <c r="Z7" s="4" t="e">
        <f>Y7*(1+'Rhaniad y Ddeiliadaeth (Canol)'!F$109)+(Y$44*(-(50-$U7)*('Rhaniad y Ddeiliadaeth (Canol)'!F$110/40)))</f>
        <v>#VALUE!</v>
      </c>
      <c r="AA7" s="4" t="e">
        <f>Z7*(1+'Rhaniad y Ddeiliadaeth (Canol)'!G$109)+(Z$44*(-(50-$U7)*('Rhaniad y Ddeiliadaeth (Canol)'!G$110/40)))</f>
        <v>#VALUE!</v>
      </c>
      <c r="AC7" s="260">
        <v>13</v>
      </c>
      <c r="AD7" s="4">
        <f>IF('Rhaniad y Ddeiliadaeth (Cymru)'!$D$8="Amcangyfrifon LlC",'Incwm (Canolbarth)'!E7,'Incwm (Canolbarth)'!W7)</f>
        <v>13292.623350376482</v>
      </c>
      <c r="AE7" s="4">
        <f>IF('Rhaniad y Ddeiliadaeth (Cymru)'!$D$8="Amcangyfrifon LlC",'Incwm (Canolbarth)'!F7,'Incwm (Canolbarth)'!X7)</f>
        <v>13505.210568668468</v>
      </c>
      <c r="AF7" s="4">
        <f>IF('Rhaniad y Ddeiliadaeth (Cymru)'!$D$8="Amcangyfrifon LlC",'Incwm (Canolbarth)'!G7,'Incwm (Canolbarth)'!Y7)</f>
        <v>13715.463038675665</v>
      </c>
      <c r="AG7" s="4">
        <f>IF('Rhaniad y Ddeiliadaeth (Cymru)'!$D$8="Amcangyfrifon LlC",'Incwm (Canolbarth)'!H7,'Incwm (Canolbarth)'!Z7)</f>
        <v>13931.264909705453</v>
      </c>
      <c r="AH7" s="4">
        <f>IF('Rhaniad y Ddeiliadaeth (Cymru)'!$D$8="Amcangyfrifon LlC",'Incwm (Canolbarth)'!I7,'Incwm (Canolbarth)'!AA7)</f>
        <v>14142.929095471924</v>
      </c>
    </row>
    <row r="8" spans="2:34" x14ac:dyDescent="0.35">
      <c r="B8" s="251">
        <v>14</v>
      </c>
      <c r="C8" s="258">
        <v>12968.099999999999</v>
      </c>
      <c r="D8" s="258">
        <v>13283.344991596032</v>
      </c>
      <c r="E8" s="278">
        <f>D8*(1+'Rhaniad y Ddeiliadaeth (Canol)'!C$109)+(D$44*(-(50-$B8)*('Rhaniad y Ddeiliadaeth (Canol)'!C$110/40)))</f>
        <v>13350.259862024617</v>
      </c>
      <c r="F8" s="278">
        <f>E8*(1+'Rhaniad y Ddeiliadaeth (Canol)'!D$109)+(E$44*(-(50-$B8)*('Rhaniad y Ddeiliadaeth (Canol)'!D$110/40)))</f>
        <v>13571.3901831845</v>
      </c>
      <c r="G8" s="278">
        <f>F8*(1+'Rhaniad y Ddeiliadaeth (Canol)'!E$109)+(F$44*(-(50-$B8)*('Rhaniad y Ddeiliadaeth (Canol)'!E$110/40)))</f>
        <v>13790.697329897714</v>
      </c>
      <c r="H8" s="278">
        <f>G8*(1+'Rhaniad y Ddeiliadaeth (Canol)'!F$109)+(G$44*(-(50-$B8)*('Rhaniad y Ddeiliadaeth (Canol)'!F$110/40)))</f>
        <v>14016.133658446814</v>
      </c>
      <c r="I8" s="279">
        <f>H8*(1+'Rhaniad y Ddeiliadaeth (Canol)'!G$109)+(H$44*(-(50-$B8)*('Rhaniad y Ddeiliadaeth (Canol)'!G$110/40)))</f>
        <v>14237.994253404153</v>
      </c>
      <c r="M8" s="36" t="str">
        <f t="shared" si="1"/>
        <v/>
      </c>
      <c r="N8" s="190"/>
      <c r="O8" s="13">
        <f t="shared" si="4"/>
        <v>1</v>
      </c>
      <c r="U8" s="1">
        <f t="shared" si="2"/>
        <v>14</v>
      </c>
      <c r="V8" s="4" t="str">
        <f t="shared" si="3"/>
        <v/>
      </c>
      <c r="W8" s="4" t="e">
        <f>IF($W$3=$N$3,N8,V8*(1+'Rhaniad y Ddeiliadaeth (Canol)'!C$109)+(V$44*(-(50-$U8)*('Rhaniad y Ddeiliadaeth (Canol)'!C$110/40))))</f>
        <v>#VALUE!</v>
      </c>
      <c r="X8" s="4" t="e">
        <f>W8*(1+'Rhaniad y Ddeiliadaeth (Canol)'!D$109)+(W$44*(-(50-$U8)*('Rhaniad y Ddeiliadaeth (Canol)'!D$110/40)))</f>
        <v>#VALUE!</v>
      </c>
      <c r="Y8" s="4" t="e">
        <f>X8*(1+'Rhaniad y Ddeiliadaeth (Canol)'!E$109)+(X$44*(-(50-$U8)*('Rhaniad y Ddeiliadaeth (Canol)'!E$110/40)))</f>
        <v>#VALUE!</v>
      </c>
      <c r="Z8" s="4" t="e">
        <f>Y8*(1+'Rhaniad y Ddeiliadaeth (Canol)'!F$109)+(Y$44*(-(50-$U8)*('Rhaniad y Ddeiliadaeth (Canol)'!F$110/40)))</f>
        <v>#VALUE!</v>
      </c>
      <c r="AA8" s="4" t="e">
        <f>Z8*(1+'Rhaniad y Ddeiliadaeth (Canol)'!G$109)+(Z$44*(-(50-$U8)*('Rhaniad y Ddeiliadaeth (Canol)'!G$110/40)))</f>
        <v>#VALUE!</v>
      </c>
      <c r="AC8" s="260">
        <v>14</v>
      </c>
      <c r="AD8" s="4">
        <f>IF('Rhaniad y Ddeiliadaeth (Cymru)'!$D$8="Amcangyfrifon LlC",'Incwm (Canolbarth)'!E8,'Incwm (Canolbarth)'!W8)</f>
        <v>13350.259862024617</v>
      </c>
      <c r="AE8" s="4">
        <f>IF('Rhaniad y Ddeiliadaeth (Cymru)'!$D$8="Amcangyfrifon LlC",'Incwm (Canolbarth)'!F8,'Incwm (Canolbarth)'!X8)</f>
        <v>13571.3901831845</v>
      </c>
      <c r="AF8" s="4">
        <f>IF('Rhaniad y Ddeiliadaeth (Cymru)'!$D$8="Amcangyfrifon LlC",'Incwm (Canolbarth)'!G8,'Incwm (Canolbarth)'!Y8)</f>
        <v>13790.697329897714</v>
      </c>
      <c r="AG8" s="4">
        <f>IF('Rhaniad y Ddeiliadaeth (Cymru)'!$D$8="Amcangyfrifon LlC",'Incwm (Canolbarth)'!H8,'Incwm (Canolbarth)'!Z8)</f>
        <v>14016.133658446814</v>
      </c>
      <c r="AH8" s="4">
        <f>IF('Rhaniad y Ddeiliadaeth (Cymru)'!$D$8="Amcangyfrifon LlC",'Incwm (Canolbarth)'!I8,'Incwm (Canolbarth)'!AA8)</f>
        <v>14237.994253404153</v>
      </c>
    </row>
    <row r="9" spans="2:34" ht="14.5" customHeight="1" x14ac:dyDescent="0.35">
      <c r="B9" s="251">
        <v>15</v>
      </c>
      <c r="C9" s="258">
        <v>13631.8</v>
      </c>
      <c r="D9" s="258">
        <v>13963.179051398338</v>
      </c>
      <c r="E9" s="278">
        <f>D9*(1+'Rhaniad y Ddeiliadaeth (Canol)'!C$109)+(D$44*(-(50-$B9)*('Rhaniad y Ddeiliadaeth (Canol)'!C$110/40)))</f>
        <v>14051.777091205333</v>
      </c>
      <c r="F9" s="278">
        <f>E9*(1+'Rhaniad y Ddeiliadaeth (Canol)'!D$109)+(E$44*(-(50-$B9)*('Rhaniad y Ddeiliadaeth (Canol)'!D$110/40)))</f>
        <v>14303.518866294231</v>
      </c>
      <c r="G9" s="278">
        <f>F9*(1+'Rhaniad y Ddeiliadaeth (Canol)'!E$109)+(F$44*(-(50-$B9)*('Rhaniad y Ddeiliadaeth (Canol)'!E$110/40)))</f>
        <v>14554.641689299177</v>
      </c>
      <c r="H9" s="278">
        <f>G9*(1+'Rhaniad y Ddeiliadaeth (Canol)'!F$109)+(G$44*(-(50-$B9)*('Rhaniad y Ddeiliadaeth (Canol)'!F$110/40)))</f>
        <v>14813.60056826065</v>
      </c>
      <c r="I9" s="279">
        <f>H9*(1+'Rhaniad y Ddeiliadaeth (Canol)'!G$109)+(H$44*(-(50-$B9)*('Rhaniad y Ddeiliadaeth (Canol)'!G$110/40)))</f>
        <v>15070.240861889759</v>
      </c>
      <c r="K9" s="567" t="str">
        <f>IF(K4="","Os ydych am ddefnyddio eich dosraniad data incwm eich hunan, newidiwch y dewis yn y blwch","")</f>
        <v>Os ydych am ddefnyddio eich dosraniad data incwm eich hunan, newidiwch y dewis yn y blwch</v>
      </c>
      <c r="M9" s="36" t="str">
        <f t="shared" si="1"/>
        <v/>
      </c>
      <c r="N9" s="190"/>
      <c r="O9" s="13">
        <f t="shared" si="4"/>
        <v>1</v>
      </c>
      <c r="U9" s="1">
        <f t="shared" si="2"/>
        <v>15</v>
      </c>
      <c r="V9" s="4" t="str">
        <f t="shared" si="3"/>
        <v/>
      </c>
      <c r="W9" s="4" t="e">
        <f>IF($W$3=$N$3,N9,V9*(1+'Rhaniad y Ddeiliadaeth (Canol)'!C$109)+(V$44*(-(50-$U9)*('Rhaniad y Ddeiliadaeth (Canol)'!C$110/40))))</f>
        <v>#VALUE!</v>
      </c>
      <c r="X9" s="4" t="e">
        <f>W9*(1+'Rhaniad y Ddeiliadaeth (Canol)'!D$109)+(W$44*(-(50-$U9)*('Rhaniad y Ddeiliadaeth (Canol)'!D$110/40)))</f>
        <v>#VALUE!</v>
      </c>
      <c r="Y9" s="4" t="e">
        <f>X9*(1+'Rhaniad y Ddeiliadaeth (Canol)'!E$109)+(X$44*(-(50-$U9)*('Rhaniad y Ddeiliadaeth (Canol)'!E$110/40)))</f>
        <v>#VALUE!</v>
      </c>
      <c r="Z9" s="4" t="e">
        <f>Y9*(1+'Rhaniad y Ddeiliadaeth (Canol)'!F$109)+(Y$44*(-(50-$U9)*('Rhaniad y Ddeiliadaeth (Canol)'!F$110/40)))</f>
        <v>#VALUE!</v>
      </c>
      <c r="AA9" s="4" t="e">
        <f>Z9*(1+'Rhaniad y Ddeiliadaeth (Canol)'!G$109)+(Z$44*(-(50-$U9)*('Rhaniad y Ddeiliadaeth (Canol)'!G$110/40)))</f>
        <v>#VALUE!</v>
      </c>
      <c r="AC9" s="260">
        <v>15</v>
      </c>
      <c r="AD9" s="4">
        <f>IF('Rhaniad y Ddeiliadaeth (Cymru)'!$D$8="Amcangyfrifon LlC",'Incwm (Canolbarth)'!E9,'Incwm (Canolbarth)'!W9)</f>
        <v>14051.777091205333</v>
      </c>
      <c r="AE9" s="4">
        <f>IF('Rhaniad y Ddeiliadaeth (Cymru)'!$D$8="Amcangyfrifon LlC",'Incwm (Canolbarth)'!F9,'Incwm (Canolbarth)'!X9)</f>
        <v>14303.518866294231</v>
      </c>
      <c r="AF9" s="4">
        <f>IF('Rhaniad y Ddeiliadaeth (Cymru)'!$D$8="Amcangyfrifon LlC",'Incwm (Canolbarth)'!G9,'Incwm (Canolbarth)'!Y9)</f>
        <v>14554.641689299177</v>
      </c>
      <c r="AG9" s="4">
        <f>IF('Rhaniad y Ddeiliadaeth (Cymru)'!$D$8="Amcangyfrifon LlC",'Incwm (Canolbarth)'!H9,'Incwm (Canolbarth)'!Z9)</f>
        <v>14813.60056826065</v>
      </c>
      <c r="AH9" s="4">
        <f>IF('Rhaniad y Ddeiliadaeth (Cymru)'!$D$8="Amcangyfrifon LlC",'Incwm (Canolbarth)'!I9,'Incwm (Canolbarth)'!AA9)</f>
        <v>15070.240861889759</v>
      </c>
    </row>
    <row r="10" spans="2:34" x14ac:dyDescent="0.35">
      <c r="B10" s="251">
        <v>16</v>
      </c>
      <c r="C10" s="258">
        <v>13930</v>
      </c>
      <c r="D10" s="258">
        <v>14268.628074500717</v>
      </c>
      <c r="E10" s="278">
        <f>D10*(1+'Rhaniad y Ddeiliadaeth (Canol)'!C$109)+(D$44*(-(50-$B10)*('Rhaniad y Ddeiliadaeth (Canol)'!C$110/40)))</f>
        <v>14370.50576759139</v>
      </c>
      <c r="F10" s="278">
        <f>E10*(1+'Rhaniad y Ddeiliadaeth (Canol)'!D$109)+(E$44*(-(50-$B10)*('Rhaniad y Ddeiliadaeth (Canol)'!D$110/40)))</f>
        <v>14639.739311650228</v>
      </c>
      <c r="G10" s="278">
        <f>F10*(1+'Rhaniad y Ddeiliadaeth (Canol)'!E$109)+(F$44*(-(50-$B10)*('Rhaniad y Ddeiliadaeth (Canol)'!E$110/40)))</f>
        <v>14909.146344862686</v>
      </c>
      <c r="H10" s="278">
        <f>G10*(1+'Rhaniad y Ddeiliadaeth (Canol)'!F$109)+(G$44*(-(50-$B10)*('Rhaniad y Ddeiliadaeth (Canol)'!F$110/40)))</f>
        <v>15187.426248614522</v>
      </c>
      <c r="I10" s="279">
        <f>H10*(1+'Rhaniad y Ddeiliadaeth (Canol)'!G$109)+(H$44*(-(50-$B10)*('Rhaniad y Ddeiliadaeth (Canol)'!G$110/40)))</f>
        <v>15464.231419338839</v>
      </c>
      <c r="K10" s="567"/>
      <c r="M10" s="36" t="str">
        <f t="shared" si="1"/>
        <v/>
      </c>
      <c r="N10" s="190"/>
      <c r="O10" s="13">
        <f t="shared" si="4"/>
        <v>1</v>
      </c>
      <c r="U10" s="1">
        <f t="shared" si="2"/>
        <v>16</v>
      </c>
      <c r="V10" s="4" t="str">
        <f t="shared" si="3"/>
        <v/>
      </c>
      <c r="W10" s="4" t="e">
        <f>IF($W$3=$N$3,N10,V10*(1+'Rhaniad y Ddeiliadaeth (Canol)'!C$109)+(V$44*(-(50-$U10)*('Rhaniad y Ddeiliadaeth (Canol)'!C$110/40))))</f>
        <v>#VALUE!</v>
      </c>
      <c r="X10" s="4" t="e">
        <f>W10*(1+'Rhaniad y Ddeiliadaeth (Canol)'!D$109)+(W$44*(-(50-$U10)*('Rhaniad y Ddeiliadaeth (Canol)'!D$110/40)))</f>
        <v>#VALUE!</v>
      </c>
      <c r="Y10" s="4" t="e">
        <f>X10*(1+'Rhaniad y Ddeiliadaeth (Canol)'!E$109)+(X$44*(-(50-$U10)*('Rhaniad y Ddeiliadaeth (Canol)'!E$110/40)))</f>
        <v>#VALUE!</v>
      </c>
      <c r="Z10" s="4" t="e">
        <f>Y10*(1+'Rhaniad y Ddeiliadaeth (Canol)'!F$109)+(Y$44*(-(50-$U10)*('Rhaniad y Ddeiliadaeth (Canol)'!F$110/40)))</f>
        <v>#VALUE!</v>
      </c>
      <c r="AA10" s="4" t="e">
        <f>Z10*(1+'Rhaniad y Ddeiliadaeth (Canol)'!G$109)+(Z$44*(-(50-$U10)*('Rhaniad y Ddeiliadaeth (Canol)'!G$110/40)))</f>
        <v>#VALUE!</v>
      </c>
      <c r="AC10" s="260">
        <v>16</v>
      </c>
      <c r="AD10" s="4">
        <f>IF('Rhaniad y Ddeiliadaeth (Cymru)'!$D$8="Amcangyfrifon LlC",'Incwm (Canolbarth)'!E10,'Incwm (Canolbarth)'!W10)</f>
        <v>14370.50576759139</v>
      </c>
      <c r="AE10" s="4">
        <f>IF('Rhaniad y Ddeiliadaeth (Cymru)'!$D$8="Amcangyfrifon LlC",'Incwm (Canolbarth)'!F10,'Incwm (Canolbarth)'!X10)</f>
        <v>14639.739311650228</v>
      </c>
      <c r="AF10" s="4">
        <f>IF('Rhaniad y Ddeiliadaeth (Cymru)'!$D$8="Amcangyfrifon LlC",'Incwm (Canolbarth)'!G10,'Incwm (Canolbarth)'!Y10)</f>
        <v>14909.146344862686</v>
      </c>
      <c r="AG10" s="4">
        <f>IF('Rhaniad y Ddeiliadaeth (Cymru)'!$D$8="Amcangyfrifon LlC",'Incwm (Canolbarth)'!H10,'Incwm (Canolbarth)'!Z10)</f>
        <v>15187.426248614522</v>
      </c>
      <c r="AH10" s="4">
        <f>IF('Rhaniad y Ddeiliadaeth (Cymru)'!$D$8="Amcangyfrifon LlC",'Incwm (Canolbarth)'!I10,'Incwm (Canolbarth)'!AA10)</f>
        <v>15464.231419338839</v>
      </c>
    </row>
    <row r="11" spans="2:34" x14ac:dyDescent="0.35">
      <c r="B11" s="251">
        <v>17</v>
      </c>
      <c r="C11" s="258">
        <v>14215.880000000001</v>
      </c>
      <c r="D11" s="258">
        <v>14561.457607446753</v>
      </c>
      <c r="E11" s="278">
        <f>D11*(1+'Rhaniad y Ddeiliadaeth (Canol)'!C$109)+(D$44*(-(50-$B11)*('Rhaniad y Ddeiliadaeth (Canol)'!C$110/40)))</f>
        <v>14676.331694400345</v>
      </c>
      <c r="F11" s="278">
        <f>E11*(1+'Rhaniad y Ddeiliadaeth (Canol)'!D$109)+(E$44*(-(50-$B11)*('Rhaniad y Ddeiliadaeth (Canol)'!D$110/40)))</f>
        <v>14962.614778923802</v>
      </c>
      <c r="G11" s="278">
        <f>F11*(1+'Rhaniad y Ddeiliadaeth (Canol)'!E$109)+(F$44*(-(50-$B11)*('Rhaniad y Ddeiliadaeth (Canol)'!E$110/40)))</f>
        <v>15249.849913828975</v>
      </c>
      <c r="H11" s="278">
        <f>G11*(1+'Rhaniad y Ddeiliadaeth (Canol)'!F$109)+(G$44*(-(50-$B11)*('Rhaniad y Ddeiliadaeth (Canol)'!F$110/40)))</f>
        <v>15546.972147991792</v>
      </c>
      <c r="I11" s="279">
        <f>H11*(1+'Rhaniad y Ddeiliadaeth (Canol)'!G$109)+(H$44*(-(50-$B11)*('Rhaniad y Ddeiliadaeth (Canol)'!G$110/40)))</f>
        <v>15843.449570361732</v>
      </c>
      <c r="K11" s="246"/>
      <c r="M11" s="36" t="str">
        <f t="shared" si="1"/>
        <v/>
      </c>
      <c r="N11" s="190"/>
      <c r="O11" s="13">
        <f t="shared" si="4"/>
        <v>1</v>
      </c>
      <c r="U11" s="1">
        <f t="shared" si="2"/>
        <v>17</v>
      </c>
      <c r="V11" s="4" t="str">
        <f t="shared" si="3"/>
        <v/>
      </c>
      <c r="W11" s="4" t="e">
        <f>IF($W$3=$N$3,N11,V11*(1+'Rhaniad y Ddeiliadaeth (Canol)'!C$109)+(V$44*(-(50-$U11)*('Rhaniad y Ddeiliadaeth (Canol)'!C$110/40))))</f>
        <v>#VALUE!</v>
      </c>
      <c r="X11" s="4" t="e">
        <f>W11*(1+'Rhaniad y Ddeiliadaeth (Canol)'!D$109)+(W$44*(-(50-$U11)*('Rhaniad y Ddeiliadaeth (Canol)'!D$110/40)))</f>
        <v>#VALUE!</v>
      </c>
      <c r="Y11" s="4" t="e">
        <f>X11*(1+'Rhaniad y Ddeiliadaeth (Canol)'!E$109)+(X$44*(-(50-$U11)*('Rhaniad y Ddeiliadaeth (Canol)'!E$110/40)))</f>
        <v>#VALUE!</v>
      </c>
      <c r="Z11" s="4" t="e">
        <f>Y11*(1+'Rhaniad y Ddeiliadaeth (Canol)'!F$109)+(Y$44*(-(50-$U11)*('Rhaniad y Ddeiliadaeth (Canol)'!F$110/40)))</f>
        <v>#VALUE!</v>
      </c>
      <c r="AA11" s="4" t="e">
        <f>Z11*(1+'Rhaniad y Ddeiliadaeth (Canol)'!G$109)+(Z$44*(-(50-$U11)*('Rhaniad y Ddeiliadaeth (Canol)'!G$110/40)))</f>
        <v>#VALUE!</v>
      </c>
      <c r="AC11" s="260">
        <v>17</v>
      </c>
      <c r="AD11" s="4">
        <f>IF('Rhaniad y Ddeiliadaeth (Cymru)'!$D$8="Amcangyfrifon LlC",'Incwm (Canolbarth)'!E11,'Incwm (Canolbarth)'!W11)</f>
        <v>14676.331694400345</v>
      </c>
      <c r="AE11" s="4">
        <f>IF('Rhaniad y Ddeiliadaeth (Cymru)'!$D$8="Amcangyfrifon LlC",'Incwm (Canolbarth)'!F11,'Incwm (Canolbarth)'!X11)</f>
        <v>14962.614778923802</v>
      </c>
      <c r="AF11" s="4">
        <f>IF('Rhaniad y Ddeiliadaeth (Cymru)'!$D$8="Amcangyfrifon LlC",'Incwm (Canolbarth)'!G11,'Incwm (Canolbarth)'!Y11)</f>
        <v>15249.849913828975</v>
      </c>
      <c r="AG11" s="4">
        <f>IF('Rhaniad y Ddeiliadaeth (Cymru)'!$D$8="Amcangyfrifon LlC",'Incwm (Canolbarth)'!H11,'Incwm (Canolbarth)'!Z11)</f>
        <v>15546.972147991792</v>
      </c>
      <c r="AH11" s="4">
        <f>IF('Rhaniad y Ddeiliadaeth (Cymru)'!$D$8="Amcangyfrifon LlC",'Incwm (Canolbarth)'!I11,'Incwm (Canolbarth)'!AA11)</f>
        <v>15843.449570361732</v>
      </c>
    </row>
    <row r="12" spans="2:34" x14ac:dyDescent="0.35">
      <c r="B12" s="251">
        <v>18</v>
      </c>
      <c r="C12" s="258">
        <v>14544</v>
      </c>
      <c r="D12" s="258">
        <v>14897.55396378596</v>
      </c>
      <c r="E12" s="278">
        <f>D12*(1+'Rhaniad y Ddeiliadaeth (Canol)'!C$109)+(D$44*(-(50-$B12)*('Rhaniad y Ddeiliadaeth (Canol)'!C$110/40)))</f>
        <v>15026.395619759358</v>
      </c>
      <c r="F12" s="278">
        <f>E12*(1+'Rhaniad y Ddeiliadaeth (Canol)'!D$109)+(E$44*(-(50-$B12)*('Rhaniad y Ddeiliadaeth (Canol)'!D$110/40)))</f>
        <v>15331.244456765686</v>
      </c>
      <c r="G12" s="278">
        <f>F12*(1+'Rhaniad y Ddeiliadaeth (Canol)'!E$109)+(F$44*(-(50-$B12)*('Rhaniad y Ddeiliadaeth (Canol)'!E$110/40)))</f>
        <v>15637.871493985729</v>
      </c>
      <c r="H12" s="278">
        <f>G12*(1+'Rhaniad y Ddeiliadaeth (Canol)'!F$109)+(G$44*(-(50-$B12)*('Rhaniad y Ddeiliadaeth (Canol)'!F$110/40)))</f>
        <v>15955.477296431687</v>
      </c>
      <c r="I12" s="279">
        <f>H12*(1+'Rhaniad y Ddeiliadaeth (Canol)'!G$109)+(H$44*(-(50-$B12)*('Rhaniad y Ddeiliadaeth (Canol)'!G$110/40)))</f>
        <v>16273.315971988686</v>
      </c>
      <c r="M12" s="36" t="str">
        <f t="shared" si="1"/>
        <v/>
      </c>
      <c r="N12" s="190"/>
      <c r="O12" s="13">
        <f t="shared" si="4"/>
        <v>1</v>
      </c>
      <c r="U12" s="1">
        <f t="shared" si="2"/>
        <v>18</v>
      </c>
      <c r="V12" s="4" t="str">
        <f t="shared" si="3"/>
        <v/>
      </c>
      <c r="W12" s="4" t="e">
        <f>IF($W$3=$N$3,N12,V12*(1+'Rhaniad y Ddeiliadaeth (Canol)'!C$109)+(V$44*(-(50-$U12)*('Rhaniad y Ddeiliadaeth (Canol)'!C$110/40))))</f>
        <v>#VALUE!</v>
      </c>
      <c r="X12" s="4" t="e">
        <f>W12*(1+'Rhaniad y Ddeiliadaeth (Canol)'!D$109)+(W$44*(-(50-$U12)*('Rhaniad y Ddeiliadaeth (Canol)'!D$110/40)))</f>
        <v>#VALUE!</v>
      </c>
      <c r="Y12" s="4" t="e">
        <f>X12*(1+'Rhaniad y Ddeiliadaeth (Canol)'!E$109)+(X$44*(-(50-$U12)*('Rhaniad y Ddeiliadaeth (Canol)'!E$110/40)))</f>
        <v>#VALUE!</v>
      </c>
      <c r="Z12" s="4" t="e">
        <f>Y12*(1+'Rhaniad y Ddeiliadaeth (Canol)'!F$109)+(Y$44*(-(50-$U12)*('Rhaniad y Ddeiliadaeth (Canol)'!F$110/40)))</f>
        <v>#VALUE!</v>
      </c>
      <c r="AA12" s="4" t="e">
        <f>Z12*(1+'Rhaniad y Ddeiliadaeth (Canol)'!G$109)+(Z$44*(-(50-$U12)*('Rhaniad y Ddeiliadaeth (Canol)'!G$110/40)))</f>
        <v>#VALUE!</v>
      </c>
      <c r="AC12" s="260">
        <v>18</v>
      </c>
      <c r="AD12" s="4">
        <f>IF('Rhaniad y Ddeiliadaeth (Cymru)'!$D$8="Amcangyfrifon LlC",'Incwm (Canolbarth)'!E12,'Incwm (Canolbarth)'!W12)</f>
        <v>15026.395619759358</v>
      </c>
      <c r="AE12" s="4">
        <f>IF('Rhaniad y Ddeiliadaeth (Cymru)'!$D$8="Amcangyfrifon LlC",'Incwm (Canolbarth)'!F12,'Incwm (Canolbarth)'!X12)</f>
        <v>15331.244456765686</v>
      </c>
      <c r="AF12" s="4">
        <f>IF('Rhaniad y Ddeiliadaeth (Cymru)'!$D$8="Amcangyfrifon LlC",'Incwm (Canolbarth)'!G12,'Incwm (Canolbarth)'!Y12)</f>
        <v>15637.871493985729</v>
      </c>
      <c r="AG12" s="4">
        <f>IF('Rhaniad y Ddeiliadaeth (Cymru)'!$D$8="Amcangyfrifon LlC",'Incwm (Canolbarth)'!H12,'Incwm (Canolbarth)'!Z12)</f>
        <v>15955.477296431687</v>
      </c>
      <c r="AH12" s="4">
        <f>IF('Rhaniad y Ddeiliadaeth (Cymru)'!$D$8="Amcangyfrifon LlC",'Incwm (Canolbarth)'!I12,'Incwm (Canolbarth)'!AA12)</f>
        <v>16273.315971988686</v>
      </c>
    </row>
    <row r="13" spans="2:34" x14ac:dyDescent="0.35">
      <c r="B13" s="251">
        <v>19</v>
      </c>
      <c r="C13" s="258">
        <v>14682.25</v>
      </c>
      <c r="D13" s="258">
        <v>15039.164719801733</v>
      </c>
      <c r="E13" s="278">
        <f>D13*(1+'Rhaniad y Ddeiliadaeth (Canol)'!C$109)+(D$44*(-(50-$B13)*('Rhaniad y Ddeiliadaeth (Canol)'!C$110/40)))</f>
        <v>15177.608484874532</v>
      </c>
      <c r="F13" s="278">
        <f>E13*(1+'Rhaniad y Ddeiliadaeth (Canol)'!D$109)+(E$44*(-(50-$B13)*('Rhaniad y Ddeiliadaeth (Canol)'!D$110/40)))</f>
        <v>15494.207658267478</v>
      </c>
      <c r="G13" s="278">
        <f>F13*(1+'Rhaniad y Ddeiliadaeth (Canol)'!E$109)+(F$44*(-(50-$B13)*('Rhaniad y Ddeiliadaeth (Canol)'!E$110/40)))</f>
        <v>15813.197269579654</v>
      </c>
      <c r="H13" s="278">
        <f>G13*(1+'Rhaniad y Ddeiliadaeth (Canol)'!F$109)+(G$44*(-(50-$B13)*('Rhaniad y Ddeiliadaeth (Canol)'!F$110/40)))</f>
        <v>16143.909229447323</v>
      </c>
      <c r="I13" s="279">
        <f>H13*(1+'Rhaniad y Ddeiliadaeth (Canol)'!G$109)+(H$44*(-(50-$B13)*('Rhaniad y Ddeiliadaeth (Canol)'!G$110/40)))</f>
        <v>16475.517048279638</v>
      </c>
      <c r="M13" s="36" t="str">
        <f t="shared" si="1"/>
        <v/>
      </c>
      <c r="N13" s="190"/>
      <c r="O13" s="13">
        <f t="shared" si="4"/>
        <v>1</v>
      </c>
      <c r="U13" s="1">
        <f t="shared" si="2"/>
        <v>19</v>
      </c>
      <c r="V13" s="4" t="str">
        <f t="shared" si="3"/>
        <v/>
      </c>
      <c r="W13" s="4" t="e">
        <f>IF($W$3=$N$3,N13,V13*(1+'Rhaniad y Ddeiliadaeth (Canol)'!C$109)+(V$44*(-(50-$U13)*('Rhaniad y Ddeiliadaeth (Canol)'!C$110/40))))</f>
        <v>#VALUE!</v>
      </c>
      <c r="X13" s="4" t="e">
        <f>W13*(1+'Rhaniad y Ddeiliadaeth (Canol)'!D$109)+(W$44*(-(50-$U13)*('Rhaniad y Ddeiliadaeth (Canol)'!D$110/40)))</f>
        <v>#VALUE!</v>
      </c>
      <c r="Y13" s="4" t="e">
        <f>X13*(1+'Rhaniad y Ddeiliadaeth (Canol)'!E$109)+(X$44*(-(50-$U13)*('Rhaniad y Ddeiliadaeth (Canol)'!E$110/40)))</f>
        <v>#VALUE!</v>
      </c>
      <c r="Z13" s="4" t="e">
        <f>Y13*(1+'Rhaniad y Ddeiliadaeth (Canol)'!F$109)+(Y$44*(-(50-$U13)*('Rhaniad y Ddeiliadaeth (Canol)'!F$110/40)))</f>
        <v>#VALUE!</v>
      </c>
      <c r="AA13" s="4" t="e">
        <f>Z13*(1+'Rhaniad y Ddeiliadaeth (Canol)'!G$109)+(Z$44*(-(50-$U13)*('Rhaniad y Ddeiliadaeth (Canol)'!G$110/40)))</f>
        <v>#VALUE!</v>
      </c>
      <c r="AC13" s="260">
        <v>19</v>
      </c>
      <c r="AD13" s="4">
        <f>IF('Rhaniad y Ddeiliadaeth (Cymru)'!$D$8="Amcangyfrifon LlC",'Incwm (Canolbarth)'!E13,'Incwm (Canolbarth)'!W13)</f>
        <v>15177.608484874532</v>
      </c>
      <c r="AE13" s="4">
        <f>IF('Rhaniad y Ddeiliadaeth (Cymru)'!$D$8="Amcangyfrifon LlC",'Incwm (Canolbarth)'!F13,'Incwm (Canolbarth)'!X13)</f>
        <v>15494.207658267478</v>
      </c>
      <c r="AF13" s="4">
        <f>IF('Rhaniad y Ddeiliadaeth (Cymru)'!$D$8="Amcangyfrifon LlC",'Incwm (Canolbarth)'!G13,'Incwm (Canolbarth)'!Y13)</f>
        <v>15813.197269579654</v>
      </c>
      <c r="AG13" s="4">
        <f>IF('Rhaniad y Ddeiliadaeth (Cymru)'!$D$8="Amcangyfrifon LlC",'Incwm (Canolbarth)'!H13,'Incwm (Canolbarth)'!Z13)</f>
        <v>16143.909229447323</v>
      </c>
      <c r="AH13" s="4">
        <f>IF('Rhaniad y Ddeiliadaeth (Cymru)'!$D$8="Amcangyfrifon LlC",'Incwm (Canolbarth)'!I13,'Incwm (Canolbarth)'!AA13)</f>
        <v>16475.517048279638</v>
      </c>
    </row>
    <row r="14" spans="2:34" x14ac:dyDescent="0.35">
      <c r="B14" s="251">
        <v>20</v>
      </c>
      <c r="C14" s="258">
        <v>14970.099999999999</v>
      </c>
      <c r="D14" s="258">
        <v>15353.423016166227</v>
      </c>
      <c r="E14" s="278">
        <f>D14*(1+'Rhaniad y Ddeiliadaeth (Canol)'!C$109)+(D$44*(-(50-$B14)*('Rhaniad y Ddeiliadaeth (Canol)'!C$110/40)))</f>
        <v>15505.344169107113</v>
      </c>
      <c r="F14" s="278">
        <f>E14*(1+'Rhaniad y Ddeiliadaeth (Canol)'!D$109)+(E$44*(-(50-$B14)*('Rhaniad y Ddeiliadaeth (Canol)'!D$110/40)))</f>
        <v>15839.743817424</v>
      </c>
      <c r="G14" s="278">
        <f>F14*(1+'Rhaniad y Ddeiliadaeth (Canol)'!E$109)+(F$44*(-(50-$B14)*('Rhaniad y Ddeiliadaeth (Canol)'!E$110/40)))</f>
        <v>16177.336034100244</v>
      </c>
      <c r="H14" s="278">
        <f>G14*(1+'Rhaniad y Ddeiliadaeth (Canol)'!F$109)+(G$44*(-(50-$B14)*('Rhaniad y Ddeiliadaeth (Canol)'!F$110/40)))</f>
        <v>16527.703180403852</v>
      </c>
      <c r="I14" s="279">
        <f>H14*(1+'Rhaniad y Ddeiliadaeth (Canol)'!G$109)+(H$44*(-(50-$B14)*('Rhaniad y Ddeiliadaeth (Canol)'!G$110/40)))</f>
        <v>16879.819762823423</v>
      </c>
      <c r="M14" s="36" t="str">
        <f t="shared" si="1"/>
        <v/>
      </c>
      <c r="N14" s="190"/>
      <c r="O14" s="13">
        <f t="shared" si="4"/>
        <v>1</v>
      </c>
      <c r="U14" s="1">
        <f t="shared" si="2"/>
        <v>20</v>
      </c>
      <c r="V14" s="4" t="str">
        <f t="shared" si="3"/>
        <v/>
      </c>
      <c r="W14" s="4" t="e">
        <f>IF($W$3=$N$3,N14,V14*(1+'Rhaniad y Ddeiliadaeth (Canol)'!C$109)+(V$44*(-(50-$U14)*('Rhaniad y Ddeiliadaeth (Canol)'!C$110/40))))</f>
        <v>#VALUE!</v>
      </c>
      <c r="X14" s="4" t="e">
        <f>W14*(1+'Rhaniad y Ddeiliadaeth (Canol)'!D$109)+(W$44*(-(50-$U14)*('Rhaniad y Ddeiliadaeth (Canol)'!D$110/40)))</f>
        <v>#VALUE!</v>
      </c>
      <c r="Y14" s="4" t="e">
        <f>X14*(1+'Rhaniad y Ddeiliadaeth (Canol)'!E$109)+(X$44*(-(50-$U14)*('Rhaniad y Ddeiliadaeth (Canol)'!E$110/40)))</f>
        <v>#VALUE!</v>
      </c>
      <c r="Z14" s="4" t="e">
        <f>Y14*(1+'Rhaniad y Ddeiliadaeth (Canol)'!F$109)+(Y$44*(-(50-$U14)*('Rhaniad y Ddeiliadaeth (Canol)'!F$110/40)))</f>
        <v>#VALUE!</v>
      </c>
      <c r="AA14" s="4" t="e">
        <f>Z14*(1+'Rhaniad y Ddeiliadaeth (Canol)'!G$109)+(Z$44*(-(50-$U14)*('Rhaniad y Ddeiliadaeth (Canol)'!G$110/40)))</f>
        <v>#VALUE!</v>
      </c>
      <c r="AC14" s="260">
        <v>20</v>
      </c>
      <c r="AD14" s="4">
        <f>IF('Rhaniad y Ddeiliadaeth (Cymru)'!$D$8="Amcangyfrifon LlC",'Incwm (Canolbarth)'!E14,'Incwm (Canolbarth)'!W14)</f>
        <v>15505.344169107113</v>
      </c>
      <c r="AE14" s="4">
        <f>IF('Rhaniad y Ddeiliadaeth (Cymru)'!$D$8="Amcangyfrifon LlC",'Incwm (Canolbarth)'!F14,'Incwm (Canolbarth)'!X14)</f>
        <v>15839.743817424</v>
      </c>
      <c r="AF14" s="4">
        <f>IF('Rhaniad y Ddeiliadaeth (Cymru)'!$D$8="Amcangyfrifon LlC",'Incwm (Canolbarth)'!G14,'Incwm (Canolbarth)'!Y14)</f>
        <v>16177.336034100244</v>
      </c>
      <c r="AG14" s="4">
        <f>IF('Rhaniad y Ddeiliadaeth (Cymru)'!$D$8="Amcangyfrifon LlC",'Incwm (Canolbarth)'!H14,'Incwm (Canolbarth)'!Z14)</f>
        <v>16527.703180403852</v>
      </c>
      <c r="AH14" s="4">
        <f>IF('Rhaniad y Ddeiliadaeth (Cymru)'!$D$8="Amcangyfrifon LlC",'Incwm (Canolbarth)'!I14,'Incwm (Canolbarth)'!AA14)</f>
        <v>16879.819762823423</v>
      </c>
    </row>
    <row r="15" spans="2:34" x14ac:dyDescent="0.35">
      <c r="B15" s="251">
        <v>21</v>
      </c>
      <c r="C15" s="258">
        <v>15070.099999999999</v>
      </c>
      <c r="D15" s="258">
        <v>15455.983607051832</v>
      </c>
      <c r="E15" s="278">
        <f>D15*(1+'Rhaniad y Ddeiliadaeth (Canol)'!C$109)+(D$44*(-(50-$B15)*('Rhaniad y Ddeiliadaeth (Canol)'!C$110/40)))</f>
        <v>15616.630341830065</v>
      </c>
      <c r="F15" s="278">
        <f>E15*(1+'Rhaniad y Ddeiliadaeth (Canol)'!D$109)+(E$44*(-(50-$B15)*('Rhaniad y Ddeiliadaeth (Canol)'!D$110/40)))</f>
        <v>15961.411880111078</v>
      </c>
      <c r="G15" s="278">
        <f>F15*(1+'Rhaniad y Ddeiliadaeth (Canol)'!E$109)+(F$44*(-(50-$B15)*('Rhaniad y Ddeiliadaeth (Canol)'!E$110/40)))</f>
        <v>16309.955273699428</v>
      </c>
      <c r="H15" s="278">
        <f>G15*(1+'Rhaniad y Ddeiliadaeth (Canol)'!F$109)+(G$44*(-(50-$B15)*('Rhaniad y Ddeiliadaeth (Canol)'!F$110/40)))</f>
        <v>16671.947289802978</v>
      </c>
      <c r="I15" s="279">
        <f>H15*(1+'Rhaniad y Ddeiliadaeth (Canol)'!G$109)+(H$44*(-(50-$B15)*('Rhaniad y Ddeiliadaeth (Canol)'!G$110/40)))</f>
        <v>17036.308619114548</v>
      </c>
      <c r="M15" s="36" t="str">
        <f t="shared" si="1"/>
        <v/>
      </c>
      <c r="N15" s="190"/>
      <c r="O15" s="13">
        <f t="shared" si="4"/>
        <v>1</v>
      </c>
      <c r="U15" s="1">
        <f t="shared" si="2"/>
        <v>21</v>
      </c>
      <c r="V15" s="4" t="str">
        <f t="shared" si="3"/>
        <v/>
      </c>
      <c r="W15" s="4" t="e">
        <f>IF($W$3=$N$3,N15,V15*(1+'Rhaniad y Ddeiliadaeth (Canol)'!C$109)+(V$44*(-(50-$U15)*('Rhaniad y Ddeiliadaeth (Canol)'!C$110/40))))</f>
        <v>#VALUE!</v>
      </c>
      <c r="X15" s="4" t="e">
        <f>W15*(1+'Rhaniad y Ddeiliadaeth (Canol)'!D$109)+(W$44*(-(50-$U15)*('Rhaniad y Ddeiliadaeth (Canol)'!D$110/40)))</f>
        <v>#VALUE!</v>
      </c>
      <c r="Y15" s="4" t="e">
        <f>X15*(1+'Rhaniad y Ddeiliadaeth (Canol)'!E$109)+(X$44*(-(50-$U15)*('Rhaniad y Ddeiliadaeth (Canol)'!E$110/40)))</f>
        <v>#VALUE!</v>
      </c>
      <c r="Z15" s="4" t="e">
        <f>Y15*(1+'Rhaniad y Ddeiliadaeth (Canol)'!F$109)+(Y$44*(-(50-$U15)*('Rhaniad y Ddeiliadaeth (Canol)'!F$110/40)))</f>
        <v>#VALUE!</v>
      </c>
      <c r="AA15" s="4" t="e">
        <f>Z15*(1+'Rhaniad y Ddeiliadaeth (Canol)'!G$109)+(Z$44*(-(50-$U15)*('Rhaniad y Ddeiliadaeth (Canol)'!G$110/40)))</f>
        <v>#VALUE!</v>
      </c>
      <c r="AC15" s="260">
        <v>21</v>
      </c>
      <c r="AD15" s="4">
        <f>IF('Rhaniad y Ddeiliadaeth (Cymru)'!$D$8="Amcangyfrifon LlC",'Incwm (Canolbarth)'!E15,'Incwm (Canolbarth)'!W15)</f>
        <v>15616.630341830065</v>
      </c>
      <c r="AE15" s="4">
        <f>IF('Rhaniad y Ddeiliadaeth (Cymru)'!$D$8="Amcangyfrifon LlC",'Incwm (Canolbarth)'!F15,'Incwm (Canolbarth)'!X15)</f>
        <v>15961.411880111078</v>
      </c>
      <c r="AF15" s="4">
        <f>IF('Rhaniad y Ddeiliadaeth (Cymru)'!$D$8="Amcangyfrifon LlC",'Incwm (Canolbarth)'!G15,'Incwm (Canolbarth)'!Y15)</f>
        <v>16309.955273699428</v>
      </c>
      <c r="AG15" s="4">
        <f>IF('Rhaniad y Ddeiliadaeth (Cymru)'!$D$8="Amcangyfrifon LlC",'Incwm (Canolbarth)'!H15,'Incwm (Canolbarth)'!Z15)</f>
        <v>16671.947289802978</v>
      </c>
      <c r="AH15" s="4">
        <f>IF('Rhaniad y Ddeiliadaeth (Cymru)'!$D$8="Amcangyfrifon LlC",'Incwm (Canolbarth)'!I15,'Incwm (Canolbarth)'!AA15)</f>
        <v>17036.308619114548</v>
      </c>
    </row>
    <row r="16" spans="2:34" x14ac:dyDescent="0.35">
      <c r="B16" s="251">
        <v>22</v>
      </c>
      <c r="C16" s="258">
        <v>15087.5</v>
      </c>
      <c r="D16" s="258">
        <v>15473.829149865931</v>
      </c>
      <c r="E16" s="278">
        <f>D16*(1+'Rhaniad y Ddeiliadaeth (Canol)'!C$109)+(D$44*(-(50-$B16)*('Rhaniad y Ddeiliadaeth (Canol)'!C$110/40)))</f>
        <v>15641.29993677239</v>
      </c>
      <c r="F16" s="278">
        <f>E16*(1+'Rhaniad y Ddeiliadaeth (Canol)'!D$109)+(E$44*(-(50-$B16)*('Rhaniad y Ddeiliadaeth (Canol)'!D$110/40)))</f>
        <v>15993.494670670691</v>
      </c>
      <c r="G16" s="278">
        <f>F16*(1+'Rhaniad y Ddeiliadaeth (Canol)'!E$109)+(F$44*(-(50-$B16)*('Rhaniad y Ddeiliadaeth (Canol)'!E$110/40)))</f>
        <v>16349.927369869059</v>
      </c>
      <c r="H16" s="278">
        <f>G16*(1+'Rhaniad y Ddeiliadaeth (Canol)'!F$109)+(G$44*(-(50-$B16)*('Rhaniad y Ddeiliadaeth (Canol)'!F$110/40)))</f>
        <v>16720.33076482654</v>
      </c>
      <c r="I16" s="279">
        <f>H16*(1+'Rhaniad y Ddeiliadaeth (Canol)'!G$109)+(H$44*(-(50-$B16)*('Rhaniad y Ddeiliadaeth (Canol)'!G$110/40)))</f>
        <v>17093.62983035648</v>
      </c>
      <c r="M16" s="36" t="str">
        <f t="shared" si="1"/>
        <v/>
      </c>
      <c r="N16" s="190"/>
      <c r="O16" s="13">
        <f t="shared" si="4"/>
        <v>1</v>
      </c>
      <c r="U16" s="1">
        <f t="shared" si="2"/>
        <v>22</v>
      </c>
      <c r="V16" s="4" t="str">
        <f t="shared" si="3"/>
        <v/>
      </c>
      <c r="W16" s="4" t="e">
        <f>IF($W$3=$N$3,N16,V16*(1+'Rhaniad y Ddeiliadaeth (Canol)'!C$109)+(V$44*(-(50-$U16)*('Rhaniad y Ddeiliadaeth (Canol)'!C$110/40))))</f>
        <v>#VALUE!</v>
      </c>
      <c r="X16" s="4" t="e">
        <f>W16*(1+'Rhaniad y Ddeiliadaeth (Canol)'!D$109)+(W$44*(-(50-$U16)*('Rhaniad y Ddeiliadaeth (Canol)'!D$110/40)))</f>
        <v>#VALUE!</v>
      </c>
      <c r="Y16" s="4" t="e">
        <f>X16*(1+'Rhaniad y Ddeiliadaeth (Canol)'!E$109)+(X$44*(-(50-$U16)*('Rhaniad y Ddeiliadaeth (Canol)'!E$110/40)))</f>
        <v>#VALUE!</v>
      </c>
      <c r="Z16" s="4" t="e">
        <f>Y16*(1+'Rhaniad y Ddeiliadaeth (Canol)'!F$109)+(Y$44*(-(50-$U16)*('Rhaniad y Ddeiliadaeth (Canol)'!F$110/40)))</f>
        <v>#VALUE!</v>
      </c>
      <c r="AA16" s="4" t="e">
        <f>Z16*(1+'Rhaniad y Ddeiliadaeth (Canol)'!G$109)+(Z$44*(-(50-$U16)*('Rhaniad y Ddeiliadaeth (Canol)'!G$110/40)))</f>
        <v>#VALUE!</v>
      </c>
      <c r="AC16" s="260">
        <v>22</v>
      </c>
      <c r="AD16" s="4">
        <f>IF('Rhaniad y Ddeiliadaeth (Cymru)'!$D$8="Amcangyfrifon LlC",'Incwm (Canolbarth)'!E16,'Incwm (Canolbarth)'!W16)</f>
        <v>15641.29993677239</v>
      </c>
      <c r="AE16" s="4">
        <f>IF('Rhaniad y Ddeiliadaeth (Cymru)'!$D$8="Amcangyfrifon LlC",'Incwm (Canolbarth)'!F16,'Incwm (Canolbarth)'!X16)</f>
        <v>15993.494670670691</v>
      </c>
      <c r="AF16" s="4">
        <f>IF('Rhaniad y Ddeiliadaeth (Cymru)'!$D$8="Amcangyfrifon LlC",'Incwm (Canolbarth)'!G16,'Incwm (Canolbarth)'!Y16)</f>
        <v>16349.927369869059</v>
      </c>
      <c r="AG16" s="4">
        <f>IF('Rhaniad y Ddeiliadaeth (Cymru)'!$D$8="Amcangyfrifon LlC",'Incwm (Canolbarth)'!H16,'Incwm (Canolbarth)'!Z16)</f>
        <v>16720.33076482654</v>
      </c>
      <c r="AH16" s="4">
        <f>IF('Rhaniad y Ddeiliadaeth (Cymru)'!$D$8="Amcangyfrifon LlC",'Incwm (Canolbarth)'!I16,'Incwm (Canolbarth)'!AA16)</f>
        <v>17093.62983035648</v>
      </c>
    </row>
    <row r="17" spans="2:34" x14ac:dyDescent="0.35">
      <c r="B17" s="251">
        <v>23</v>
      </c>
      <c r="C17" s="258">
        <v>15492.5</v>
      </c>
      <c r="D17" s="258">
        <v>15889.199542952638</v>
      </c>
      <c r="E17" s="278">
        <f>D17*(1+'Rhaniad y Ddeiliadaeth (Canol)'!C$109)+(D$44*(-(50-$B17)*('Rhaniad y Ddeiliadaeth (Canol)'!C$110/40)))</f>
        <v>16072.417298636901</v>
      </c>
      <c r="F17" s="278">
        <f>E17*(1+'Rhaniad y Ddeiliadaeth (Canol)'!D$109)+(E$44*(-(50-$B17)*('Rhaniad y Ddeiliadaeth (Canol)'!D$110/40)))</f>
        <v>16445.955808404713</v>
      </c>
      <c r="G17" s="278">
        <f>F17*(1+'Rhaniad y Ddeiliadaeth (Canol)'!E$109)+(F$44*(-(50-$B17)*('Rhaniad y Ddeiliadaeth (Canol)'!E$110/40)))</f>
        <v>16824.64562576382</v>
      </c>
      <c r="H17" s="278">
        <f>G17*(1+'Rhaniad y Ddeiliadaeth (Canol)'!F$109)+(G$44*(-(50-$B17)*('Rhaniad y Ddeiliadaeth (Canol)'!F$110/40)))</f>
        <v>17218.539686387267</v>
      </c>
      <c r="I17" s="279">
        <f>H17*(1+'Rhaniad y Ddeiliadaeth (Canol)'!G$109)+(H$44*(-(50-$B17)*('Rhaniad y Ddeiliadaeth (Canol)'!G$110/40)))</f>
        <v>17616.294615703373</v>
      </c>
      <c r="M17" s="36" t="str">
        <f t="shared" si="1"/>
        <v/>
      </c>
      <c r="N17" s="190"/>
      <c r="O17" s="13">
        <f t="shared" si="4"/>
        <v>1</v>
      </c>
      <c r="U17" s="1">
        <f t="shared" si="2"/>
        <v>23</v>
      </c>
      <c r="V17" s="4" t="str">
        <f t="shared" si="3"/>
        <v/>
      </c>
      <c r="W17" s="4" t="e">
        <f>IF($W$3=$N$3,N17,V17*(1+'Rhaniad y Ddeiliadaeth (Canol)'!C$109)+(V$44*(-(50-$U17)*('Rhaniad y Ddeiliadaeth (Canol)'!C$110/40))))</f>
        <v>#VALUE!</v>
      </c>
      <c r="X17" s="4" t="e">
        <f>W17*(1+'Rhaniad y Ddeiliadaeth (Canol)'!D$109)+(W$44*(-(50-$U17)*('Rhaniad y Ddeiliadaeth (Canol)'!D$110/40)))</f>
        <v>#VALUE!</v>
      </c>
      <c r="Y17" s="4" t="e">
        <f>X17*(1+'Rhaniad y Ddeiliadaeth (Canol)'!E$109)+(X$44*(-(50-$U17)*('Rhaniad y Ddeiliadaeth (Canol)'!E$110/40)))</f>
        <v>#VALUE!</v>
      </c>
      <c r="Z17" s="4" t="e">
        <f>Y17*(1+'Rhaniad y Ddeiliadaeth (Canol)'!F$109)+(Y$44*(-(50-$U17)*('Rhaniad y Ddeiliadaeth (Canol)'!F$110/40)))</f>
        <v>#VALUE!</v>
      </c>
      <c r="AA17" s="4" t="e">
        <f>Z17*(1+'Rhaniad y Ddeiliadaeth (Canol)'!G$109)+(Z$44*(-(50-$U17)*('Rhaniad y Ddeiliadaeth (Canol)'!G$110/40)))</f>
        <v>#VALUE!</v>
      </c>
      <c r="AC17" s="260">
        <v>23</v>
      </c>
      <c r="AD17" s="4">
        <f>IF('Rhaniad y Ddeiliadaeth (Cymru)'!$D$8="Amcangyfrifon LlC",'Incwm (Canolbarth)'!E17,'Incwm (Canolbarth)'!W17)</f>
        <v>16072.417298636901</v>
      </c>
      <c r="AE17" s="4">
        <f>IF('Rhaniad y Ddeiliadaeth (Cymru)'!$D$8="Amcangyfrifon LlC",'Incwm (Canolbarth)'!F17,'Incwm (Canolbarth)'!X17)</f>
        <v>16445.955808404713</v>
      </c>
      <c r="AF17" s="4">
        <f>IF('Rhaniad y Ddeiliadaeth (Cymru)'!$D$8="Amcangyfrifon LlC",'Incwm (Canolbarth)'!G17,'Incwm (Canolbarth)'!Y17)</f>
        <v>16824.64562576382</v>
      </c>
      <c r="AG17" s="4">
        <f>IF('Rhaniad y Ddeiliadaeth (Cymru)'!$D$8="Amcangyfrifon LlC",'Incwm (Canolbarth)'!H17,'Incwm (Canolbarth)'!Z17)</f>
        <v>17218.539686387267</v>
      </c>
      <c r="AH17" s="4">
        <f>IF('Rhaniad y Ddeiliadaeth (Cymru)'!$D$8="Amcangyfrifon LlC",'Incwm (Canolbarth)'!I17,'Incwm (Canolbarth)'!AA17)</f>
        <v>17616.294615703373</v>
      </c>
    </row>
    <row r="18" spans="2:34" x14ac:dyDescent="0.35">
      <c r="B18" s="251">
        <v>24</v>
      </c>
      <c r="C18" s="258">
        <v>15714.76</v>
      </c>
      <c r="D18" s="258">
        <v>16117.150712254988</v>
      </c>
      <c r="E18" s="278">
        <f>D18*(1+'Rhaniad y Ddeiliadaeth (Canol)'!C$109)+(D$44*(-(50-$B18)*('Rhaniad y Ddeiliadaeth (Canol)'!C$110/40)))</f>
        <v>16311.908589997385</v>
      </c>
      <c r="F18" s="278">
        <f>E18*(1+'Rhaniad y Ddeiliadaeth (Canol)'!D$109)+(E$44*(-(50-$B18)*('Rhaniad y Ddeiliadaeth (Canol)'!D$110/40)))</f>
        <v>16700.223088649953</v>
      </c>
      <c r="G18" s="278">
        <f>F18*(1+'Rhaniad y Ddeiliadaeth (Canol)'!E$109)+(F$44*(-(50-$B18)*('Rhaniad y Ddeiliadaeth (Canol)'!E$110/40)))</f>
        <v>17094.396097272172</v>
      </c>
      <c r="H18" s="278">
        <f>G18*(1+'Rhaniad y Ddeiliadaeth (Canol)'!F$109)+(G$44*(-(50-$B18)*('Rhaniad y Ddeiliadaeth (Canol)'!F$110/40)))</f>
        <v>17504.671461146641</v>
      </c>
      <c r="I18" s="279">
        <f>H18*(1+'Rhaniad y Ddeiliadaeth (Canol)'!G$109)+(H$44*(-(50-$B18)*('Rhaniad y Ddeiliadaeth (Canol)'!G$110/40)))</f>
        <v>17919.565993589109</v>
      </c>
      <c r="M18" s="36" t="str">
        <f t="shared" si="1"/>
        <v/>
      </c>
      <c r="N18" s="190"/>
      <c r="O18" s="13">
        <f t="shared" si="4"/>
        <v>1</v>
      </c>
      <c r="U18" s="1">
        <f t="shared" si="2"/>
        <v>24</v>
      </c>
      <c r="V18" s="4" t="str">
        <f t="shared" si="3"/>
        <v/>
      </c>
      <c r="W18" s="4" t="e">
        <f>IF($W$3=$N$3,N18,V18*(1+'Rhaniad y Ddeiliadaeth (Canol)'!C$109)+(V$44*(-(50-$U18)*('Rhaniad y Ddeiliadaeth (Canol)'!C$110/40))))</f>
        <v>#VALUE!</v>
      </c>
      <c r="X18" s="4" t="e">
        <f>W18*(1+'Rhaniad y Ddeiliadaeth (Canol)'!D$109)+(W$44*(-(50-$U18)*('Rhaniad y Ddeiliadaeth (Canol)'!D$110/40)))</f>
        <v>#VALUE!</v>
      </c>
      <c r="Y18" s="4" t="e">
        <f>X18*(1+'Rhaniad y Ddeiliadaeth (Canol)'!E$109)+(X$44*(-(50-$U18)*('Rhaniad y Ddeiliadaeth (Canol)'!E$110/40)))</f>
        <v>#VALUE!</v>
      </c>
      <c r="Z18" s="4" t="e">
        <f>Y18*(1+'Rhaniad y Ddeiliadaeth (Canol)'!F$109)+(Y$44*(-(50-$U18)*('Rhaniad y Ddeiliadaeth (Canol)'!F$110/40)))</f>
        <v>#VALUE!</v>
      </c>
      <c r="AA18" s="4" t="e">
        <f>Z18*(1+'Rhaniad y Ddeiliadaeth (Canol)'!G$109)+(Z$44*(-(50-$U18)*('Rhaniad y Ddeiliadaeth (Canol)'!G$110/40)))</f>
        <v>#VALUE!</v>
      </c>
      <c r="AC18" s="260">
        <v>24</v>
      </c>
      <c r="AD18" s="4">
        <f>IF('Rhaniad y Ddeiliadaeth (Cymru)'!$D$8="Amcangyfrifon LlC",'Incwm (Canolbarth)'!E18,'Incwm (Canolbarth)'!W18)</f>
        <v>16311.908589997385</v>
      </c>
      <c r="AE18" s="4">
        <f>IF('Rhaniad y Ddeiliadaeth (Cymru)'!$D$8="Amcangyfrifon LlC",'Incwm (Canolbarth)'!F18,'Incwm (Canolbarth)'!X18)</f>
        <v>16700.223088649953</v>
      </c>
      <c r="AF18" s="4">
        <f>IF('Rhaniad y Ddeiliadaeth (Cymru)'!$D$8="Amcangyfrifon LlC",'Incwm (Canolbarth)'!G18,'Incwm (Canolbarth)'!Y18)</f>
        <v>17094.396097272172</v>
      </c>
      <c r="AG18" s="4">
        <f>IF('Rhaniad y Ddeiliadaeth (Cymru)'!$D$8="Amcangyfrifon LlC",'Incwm (Canolbarth)'!H18,'Incwm (Canolbarth)'!Z18)</f>
        <v>17504.671461146641</v>
      </c>
      <c r="AH18" s="4">
        <f>IF('Rhaniad y Ddeiliadaeth (Cymru)'!$D$8="Amcangyfrifon LlC",'Incwm (Canolbarth)'!I18,'Incwm (Canolbarth)'!AA18)</f>
        <v>17919.565993589109</v>
      </c>
    </row>
    <row r="19" spans="2:34" x14ac:dyDescent="0.35">
      <c r="B19" s="251">
        <v>25</v>
      </c>
      <c r="C19" s="258">
        <v>15852.5</v>
      </c>
      <c r="D19" s="258">
        <v>16258.417670140823</v>
      </c>
      <c r="E19" s="278">
        <f>D19*(1+'Rhaniad y Ddeiliadaeth (Canol)'!C$109)+(D$44*(-(50-$B19)*('Rhaniad y Ddeiliadaeth (Canol)'!C$110/40)))</f>
        <v>16462.769940025919</v>
      </c>
      <c r="F19" s="278">
        <f>E19*(1+'Rhaniad y Ddeiliadaeth (Canol)'!D$109)+(E$44*(-(50-$B19)*('Rhaniad y Ddeiliadaeth (Canol)'!D$110/40)))</f>
        <v>16862.822727246119</v>
      </c>
      <c r="G19" s="278">
        <f>F19*(1+'Rhaniad y Ddeiliadaeth (Canol)'!E$109)+(F$44*(-(50-$B19)*('Rhaniad y Ddeiliadaeth (Canol)'!E$110/40)))</f>
        <v>17269.34588400249</v>
      </c>
      <c r="H19" s="278">
        <f>G19*(1+'Rhaniad y Ddeiliadaeth (Canol)'!F$109)+(G$44*(-(50-$B19)*('Rhaniad y Ddeiliadaeth (Canol)'!F$110/40)))</f>
        <v>17692.714364024388</v>
      </c>
      <c r="I19" s="279">
        <f>H19*(1+'Rhaniad y Ddeiliadaeth (Canol)'!G$109)+(H$44*(-(50-$B19)*('Rhaniad y Ddeiliadaeth (Canol)'!G$110/40)))</f>
        <v>18121.364618937827</v>
      </c>
      <c r="M19" s="36" t="str">
        <f t="shared" si="1"/>
        <v/>
      </c>
      <c r="N19" s="190"/>
      <c r="O19" s="13">
        <f t="shared" si="4"/>
        <v>1</v>
      </c>
      <c r="U19" s="1">
        <f t="shared" si="2"/>
        <v>25</v>
      </c>
      <c r="V19" s="4" t="str">
        <f t="shared" si="3"/>
        <v/>
      </c>
      <c r="W19" s="4" t="e">
        <f>IF($W$3=$N$3,N19,V19*(1+'Rhaniad y Ddeiliadaeth (Canol)'!C$109)+(V$44*(-(50-$U19)*('Rhaniad y Ddeiliadaeth (Canol)'!C$110/40))))</f>
        <v>#VALUE!</v>
      </c>
      <c r="X19" s="4" t="e">
        <f>W19*(1+'Rhaniad y Ddeiliadaeth (Canol)'!D$109)+(W$44*(-(50-$U19)*('Rhaniad y Ddeiliadaeth (Canol)'!D$110/40)))</f>
        <v>#VALUE!</v>
      </c>
      <c r="Y19" s="4" t="e">
        <f>X19*(1+'Rhaniad y Ddeiliadaeth (Canol)'!E$109)+(X$44*(-(50-$U19)*('Rhaniad y Ddeiliadaeth (Canol)'!E$110/40)))</f>
        <v>#VALUE!</v>
      </c>
      <c r="Z19" s="4" t="e">
        <f>Y19*(1+'Rhaniad y Ddeiliadaeth (Canol)'!F$109)+(Y$44*(-(50-$U19)*('Rhaniad y Ddeiliadaeth (Canol)'!F$110/40)))</f>
        <v>#VALUE!</v>
      </c>
      <c r="AA19" s="4" t="e">
        <f>Z19*(1+'Rhaniad y Ddeiliadaeth (Canol)'!G$109)+(Z$44*(-(50-$U19)*('Rhaniad y Ddeiliadaeth (Canol)'!G$110/40)))</f>
        <v>#VALUE!</v>
      </c>
      <c r="AC19" s="260">
        <v>25</v>
      </c>
      <c r="AD19" s="4">
        <f>IF('Rhaniad y Ddeiliadaeth (Cymru)'!$D$8="Amcangyfrifon LlC",'Incwm (Canolbarth)'!E19,'Incwm (Canolbarth)'!W19)</f>
        <v>16462.769940025919</v>
      </c>
      <c r="AE19" s="4">
        <f>IF('Rhaniad y Ddeiliadaeth (Cymru)'!$D$8="Amcangyfrifon LlC",'Incwm (Canolbarth)'!F19,'Incwm (Canolbarth)'!X19)</f>
        <v>16862.822727246119</v>
      </c>
      <c r="AF19" s="4">
        <f>IF('Rhaniad y Ddeiliadaeth (Cymru)'!$D$8="Amcangyfrifon LlC",'Incwm (Canolbarth)'!G19,'Incwm (Canolbarth)'!Y19)</f>
        <v>17269.34588400249</v>
      </c>
      <c r="AG19" s="4">
        <f>IF('Rhaniad y Ddeiliadaeth (Cymru)'!$D$8="Amcangyfrifon LlC",'Incwm (Canolbarth)'!H19,'Incwm (Canolbarth)'!Z19)</f>
        <v>17692.714364024388</v>
      </c>
      <c r="AH19" s="4">
        <f>IF('Rhaniad y Ddeiliadaeth (Cymru)'!$D$8="Amcangyfrifon LlC",'Incwm (Canolbarth)'!I19,'Incwm (Canolbarth)'!AA19)</f>
        <v>18121.364618937827</v>
      </c>
    </row>
    <row r="20" spans="2:34" x14ac:dyDescent="0.35">
      <c r="B20" s="251">
        <v>26</v>
      </c>
      <c r="C20" s="258">
        <v>16286</v>
      </c>
      <c r="D20" s="258">
        <v>16703.017831629928</v>
      </c>
      <c r="E20" s="278">
        <f>D20*(1+'Rhaniad y Ddeiliadaeth (Canol)'!C$109)+(D$44*(-(50-$B20)*('Rhaniad y Ddeiliadaeth (Canol)'!C$110/40)))</f>
        <v>16923.773167105297</v>
      </c>
      <c r="F20" s="278">
        <f>E20*(1+'Rhaniad y Ddeiliadaeth (Canol)'!D$109)+(E$44*(-(50-$B20)*('Rhaniad y Ddeiliadaeth (Canol)'!D$110/40)))</f>
        <v>17346.194037566496</v>
      </c>
      <c r="G20" s="278">
        <f>F20*(1+'Rhaniad y Ddeiliadaeth (Canol)'!E$109)+(F$44*(-(50-$B20)*('Rhaniad y Ddeiliadaeth (Canol)'!E$110/40)))</f>
        <v>17776.030769288805</v>
      </c>
      <c r="H20" s="278">
        <f>G20*(1+'Rhaniad y Ddeiliadaeth (Canol)'!F$109)+(G$44*(-(50-$B20)*('Rhaniad y Ddeiliadaeth (Canol)'!F$110/40)))</f>
        <v>18223.998686065792</v>
      </c>
      <c r="I20" s="279">
        <f>H20*(1+'Rhaniad y Ddeiliadaeth (Canol)'!G$109)+(H$44*(-(50-$B20)*('Rhaniad y Ddeiliadaeth (Canol)'!G$110/40)))</f>
        <v>18678.245843557146</v>
      </c>
      <c r="M20" s="36" t="str">
        <f t="shared" si="1"/>
        <v/>
      </c>
      <c r="N20" s="190"/>
      <c r="O20" s="13">
        <f t="shared" si="4"/>
        <v>1</v>
      </c>
      <c r="U20" s="1">
        <f t="shared" si="2"/>
        <v>26</v>
      </c>
      <c r="V20" s="4" t="str">
        <f t="shared" si="3"/>
        <v/>
      </c>
      <c r="W20" s="4" t="e">
        <f>IF($W$3=$N$3,N20,V20*(1+'Rhaniad y Ddeiliadaeth (Canol)'!C$109)+(V$44*(-(50-$U20)*('Rhaniad y Ddeiliadaeth (Canol)'!C$110/40))))</f>
        <v>#VALUE!</v>
      </c>
      <c r="X20" s="4" t="e">
        <f>W20*(1+'Rhaniad y Ddeiliadaeth (Canol)'!D$109)+(W$44*(-(50-$U20)*('Rhaniad y Ddeiliadaeth (Canol)'!D$110/40)))</f>
        <v>#VALUE!</v>
      </c>
      <c r="Y20" s="4" t="e">
        <f>X20*(1+'Rhaniad y Ddeiliadaeth (Canol)'!E$109)+(X$44*(-(50-$U20)*('Rhaniad y Ddeiliadaeth (Canol)'!E$110/40)))</f>
        <v>#VALUE!</v>
      </c>
      <c r="Z20" s="4" t="e">
        <f>Y20*(1+'Rhaniad y Ddeiliadaeth (Canol)'!F$109)+(Y$44*(-(50-$U20)*('Rhaniad y Ddeiliadaeth (Canol)'!F$110/40)))</f>
        <v>#VALUE!</v>
      </c>
      <c r="AA20" s="4" t="e">
        <f>Z20*(1+'Rhaniad y Ddeiliadaeth (Canol)'!G$109)+(Z$44*(-(50-$U20)*('Rhaniad y Ddeiliadaeth (Canol)'!G$110/40)))</f>
        <v>#VALUE!</v>
      </c>
      <c r="AC20" s="260">
        <v>26</v>
      </c>
      <c r="AD20" s="4">
        <f>IF('Rhaniad y Ddeiliadaeth (Cymru)'!$D$8="Amcangyfrifon LlC",'Incwm (Canolbarth)'!E20,'Incwm (Canolbarth)'!W20)</f>
        <v>16923.773167105297</v>
      </c>
      <c r="AE20" s="4">
        <f>IF('Rhaniad y Ddeiliadaeth (Cymru)'!$D$8="Amcangyfrifon LlC",'Incwm (Canolbarth)'!F20,'Incwm (Canolbarth)'!X20)</f>
        <v>17346.194037566496</v>
      </c>
      <c r="AF20" s="4">
        <f>IF('Rhaniad y Ddeiliadaeth (Cymru)'!$D$8="Amcangyfrifon LlC",'Incwm (Canolbarth)'!G20,'Incwm (Canolbarth)'!Y20)</f>
        <v>17776.030769288805</v>
      </c>
      <c r="AG20" s="4">
        <f>IF('Rhaniad y Ddeiliadaeth (Cymru)'!$D$8="Amcangyfrifon LlC",'Incwm (Canolbarth)'!H20,'Incwm (Canolbarth)'!Z20)</f>
        <v>18223.998686065792</v>
      </c>
      <c r="AH20" s="4">
        <f>IF('Rhaniad y Ddeiliadaeth (Cymru)'!$D$8="Amcangyfrifon LlC",'Incwm (Canolbarth)'!I20,'Incwm (Canolbarth)'!AA20)</f>
        <v>18678.245843557146</v>
      </c>
    </row>
    <row r="21" spans="2:34" x14ac:dyDescent="0.35">
      <c r="B21" s="251">
        <v>27</v>
      </c>
      <c r="C21" s="258">
        <v>16559.137500000001</v>
      </c>
      <c r="D21" s="258">
        <v>16983.149265560103</v>
      </c>
      <c r="E21" s="278">
        <f>D21*(1+'Rhaniad y Ddeiliadaeth (Canol)'!C$109)+(D$44*(-(50-$B21)*('Rhaniad y Ddeiliadaeth (Canol)'!C$110/40)))</f>
        <v>17216.615971008567</v>
      </c>
      <c r="F21" s="278">
        <f>E21*(1+'Rhaniad y Ddeiliadaeth (Canol)'!D$109)+(E$44*(-(50-$B21)*('Rhaniad y Ddeiliadaeth (Canol)'!D$110/40)))</f>
        <v>17655.641398715674</v>
      </c>
      <c r="G21" s="278">
        <f>F21*(1+'Rhaniad y Ddeiliadaeth (Canol)'!E$109)+(F$44*(-(50-$B21)*('Rhaniad y Ddeiliadaeth (Canol)'!E$110/40)))</f>
        <v>18102.847282441682</v>
      </c>
      <c r="H21" s="278">
        <f>G21*(1+'Rhaniad y Ddeiliadaeth (Canol)'!F$109)+(G$44*(-(50-$B21)*('Rhaniad y Ddeiliadaeth (Canol)'!F$110/40)))</f>
        <v>18569.175853385015</v>
      </c>
      <c r="I21" s="279">
        <f>H21*(1+'Rhaniad y Ddeiliadaeth (Canol)'!G$109)+(H$44*(-(50-$B21)*('Rhaniad y Ddeiliadaeth (Canol)'!G$110/40)))</f>
        <v>19042.59956842825</v>
      </c>
      <c r="M21" s="36" t="str">
        <f t="shared" si="1"/>
        <v/>
      </c>
      <c r="N21" s="190"/>
      <c r="O21" s="13">
        <f t="shared" si="4"/>
        <v>1</v>
      </c>
      <c r="U21" s="1">
        <f t="shared" si="2"/>
        <v>27</v>
      </c>
      <c r="V21" s="4" t="str">
        <f t="shared" si="3"/>
        <v/>
      </c>
      <c r="W21" s="4" t="e">
        <f>IF($W$3=$N$3,N21,V21*(1+'Rhaniad y Ddeiliadaeth (Canol)'!C$109)+(V$44*(-(50-$U21)*('Rhaniad y Ddeiliadaeth (Canol)'!C$110/40))))</f>
        <v>#VALUE!</v>
      </c>
      <c r="X21" s="4" t="e">
        <f>W21*(1+'Rhaniad y Ddeiliadaeth (Canol)'!D$109)+(W$44*(-(50-$U21)*('Rhaniad y Ddeiliadaeth (Canol)'!D$110/40)))</f>
        <v>#VALUE!</v>
      </c>
      <c r="Y21" s="4" t="e">
        <f>X21*(1+'Rhaniad y Ddeiliadaeth (Canol)'!E$109)+(X$44*(-(50-$U21)*('Rhaniad y Ddeiliadaeth (Canol)'!E$110/40)))</f>
        <v>#VALUE!</v>
      </c>
      <c r="Z21" s="4" t="e">
        <f>Y21*(1+'Rhaniad y Ddeiliadaeth (Canol)'!F$109)+(Y$44*(-(50-$U21)*('Rhaniad y Ddeiliadaeth (Canol)'!F$110/40)))</f>
        <v>#VALUE!</v>
      </c>
      <c r="AA21" s="4" t="e">
        <f>Z21*(1+'Rhaniad y Ddeiliadaeth (Canol)'!G$109)+(Z$44*(-(50-$U21)*('Rhaniad y Ddeiliadaeth (Canol)'!G$110/40)))</f>
        <v>#VALUE!</v>
      </c>
      <c r="AC21" s="260">
        <v>27</v>
      </c>
      <c r="AD21" s="4">
        <f>IF('Rhaniad y Ddeiliadaeth (Cymru)'!$D$8="Amcangyfrifon LlC",'Incwm (Canolbarth)'!E21,'Incwm (Canolbarth)'!W21)</f>
        <v>17216.615971008567</v>
      </c>
      <c r="AE21" s="4">
        <f>IF('Rhaniad y Ddeiliadaeth (Cymru)'!$D$8="Amcangyfrifon LlC",'Incwm (Canolbarth)'!F21,'Incwm (Canolbarth)'!X21)</f>
        <v>17655.641398715674</v>
      </c>
      <c r="AF21" s="4">
        <f>IF('Rhaniad y Ddeiliadaeth (Cymru)'!$D$8="Amcangyfrifon LlC",'Incwm (Canolbarth)'!G21,'Incwm (Canolbarth)'!Y21)</f>
        <v>18102.847282441682</v>
      </c>
      <c r="AG21" s="4">
        <f>IF('Rhaniad y Ddeiliadaeth (Cymru)'!$D$8="Amcangyfrifon LlC",'Incwm (Canolbarth)'!H21,'Incwm (Canolbarth)'!Z21)</f>
        <v>18569.175853385015</v>
      </c>
      <c r="AH21" s="4">
        <f>IF('Rhaniad y Ddeiliadaeth (Cymru)'!$D$8="Amcangyfrifon LlC",'Incwm (Canolbarth)'!I21,'Incwm (Canolbarth)'!AA21)</f>
        <v>19042.59956842825</v>
      </c>
    </row>
    <row r="22" spans="2:34" x14ac:dyDescent="0.35">
      <c r="B22" s="251">
        <v>28</v>
      </c>
      <c r="C22" s="258">
        <v>16922.5</v>
      </c>
      <c r="D22" s="258">
        <v>17355.815992616815</v>
      </c>
      <c r="E22" s="278">
        <f>D22*(1+'Rhaniad y Ddeiliadaeth (Canol)'!C$109)+(D$44*(-(50-$B22)*('Rhaniad y Ddeiliadaeth (Canol)'!C$110/40)))</f>
        <v>17604.071132421002</v>
      </c>
      <c r="F22" s="278">
        <f>E22*(1+'Rhaniad y Ddeiliadaeth (Canol)'!D$109)+(E$44*(-(50-$B22)*('Rhaniad y Ddeiliadaeth (Canol)'!D$110/40)))</f>
        <v>18062.94385886849</v>
      </c>
      <c r="G22" s="278">
        <f>F22*(1+'Rhaniad y Ddeiliadaeth (Canol)'!E$109)+(F$44*(-(50-$B22)*('Rhaniad y Ddeiliadaeth (Canol)'!E$110/40)))</f>
        <v>18530.863414431496</v>
      </c>
      <c r="H22" s="278">
        <f>G22*(1+'Rhaniad y Ddeiliadaeth (Canol)'!F$109)+(G$44*(-(50-$B22)*('Rhaniad y Ddeiliadaeth (Canol)'!F$110/40)))</f>
        <v>19019.062775383842</v>
      </c>
      <c r="I22" s="279">
        <f>H22*(1+'Rhaniad y Ddeiliadaeth (Canol)'!G$109)+(H$44*(-(50-$B22)*('Rhaniad y Ddeiliadaeth (Canol)'!G$110/40)))</f>
        <v>19515.275336574941</v>
      </c>
      <c r="M22" s="36" t="str">
        <f t="shared" si="1"/>
        <v/>
      </c>
      <c r="N22" s="190"/>
      <c r="O22" s="13">
        <f t="shared" si="4"/>
        <v>1</v>
      </c>
      <c r="U22" s="1">
        <f t="shared" si="2"/>
        <v>28</v>
      </c>
      <c r="V22" s="4" t="str">
        <f t="shared" si="3"/>
        <v/>
      </c>
      <c r="W22" s="4" t="e">
        <f>IF($W$3=$N$3,N22,V22*(1+'Rhaniad y Ddeiliadaeth (Canol)'!C$109)+(V$44*(-(50-$U22)*('Rhaniad y Ddeiliadaeth (Canol)'!C$110/40))))</f>
        <v>#VALUE!</v>
      </c>
      <c r="X22" s="4" t="e">
        <f>W22*(1+'Rhaniad y Ddeiliadaeth (Canol)'!D$109)+(W$44*(-(50-$U22)*('Rhaniad y Ddeiliadaeth (Canol)'!D$110/40)))</f>
        <v>#VALUE!</v>
      </c>
      <c r="Y22" s="4" t="e">
        <f>X22*(1+'Rhaniad y Ddeiliadaeth (Canol)'!E$109)+(X$44*(-(50-$U22)*('Rhaniad y Ddeiliadaeth (Canol)'!E$110/40)))</f>
        <v>#VALUE!</v>
      </c>
      <c r="Z22" s="4" t="e">
        <f>Y22*(1+'Rhaniad y Ddeiliadaeth (Canol)'!F$109)+(Y$44*(-(50-$U22)*('Rhaniad y Ddeiliadaeth (Canol)'!F$110/40)))</f>
        <v>#VALUE!</v>
      </c>
      <c r="AA22" s="4" t="e">
        <f>Z22*(1+'Rhaniad y Ddeiliadaeth (Canol)'!G$109)+(Z$44*(-(50-$U22)*('Rhaniad y Ddeiliadaeth (Canol)'!G$110/40)))</f>
        <v>#VALUE!</v>
      </c>
      <c r="AC22" s="260">
        <v>28</v>
      </c>
      <c r="AD22" s="4">
        <f>IF('Rhaniad y Ddeiliadaeth (Cymru)'!$D$8="Amcangyfrifon LlC",'Incwm (Canolbarth)'!E22,'Incwm (Canolbarth)'!W22)</f>
        <v>17604.071132421002</v>
      </c>
      <c r="AE22" s="4">
        <f>IF('Rhaniad y Ddeiliadaeth (Cymru)'!$D$8="Amcangyfrifon LlC",'Incwm (Canolbarth)'!F22,'Incwm (Canolbarth)'!X22)</f>
        <v>18062.94385886849</v>
      </c>
      <c r="AF22" s="4">
        <f>IF('Rhaniad y Ddeiliadaeth (Cymru)'!$D$8="Amcangyfrifon LlC",'Incwm (Canolbarth)'!G22,'Incwm (Canolbarth)'!Y22)</f>
        <v>18530.863414431496</v>
      </c>
      <c r="AG22" s="4">
        <f>IF('Rhaniad y Ddeiliadaeth (Cymru)'!$D$8="Amcangyfrifon LlC",'Incwm (Canolbarth)'!H22,'Incwm (Canolbarth)'!Z22)</f>
        <v>19019.062775383842</v>
      </c>
      <c r="AH22" s="4">
        <f>IF('Rhaniad y Ddeiliadaeth (Cymru)'!$D$8="Amcangyfrifon LlC",'Incwm (Canolbarth)'!I22,'Incwm (Canolbarth)'!AA22)</f>
        <v>19515.275336574941</v>
      </c>
    </row>
    <row r="23" spans="2:34" x14ac:dyDescent="0.35">
      <c r="B23" s="251">
        <v>29</v>
      </c>
      <c r="C23" s="258">
        <v>17465</v>
      </c>
      <c r="D23" s="258">
        <v>17912.207198171232</v>
      </c>
      <c r="E23" s="278">
        <f>D23*(1+'Rhaniad y Ddeiliadaeth (Canol)'!C$109)+(D$44*(-(50-$B23)*('Rhaniad y Ddeiliadaeth (Canol)'!C$110/40)))</f>
        <v>18179.374686111627</v>
      </c>
      <c r="F23" s="278">
        <f>E23*(1+'Rhaniad y Ddeiliadaeth (Canol)'!D$109)+(E$44*(-(50-$B23)*('Rhaniad y Ddeiliadaeth (Canol)'!D$110/40)))</f>
        <v>18664.533022238433</v>
      </c>
      <c r="G23" s="278">
        <f>F23*(1+'Rhaniad y Ddeiliadaeth (Canol)'!E$109)+(F$44*(-(50-$B23)*('Rhaniad y Ddeiliadaeth (Canol)'!E$110/40)))</f>
        <v>19159.80663668902</v>
      </c>
      <c r="H23" s="278">
        <f>G23*(1+'Rhaniad y Ddeiliadaeth (Canol)'!F$109)+(G$44*(-(50-$B23)*('Rhaniad y Ddeiliadaeth (Canol)'!F$110/40)))</f>
        <v>19676.84599750923</v>
      </c>
      <c r="I23" s="279">
        <f>H23*(1+'Rhaniad y Ddeiliadaeth (Canol)'!G$109)+(H$44*(-(50-$B23)*('Rhaniad y Ddeiliadaeth (Canol)'!G$110/40)))</f>
        <v>20203.019434201076</v>
      </c>
      <c r="M23" s="36" t="str">
        <f t="shared" si="1"/>
        <v/>
      </c>
      <c r="N23" s="190"/>
      <c r="O23" s="13">
        <f t="shared" si="4"/>
        <v>1</v>
      </c>
      <c r="U23" s="1">
        <f t="shared" si="2"/>
        <v>29</v>
      </c>
      <c r="V23" s="4" t="str">
        <f t="shared" si="3"/>
        <v/>
      </c>
      <c r="W23" s="4" t="e">
        <f>IF($W$3=$N$3,N23,V23*(1+'Rhaniad y Ddeiliadaeth (Canol)'!C$109)+(V$44*(-(50-$U23)*('Rhaniad y Ddeiliadaeth (Canol)'!C$110/40))))</f>
        <v>#VALUE!</v>
      </c>
      <c r="X23" s="4" t="e">
        <f>W23*(1+'Rhaniad y Ddeiliadaeth (Canol)'!D$109)+(W$44*(-(50-$U23)*('Rhaniad y Ddeiliadaeth (Canol)'!D$110/40)))</f>
        <v>#VALUE!</v>
      </c>
      <c r="Y23" s="4" t="e">
        <f>X23*(1+'Rhaniad y Ddeiliadaeth (Canol)'!E$109)+(X$44*(-(50-$U23)*('Rhaniad y Ddeiliadaeth (Canol)'!E$110/40)))</f>
        <v>#VALUE!</v>
      </c>
      <c r="Z23" s="4" t="e">
        <f>Y23*(1+'Rhaniad y Ddeiliadaeth (Canol)'!F$109)+(Y$44*(-(50-$U23)*('Rhaniad y Ddeiliadaeth (Canol)'!F$110/40)))</f>
        <v>#VALUE!</v>
      </c>
      <c r="AA23" s="4" t="e">
        <f>Z23*(1+'Rhaniad y Ddeiliadaeth (Canol)'!G$109)+(Z$44*(-(50-$U23)*('Rhaniad y Ddeiliadaeth (Canol)'!G$110/40)))</f>
        <v>#VALUE!</v>
      </c>
      <c r="AC23" s="260">
        <v>29</v>
      </c>
      <c r="AD23" s="4">
        <f>IF('Rhaniad y Ddeiliadaeth (Cymru)'!$D$8="Amcangyfrifon LlC",'Incwm (Canolbarth)'!E23,'Incwm (Canolbarth)'!W23)</f>
        <v>18179.374686111627</v>
      </c>
      <c r="AE23" s="4">
        <f>IF('Rhaniad y Ddeiliadaeth (Cymru)'!$D$8="Amcangyfrifon LlC",'Incwm (Canolbarth)'!F23,'Incwm (Canolbarth)'!X23)</f>
        <v>18664.533022238433</v>
      </c>
      <c r="AF23" s="4">
        <f>IF('Rhaniad y Ddeiliadaeth (Cymru)'!$D$8="Amcangyfrifon LlC",'Incwm (Canolbarth)'!G23,'Incwm (Canolbarth)'!Y23)</f>
        <v>19159.80663668902</v>
      </c>
      <c r="AG23" s="4">
        <f>IF('Rhaniad y Ddeiliadaeth (Cymru)'!$D$8="Amcangyfrifon LlC",'Incwm (Canolbarth)'!H23,'Incwm (Canolbarth)'!Z23)</f>
        <v>19676.84599750923</v>
      </c>
      <c r="AH23" s="4">
        <f>IF('Rhaniad y Ddeiliadaeth (Cymru)'!$D$8="Amcangyfrifon LlC",'Incwm (Canolbarth)'!I23,'Incwm (Canolbarth)'!AA23)</f>
        <v>20203.019434201076</v>
      </c>
    </row>
    <row r="24" spans="2:34" x14ac:dyDescent="0.35">
      <c r="B24" s="251">
        <v>30</v>
      </c>
      <c r="C24" s="258">
        <v>17825</v>
      </c>
      <c r="D24" s="258">
        <v>18230.66649654739</v>
      </c>
      <c r="E24" s="278">
        <f>D24*(1+'Rhaniad y Ddeiliadaeth (Canol)'!C$109)+(D$44*(-(50-$B24)*('Rhaniad y Ddeiliadaeth (Canol)'!C$110/40)))</f>
        <v>18511.405668827574</v>
      </c>
      <c r="F24" s="278">
        <f>E24*(1+'Rhaniad y Ddeiliadaeth (Canol)'!D$109)+(E$44*(-(50-$B24)*('Rhaniad y Ddeiliadaeth (Canol)'!D$110/40)))</f>
        <v>19014.511696827456</v>
      </c>
      <c r="G24" s="278">
        <f>F24*(1+'Rhaniad y Ddeiliadaeth (Canol)'!E$109)+(F$44*(-(50-$B24)*('Rhaniad y Ddeiliadaeth (Canol)'!E$110/40)))</f>
        <v>19528.539754217516</v>
      </c>
      <c r="H24" s="278">
        <f>G24*(1+'Rhaniad y Ddeiliadaeth (Canol)'!F$109)+(G$44*(-(50-$B24)*('Rhaniad y Ddeiliadaeth (Canol)'!F$110/40)))</f>
        <v>20065.393657836386</v>
      </c>
      <c r="I24" s="279">
        <f>H24*(1+'Rhaniad y Ddeiliadaeth (Canol)'!G$109)+(H$44*(-(50-$B24)*('Rhaniad y Ddeiliadaeth (Canol)'!G$110/40)))</f>
        <v>20612.239852102492</v>
      </c>
      <c r="M24" s="36" t="str">
        <f t="shared" si="1"/>
        <v/>
      </c>
      <c r="N24" s="190"/>
      <c r="O24" s="13">
        <f t="shared" si="4"/>
        <v>1</v>
      </c>
      <c r="U24" s="1">
        <f t="shared" si="2"/>
        <v>30</v>
      </c>
      <c r="V24" s="4" t="str">
        <f t="shared" si="3"/>
        <v/>
      </c>
      <c r="W24" s="4" t="e">
        <f>IF($W$3=$N$3,N24,V24*(1+'Rhaniad y Ddeiliadaeth (Canol)'!C$109)+(V$44*(-(50-$U24)*('Rhaniad y Ddeiliadaeth (Canol)'!C$110/40))))</f>
        <v>#VALUE!</v>
      </c>
      <c r="X24" s="4" t="e">
        <f>W24*(1+'Rhaniad y Ddeiliadaeth (Canol)'!D$109)+(W$44*(-(50-$U24)*('Rhaniad y Ddeiliadaeth (Canol)'!D$110/40)))</f>
        <v>#VALUE!</v>
      </c>
      <c r="Y24" s="4" t="e">
        <f>X24*(1+'Rhaniad y Ddeiliadaeth (Canol)'!E$109)+(X$44*(-(50-$U24)*('Rhaniad y Ddeiliadaeth (Canol)'!E$110/40)))</f>
        <v>#VALUE!</v>
      </c>
      <c r="Z24" s="4" t="e">
        <f>Y24*(1+'Rhaniad y Ddeiliadaeth (Canol)'!F$109)+(Y$44*(-(50-$U24)*('Rhaniad y Ddeiliadaeth (Canol)'!F$110/40)))</f>
        <v>#VALUE!</v>
      </c>
      <c r="AA24" s="4" t="e">
        <f>Z24*(1+'Rhaniad y Ddeiliadaeth (Canol)'!G$109)+(Z$44*(-(50-$U24)*('Rhaniad y Ddeiliadaeth (Canol)'!G$110/40)))</f>
        <v>#VALUE!</v>
      </c>
      <c r="AC24" s="260">
        <v>30</v>
      </c>
      <c r="AD24" s="4">
        <f>IF('Rhaniad y Ddeiliadaeth (Cymru)'!$D$8="Amcangyfrifon LlC",'Incwm (Canolbarth)'!E24,'Incwm (Canolbarth)'!W24)</f>
        <v>18511.405668827574</v>
      </c>
      <c r="AE24" s="4">
        <f>IF('Rhaniad y Ddeiliadaeth (Cymru)'!$D$8="Amcangyfrifon LlC",'Incwm (Canolbarth)'!F24,'Incwm (Canolbarth)'!X24)</f>
        <v>19014.511696827456</v>
      </c>
      <c r="AF24" s="4">
        <f>IF('Rhaniad y Ddeiliadaeth (Cymru)'!$D$8="Amcangyfrifon LlC",'Incwm (Canolbarth)'!G24,'Incwm (Canolbarth)'!Y24)</f>
        <v>19528.539754217516</v>
      </c>
      <c r="AG24" s="4">
        <f>IF('Rhaniad y Ddeiliadaeth (Cymru)'!$D$8="Amcangyfrifon LlC",'Incwm (Canolbarth)'!H24,'Incwm (Canolbarth)'!Z24)</f>
        <v>20065.393657836386</v>
      </c>
      <c r="AH24" s="4">
        <f>IF('Rhaniad y Ddeiliadaeth (Cymru)'!$D$8="Amcangyfrifon LlC",'Incwm (Canolbarth)'!I24,'Incwm (Canolbarth)'!AA24)</f>
        <v>20612.239852102492</v>
      </c>
    </row>
    <row r="25" spans="2:34" x14ac:dyDescent="0.35">
      <c r="B25" s="251">
        <v>31</v>
      </c>
      <c r="C25" s="258">
        <v>18225</v>
      </c>
      <c r="D25" s="258">
        <v>18639.769812037935</v>
      </c>
      <c r="E25" s="278">
        <f>D25*(1+'Rhaniad y Ddeiliadaeth (Canol)'!C$109)+(D$44*(-(50-$B25)*('Rhaniad y Ddeiliadaeth (Canol)'!C$110/40)))</f>
        <v>18936.11528110777</v>
      </c>
      <c r="F25" s="278">
        <f>E25*(1+'Rhaniad y Ddeiliadaeth (Canol)'!D$109)+(E$44*(-(50-$B25)*('Rhaniad y Ddeiliadaeth (Canol)'!D$110/40)))</f>
        <v>19460.345465933624</v>
      </c>
      <c r="G25" s="278">
        <f>F25*(1+'Rhaniad y Ddeiliadaeth (Canol)'!E$109)+(F$44*(-(50-$B25)*('Rhaniad y Ddeiliadaeth (Canol)'!E$110/40)))</f>
        <v>19996.404129365539</v>
      </c>
      <c r="H25" s="278">
        <f>G25*(1+'Rhaniad y Ddeiliadaeth (Canol)'!F$109)+(G$44*(-(50-$B25)*('Rhaniad y Ddeiliadaeth (Canol)'!F$110/40)))</f>
        <v>20556.51096996378</v>
      </c>
      <c r="I25" s="279">
        <f>H25*(1+'Rhaniad y Ddeiliadaeth (Canol)'!G$109)+(H$44*(-(50-$B25)*('Rhaniad y Ddeiliadaeth (Canol)'!G$110/40)))</f>
        <v>21127.568380896384</v>
      </c>
      <c r="M25" s="36" t="str">
        <f t="shared" si="1"/>
        <v/>
      </c>
      <c r="N25" s="190"/>
      <c r="O25" s="13">
        <f t="shared" si="4"/>
        <v>1</v>
      </c>
      <c r="U25" s="1">
        <f t="shared" si="2"/>
        <v>31</v>
      </c>
      <c r="V25" s="4" t="str">
        <f t="shared" si="3"/>
        <v/>
      </c>
      <c r="W25" s="4" t="e">
        <f>IF($W$3=$N$3,N25,V25*(1+'Rhaniad y Ddeiliadaeth (Canol)'!C$109)+(V$44*(-(50-$U25)*('Rhaniad y Ddeiliadaeth (Canol)'!C$110/40))))</f>
        <v>#VALUE!</v>
      </c>
      <c r="X25" s="4" t="e">
        <f>W25*(1+'Rhaniad y Ddeiliadaeth (Canol)'!D$109)+(W$44*(-(50-$U25)*('Rhaniad y Ddeiliadaeth (Canol)'!D$110/40)))</f>
        <v>#VALUE!</v>
      </c>
      <c r="Y25" s="4" t="e">
        <f>X25*(1+'Rhaniad y Ddeiliadaeth (Canol)'!E$109)+(X$44*(-(50-$U25)*('Rhaniad y Ddeiliadaeth (Canol)'!E$110/40)))</f>
        <v>#VALUE!</v>
      </c>
      <c r="Z25" s="4" t="e">
        <f>Y25*(1+'Rhaniad y Ddeiliadaeth (Canol)'!F$109)+(Y$44*(-(50-$U25)*('Rhaniad y Ddeiliadaeth (Canol)'!F$110/40)))</f>
        <v>#VALUE!</v>
      </c>
      <c r="AA25" s="4" t="e">
        <f>Z25*(1+'Rhaniad y Ddeiliadaeth (Canol)'!G$109)+(Z$44*(-(50-$U25)*('Rhaniad y Ddeiliadaeth (Canol)'!G$110/40)))</f>
        <v>#VALUE!</v>
      </c>
      <c r="AC25" s="260">
        <v>31</v>
      </c>
      <c r="AD25" s="4">
        <f>IF('Rhaniad y Ddeiliadaeth (Cymru)'!$D$8="Amcangyfrifon LlC",'Incwm (Canolbarth)'!E25,'Incwm (Canolbarth)'!W25)</f>
        <v>18936.11528110777</v>
      </c>
      <c r="AE25" s="4">
        <f>IF('Rhaniad y Ddeiliadaeth (Cymru)'!$D$8="Amcangyfrifon LlC",'Incwm (Canolbarth)'!F25,'Incwm (Canolbarth)'!X25)</f>
        <v>19460.345465933624</v>
      </c>
      <c r="AF25" s="4">
        <f>IF('Rhaniad y Ddeiliadaeth (Cymru)'!$D$8="Amcangyfrifon LlC",'Incwm (Canolbarth)'!G25,'Incwm (Canolbarth)'!Y25)</f>
        <v>19996.404129365539</v>
      </c>
      <c r="AG25" s="4">
        <f>IF('Rhaniad y Ddeiliadaeth (Cymru)'!$D$8="Amcangyfrifon LlC",'Incwm (Canolbarth)'!H25,'Incwm (Canolbarth)'!Z25)</f>
        <v>20556.51096996378</v>
      </c>
      <c r="AH25" s="4">
        <f>IF('Rhaniad y Ddeiliadaeth (Cymru)'!$D$8="Amcangyfrifon LlC",'Incwm (Canolbarth)'!I25,'Incwm (Canolbarth)'!AA25)</f>
        <v>21127.568380896384</v>
      </c>
    </row>
    <row r="26" spans="2:34" x14ac:dyDescent="0.35">
      <c r="B26" s="251">
        <v>32</v>
      </c>
      <c r="C26" s="258">
        <v>18620.75</v>
      </c>
      <c r="D26" s="258">
        <v>19044.526404801392</v>
      </c>
      <c r="E26" s="278">
        <f>D26*(1+'Rhaniad y Ddeiliadaeth (Canol)'!C$109)+(D$44*(-(50-$B26)*('Rhaniad y Ddeiliadaeth (Canol)'!C$110/40)))</f>
        <v>19356.380603314923</v>
      </c>
      <c r="F26" s="278">
        <f>E26*(1+'Rhaniad y Ddeiliadaeth (Canol)'!D$109)+(E$44*(-(50-$B26)*('Rhaniad y Ddeiliadaeth (Canol)'!D$110/40)))</f>
        <v>19901.582621483722</v>
      </c>
      <c r="G26" s="278">
        <f>F26*(1+'Rhaniad y Ddeiliadaeth (Canol)'!E$109)+(F$44*(-(50-$B26)*('Rhaniad y Ddeiliadaeth (Canol)'!E$110/40)))</f>
        <v>20459.514786571923</v>
      </c>
      <c r="H26" s="278">
        <f>G26*(1+'Rhaniad y Ddeiliadaeth (Canol)'!F$109)+(G$44*(-(50-$B26)*('Rhaniad y Ddeiliadaeth (Canol)'!F$110/40)))</f>
        <v>21042.709680171462</v>
      </c>
      <c r="I26" s="279">
        <f>H26*(1+'Rhaniad y Ddeiliadaeth (Canol)'!G$109)+(H$44*(-(50-$B26)*('Rhaniad y Ddeiliadaeth (Canol)'!G$110/40)))</f>
        <v>21637.808625302325</v>
      </c>
      <c r="M26" s="36" t="str">
        <f t="shared" si="1"/>
        <v/>
      </c>
      <c r="N26" s="190"/>
      <c r="O26" s="13">
        <f t="shared" si="4"/>
        <v>1</v>
      </c>
      <c r="U26" s="1">
        <f t="shared" si="2"/>
        <v>32</v>
      </c>
      <c r="V26" s="4" t="str">
        <f t="shared" si="3"/>
        <v/>
      </c>
      <c r="W26" s="4" t="e">
        <f>IF($W$3=$N$3,N26,V26*(1+'Rhaniad y Ddeiliadaeth (Canol)'!C$109)+(V$44*(-(50-$U26)*('Rhaniad y Ddeiliadaeth (Canol)'!C$110/40))))</f>
        <v>#VALUE!</v>
      </c>
      <c r="X26" s="4" t="e">
        <f>W26*(1+'Rhaniad y Ddeiliadaeth (Canol)'!D$109)+(W$44*(-(50-$U26)*('Rhaniad y Ddeiliadaeth (Canol)'!D$110/40)))</f>
        <v>#VALUE!</v>
      </c>
      <c r="Y26" s="4" t="e">
        <f>X26*(1+'Rhaniad y Ddeiliadaeth (Canol)'!E$109)+(X$44*(-(50-$U26)*('Rhaniad y Ddeiliadaeth (Canol)'!E$110/40)))</f>
        <v>#VALUE!</v>
      </c>
      <c r="Z26" s="4" t="e">
        <f>Y26*(1+'Rhaniad y Ddeiliadaeth (Canol)'!F$109)+(Y$44*(-(50-$U26)*('Rhaniad y Ddeiliadaeth (Canol)'!F$110/40)))</f>
        <v>#VALUE!</v>
      </c>
      <c r="AA26" s="4" t="e">
        <f>Z26*(1+'Rhaniad y Ddeiliadaeth (Canol)'!G$109)+(Z$44*(-(50-$U26)*('Rhaniad y Ddeiliadaeth (Canol)'!G$110/40)))</f>
        <v>#VALUE!</v>
      </c>
      <c r="AC26" s="260">
        <v>32</v>
      </c>
      <c r="AD26" s="4">
        <f>IF('Rhaniad y Ddeiliadaeth (Cymru)'!$D$8="Amcangyfrifon LlC",'Incwm (Canolbarth)'!E26,'Incwm (Canolbarth)'!W26)</f>
        <v>19356.380603314923</v>
      </c>
      <c r="AE26" s="4">
        <f>IF('Rhaniad y Ddeiliadaeth (Cymru)'!$D$8="Amcangyfrifon LlC",'Incwm (Canolbarth)'!F26,'Incwm (Canolbarth)'!X26)</f>
        <v>19901.582621483722</v>
      </c>
      <c r="AF26" s="4">
        <f>IF('Rhaniad y Ddeiliadaeth (Cymru)'!$D$8="Amcangyfrifon LlC",'Incwm (Canolbarth)'!G26,'Incwm (Canolbarth)'!Y26)</f>
        <v>20459.514786571923</v>
      </c>
      <c r="AG26" s="4">
        <f>IF('Rhaniad y Ddeiliadaeth (Cymru)'!$D$8="Amcangyfrifon LlC",'Incwm (Canolbarth)'!H26,'Incwm (Canolbarth)'!Z26)</f>
        <v>21042.709680171462</v>
      </c>
      <c r="AH26" s="4">
        <f>IF('Rhaniad y Ddeiliadaeth (Cymru)'!$D$8="Amcangyfrifon LlC",'Incwm (Canolbarth)'!I26,'Incwm (Canolbarth)'!AA26)</f>
        <v>21637.808625302325</v>
      </c>
    </row>
    <row r="27" spans="2:34" x14ac:dyDescent="0.35">
      <c r="B27" s="251">
        <v>33</v>
      </c>
      <c r="C27" s="258">
        <v>18980.5</v>
      </c>
      <c r="D27" s="258">
        <v>19412.463699170701</v>
      </c>
      <c r="E27" s="278">
        <f>D27*(1+'Rhaniad y Ddeiliadaeth (Canol)'!C$109)+(D$44*(-(50-$B27)*('Rhaniad y Ddeiliadaeth (Canol)'!C$110/40)))</f>
        <v>19739.000174315126</v>
      </c>
      <c r="F27" s="278">
        <f>E27*(1+'Rhaniad y Ddeiliadaeth (Canol)'!D$109)+(E$44*(-(50-$B27)*('Rhaniad y Ddeiliadaeth (Canol)'!D$110/40)))</f>
        <v>20303.883756323568</v>
      </c>
      <c r="G27" s="278">
        <f>F27*(1+'Rhaniad y Ddeiliadaeth (Canol)'!E$109)+(F$44*(-(50-$B27)*('Rhaniad y Ddeiliadaeth (Canol)'!E$110/40)))</f>
        <v>20882.358656507888</v>
      </c>
      <c r="H27" s="278">
        <f>G27*(1+'Rhaniad y Ddeiliadaeth (Canol)'!F$109)+(G$44*(-(50-$B27)*('Rhaniad y Ddeiliadaeth (Canol)'!F$110/40)))</f>
        <v>21487.244938823907</v>
      </c>
      <c r="I27" s="279">
        <f>H27*(1+'Rhaniad y Ddeiliadaeth (Canol)'!G$109)+(H$44*(-(50-$B27)*('Rhaniad y Ddeiliadaeth (Canol)'!G$110/40)))</f>
        <v>22104.948107833825</v>
      </c>
      <c r="M27" s="36" t="str">
        <f t="shared" si="1"/>
        <v/>
      </c>
      <c r="N27" s="190"/>
      <c r="O27" s="13">
        <f t="shared" si="4"/>
        <v>1</v>
      </c>
      <c r="U27" s="1">
        <f t="shared" si="2"/>
        <v>33</v>
      </c>
      <c r="V27" s="4" t="str">
        <f t="shared" si="3"/>
        <v/>
      </c>
      <c r="W27" s="4" t="e">
        <f>IF($W$3=$N$3,N27,V27*(1+'Rhaniad y Ddeiliadaeth (Canol)'!C$109)+(V$44*(-(50-$U27)*('Rhaniad y Ddeiliadaeth (Canol)'!C$110/40))))</f>
        <v>#VALUE!</v>
      </c>
      <c r="X27" s="4" t="e">
        <f>W27*(1+'Rhaniad y Ddeiliadaeth (Canol)'!D$109)+(W$44*(-(50-$U27)*('Rhaniad y Ddeiliadaeth (Canol)'!D$110/40)))</f>
        <v>#VALUE!</v>
      </c>
      <c r="Y27" s="4" t="e">
        <f>X27*(1+'Rhaniad y Ddeiliadaeth (Canol)'!E$109)+(X$44*(-(50-$U27)*('Rhaniad y Ddeiliadaeth (Canol)'!E$110/40)))</f>
        <v>#VALUE!</v>
      </c>
      <c r="Z27" s="4" t="e">
        <f>Y27*(1+'Rhaniad y Ddeiliadaeth (Canol)'!F$109)+(Y$44*(-(50-$U27)*('Rhaniad y Ddeiliadaeth (Canol)'!F$110/40)))</f>
        <v>#VALUE!</v>
      </c>
      <c r="AA27" s="4" t="e">
        <f>Z27*(1+'Rhaniad y Ddeiliadaeth (Canol)'!G$109)+(Z$44*(-(50-$U27)*('Rhaniad y Ddeiliadaeth (Canol)'!G$110/40)))</f>
        <v>#VALUE!</v>
      </c>
      <c r="AC27" s="260">
        <v>33</v>
      </c>
      <c r="AD27" s="4">
        <f>IF('Rhaniad y Ddeiliadaeth (Cymru)'!$D$8="Amcangyfrifon LlC",'Incwm (Canolbarth)'!E27,'Incwm (Canolbarth)'!W27)</f>
        <v>19739.000174315126</v>
      </c>
      <c r="AE27" s="4">
        <f>IF('Rhaniad y Ddeiliadaeth (Cymru)'!$D$8="Amcangyfrifon LlC",'Incwm (Canolbarth)'!F27,'Incwm (Canolbarth)'!X27)</f>
        <v>20303.883756323568</v>
      </c>
      <c r="AF27" s="4">
        <f>IF('Rhaniad y Ddeiliadaeth (Cymru)'!$D$8="Amcangyfrifon LlC",'Incwm (Canolbarth)'!G27,'Incwm (Canolbarth)'!Y27)</f>
        <v>20882.358656507888</v>
      </c>
      <c r="AG27" s="4">
        <f>IF('Rhaniad y Ddeiliadaeth (Cymru)'!$D$8="Amcangyfrifon LlC",'Incwm (Canolbarth)'!H27,'Incwm (Canolbarth)'!Z27)</f>
        <v>21487.244938823907</v>
      </c>
      <c r="AH27" s="4">
        <f>IF('Rhaniad y Ddeiliadaeth (Cymru)'!$D$8="Amcangyfrifon LlC",'Incwm (Canolbarth)'!I27,'Incwm (Canolbarth)'!AA27)</f>
        <v>22104.948107833825</v>
      </c>
    </row>
    <row r="28" spans="2:34" x14ac:dyDescent="0.35">
      <c r="B28" s="251">
        <v>34</v>
      </c>
      <c r="C28" s="258">
        <v>19428.5</v>
      </c>
      <c r="D28" s="258">
        <v>19870.659412520112</v>
      </c>
      <c r="E28" s="278">
        <f>D28*(1+'Rhaniad y Ddeiliadaeth (Canol)'!C$109)+(D$44*(-(50-$B28)*('Rhaniad y Ddeiliadaeth (Canol)'!C$110/40)))</f>
        <v>20213.904121537929</v>
      </c>
      <c r="F28" s="278">
        <f>E28*(1+'Rhaniad y Ddeiliadaeth (Canol)'!D$109)+(E$44*(-(50-$B28)*('Rhaniad y Ddeiliadaeth (Canol)'!D$110/40)))</f>
        <v>20801.632219710074</v>
      </c>
      <c r="G28" s="278">
        <f>F28*(1+'Rhaniad y Ddeiliadaeth (Canol)'!E$109)+(F$44*(-(50-$B28)*('Rhaniad y Ddeiliadaeth (Canol)'!E$110/40)))</f>
        <v>21403.912081349805</v>
      </c>
      <c r="H28" s="278">
        <f>G28*(1+'Rhaniad y Ddeiliadaeth (Canol)'!F$109)+(G$44*(-(50-$B28)*('Rhaniad y Ddeiliadaeth (Canol)'!F$110/40)))</f>
        <v>22033.913519691618</v>
      </c>
      <c r="I28" s="279">
        <f>H28*(1+'Rhaniad y Ddeiliadaeth (Canol)'!G$109)+(H$44*(-(50-$B28)*('Rhaniad y Ddeiliadaeth (Canol)'!G$110/40)))</f>
        <v>22677.74431912697</v>
      </c>
      <c r="M28" s="36" t="str">
        <f t="shared" si="1"/>
        <v/>
      </c>
      <c r="N28" s="190"/>
      <c r="O28" s="13">
        <f t="shared" si="4"/>
        <v>1</v>
      </c>
      <c r="U28" s="1">
        <f t="shared" si="2"/>
        <v>34</v>
      </c>
      <c r="V28" s="4" t="str">
        <f t="shared" si="3"/>
        <v/>
      </c>
      <c r="W28" s="4" t="e">
        <f>IF($W$3=$N$3,N28,V28*(1+'Rhaniad y Ddeiliadaeth (Canol)'!C$109)+(V$44*(-(50-$U28)*('Rhaniad y Ddeiliadaeth (Canol)'!C$110/40))))</f>
        <v>#VALUE!</v>
      </c>
      <c r="X28" s="4" t="e">
        <f>W28*(1+'Rhaniad y Ddeiliadaeth (Canol)'!D$109)+(W$44*(-(50-$U28)*('Rhaniad y Ddeiliadaeth (Canol)'!D$110/40)))</f>
        <v>#VALUE!</v>
      </c>
      <c r="Y28" s="4" t="e">
        <f>X28*(1+'Rhaniad y Ddeiliadaeth (Canol)'!E$109)+(X$44*(-(50-$U28)*('Rhaniad y Ddeiliadaeth (Canol)'!E$110/40)))</f>
        <v>#VALUE!</v>
      </c>
      <c r="Z28" s="4" t="e">
        <f>Y28*(1+'Rhaniad y Ddeiliadaeth (Canol)'!F$109)+(Y$44*(-(50-$U28)*('Rhaniad y Ddeiliadaeth (Canol)'!F$110/40)))</f>
        <v>#VALUE!</v>
      </c>
      <c r="AA28" s="4" t="e">
        <f>Z28*(1+'Rhaniad y Ddeiliadaeth (Canol)'!G$109)+(Z$44*(-(50-$U28)*('Rhaniad y Ddeiliadaeth (Canol)'!G$110/40)))</f>
        <v>#VALUE!</v>
      </c>
      <c r="AC28" s="260">
        <v>34</v>
      </c>
      <c r="AD28" s="4">
        <f>IF('Rhaniad y Ddeiliadaeth (Cymru)'!$D$8="Amcangyfrifon LlC",'Incwm (Canolbarth)'!E28,'Incwm (Canolbarth)'!W28)</f>
        <v>20213.904121537929</v>
      </c>
      <c r="AE28" s="4">
        <f>IF('Rhaniad y Ddeiliadaeth (Cymru)'!$D$8="Amcangyfrifon LlC",'Incwm (Canolbarth)'!F28,'Incwm (Canolbarth)'!X28)</f>
        <v>20801.632219710074</v>
      </c>
      <c r="AF28" s="4">
        <f>IF('Rhaniad y Ddeiliadaeth (Cymru)'!$D$8="Amcangyfrifon LlC",'Incwm (Canolbarth)'!G28,'Incwm (Canolbarth)'!Y28)</f>
        <v>21403.912081349805</v>
      </c>
      <c r="AG28" s="4">
        <f>IF('Rhaniad y Ddeiliadaeth (Cymru)'!$D$8="Amcangyfrifon LlC",'Incwm (Canolbarth)'!H28,'Incwm (Canolbarth)'!Z28)</f>
        <v>22033.913519691618</v>
      </c>
      <c r="AH28" s="4">
        <f>IF('Rhaniad y Ddeiliadaeth (Cymru)'!$D$8="Amcangyfrifon LlC",'Incwm (Canolbarth)'!I28,'Incwm (Canolbarth)'!AA28)</f>
        <v>22677.74431912697</v>
      </c>
    </row>
    <row r="29" spans="2:34" x14ac:dyDescent="0.35">
      <c r="B29" s="251">
        <v>35</v>
      </c>
      <c r="C29" s="258">
        <v>19625</v>
      </c>
      <c r="D29" s="258">
        <v>20071.631416254841</v>
      </c>
      <c r="E29" s="278">
        <f>D29*(1+'Rhaniad y Ddeiliadaeth (Canol)'!C$109)+(D$44*(-(50-$B29)*('Rhaniad y Ddeiliadaeth (Canol)'!C$110/40)))</f>
        <v>20425.810667967715</v>
      </c>
      <c r="F29" s="278">
        <f>E29*(1+'Rhaniad y Ddeiliadaeth (Canol)'!D$109)+(E$44*(-(50-$B29)*('Rhaniad y Ddeiliadaeth (Canol)'!D$110/40)))</f>
        <v>21027.369316190241</v>
      </c>
      <c r="G29" s="278">
        <f>F29*(1+'Rhaniad y Ddeiliadaeth (Canol)'!E$109)+(F$44*(-(50-$B29)*('Rhaniad y Ddeiliadaeth (Canol)'!E$110/40)))</f>
        <v>21644.157256233138</v>
      </c>
      <c r="H29" s="278">
        <f>G29*(1+'Rhaniad y Ddeiliadaeth (Canol)'!F$109)+(G$44*(-(50-$B29)*('Rhaniad y Ddeiliadaeth (Canol)'!F$110/40)))</f>
        <v>22289.516598722083</v>
      </c>
      <c r="I29" s="279">
        <f>H29*(1+'Rhaniad y Ddeiliadaeth (Canol)'!G$109)+(H$44*(-(50-$B29)*('Rhaniad y Ddeiliadaeth (Canol)'!G$110/40)))</f>
        <v>22949.433818991769</v>
      </c>
      <c r="M29" s="36" t="str">
        <f t="shared" si="1"/>
        <v/>
      </c>
      <c r="N29" s="190"/>
      <c r="O29" s="13">
        <f t="shared" si="4"/>
        <v>1</v>
      </c>
      <c r="U29" s="1">
        <f t="shared" si="2"/>
        <v>35</v>
      </c>
      <c r="V29" s="4" t="str">
        <f t="shared" si="3"/>
        <v/>
      </c>
      <c r="W29" s="4" t="e">
        <f>IF($W$3=$N$3,N29,V29*(1+'Rhaniad y Ddeiliadaeth (Canol)'!C$109)+(V$44*(-(50-$U29)*('Rhaniad y Ddeiliadaeth (Canol)'!C$110/40))))</f>
        <v>#VALUE!</v>
      </c>
      <c r="X29" s="4" t="e">
        <f>W29*(1+'Rhaniad y Ddeiliadaeth (Canol)'!D$109)+(W$44*(-(50-$U29)*('Rhaniad y Ddeiliadaeth (Canol)'!D$110/40)))</f>
        <v>#VALUE!</v>
      </c>
      <c r="Y29" s="4" t="e">
        <f>X29*(1+'Rhaniad y Ddeiliadaeth (Canol)'!E$109)+(X$44*(-(50-$U29)*('Rhaniad y Ddeiliadaeth (Canol)'!E$110/40)))</f>
        <v>#VALUE!</v>
      </c>
      <c r="Z29" s="4" t="e">
        <f>Y29*(1+'Rhaniad y Ddeiliadaeth (Canol)'!F$109)+(Y$44*(-(50-$U29)*('Rhaniad y Ddeiliadaeth (Canol)'!F$110/40)))</f>
        <v>#VALUE!</v>
      </c>
      <c r="AA29" s="4" t="e">
        <f>Z29*(1+'Rhaniad y Ddeiliadaeth (Canol)'!G$109)+(Z$44*(-(50-$U29)*('Rhaniad y Ddeiliadaeth (Canol)'!G$110/40)))</f>
        <v>#VALUE!</v>
      </c>
      <c r="AC29" s="260">
        <v>35</v>
      </c>
      <c r="AD29" s="4">
        <f>IF('Rhaniad y Ddeiliadaeth (Cymru)'!$D$8="Amcangyfrifon LlC",'Incwm (Canolbarth)'!E29,'Incwm (Canolbarth)'!W29)</f>
        <v>20425.810667967715</v>
      </c>
      <c r="AE29" s="4">
        <f>IF('Rhaniad y Ddeiliadaeth (Cymru)'!$D$8="Amcangyfrifon LlC",'Incwm (Canolbarth)'!F29,'Incwm (Canolbarth)'!X29)</f>
        <v>21027.369316190241</v>
      </c>
      <c r="AF29" s="4">
        <f>IF('Rhaniad y Ddeiliadaeth (Cymru)'!$D$8="Amcangyfrifon LlC",'Incwm (Canolbarth)'!G29,'Incwm (Canolbarth)'!Y29)</f>
        <v>21644.157256233138</v>
      </c>
      <c r="AG29" s="4">
        <f>IF('Rhaniad y Ddeiliadaeth (Cymru)'!$D$8="Amcangyfrifon LlC",'Incwm (Canolbarth)'!H29,'Incwm (Canolbarth)'!Z29)</f>
        <v>22289.516598722083</v>
      </c>
      <c r="AH29" s="4">
        <f>IF('Rhaniad y Ddeiliadaeth (Cymru)'!$D$8="Amcangyfrifon LlC",'Incwm (Canolbarth)'!I29,'Incwm (Canolbarth)'!AA29)</f>
        <v>22949.433818991769</v>
      </c>
    </row>
    <row r="30" spans="2:34" x14ac:dyDescent="0.35">
      <c r="B30" s="251">
        <v>36</v>
      </c>
      <c r="C30" s="258">
        <v>20092.599999999999</v>
      </c>
      <c r="D30" s="258">
        <v>20549.873192063285</v>
      </c>
      <c r="E30" s="278">
        <f>D30*(1+'Rhaniad y Ddeiliadaeth (Canol)'!C$109)+(D$44*(-(50-$B30)*('Rhaniad y Ddeiliadaeth (Canol)'!C$110/40)))</f>
        <v>20921.210635292075</v>
      </c>
      <c r="F30" s="278">
        <f>E30*(1+'Rhaniad y Ddeiliadaeth (Canol)'!D$109)+(E$44*(-(50-$B30)*('Rhaniad y Ddeiliadaeth (Canol)'!D$110/40)))</f>
        <v>21546.316279741211</v>
      </c>
      <c r="G30" s="278">
        <f>F30*(1+'Rhaniad y Ddeiliadaeth (Canol)'!E$109)+(F$44*(-(50-$B30)*('Rhaniad y Ddeiliadaeth (Canol)'!E$110/40)))</f>
        <v>22187.633709700047</v>
      </c>
      <c r="H30" s="278">
        <f>G30*(1+'Rhaniad y Ddeiliadaeth (Canol)'!F$109)+(G$44*(-(50-$B30)*('Rhaniad y Ddeiliadaeth (Canol)'!F$110/40)))</f>
        <v>22858.868614325405</v>
      </c>
      <c r="I30" s="279">
        <f>H30*(1+'Rhaniad y Ddeiliadaeth (Canol)'!G$109)+(H$44*(-(50-$B30)*('Rhaniad y Ddeiliadaeth (Canol)'!G$110/40)))</f>
        <v>23545.69600063876</v>
      </c>
      <c r="M30" s="36" t="str">
        <f t="shared" si="1"/>
        <v/>
      </c>
      <c r="N30" s="190"/>
      <c r="O30" s="13">
        <f t="shared" si="4"/>
        <v>1</v>
      </c>
      <c r="U30" s="1">
        <f t="shared" si="2"/>
        <v>36</v>
      </c>
      <c r="V30" s="4" t="str">
        <f t="shared" si="3"/>
        <v/>
      </c>
      <c r="W30" s="4" t="e">
        <f>IF($W$3=$N$3,N30,V30*(1+'Rhaniad y Ddeiliadaeth (Canol)'!C$109)+(V$44*(-(50-$U30)*('Rhaniad y Ddeiliadaeth (Canol)'!C$110/40))))</f>
        <v>#VALUE!</v>
      </c>
      <c r="X30" s="4" t="e">
        <f>W30*(1+'Rhaniad y Ddeiliadaeth (Canol)'!D$109)+(W$44*(-(50-$U30)*('Rhaniad y Ddeiliadaeth (Canol)'!D$110/40)))</f>
        <v>#VALUE!</v>
      </c>
      <c r="Y30" s="4" t="e">
        <f>X30*(1+'Rhaniad y Ddeiliadaeth (Canol)'!E$109)+(X$44*(-(50-$U30)*('Rhaniad y Ddeiliadaeth (Canol)'!E$110/40)))</f>
        <v>#VALUE!</v>
      </c>
      <c r="Z30" s="4" t="e">
        <f>Y30*(1+'Rhaniad y Ddeiliadaeth (Canol)'!F$109)+(Y$44*(-(50-$U30)*('Rhaniad y Ddeiliadaeth (Canol)'!F$110/40)))</f>
        <v>#VALUE!</v>
      </c>
      <c r="AA30" s="4" t="e">
        <f>Z30*(1+'Rhaniad y Ddeiliadaeth (Canol)'!G$109)+(Z$44*(-(50-$U30)*('Rhaniad y Ddeiliadaeth (Canol)'!G$110/40)))</f>
        <v>#VALUE!</v>
      </c>
      <c r="AC30" s="260">
        <v>36</v>
      </c>
      <c r="AD30" s="4">
        <f>IF('Rhaniad y Ddeiliadaeth (Cymru)'!$D$8="Amcangyfrifon LlC",'Incwm (Canolbarth)'!E30,'Incwm (Canolbarth)'!W30)</f>
        <v>20921.210635292075</v>
      </c>
      <c r="AE30" s="4">
        <f>IF('Rhaniad y Ddeiliadaeth (Cymru)'!$D$8="Amcangyfrifon LlC",'Incwm (Canolbarth)'!F30,'Incwm (Canolbarth)'!X30)</f>
        <v>21546.316279741211</v>
      </c>
      <c r="AF30" s="4">
        <f>IF('Rhaniad y Ddeiliadaeth (Cymru)'!$D$8="Amcangyfrifon LlC",'Incwm (Canolbarth)'!G30,'Incwm (Canolbarth)'!Y30)</f>
        <v>22187.633709700047</v>
      </c>
      <c r="AG30" s="4">
        <f>IF('Rhaniad y Ddeiliadaeth (Cymru)'!$D$8="Amcangyfrifon LlC",'Incwm (Canolbarth)'!H30,'Incwm (Canolbarth)'!Z30)</f>
        <v>22858.868614325405</v>
      </c>
      <c r="AH30" s="4">
        <f>IF('Rhaniad y Ddeiliadaeth (Cymru)'!$D$8="Amcangyfrifon LlC",'Incwm (Canolbarth)'!I30,'Incwm (Canolbarth)'!AA30)</f>
        <v>23545.69600063876</v>
      </c>
    </row>
    <row r="31" spans="2:34" x14ac:dyDescent="0.35">
      <c r="B31" s="251">
        <v>37</v>
      </c>
      <c r="C31" s="258">
        <v>20575</v>
      </c>
      <c r="D31" s="258">
        <v>21043.251790544884</v>
      </c>
      <c r="E31" s="278">
        <f>D31*(1+'Rhaniad y Ddeiliadaeth (Canol)'!C$109)+(D$44*(-(50-$B31)*('Rhaniad y Ddeiliadaeth (Canol)'!C$110/40)))</f>
        <v>21432.087189223741</v>
      </c>
      <c r="F31" s="278">
        <f>E31*(1+'Rhaniad y Ddeiliadaeth (Canol)'!D$109)+(E$44*(-(50-$B31)*('Rhaniad y Ddeiliadaeth (Canol)'!D$110/40)))</f>
        <v>22081.270274028622</v>
      </c>
      <c r="G31" s="278">
        <f>F31*(1+'Rhaniad y Ddeiliadaeth (Canol)'!E$109)+(F$44*(-(50-$B31)*('Rhaniad y Ddeiliadaeth (Canol)'!E$110/40)))</f>
        <v>22747.664286822575</v>
      </c>
      <c r="H31" s="278">
        <f>G31*(1+'Rhaniad y Ddeiliadaeth (Canol)'!F$109)+(G$44*(-(50-$B31)*('Rhaniad y Ddeiliadaeth (Canol)'!F$110/40)))</f>
        <v>23445.348937790328</v>
      </c>
      <c r="I31" s="279">
        <f>H31*(1+'Rhaniad y Ddeiliadaeth (Canol)'!G$109)+(H$44*(-(50-$B31)*('Rhaniad y Ddeiliadaeth (Canol)'!G$110/40)))</f>
        <v>24159.677384389695</v>
      </c>
      <c r="M31" s="36" t="str">
        <f t="shared" si="1"/>
        <v/>
      </c>
      <c r="N31" s="190"/>
      <c r="O31" s="13">
        <f t="shared" si="4"/>
        <v>1</v>
      </c>
      <c r="U31" s="1">
        <f t="shared" si="2"/>
        <v>37</v>
      </c>
      <c r="V31" s="4" t="str">
        <f t="shared" si="3"/>
        <v/>
      </c>
      <c r="W31" s="4" t="e">
        <f>IF($W$3=$N$3,N31,V31*(1+'Rhaniad y Ddeiliadaeth (Canol)'!C$109)+(V$44*(-(50-$U31)*('Rhaniad y Ddeiliadaeth (Canol)'!C$110/40))))</f>
        <v>#VALUE!</v>
      </c>
      <c r="X31" s="4" t="e">
        <f>W31*(1+'Rhaniad y Ddeiliadaeth (Canol)'!D$109)+(W$44*(-(50-$U31)*('Rhaniad y Ddeiliadaeth (Canol)'!D$110/40)))</f>
        <v>#VALUE!</v>
      </c>
      <c r="Y31" s="4" t="e">
        <f>X31*(1+'Rhaniad y Ddeiliadaeth (Canol)'!E$109)+(X$44*(-(50-$U31)*('Rhaniad y Ddeiliadaeth (Canol)'!E$110/40)))</f>
        <v>#VALUE!</v>
      </c>
      <c r="Z31" s="4" t="e">
        <f>Y31*(1+'Rhaniad y Ddeiliadaeth (Canol)'!F$109)+(Y$44*(-(50-$U31)*('Rhaniad y Ddeiliadaeth (Canol)'!F$110/40)))</f>
        <v>#VALUE!</v>
      </c>
      <c r="AA31" s="4" t="e">
        <f>Z31*(1+'Rhaniad y Ddeiliadaeth (Canol)'!G$109)+(Z$44*(-(50-$U31)*('Rhaniad y Ddeiliadaeth (Canol)'!G$110/40)))</f>
        <v>#VALUE!</v>
      </c>
      <c r="AC31" s="260">
        <v>37</v>
      </c>
      <c r="AD31" s="4">
        <f>IF('Rhaniad y Ddeiliadaeth (Cymru)'!$D$8="Amcangyfrifon LlC",'Incwm (Canolbarth)'!E31,'Incwm (Canolbarth)'!W31)</f>
        <v>21432.087189223741</v>
      </c>
      <c r="AE31" s="4">
        <f>IF('Rhaniad y Ddeiliadaeth (Cymru)'!$D$8="Amcangyfrifon LlC",'Incwm (Canolbarth)'!F31,'Incwm (Canolbarth)'!X31)</f>
        <v>22081.270274028622</v>
      </c>
      <c r="AF31" s="4">
        <f>IF('Rhaniad y Ddeiliadaeth (Cymru)'!$D$8="Amcangyfrifon LlC",'Incwm (Canolbarth)'!G31,'Incwm (Canolbarth)'!Y31)</f>
        <v>22747.664286822575</v>
      </c>
      <c r="AG31" s="4">
        <f>IF('Rhaniad y Ddeiliadaeth (Cymru)'!$D$8="Amcangyfrifon LlC",'Incwm (Canolbarth)'!H31,'Incwm (Canolbarth)'!Z31)</f>
        <v>23445.348937790328</v>
      </c>
      <c r="AH31" s="4">
        <f>IF('Rhaniad y Ddeiliadaeth (Cymru)'!$D$8="Amcangyfrifon LlC",'Incwm (Canolbarth)'!I31,'Incwm (Canolbarth)'!AA31)</f>
        <v>24159.677384389695</v>
      </c>
    </row>
    <row r="32" spans="2:34" x14ac:dyDescent="0.35">
      <c r="B32" s="251">
        <v>38</v>
      </c>
      <c r="C32" s="258">
        <v>21019.18</v>
      </c>
      <c r="D32" s="258">
        <v>21497.540567231361</v>
      </c>
      <c r="E32" s="278">
        <f>D32*(1+'Rhaniad y Ddeiliadaeth (Canol)'!C$109)+(D$44*(-(50-$B32)*('Rhaniad y Ddeiliadaeth (Canol)'!C$110/40)))</f>
        <v>21902.996503957358</v>
      </c>
      <c r="F32" s="278">
        <f>E32*(1+'Rhaniad y Ddeiliadaeth (Canol)'!D$109)+(E$44*(-(50-$B32)*('Rhaniad y Ddeiliadaeth (Canol)'!D$110/40)))</f>
        <v>22574.887192995317</v>
      </c>
      <c r="G32" s="278">
        <f>F32*(1+'Rhaniad y Ddeiliadaeth (Canol)'!E$109)+(F$44*(-(50-$B32)*('Rhaniad y Ddeiliadaeth (Canol)'!E$110/40)))</f>
        <v>23264.944958126347</v>
      </c>
      <c r="H32" s="278">
        <f>G32*(1+'Rhaniad y Ddeiliadaeth (Canol)'!F$109)+(G$44*(-(50-$B32)*('Rhaniad y Ddeiliadaeth (Canol)'!F$110/40)))</f>
        <v>23987.596563520783</v>
      </c>
      <c r="I32" s="279">
        <f>H32*(1+'Rhaniad y Ddeiliadaeth (Canol)'!G$109)+(H$44*(-(50-$B32)*('Rhaniad y Ddeiliadaeth (Canol)'!G$110/40)))</f>
        <v>24727.900125950604</v>
      </c>
      <c r="M32" s="36" t="str">
        <f t="shared" si="1"/>
        <v/>
      </c>
      <c r="N32" s="190"/>
      <c r="O32" s="13">
        <f t="shared" si="4"/>
        <v>1</v>
      </c>
      <c r="U32" s="1">
        <f t="shared" si="2"/>
        <v>38</v>
      </c>
      <c r="V32" s="4" t="str">
        <f t="shared" si="3"/>
        <v/>
      </c>
      <c r="W32" s="4" t="e">
        <f>IF($W$3=$N$3,N32,V32*(1+'Rhaniad y Ddeiliadaeth (Canol)'!C$109)+(V$44*(-(50-$U32)*('Rhaniad y Ddeiliadaeth (Canol)'!C$110/40))))</f>
        <v>#VALUE!</v>
      </c>
      <c r="X32" s="4" t="e">
        <f>W32*(1+'Rhaniad y Ddeiliadaeth (Canol)'!D$109)+(W$44*(-(50-$U32)*('Rhaniad y Ddeiliadaeth (Canol)'!D$110/40)))</f>
        <v>#VALUE!</v>
      </c>
      <c r="Y32" s="4" t="e">
        <f>X32*(1+'Rhaniad y Ddeiliadaeth (Canol)'!E$109)+(X$44*(-(50-$U32)*('Rhaniad y Ddeiliadaeth (Canol)'!E$110/40)))</f>
        <v>#VALUE!</v>
      </c>
      <c r="Z32" s="4" t="e">
        <f>Y32*(1+'Rhaniad y Ddeiliadaeth (Canol)'!F$109)+(Y$44*(-(50-$U32)*('Rhaniad y Ddeiliadaeth (Canol)'!F$110/40)))</f>
        <v>#VALUE!</v>
      </c>
      <c r="AA32" s="4" t="e">
        <f>Z32*(1+'Rhaniad y Ddeiliadaeth (Canol)'!G$109)+(Z$44*(-(50-$U32)*('Rhaniad y Ddeiliadaeth (Canol)'!G$110/40)))</f>
        <v>#VALUE!</v>
      </c>
      <c r="AC32" s="260">
        <v>38</v>
      </c>
      <c r="AD32" s="4">
        <f>IF('Rhaniad y Ddeiliadaeth (Cymru)'!$D$8="Amcangyfrifon LlC",'Incwm (Canolbarth)'!E32,'Incwm (Canolbarth)'!W32)</f>
        <v>21902.996503957358</v>
      </c>
      <c r="AE32" s="4">
        <f>IF('Rhaniad y Ddeiliadaeth (Cymru)'!$D$8="Amcangyfrifon LlC",'Incwm (Canolbarth)'!F32,'Incwm (Canolbarth)'!X32)</f>
        <v>22574.887192995317</v>
      </c>
      <c r="AF32" s="4">
        <f>IF('Rhaniad y Ddeiliadaeth (Cymru)'!$D$8="Amcangyfrifon LlC",'Incwm (Canolbarth)'!G32,'Incwm (Canolbarth)'!Y32)</f>
        <v>23264.944958126347</v>
      </c>
      <c r="AG32" s="4">
        <f>IF('Rhaniad y Ddeiliadaeth (Cymru)'!$D$8="Amcangyfrifon LlC",'Incwm (Canolbarth)'!H32,'Incwm (Canolbarth)'!Z32)</f>
        <v>23987.596563520783</v>
      </c>
      <c r="AH32" s="4">
        <f>IF('Rhaniad y Ddeiliadaeth (Cymru)'!$D$8="Amcangyfrifon LlC",'Incwm (Canolbarth)'!I32,'Incwm (Canolbarth)'!AA32)</f>
        <v>24727.900125950604</v>
      </c>
    </row>
    <row r="33" spans="2:34" x14ac:dyDescent="0.35">
      <c r="B33" s="251">
        <v>39</v>
      </c>
      <c r="C33" s="258">
        <v>21336.25</v>
      </c>
      <c r="D33" s="258">
        <v>21821.826537837827</v>
      </c>
      <c r="E33" s="278">
        <f>D33*(1+'Rhaniad y Ddeiliadaeth (Canol)'!C$109)+(D$44*(-(50-$B33)*('Rhaniad y Ddeiliadaeth (Canol)'!C$110/40)))</f>
        <v>22240.9849454711</v>
      </c>
      <c r="F33" s="278">
        <f>E33*(1+'Rhaniad y Ddeiliadaeth (Canol)'!D$109)+(E$44*(-(50-$B33)*('Rhaniad y Ddeiliadaeth (Canol)'!D$110/40)))</f>
        <v>22931.027512170906</v>
      </c>
      <c r="G33" s="278">
        <f>F33*(1+'Rhaniad y Ddeiliadaeth (Canol)'!E$109)+(F$44*(-(50-$B33)*('Rhaniad y Ddeiliadaeth (Canol)'!E$110/40)))</f>
        <v>23640.050314709511</v>
      </c>
      <c r="H33" s="278">
        <f>G33*(1+'Rhaniad y Ddeiliadaeth (Canol)'!F$109)+(G$44*(-(50-$B33)*('Rhaniad y Ddeiliadaeth (Canol)'!F$110/40)))</f>
        <v>24382.737485718317</v>
      </c>
      <c r="I33" s="279">
        <f>H33*(1+'Rhaniad y Ddeiliadaeth (Canol)'!G$109)+(H$44*(-(50-$B33)*('Rhaniad y Ddeiliadaeth (Canol)'!G$110/40)))</f>
        <v>25143.941260793203</v>
      </c>
      <c r="M33" s="36" t="str">
        <f t="shared" si="1"/>
        <v/>
      </c>
      <c r="N33" s="190"/>
      <c r="O33" s="13">
        <f t="shared" si="4"/>
        <v>1</v>
      </c>
      <c r="U33" s="1">
        <f t="shared" si="2"/>
        <v>39</v>
      </c>
      <c r="V33" s="4" t="str">
        <f t="shared" si="3"/>
        <v/>
      </c>
      <c r="W33" s="4" t="e">
        <f>IF($W$3=$N$3,N33,V33*(1+'Rhaniad y Ddeiliadaeth (Canol)'!C$109)+(V$44*(-(50-$U33)*('Rhaniad y Ddeiliadaeth (Canol)'!C$110/40))))</f>
        <v>#VALUE!</v>
      </c>
      <c r="X33" s="4" t="e">
        <f>W33*(1+'Rhaniad y Ddeiliadaeth (Canol)'!D$109)+(W$44*(-(50-$U33)*('Rhaniad y Ddeiliadaeth (Canol)'!D$110/40)))</f>
        <v>#VALUE!</v>
      </c>
      <c r="Y33" s="4" t="e">
        <f>X33*(1+'Rhaniad y Ddeiliadaeth (Canol)'!E$109)+(X$44*(-(50-$U33)*('Rhaniad y Ddeiliadaeth (Canol)'!E$110/40)))</f>
        <v>#VALUE!</v>
      </c>
      <c r="Z33" s="4" t="e">
        <f>Y33*(1+'Rhaniad y Ddeiliadaeth (Canol)'!F$109)+(Y$44*(-(50-$U33)*('Rhaniad y Ddeiliadaeth (Canol)'!F$110/40)))</f>
        <v>#VALUE!</v>
      </c>
      <c r="AA33" s="4" t="e">
        <f>Z33*(1+'Rhaniad y Ddeiliadaeth (Canol)'!G$109)+(Z$44*(-(50-$U33)*('Rhaniad y Ddeiliadaeth (Canol)'!G$110/40)))</f>
        <v>#VALUE!</v>
      </c>
      <c r="AC33" s="260">
        <v>39</v>
      </c>
      <c r="AD33" s="4">
        <f>IF('Rhaniad y Ddeiliadaeth (Cymru)'!$D$8="Amcangyfrifon LlC",'Incwm (Canolbarth)'!E33,'Incwm (Canolbarth)'!W33)</f>
        <v>22240.9849454711</v>
      </c>
      <c r="AE33" s="4">
        <f>IF('Rhaniad y Ddeiliadaeth (Cymru)'!$D$8="Amcangyfrifon LlC",'Incwm (Canolbarth)'!F33,'Incwm (Canolbarth)'!X33)</f>
        <v>22931.027512170906</v>
      </c>
      <c r="AF33" s="4">
        <f>IF('Rhaniad y Ddeiliadaeth (Cymru)'!$D$8="Amcangyfrifon LlC",'Incwm (Canolbarth)'!G33,'Incwm (Canolbarth)'!Y33)</f>
        <v>23640.050314709511</v>
      </c>
      <c r="AG33" s="4">
        <f>IF('Rhaniad y Ddeiliadaeth (Cymru)'!$D$8="Amcangyfrifon LlC",'Incwm (Canolbarth)'!H33,'Incwm (Canolbarth)'!Z33)</f>
        <v>24382.737485718317</v>
      </c>
      <c r="AH33" s="4">
        <f>IF('Rhaniad y Ddeiliadaeth (Cymru)'!$D$8="Amcangyfrifon LlC",'Incwm (Canolbarth)'!I33,'Incwm (Canolbarth)'!AA33)</f>
        <v>25143.941260793203</v>
      </c>
    </row>
    <row r="34" spans="2:34" x14ac:dyDescent="0.35">
      <c r="B34" s="251">
        <v>40</v>
      </c>
      <c r="C34" s="258">
        <v>21624</v>
      </c>
      <c r="D34" s="258">
        <v>22151.154823223678</v>
      </c>
      <c r="E34" s="278">
        <f>D34*(1+'Rhaniad y Ddeiliadaeth (Canol)'!C$109)+(D$44*(-(50-$B34)*('Rhaniad y Ddeiliadaeth (Canol)'!C$110/40)))</f>
        <v>22584.128882498622</v>
      </c>
      <c r="F34" s="278">
        <f>E34*(1+'Rhaniad y Ddeiliadaeth (Canol)'!D$109)+(E$44*(-(50-$B34)*('Rhaniad y Ddeiliadaeth (Canol)'!D$110/40)))</f>
        <v>23292.500026180183</v>
      </c>
      <c r="G34" s="278">
        <f>F34*(1+'Rhaniad y Ddeiliadaeth (Canol)'!E$109)+(F$44*(-(50-$B34)*('Rhaniad y Ddeiliadaeth (Canol)'!E$110/40)))</f>
        <v>24020.67011142127</v>
      </c>
      <c r="H34" s="278">
        <f>G34*(1+'Rhaniad y Ddeiliadaeth (Canol)'!F$109)+(G$44*(-(50-$B34)*('Rhaniad y Ddeiliadaeth (Canol)'!F$110/40)))</f>
        <v>24783.584117875002</v>
      </c>
      <c r="I34" s="279">
        <f>H34*(1+'Rhaniad y Ddeiliadaeth (Canol)'!G$109)+(H$44*(-(50-$B34)*('Rhaniad y Ddeiliadaeth (Canol)'!G$110/40)))</f>
        <v>25565.884941802626</v>
      </c>
      <c r="M34" s="36" t="str">
        <f t="shared" si="1"/>
        <v/>
      </c>
      <c r="N34" s="190"/>
      <c r="O34" s="13">
        <f t="shared" si="4"/>
        <v>1</v>
      </c>
      <c r="U34" s="1">
        <f t="shared" si="2"/>
        <v>40</v>
      </c>
      <c r="V34" s="4" t="str">
        <f t="shared" si="3"/>
        <v/>
      </c>
      <c r="W34" s="4" t="e">
        <f>IF($W$3=$N$3,N34,V34*(1+'Rhaniad y Ddeiliadaeth (Canol)'!C$109)+(V$44*(-(50-$U34)*('Rhaniad y Ddeiliadaeth (Canol)'!C$110/40))))</f>
        <v>#VALUE!</v>
      </c>
      <c r="X34" s="4" t="e">
        <f>W34*(1+'Rhaniad y Ddeiliadaeth (Canol)'!D$109)+(W$44*(-(50-$U34)*('Rhaniad y Ddeiliadaeth (Canol)'!D$110/40)))</f>
        <v>#VALUE!</v>
      </c>
      <c r="Y34" s="4" t="e">
        <f>X34*(1+'Rhaniad y Ddeiliadaeth (Canol)'!E$109)+(X$44*(-(50-$U34)*('Rhaniad y Ddeiliadaeth (Canol)'!E$110/40)))</f>
        <v>#VALUE!</v>
      </c>
      <c r="Z34" s="4" t="e">
        <f>Y34*(1+'Rhaniad y Ddeiliadaeth (Canol)'!F$109)+(Y$44*(-(50-$U34)*('Rhaniad y Ddeiliadaeth (Canol)'!F$110/40)))</f>
        <v>#VALUE!</v>
      </c>
      <c r="AA34" s="4" t="e">
        <f>Z34*(1+'Rhaniad y Ddeiliadaeth (Canol)'!G$109)+(Z$44*(-(50-$U34)*('Rhaniad y Ddeiliadaeth (Canol)'!G$110/40)))</f>
        <v>#VALUE!</v>
      </c>
      <c r="AC34" s="260">
        <v>40</v>
      </c>
      <c r="AD34" s="4">
        <f>IF('Rhaniad y Ddeiliadaeth (Cymru)'!$D$8="Amcangyfrifon LlC",'Incwm (Canolbarth)'!E34,'Incwm (Canolbarth)'!W34)</f>
        <v>22584.128882498622</v>
      </c>
      <c r="AE34" s="4">
        <f>IF('Rhaniad y Ddeiliadaeth (Cymru)'!$D$8="Amcangyfrifon LlC",'Incwm (Canolbarth)'!F34,'Incwm (Canolbarth)'!X34)</f>
        <v>23292.500026180183</v>
      </c>
      <c r="AF34" s="4">
        <f>IF('Rhaniad y Ddeiliadaeth (Cymru)'!$D$8="Amcangyfrifon LlC",'Incwm (Canolbarth)'!G34,'Incwm (Canolbarth)'!Y34)</f>
        <v>24020.67011142127</v>
      </c>
      <c r="AG34" s="4">
        <f>IF('Rhaniad y Ddeiliadaeth (Cymru)'!$D$8="Amcangyfrifon LlC",'Incwm (Canolbarth)'!H34,'Incwm (Canolbarth)'!Z34)</f>
        <v>24783.584117875002</v>
      </c>
      <c r="AH34" s="4">
        <f>IF('Rhaniad y Ddeiliadaeth (Cymru)'!$D$8="Amcangyfrifon LlC",'Incwm (Canolbarth)'!I34,'Incwm (Canolbarth)'!AA34)</f>
        <v>25565.884941802626</v>
      </c>
    </row>
    <row r="35" spans="2:34" x14ac:dyDescent="0.35">
      <c r="B35" s="251">
        <v>41</v>
      </c>
      <c r="C35" s="258">
        <v>21919.5</v>
      </c>
      <c r="D35" s="258">
        <v>22453.858589883988</v>
      </c>
      <c r="E35" s="278">
        <f>D35*(1+'Rhaniad y Ddeiliadaeth (Canol)'!C$109)+(D$44*(-(50-$B35)*('Rhaniad y Ddeiliadaeth (Canol)'!C$110/40)))</f>
        <v>22900.050681906439</v>
      </c>
      <c r="F35" s="278">
        <f>E35*(1+'Rhaniad y Ddeiliadaeth (Canol)'!D$109)+(E$44*(-(50-$B35)*('Rhaniad y Ddeiliadaeth (Canol)'!D$110/40)))</f>
        <v>23625.817391728979</v>
      </c>
      <c r="G35" s="278">
        <f>F35*(1+'Rhaniad y Ddeiliadaeth (Canol)'!E$109)+(F$44*(-(50-$B35)*('Rhaniad y Ddeiliadaeth (Canol)'!E$110/40)))</f>
        <v>24372.172464877549</v>
      </c>
      <c r="H35" s="278">
        <f>G35*(1+'Rhaniad y Ddeiliadaeth (Canol)'!F$109)+(G$44*(-(50-$B35)*('Rhaniad y Ddeiliadaeth (Canol)'!F$110/40)))</f>
        <v>25154.303360470163</v>
      </c>
      <c r="I35" s="279">
        <f>H35*(1+'Rhaniad y Ddeiliadaeth (Canol)'!G$109)+(H$44*(-(50-$B35)*('Rhaniad y Ddeiliadaeth (Canol)'!G$110/40)))</f>
        <v>25956.661895262649</v>
      </c>
      <c r="M35" s="36" t="str">
        <f t="shared" si="1"/>
        <v/>
      </c>
      <c r="N35" s="190"/>
      <c r="O35" s="13">
        <f t="shared" si="4"/>
        <v>1</v>
      </c>
      <c r="U35" s="1">
        <f t="shared" si="2"/>
        <v>41</v>
      </c>
      <c r="V35" s="4" t="str">
        <f t="shared" si="3"/>
        <v/>
      </c>
      <c r="W35" s="4" t="e">
        <f>IF($W$3=$N$3,N35,V35*(1+'Rhaniad y Ddeiliadaeth (Canol)'!C$109)+(V$44*(-(50-$U35)*('Rhaniad y Ddeiliadaeth (Canol)'!C$110/40))))</f>
        <v>#VALUE!</v>
      </c>
      <c r="X35" s="4" t="e">
        <f>W35*(1+'Rhaniad y Ddeiliadaeth (Canol)'!D$109)+(W$44*(-(50-$U35)*('Rhaniad y Ddeiliadaeth (Canol)'!D$110/40)))</f>
        <v>#VALUE!</v>
      </c>
      <c r="Y35" s="4" t="e">
        <f>X35*(1+'Rhaniad y Ddeiliadaeth (Canol)'!E$109)+(X$44*(-(50-$U35)*('Rhaniad y Ddeiliadaeth (Canol)'!E$110/40)))</f>
        <v>#VALUE!</v>
      </c>
      <c r="Z35" s="4" t="e">
        <f>Y35*(1+'Rhaniad y Ddeiliadaeth (Canol)'!F$109)+(Y$44*(-(50-$U35)*('Rhaniad y Ddeiliadaeth (Canol)'!F$110/40)))</f>
        <v>#VALUE!</v>
      </c>
      <c r="AA35" s="4" t="e">
        <f>Z35*(1+'Rhaniad y Ddeiliadaeth (Canol)'!G$109)+(Z$44*(-(50-$U35)*('Rhaniad y Ddeiliadaeth (Canol)'!G$110/40)))</f>
        <v>#VALUE!</v>
      </c>
      <c r="AC35" s="260">
        <v>41</v>
      </c>
      <c r="AD35" s="4">
        <f>IF('Rhaniad y Ddeiliadaeth (Cymru)'!$D$8="Amcangyfrifon LlC",'Incwm (Canolbarth)'!E35,'Incwm (Canolbarth)'!W35)</f>
        <v>22900.050681906439</v>
      </c>
      <c r="AE35" s="4">
        <f>IF('Rhaniad y Ddeiliadaeth (Cymru)'!$D$8="Amcangyfrifon LlC",'Incwm (Canolbarth)'!F35,'Incwm (Canolbarth)'!X35)</f>
        <v>23625.817391728979</v>
      </c>
      <c r="AF35" s="4">
        <f>IF('Rhaniad y Ddeiliadaeth (Cymru)'!$D$8="Amcangyfrifon LlC",'Incwm (Canolbarth)'!G35,'Incwm (Canolbarth)'!Y35)</f>
        <v>24372.172464877549</v>
      </c>
      <c r="AG35" s="4">
        <f>IF('Rhaniad y Ddeiliadaeth (Cymru)'!$D$8="Amcangyfrifon LlC",'Incwm (Canolbarth)'!H35,'Incwm (Canolbarth)'!Z35)</f>
        <v>25154.303360470163</v>
      </c>
      <c r="AH35" s="4">
        <f>IF('Rhaniad y Ddeiliadaeth (Cymru)'!$D$8="Amcangyfrifon LlC",'Incwm (Canolbarth)'!I35,'Incwm (Canolbarth)'!AA35)</f>
        <v>25956.661895262649</v>
      </c>
    </row>
    <row r="36" spans="2:34" x14ac:dyDescent="0.35">
      <c r="B36" s="251">
        <v>42</v>
      </c>
      <c r="C36" s="258">
        <v>22199.5</v>
      </c>
      <c r="D36" s="258">
        <v>22740.684493995286</v>
      </c>
      <c r="E36" s="278">
        <f>D36*(1+'Rhaniad y Ddeiliadaeth (Canol)'!C$109)+(D$44*(-(50-$B36)*('Rhaniad y Ddeiliadaeth (Canol)'!C$110/40)))</f>
        <v>23199.738221312353</v>
      </c>
      <c r="F36" s="278">
        <f>E36*(1+'Rhaniad y Ddeiliadaeth (Canol)'!D$109)+(E$44*(-(50-$B36)*('Rhaniad y Ddeiliadaeth (Canol)'!D$110/40)))</f>
        <v>23942.344084668406</v>
      </c>
      <c r="G36" s="278">
        <f>F36*(1+'Rhaniad y Ddeiliadaeth (Canol)'!E$109)+(F$44*(-(50-$B36)*('Rhaniad y Ddeiliadaeth (Canol)'!E$110/40)))</f>
        <v>24706.31026926704</v>
      </c>
      <c r="H36" s="278">
        <f>G36*(1+'Rhaniad y Ddeiliadaeth (Canol)'!F$109)+(G$44*(-(50-$B36)*('Rhaniad y Ddeiliadaeth (Canol)'!F$110/40)))</f>
        <v>25507.055759970441</v>
      </c>
      <c r="I36" s="279">
        <f>H36*(1+'Rhaniad y Ddeiliadaeth (Canol)'!G$109)+(H$44*(-(50-$B36)*('Rhaniad y Ddeiliadaeth (Canol)'!G$110/40)))</f>
        <v>26328.852183505038</v>
      </c>
      <c r="M36" s="36" t="str">
        <f t="shared" si="1"/>
        <v/>
      </c>
      <c r="N36" s="190"/>
      <c r="O36" s="13">
        <f t="shared" si="4"/>
        <v>1</v>
      </c>
      <c r="U36" s="1">
        <f t="shared" si="2"/>
        <v>42</v>
      </c>
      <c r="V36" s="4" t="str">
        <f t="shared" si="3"/>
        <v/>
      </c>
      <c r="W36" s="4" t="e">
        <f>IF($W$3=$N$3,N36,V36*(1+'Rhaniad y Ddeiliadaeth (Canol)'!C$109)+(V$44*(-(50-$U36)*('Rhaniad y Ddeiliadaeth (Canol)'!C$110/40))))</f>
        <v>#VALUE!</v>
      </c>
      <c r="X36" s="4" t="e">
        <f>W36*(1+'Rhaniad y Ddeiliadaeth (Canol)'!D$109)+(W$44*(-(50-$U36)*('Rhaniad y Ddeiliadaeth (Canol)'!D$110/40)))</f>
        <v>#VALUE!</v>
      </c>
      <c r="Y36" s="4" t="e">
        <f>X36*(1+'Rhaniad y Ddeiliadaeth (Canol)'!E$109)+(X$44*(-(50-$U36)*('Rhaniad y Ddeiliadaeth (Canol)'!E$110/40)))</f>
        <v>#VALUE!</v>
      </c>
      <c r="Z36" s="4" t="e">
        <f>Y36*(1+'Rhaniad y Ddeiliadaeth (Canol)'!F$109)+(Y$44*(-(50-$U36)*('Rhaniad y Ddeiliadaeth (Canol)'!F$110/40)))</f>
        <v>#VALUE!</v>
      </c>
      <c r="AA36" s="4" t="e">
        <f>Z36*(1+'Rhaniad y Ddeiliadaeth (Canol)'!G$109)+(Z$44*(-(50-$U36)*('Rhaniad y Ddeiliadaeth (Canol)'!G$110/40)))</f>
        <v>#VALUE!</v>
      </c>
      <c r="AC36" s="260">
        <v>42</v>
      </c>
      <c r="AD36" s="4">
        <f>IF('Rhaniad y Ddeiliadaeth (Cymru)'!$D$8="Amcangyfrifon LlC",'Incwm (Canolbarth)'!E36,'Incwm (Canolbarth)'!W36)</f>
        <v>23199.738221312353</v>
      </c>
      <c r="AE36" s="4">
        <f>IF('Rhaniad y Ddeiliadaeth (Cymru)'!$D$8="Amcangyfrifon LlC",'Incwm (Canolbarth)'!F36,'Incwm (Canolbarth)'!X36)</f>
        <v>23942.344084668406</v>
      </c>
      <c r="AF36" s="4">
        <f>IF('Rhaniad y Ddeiliadaeth (Cymru)'!$D$8="Amcangyfrifon LlC",'Incwm (Canolbarth)'!G36,'Incwm (Canolbarth)'!Y36)</f>
        <v>24706.31026926704</v>
      </c>
      <c r="AG36" s="4">
        <f>IF('Rhaniad y Ddeiliadaeth (Cymru)'!$D$8="Amcangyfrifon LlC",'Incwm (Canolbarth)'!H36,'Incwm (Canolbarth)'!Z36)</f>
        <v>25507.055759970441</v>
      </c>
      <c r="AH36" s="4">
        <f>IF('Rhaniad y Ddeiliadaeth (Cymru)'!$D$8="Amcangyfrifon LlC",'Incwm (Canolbarth)'!I36,'Incwm (Canolbarth)'!AA36)</f>
        <v>26328.852183505038</v>
      </c>
    </row>
    <row r="37" spans="2:34" x14ac:dyDescent="0.35">
      <c r="B37" s="251">
        <v>43</v>
      </c>
      <c r="C37" s="258">
        <v>22930</v>
      </c>
      <c r="D37" s="258">
        <v>23488.992790257071</v>
      </c>
      <c r="E37" s="278">
        <f>D37*(1+'Rhaniad y Ddeiliadaeth (Canol)'!C$109)+(D$44*(-(50-$B37)*('Rhaniad y Ddeiliadaeth (Canol)'!C$110/40)))</f>
        <v>23971.266672386675</v>
      </c>
      <c r="F37" s="278">
        <f>E37*(1+'Rhaniad y Ddeiliadaeth (Canol)'!D$109)+(E$44*(-(50-$B37)*('Rhaniad y Ddeiliadaeth (Canol)'!D$110/40)))</f>
        <v>24746.883552480343</v>
      </c>
      <c r="G37" s="278">
        <f>F37*(1+'Rhaniad y Ddeiliadaeth (Canol)'!E$109)+(F$44*(-(50-$B37)*('Rhaniad y Ddeiliadaeth (Canol)'!E$110/40)))</f>
        <v>25545.140290081759</v>
      </c>
      <c r="H37" s="278">
        <f>G37*(1+'Rhaniad y Ddeiliadaeth (Canol)'!F$109)+(G$44*(-(50-$B37)*('Rhaniad y Ddeiliadaeth (Canol)'!F$110/40)))</f>
        <v>26382.005760389948</v>
      </c>
      <c r="I37" s="279">
        <f>H37*(1+'Rhaniad y Ddeiliadaeth (Canol)'!G$109)+(H$44*(-(50-$B37)*('Rhaniad y Ddeiliadaeth (Canol)'!G$110/40)))</f>
        <v>27241.254902750294</v>
      </c>
      <c r="M37" s="36" t="str">
        <f t="shared" si="1"/>
        <v/>
      </c>
      <c r="N37" s="190"/>
      <c r="O37" s="13">
        <f t="shared" si="4"/>
        <v>1</v>
      </c>
      <c r="U37" s="1">
        <f t="shared" si="2"/>
        <v>43</v>
      </c>
      <c r="V37" s="4" t="str">
        <f t="shared" si="3"/>
        <v/>
      </c>
      <c r="W37" s="4" t="e">
        <f>IF($W$3=$N$3,N37,V37*(1+'Rhaniad y Ddeiliadaeth (Canol)'!C$109)+(V$44*(-(50-$U37)*('Rhaniad y Ddeiliadaeth (Canol)'!C$110/40))))</f>
        <v>#VALUE!</v>
      </c>
      <c r="X37" s="4" t="e">
        <f>W37*(1+'Rhaniad y Ddeiliadaeth (Canol)'!D$109)+(W$44*(-(50-$U37)*('Rhaniad y Ddeiliadaeth (Canol)'!D$110/40)))</f>
        <v>#VALUE!</v>
      </c>
      <c r="Y37" s="4" t="e">
        <f>X37*(1+'Rhaniad y Ddeiliadaeth (Canol)'!E$109)+(X$44*(-(50-$U37)*('Rhaniad y Ddeiliadaeth (Canol)'!E$110/40)))</f>
        <v>#VALUE!</v>
      </c>
      <c r="Z37" s="4" t="e">
        <f>Y37*(1+'Rhaniad y Ddeiliadaeth (Canol)'!F$109)+(Y$44*(-(50-$U37)*('Rhaniad y Ddeiliadaeth (Canol)'!F$110/40)))</f>
        <v>#VALUE!</v>
      </c>
      <c r="AA37" s="4" t="e">
        <f>Z37*(1+'Rhaniad y Ddeiliadaeth (Canol)'!G$109)+(Z$44*(-(50-$U37)*('Rhaniad y Ddeiliadaeth (Canol)'!G$110/40)))</f>
        <v>#VALUE!</v>
      </c>
      <c r="AC37" s="260">
        <v>43</v>
      </c>
      <c r="AD37" s="4">
        <f>IF('Rhaniad y Ddeiliadaeth (Cymru)'!$D$8="Amcangyfrifon LlC",'Incwm (Canolbarth)'!E37,'Incwm (Canolbarth)'!W37)</f>
        <v>23971.266672386675</v>
      </c>
      <c r="AE37" s="4">
        <f>IF('Rhaniad y Ddeiliadaeth (Cymru)'!$D$8="Amcangyfrifon LlC",'Incwm (Canolbarth)'!F37,'Incwm (Canolbarth)'!X37)</f>
        <v>24746.883552480343</v>
      </c>
      <c r="AF37" s="4">
        <f>IF('Rhaniad y Ddeiliadaeth (Cymru)'!$D$8="Amcangyfrifon LlC",'Incwm (Canolbarth)'!G37,'Incwm (Canolbarth)'!Y37)</f>
        <v>25545.140290081759</v>
      </c>
      <c r="AG37" s="4">
        <f>IF('Rhaniad y Ddeiliadaeth (Cymru)'!$D$8="Amcangyfrifon LlC",'Incwm (Canolbarth)'!H37,'Incwm (Canolbarth)'!Z37)</f>
        <v>26382.005760389948</v>
      </c>
      <c r="AH37" s="4">
        <f>IF('Rhaniad y Ddeiliadaeth (Cymru)'!$D$8="Amcangyfrifon LlC",'Incwm (Canolbarth)'!I37,'Incwm (Canolbarth)'!AA37)</f>
        <v>27241.254902750294</v>
      </c>
    </row>
    <row r="38" spans="2:34" x14ac:dyDescent="0.35">
      <c r="B38" s="251">
        <v>44</v>
      </c>
      <c r="C38" s="258">
        <v>23436.1</v>
      </c>
      <c r="D38" s="258">
        <v>24007.430611938235</v>
      </c>
      <c r="E38" s="278">
        <f>D38*(1+'Rhaniad y Ddeiliadaeth (Canol)'!C$109)+(D$44*(-(50-$B38)*('Rhaniad y Ddeiliadaeth (Canol)'!C$110/40)))</f>
        <v>24507.764933497863</v>
      </c>
      <c r="F38" s="278">
        <f>E38*(1+'Rhaniad y Ddeiliadaeth (Canol)'!D$109)+(E$44*(-(50-$B38)*('Rhaniad y Ddeiliadaeth (Canol)'!D$110/40)))</f>
        <v>25308.337411676534</v>
      </c>
      <c r="G38" s="278">
        <f>F38*(1+'Rhaniad y Ddeiliadaeth (Canol)'!E$109)+(F$44*(-(50-$B38)*('Rhaniad y Ddeiliadaeth (Canol)'!E$110/40)))</f>
        <v>26132.576452148809</v>
      </c>
      <c r="H38" s="278">
        <f>G38*(1+'Rhaniad y Ddeiliadaeth (Canol)'!F$109)+(G$44*(-(50-$B38)*('Rhaniad y Ddeiliadaeth (Canol)'!F$110/40)))</f>
        <v>26996.842238842131</v>
      </c>
      <c r="I38" s="279">
        <f>H38*(1+'Rhaniad y Ddeiliadaeth (Canol)'!G$109)+(H$44*(-(50-$B38)*('Rhaniad y Ddeiliadaeth (Canol)'!G$110/40)))</f>
        <v>27884.570675231847</v>
      </c>
      <c r="M38" s="36" t="str">
        <f t="shared" si="1"/>
        <v/>
      </c>
      <c r="N38" s="190"/>
      <c r="O38" s="13">
        <f t="shared" si="4"/>
        <v>1</v>
      </c>
      <c r="U38" s="1">
        <f t="shared" si="2"/>
        <v>44</v>
      </c>
      <c r="V38" s="4" t="str">
        <f t="shared" si="3"/>
        <v/>
      </c>
      <c r="W38" s="4" t="e">
        <f>IF($W$3=$N$3,N38,V38*(1+'Rhaniad y Ddeiliadaeth (Canol)'!C$109)+(V$44*(-(50-$U38)*('Rhaniad y Ddeiliadaeth (Canol)'!C$110/40))))</f>
        <v>#VALUE!</v>
      </c>
      <c r="X38" s="4" t="e">
        <f>W38*(1+'Rhaniad y Ddeiliadaeth (Canol)'!D$109)+(W$44*(-(50-$U38)*('Rhaniad y Ddeiliadaeth (Canol)'!D$110/40)))</f>
        <v>#VALUE!</v>
      </c>
      <c r="Y38" s="4" t="e">
        <f>X38*(1+'Rhaniad y Ddeiliadaeth (Canol)'!E$109)+(X$44*(-(50-$U38)*('Rhaniad y Ddeiliadaeth (Canol)'!E$110/40)))</f>
        <v>#VALUE!</v>
      </c>
      <c r="Z38" s="4" t="e">
        <f>Y38*(1+'Rhaniad y Ddeiliadaeth (Canol)'!F$109)+(Y$44*(-(50-$U38)*('Rhaniad y Ddeiliadaeth (Canol)'!F$110/40)))</f>
        <v>#VALUE!</v>
      </c>
      <c r="AA38" s="4" t="e">
        <f>Z38*(1+'Rhaniad y Ddeiliadaeth (Canol)'!G$109)+(Z$44*(-(50-$U38)*('Rhaniad y Ddeiliadaeth (Canol)'!G$110/40)))</f>
        <v>#VALUE!</v>
      </c>
      <c r="AC38" s="260">
        <v>44</v>
      </c>
      <c r="AD38" s="4">
        <f>IF('Rhaniad y Ddeiliadaeth (Cymru)'!$D$8="Amcangyfrifon LlC",'Incwm (Canolbarth)'!E38,'Incwm (Canolbarth)'!W38)</f>
        <v>24507.764933497863</v>
      </c>
      <c r="AE38" s="4">
        <f>IF('Rhaniad y Ddeiliadaeth (Cymru)'!$D$8="Amcangyfrifon LlC",'Incwm (Canolbarth)'!F38,'Incwm (Canolbarth)'!X38)</f>
        <v>25308.337411676534</v>
      </c>
      <c r="AF38" s="4">
        <f>IF('Rhaniad y Ddeiliadaeth (Cymru)'!$D$8="Amcangyfrifon LlC",'Incwm (Canolbarth)'!G38,'Incwm (Canolbarth)'!Y38)</f>
        <v>26132.576452148809</v>
      </c>
      <c r="AG38" s="4">
        <f>IF('Rhaniad y Ddeiliadaeth (Cymru)'!$D$8="Amcangyfrifon LlC",'Incwm (Canolbarth)'!H38,'Incwm (Canolbarth)'!Z38)</f>
        <v>26996.842238842131</v>
      </c>
      <c r="AH38" s="4">
        <f>IF('Rhaniad y Ddeiliadaeth (Cymru)'!$D$8="Amcangyfrifon LlC",'Incwm (Canolbarth)'!I38,'Incwm (Canolbarth)'!AA38)</f>
        <v>27884.570675231847</v>
      </c>
    </row>
    <row r="39" spans="2:34" x14ac:dyDescent="0.35">
      <c r="B39" s="251">
        <v>45</v>
      </c>
      <c r="C39" s="258">
        <v>23948.5</v>
      </c>
      <c r="D39" s="258">
        <v>24532.322016461905</v>
      </c>
      <c r="E39" s="278">
        <f>D39*(1+'Rhaniad y Ddeiliadaeth (Canol)'!C$109)+(D$44*(-(50-$B39)*('Rhaniad y Ddeiliadaeth (Canol)'!C$110/40)))</f>
        <v>25050.861635771122</v>
      </c>
      <c r="F39" s="278">
        <f>E39*(1+'Rhaniad y Ddeiliadaeth (Canol)'!D$109)+(E$44*(-(50-$B39)*('Rhaniad y Ddeiliadaeth (Canol)'!D$110/40)))</f>
        <v>25876.615866836542</v>
      </c>
      <c r="G39" s="278">
        <f>F39*(1+'Rhaniad y Ddeiliadaeth (Canol)'!E$109)+(F$44*(-(50-$B39)*('Rhaniad y Ddeiliadaeth (Canol)'!E$110/40)))</f>
        <v>26727.070463191405</v>
      </c>
      <c r="H39" s="278">
        <f>G39*(1+'Rhaniad y Ddeiliadaeth (Canol)'!F$109)+(G$44*(-(50-$B39)*('Rhaniad y Ddeiliadaeth (Canol)'!F$110/40)))</f>
        <v>27618.981369649024</v>
      </c>
      <c r="I39" s="279">
        <f>H39*(1+'Rhaniad y Ddeiliadaeth (Canol)'!G$109)+(H$44*(-(50-$B39)*('Rhaniad y Ddeiliadaeth (Canol)'!G$110/40)))</f>
        <v>28535.441027769612</v>
      </c>
      <c r="M39" s="36" t="str">
        <f t="shared" si="1"/>
        <v/>
      </c>
      <c r="N39" s="190"/>
      <c r="O39" s="13">
        <f t="shared" si="4"/>
        <v>1</v>
      </c>
      <c r="U39" s="1">
        <f t="shared" si="2"/>
        <v>45</v>
      </c>
      <c r="V39" s="4" t="str">
        <f t="shared" si="3"/>
        <v/>
      </c>
      <c r="W39" s="4" t="e">
        <f>IF($W$3=$N$3,N39,V39*(1+'Rhaniad y Ddeiliadaeth (Canol)'!C$109)+(V$44*(-(50-$U39)*('Rhaniad y Ddeiliadaeth (Canol)'!C$110/40))))</f>
        <v>#VALUE!</v>
      </c>
      <c r="X39" s="4" t="e">
        <f>W39*(1+'Rhaniad y Ddeiliadaeth (Canol)'!D$109)+(W$44*(-(50-$U39)*('Rhaniad y Ddeiliadaeth (Canol)'!D$110/40)))</f>
        <v>#VALUE!</v>
      </c>
      <c r="Y39" s="4" t="e">
        <f>X39*(1+'Rhaniad y Ddeiliadaeth (Canol)'!E$109)+(X$44*(-(50-$U39)*('Rhaniad y Ddeiliadaeth (Canol)'!E$110/40)))</f>
        <v>#VALUE!</v>
      </c>
      <c r="Z39" s="4" t="e">
        <f>Y39*(1+'Rhaniad y Ddeiliadaeth (Canol)'!F$109)+(Y$44*(-(50-$U39)*('Rhaniad y Ddeiliadaeth (Canol)'!F$110/40)))</f>
        <v>#VALUE!</v>
      </c>
      <c r="AA39" s="4" t="e">
        <f>Z39*(1+'Rhaniad y Ddeiliadaeth (Canol)'!G$109)+(Z$44*(-(50-$U39)*('Rhaniad y Ddeiliadaeth (Canol)'!G$110/40)))</f>
        <v>#VALUE!</v>
      </c>
      <c r="AC39" s="260">
        <v>45</v>
      </c>
      <c r="AD39" s="4">
        <f>IF('Rhaniad y Ddeiliadaeth (Cymru)'!$D$8="Amcangyfrifon LlC",'Incwm (Canolbarth)'!E39,'Incwm (Canolbarth)'!W39)</f>
        <v>25050.861635771122</v>
      </c>
      <c r="AE39" s="4">
        <f>IF('Rhaniad y Ddeiliadaeth (Cymru)'!$D$8="Amcangyfrifon LlC",'Incwm (Canolbarth)'!F39,'Incwm (Canolbarth)'!X39)</f>
        <v>25876.615866836542</v>
      </c>
      <c r="AF39" s="4">
        <f>IF('Rhaniad y Ddeiliadaeth (Cymru)'!$D$8="Amcangyfrifon LlC",'Incwm (Canolbarth)'!G39,'Incwm (Canolbarth)'!Y39)</f>
        <v>26727.070463191405</v>
      </c>
      <c r="AG39" s="4">
        <f>IF('Rhaniad y Ddeiliadaeth (Cymru)'!$D$8="Amcangyfrifon LlC",'Incwm (Canolbarth)'!H39,'Incwm (Canolbarth)'!Z39)</f>
        <v>27618.981369649024</v>
      </c>
      <c r="AH39" s="4">
        <f>IF('Rhaniad y Ddeiliadaeth (Cymru)'!$D$8="Amcangyfrifon LlC",'Incwm (Canolbarth)'!I39,'Incwm (Canolbarth)'!AA39)</f>
        <v>28535.441027769612</v>
      </c>
    </row>
    <row r="40" spans="2:34" x14ac:dyDescent="0.35">
      <c r="B40" s="251">
        <v>46</v>
      </c>
      <c r="C40" s="258">
        <v>24313</v>
      </c>
      <c r="D40" s="258">
        <v>24905.707880921073</v>
      </c>
      <c r="E40" s="278">
        <f>D40*(1+'Rhaniad y Ddeiliadaeth (Canol)'!C$109)+(D$44*(-(50-$B40)*('Rhaniad y Ddeiliadaeth (Canol)'!C$110/40)))</f>
        <v>25439.052076477765</v>
      </c>
      <c r="F40" s="278">
        <f>E40*(1+'Rhaniad y Ddeiliadaeth (Canol)'!D$109)+(E$44*(-(50-$B40)*('Rhaniad y Ddeiliadaeth (Canol)'!D$110/40)))</f>
        <v>26284.678807227083</v>
      </c>
      <c r="G40" s="278">
        <f>F40*(1+'Rhaniad y Ddeiliadaeth (Canol)'!E$109)+(F$44*(-(50-$B40)*('Rhaniad y Ddeiliadaeth (Canol)'!E$110/40)))</f>
        <v>27155.87306733213</v>
      </c>
      <c r="H40" s="278">
        <f>G40*(1+'Rhaniad y Ddeiliadaeth (Canol)'!F$109)+(G$44*(-(50-$B40)*('Rhaniad y Ddeiliadaeth (Canol)'!F$110/40)))</f>
        <v>28069.682042795634</v>
      </c>
      <c r="I40" s="279">
        <f>H40*(1+'Rhaniad y Ddeiliadaeth (Canol)'!G$109)+(H$44*(-(50-$B40)*('Rhaniad y Ddeiliadaeth (Canol)'!G$110/40)))</f>
        <v>29008.958619940393</v>
      </c>
      <c r="M40" s="36" t="str">
        <f t="shared" si="1"/>
        <v/>
      </c>
      <c r="N40" s="190"/>
      <c r="O40" s="13">
        <f t="shared" si="4"/>
        <v>1</v>
      </c>
      <c r="U40" s="1">
        <f t="shared" si="2"/>
        <v>46</v>
      </c>
      <c r="V40" s="4" t="str">
        <f t="shared" si="3"/>
        <v/>
      </c>
      <c r="W40" s="4" t="e">
        <f>IF($W$3=$N$3,N40,V40*(1+'Rhaniad y Ddeiliadaeth (Canol)'!C$109)+(V$44*(-(50-$U40)*('Rhaniad y Ddeiliadaeth (Canol)'!C$110/40))))</f>
        <v>#VALUE!</v>
      </c>
      <c r="X40" s="4" t="e">
        <f>W40*(1+'Rhaniad y Ddeiliadaeth (Canol)'!D$109)+(W$44*(-(50-$U40)*('Rhaniad y Ddeiliadaeth (Canol)'!D$110/40)))</f>
        <v>#VALUE!</v>
      </c>
      <c r="Y40" s="4" t="e">
        <f>X40*(1+'Rhaniad y Ddeiliadaeth (Canol)'!E$109)+(X$44*(-(50-$U40)*('Rhaniad y Ddeiliadaeth (Canol)'!E$110/40)))</f>
        <v>#VALUE!</v>
      </c>
      <c r="Z40" s="4" t="e">
        <f>Y40*(1+'Rhaniad y Ddeiliadaeth (Canol)'!F$109)+(Y$44*(-(50-$U40)*('Rhaniad y Ddeiliadaeth (Canol)'!F$110/40)))</f>
        <v>#VALUE!</v>
      </c>
      <c r="AA40" s="4" t="e">
        <f>Z40*(1+'Rhaniad y Ddeiliadaeth (Canol)'!G$109)+(Z$44*(-(50-$U40)*('Rhaniad y Ddeiliadaeth (Canol)'!G$110/40)))</f>
        <v>#VALUE!</v>
      </c>
      <c r="AC40" s="260">
        <v>46</v>
      </c>
      <c r="AD40" s="4">
        <f>IF('Rhaniad y Ddeiliadaeth (Cymru)'!$D$8="Amcangyfrifon LlC",'Incwm (Canolbarth)'!E40,'Incwm (Canolbarth)'!W40)</f>
        <v>25439.052076477765</v>
      </c>
      <c r="AE40" s="4">
        <f>IF('Rhaniad y Ddeiliadaeth (Cymru)'!$D$8="Amcangyfrifon LlC",'Incwm (Canolbarth)'!F40,'Incwm (Canolbarth)'!X40)</f>
        <v>26284.678807227083</v>
      </c>
      <c r="AF40" s="4">
        <f>IF('Rhaniad y Ddeiliadaeth (Cymru)'!$D$8="Amcangyfrifon LlC",'Incwm (Canolbarth)'!G40,'Incwm (Canolbarth)'!Y40)</f>
        <v>27155.87306733213</v>
      </c>
      <c r="AG40" s="4">
        <f>IF('Rhaniad y Ddeiliadaeth (Cymru)'!$D$8="Amcangyfrifon LlC",'Incwm (Canolbarth)'!H40,'Incwm (Canolbarth)'!Z40)</f>
        <v>28069.682042795634</v>
      </c>
      <c r="AH40" s="4">
        <f>IF('Rhaniad y Ddeiliadaeth (Cymru)'!$D$8="Amcangyfrifon LlC",'Incwm (Canolbarth)'!I40,'Incwm (Canolbarth)'!AA40)</f>
        <v>29008.958619940393</v>
      </c>
    </row>
    <row r="41" spans="2:34" x14ac:dyDescent="0.35">
      <c r="B41" s="251">
        <v>47</v>
      </c>
      <c r="C41" s="258">
        <v>24607.5</v>
      </c>
      <c r="D41" s="258">
        <v>25207.387269352417</v>
      </c>
      <c r="E41" s="278">
        <f>D41*(1+'Rhaniad y Ddeiliadaeth (Canol)'!C$109)+(D$44*(-(50-$B41)*('Rhaniad y Ddeiliadaeth (Canol)'!C$110/40)))</f>
        <v>25753.92650427256</v>
      </c>
      <c r="F41" s="278">
        <f>E41*(1+'Rhaniad y Ddeiliadaeth (Canol)'!D$109)+(E$44*(-(50-$B41)*('Rhaniad y Ddeiliadaeth (Canol)'!D$110/40)))</f>
        <v>26616.912903575278</v>
      </c>
      <c r="G41" s="278">
        <f>F41*(1+'Rhaniad y Ddeiliadaeth (Canol)'!E$109)+(F$44*(-(50-$B41)*('Rhaniad y Ddeiliadaeth (Canol)'!E$110/40)))</f>
        <v>27506.255127300232</v>
      </c>
      <c r="H41" s="278">
        <f>G41*(1+'Rhaniad y Ddeiliadaeth (Canol)'!F$109)+(G$44*(-(50-$B41)*('Rhaniad y Ddeiliadaeth (Canol)'!F$110/40)))</f>
        <v>28439.242134223387</v>
      </c>
      <c r="I41" s="279">
        <f>H41*(1+'Rhaniad y Ddeiliadaeth (Canol)'!G$109)+(H$44*(-(50-$B41)*('Rhaniad y Ddeiliadaeth (Canol)'!G$110/40)))</f>
        <v>29398.53643370896</v>
      </c>
      <c r="M41" s="36" t="str">
        <f t="shared" si="1"/>
        <v/>
      </c>
      <c r="N41" s="190"/>
      <c r="O41" s="13">
        <f t="shared" si="4"/>
        <v>1</v>
      </c>
      <c r="U41" s="1">
        <f t="shared" si="2"/>
        <v>47</v>
      </c>
      <c r="V41" s="4" t="str">
        <f t="shared" si="3"/>
        <v/>
      </c>
      <c r="W41" s="4" t="e">
        <f>IF($W$3=$N$3,N41,V41*(1+'Rhaniad y Ddeiliadaeth (Canol)'!C$109)+(V$44*(-(50-$U41)*('Rhaniad y Ddeiliadaeth (Canol)'!C$110/40))))</f>
        <v>#VALUE!</v>
      </c>
      <c r="X41" s="4" t="e">
        <f>W41*(1+'Rhaniad y Ddeiliadaeth (Canol)'!D$109)+(W$44*(-(50-$U41)*('Rhaniad y Ddeiliadaeth (Canol)'!D$110/40)))</f>
        <v>#VALUE!</v>
      </c>
      <c r="Y41" s="4" t="e">
        <f>X41*(1+'Rhaniad y Ddeiliadaeth (Canol)'!E$109)+(X$44*(-(50-$U41)*('Rhaniad y Ddeiliadaeth (Canol)'!E$110/40)))</f>
        <v>#VALUE!</v>
      </c>
      <c r="Z41" s="4" t="e">
        <f>Y41*(1+'Rhaniad y Ddeiliadaeth (Canol)'!F$109)+(Y$44*(-(50-$U41)*('Rhaniad y Ddeiliadaeth (Canol)'!F$110/40)))</f>
        <v>#VALUE!</v>
      </c>
      <c r="AA41" s="4" t="e">
        <f>Z41*(1+'Rhaniad y Ddeiliadaeth (Canol)'!G$109)+(Z$44*(-(50-$U41)*('Rhaniad y Ddeiliadaeth (Canol)'!G$110/40)))</f>
        <v>#VALUE!</v>
      </c>
      <c r="AC41" s="260">
        <v>47</v>
      </c>
      <c r="AD41" s="4">
        <f>IF('Rhaniad y Ddeiliadaeth (Cymru)'!$D$8="Amcangyfrifon LlC",'Incwm (Canolbarth)'!E41,'Incwm (Canolbarth)'!W41)</f>
        <v>25753.92650427256</v>
      </c>
      <c r="AE41" s="4">
        <f>IF('Rhaniad y Ddeiliadaeth (Cymru)'!$D$8="Amcangyfrifon LlC",'Incwm (Canolbarth)'!F41,'Incwm (Canolbarth)'!X41)</f>
        <v>26616.912903575278</v>
      </c>
      <c r="AF41" s="4">
        <f>IF('Rhaniad y Ddeiliadaeth (Cymru)'!$D$8="Amcangyfrifon LlC",'Incwm (Canolbarth)'!G41,'Incwm (Canolbarth)'!Y41)</f>
        <v>27506.255127300232</v>
      </c>
      <c r="AG41" s="4">
        <f>IF('Rhaniad y Ddeiliadaeth (Cymru)'!$D$8="Amcangyfrifon LlC",'Incwm (Canolbarth)'!H41,'Incwm (Canolbarth)'!Z41)</f>
        <v>28439.242134223387</v>
      </c>
      <c r="AH41" s="4">
        <f>IF('Rhaniad y Ddeiliadaeth (Cymru)'!$D$8="Amcangyfrifon LlC",'Incwm (Canolbarth)'!I41,'Incwm (Canolbarth)'!AA41)</f>
        <v>29398.53643370896</v>
      </c>
    </row>
    <row r="42" spans="2:34" x14ac:dyDescent="0.35">
      <c r="B42" s="251">
        <v>48</v>
      </c>
      <c r="C42" s="258">
        <v>24784.75</v>
      </c>
      <c r="D42" s="258">
        <v>25388.958310437156</v>
      </c>
      <c r="E42" s="278">
        <f>D42*(1+'Rhaniad y Ddeiliadaeth (Canol)'!C$109)+(D$44*(-(50-$B42)*('Rhaniad y Ddeiliadaeth (Canol)'!C$110/40)))</f>
        <v>25945.996610440008</v>
      </c>
      <c r="F42" s="278">
        <f>E42*(1+'Rhaniad y Ddeiliadaeth (Canol)'!D$109)+(E$44*(-(50-$B42)*('Rhaniad y Ddeiliadaeth (Canol)'!D$110/40)))</f>
        <v>26822.133686152549</v>
      </c>
      <c r="G42" s="278">
        <f>F42*(1+'Rhaniad y Ddeiliadaeth (Canol)'!E$109)+(F$44*(-(50-$B42)*('Rhaniad y Ddeiliadaeth (Canol)'!E$110/40)))</f>
        <v>27725.282775779193</v>
      </c>
      <c r="H42" s="278">
        <f>G42*(1+'Rhaniad y Ddeiliadaeth (Canol)'!F$109)+(G$44*(-(50-$B42)*('Rhaniad y Ddeiliadaeth (Canol)'!F$110/40)))</f>
        <v>28672.891751272051</v>
      </c>
      <c r="I42" s="279">
        <f>H42*(1+'Rhaniad y Ddeiliadaeth (Canol)'!G$109)+(H$44*(-(50-$B42)*('Rhaniad y Ddeiliadaeth (Canol)'!G$110/40)))</f>
        <v>29647.515118653806</v>
      </c>
      <c r="M42" s="36" t="str">
        <f t="shared" si="1"/>
        <v/>
      </c>
      <c r="N42" s="190"/>
      <c r="O42" s="13">
        <f t="shared" si="4"/>
        <v>1</v>
      </c>
      <c r="U42" s="1">
        <f t="shared" si="2"/>
        <v>48</v>
      </c>
      <c r="V42" s="4" t="str">
        <f t="shared" si="3"/>
        <v/>
      </c>
      <c r="W42" s="4" t="e">
        <f>IF($W$3=$N$3,N42,V42*(1+'Rhaniad y Ddeiliadaeth (Canol)'!C$109)+(V$44*(-(50-$U42)*('Rhaniad y Ddeiliadaeth (Canol)'!C$110/40))))</f>
        <v>#VALUE!</v>
      </c>
      <c r="X42" s="4" t="e">
        <f>W42*(1+'Rhaniad y Ddeiliadaeth (Canol)'!D$109)+(W$44*(-(50-$U42)*('Rhaniad y Ddeiliadaeth (Canol)'!D$110/40)))</f>
        <v>#VALUE!</v>
      </c>
      <c r="Y42" s="4" t="e">
        <f>X42*(1+'Rhaniad y Ddeiliadaeth (Canol)'!E$109)+(X$44*(-(50-$U42)*('Rhaniad y Ddeiliadaeth (Canol)'!E$110/40)))</f>
        <v>#VALUE!</v>
      </c>
      <c r="Z42" s="4" t="e">
        <f>Y42*(1+'Rhaniad y Ddeiliadaeth (Canol)'!F$109)+(Y$44*(-(50-$U42)*('Rhaniad y Ddeiliadaeth (Canol)'!F$110/40)))</f>
        <v>#VALUE!</v>
      </c>
      <c r="AA42" s="4" t="e">
        <f>Z42*(1+'Rhaniad y Ddeiliadaeth (Canol)'!G$109)+(Z$44*(-(50-$U42)*('Rhaniad y Ddeiliadaeth (Canol)'!G$110/40)))</f>
        <v>#VALUE!</v>
      </c>
      <c r="AC42" s="260">
        <v>48</v>
      </c>
      <c r="AD42" s="4">
        <f>IF('Rhaniad y Ddeiliadaeth (Cymru)'!$D$8="Amcangyfrifon LlC",'Incwm (Canolbarth)'!E42,'Incwm (Canolbarth)'!W42)</f>
        <v>25945.996610440008</v>
      </c>
      <c r="AE42" s="4">
        <f>IF('Rhaniad y Ddeiliadaeth (Cymru)'!$D$8="Amcangyfrifon LlC",'Incwm (Canolbarth)'!F42,'Incwm (Canolbarth)'!X42)</f>
        <v>26822.133686152549</v>
      </c>
      <c r="AF42" s="4">
        <f>IF('Rhaniad y Ddeiliadaeth (Cymru)'!$D$8="Amcangyfrifon LlC",'Incwm (Canolbarth)'!G42,'Incwm (Canolbarth)'!Y42)</f>
        <v>27725.282775779193</v>
      </c>
      <c r="AG42" s="4">
        <f>IF('Rhaniad y Ddeiliadaeth (Cymru)'!$D$8="Amcangyfrifon LlC",'Incwm (Canolbarth)'!H42,'Incwm (Canolbarth)'!Z42)</f>
        <v>28672.891751272051</v>
      </c>
      <c r="AH42" s="4">
        <f>IF('Rhaniad y Ddeiliadaeth (Cymru)'!$D$8="Amcangyfrifon LlC",'Incwm (Canolbarth)'!I42,'Incwm (Canolbarth)'!AA42)</f>
        <v>29647.515118653806</v>
      </c>
    </row>
    <row r="43" spans="2:34" x14ac:dyDescent="0.35">
      <c r="B43" s="251">
        <v>49</v>
      </c>
      <c r="C43" s="258">
        <v>24932.5</v>
      </c>
      <c r="D43" s="258">
        <v>25540.310193767313</v>
      </c>
      <c r="E43" s="278">
        <f>D43*(1+'Rhaniad y Ddeiliadaeth (Canol)'!C$109)+(D$44*(-(50-$B43)*('Rhaniad y Ddeiliadaeth (Canol)'!C$110/40)))</f>
        <v>26107.169254023171</v>
      </c>
      <c r="F43" s="278">
        <f>E43*(1+'Rhaniad y Ddeiliadaeth (Canol)'!D$109)+(E$44*(-(50-$B43)*('Rhaniad y Ddeiliadaeth (Canol)'!D$110/40)))</f>
        <v>26995.398027311971</v>
      </c>
      <c r="G43" s="278">
        <f>F43*(1+'Rhaniad y Ddeiliadaeth (Canol)'!E$109)+(F$44*(-(50-$B43)*('Rhaniad y Ddeiliadaeth (Canol)'!E$110/40)))</f>
        <v>27911.261766356827</v>
      </c>
      <c r="H43" s="278">
        <f>G43*(1+'Rhaniad y Ddeiliadaeth (Canol)'!F$109)+(G$44*(-(50-$B43)*('Rhaniad y Ddeiliadaeth (Canol)'!F$110/40)))</f>
        <v>28872.34640888204</v>
      </c>
      <c r="I43" s="279">
        <f>H43*(1+'Rhaniad y Ddeiliadaeth (Canol)'!G$109)+(H$44*(-(50-$B43)*('Rhaniad y Ddeiliadaeth (Canol)'!G$110/40)))</f>
        <v>29861.119182700557</v>
      </c>
      <c r="M43" s="36" t="str">
        <f t="shared" si="1"/>
        <v/>
      </c>
      <c r="N43" s="190"/>
      <c r="O43" s="13">
        <f t="shared" si="4"/>
        <v>1</v>
      </c>
      <c r="U43" s="1">
        <f t="shared" si="2"/>
        <v>49</v>
      </c>
      <c r="V43" s="4" t="str">
        <f t="shared" si="3"/>
        <v/>
      </c>
      <c r="W43" s="4" t="e">
        <f>IF($W$3=$N$3,N43,V43*(1+'Rhaniad y Ddeiliadaeth (Canol)'!C$109)+(V$44*(-(50-$U43)*('Rhaniad y Ddeiliadaeth (Canol)'!C$110/40))))</f>
        <v>#VALUE!</v>
      </c>
      <c r="X43" s="4" t="e">
        <f>W43*(1+'Rhaniad y Ddeiliadaeth (Canol)'!D$109)+(W$44*(-(50-$U43)*('Rhaniad y Ddeiliadaeth (Canol)'!D$110/40)))</f>
        <v>#VALUE!</v>
      </c>
      <c r="Y43" s="4" t="e">
        <f>X43*(1+'Rhaniad y Ddeiliadaeth (Canol)'!E$109)+(X$44*(-(50-$U43)*('Rhaniad y Ddeiliadaeth (Canol)'!E$110/40)))</f>
        <v>#VALUE!</v>
      </c>
      <c r="Z43" s="4" t="e">
        <f>Y43*(1+'Rhaniad y Ddeiliadaeth (Canol)'!F$109)+(Y$44*(-(50-$U43)*('Rhaniad y Ddeiliadaeth (Canol)'!F$110/40)))</f>
        <v>#VALUE!</v>
      </c>
      <c r="AA43" s="4" t="e">
        <f>Z43*(1+'Rhaniad y Ddeiliadaeth (Canol)'!G$109)+(Z$44*(-(50-$U43)*('Rhaniad y Ddeiliadaeth (Canol)'!G$110/40)))</f>
        <v>#VALUE!</v>
      </c>
      <c r="AC43" s="260">
        <v>49</v>
      </c>
      <c r="AD43" s="4">
        <f>IF('Rhaniad y Ddeiliadaeth (Cymru)'!$D$8="Amcangyfrifon LlC",'Incwm (Canolbarth)'!E43,'Incwm (Canolbarth)'!W43)</f>
        <v>26107.169254023171</v>
      </c>
      <c r="AE43" s="4">
        <f>IF('Rhaniad y Ddeiliadaeth (Cymru)'!$D$8="Amcangyfrifon LlC",'Incwm (Canolbarth)'!F43,'Incwm (Canolbarth)'!X43)</f>
        <v>26995.398027311971</v>
      </c>
      <c r="AF43" s="4">
        <f>IF('Rhaniad y Ddeiliadaeth (Cymru)'!$D$8="Amcangyfrifon LlC",'Incwm (Canolbarth)'!G43,'Incwm (Canolbarth)'!Y43)</f>
        <v>27911.261766356827</v>
      </c>
      <c r="AG43" s="4">
        <f>IF('Rhaniad y Ddeiliadaeth (Cymru)'!$D$8="Amcangyfrifon LlC",'Incwm (Canolbarth)'!H43,'Incwm (Canolbarth)'!Z43)</f>
        <v>28872.34640888204</v>
      </c>
      <c r="AH43" s="4">
        <f>IF('Rhaniad y Ddeiliadaeth (Cymru)'!$D$8="Amcangyfrifon LlC",'Incwm (Canolbarth)'!I43,'Incwm (Canolbarth)'!AA43)</f>
        <v>29861.119182700557</v>
      </c>
    </row>
    <row r="44" spans="2:34" x14ac:dyDescent="0.35">
      <c r="B44" s="251">
        <v>50</v>
      </c>
      <c r="C44" s="258">
        <v>25032.5</v>
      </c>
      <c r="D44" s="258">
        <v>25693.951034033817</v>
      </c>
      <c r="E44" s="278">
        <f>D44*(1+'Rhaniad y Ddeiliadaeth (Canol)'!C$109)+(D$44*(-(50-$B44)*('Rhaniad y Ddeiliadaeth (Canol)'!C$110/40)))</f>
        <v>26270.682232895368</v>
      </c>
      <c r="F44" s="278">
        <f>E44*(1+'Rhaniad y Ddeiliadaeth (Canol)'!D$109)+(E$44*(-(50-$B44)*('Rhaniad y Ddeiliadaeth (Canol)'!D$110/40)))</f>
        <v>27171.082916351599</v>
      </c>
      <c r="G44" s="278">
        <f>F44*(1+'Rhaniad y Ddeiliadaeth (Canol)'!E$109)+(F$44*(-(50-$B44)*('Rhaniad y Ddeiliadaeth (Canol)'!E$110/40)))</f>
        <v>28099.744034999148</v>
      </c>
      <c r="H44" s="278">
        <f>G44*(1+'Rhaniad y Ddeiliadaeth (Canol)'!F$109)+(G$44*(-(50-$B44)*('Rhaniad y Ddeiliadaeth (Canol)'!F$110/40)))</f>
        <v>29074.391171425832</v>
      </c>
      <c r="I44" s="279">
        <f>H44*(1+'Rhaniad y Ddeiliadaeth (Canol)'!G$109)+(H$44*(-(50-$B44)*('Rhaniad y Ddeiliadaeth (Canol)'!G$110/40)))</f>
        <v>30077.402705405068</v>
      </c>
      <c r="M44" s="36" t="str">
        <f t="shared" si="1"/>
        <v/>
      </c>
      <c r="N44" s="190"/>
      <c r="O44" s="13">
        <f t="shared" si="4"/>
        <v>1</v>
      </c>
      <c r="U44" s="1">
        <f t="shared" si="2"/>
        <v>50</v>
      </c>
      <c r="V44" s="4" t="str">
        <f t="shared" si="3"/>
        <v/>
      </c>
      <c r="W44" s="4" t="e">
        <f>IF($W$3=$N$3,N44,V44*(1+'Rhaniad y Ddeiliadaeth (Canol)'!C$109)+(V$44*(-(50-$U44)*('Rhaniad y Ddeiliadaeth (Canol)'!C$110/40))))</f>
        <v>#VALUE!</v>
      </c>
      <c r="X44" s="4" t="e">
        <f>W44*(1+'Rhaniad y Ddeiliadaeth (Canol)'!D$109)+(W$44*(-(50-$U44)*('Rhaniad y Ddeiliadaeth (Canol)'!D$110/40)))</f>
        <v>#VALUE!</v>
      </c>
      <c r="Y44" s="4" t="e">
        <f>X44*(1+'Rhaniad y Ddeiliadaeth (Canol)'!E$109)+(X$44*(-(50-$U44)*('Rhaniad y Ddeiliadaeth (Canol)'!E$110/40)))</f>
        <v>#VALUE!</v>
      </c>
      <c r="Z44" s="4" t="e">
        <f>Y44*(1+'Rhaniad y Ddeiliadaeth (Canol)'!F$109)+(Y$44*(-(50-$U44)*('Rhaniad y Ddeiliadaeth (Canol)'!F$110/40)))</f>
        <v>#VALUE!</v>
      </c>
      <c r="AA44" s="4" t="e">
        <f>Z44*(1+'Rhaniad y Ddeiliadaeth (Canol)'!G$109)+(Z$44*(-(50-$U44)*('Rhaniad y Ddeiliadaeth (Canol)'!G$110/40)))</f>
        <v>#VALUE!</v>
      </c>
      <c r="AC44" s="260">
        <v>50</v>
      </c>
      <c r="AD44" s="4">
        <f>IF('Rhaniad y Ddeiliadaeth (Cymru)'!$D$8="Amcangyfrifon LlC",'Incwm (Canolbarth)'!E44,'Incwm (Canolbarth)'!W44)</f>
        <v>26270.682232895368</v>
      </c>
      <c r="AE44" s="4">
        <f>IF('Rhaniad y Ddeiliadaeth (Cymru)'!$D$8="Amcangyfrifon LlC",'Incwm (Canolbarth)'!F44,'Incwm (Canolbarth)'!X44)</f>
        <v>27171.082916351599</v>
      </c>
      <c r="AF44" s="4">
        <f>IF('Rhaniad y Ddeiliadaeth (Cymru)'!$D$8="Amcangyfrifon LlC",'Incwm (Canolbarth)'!G44,'Incwm (Canolbarth)'!Y44)</f>
        <v>28099.744034999148</v>
      </c>
      <c r="AG44" s="4">
        <f>IF('Rhaniad y Ddeiliadaeth (Cymru)'!$D$8="Amcangyfrifon LlC",'Incwm (Canolbarth)'!H44,'Incwm (Canolbarth)'!Z44)</f>
        <v>29074.391171425832</v>
      </c>
      <c r="AH44" s="4">
        <f>IF('Rhaniad y Ddeiliadaeth (Cymru)'!$D$8="Amcangyfrifon LlC",'Incwm (Canolbarth)'!I44,'Incwm (Canolbarth)'!AA44)</f>
        <v>30077.402705405068</v>
      </c>
    </row>
    <row r="45" spans="2:34" x14ac:dyDescent="0.35">
      <c r="B45" s="251">
        <v>51</v>
      </c>
      <c r="C45" s="258">
        <v>25677.205000000002</v>
      </c>
      <c r="D45" s="258">
        <v>26355.691519458636</v>
      </c>
      <c r="E45" s="278">
        <f>D45*(1+'Rhaniad y Ddeiliadaeth (Canol)'!C$109)+(D$44*(-(50-$B45)*('Rhaniad y Ddeiliadaeth (Canol)'!C$110/40)))</f>
        <v>26953.699755966321</v>
      </c>
      <c r="F45" s="278">
        <f>E45*(1+'Rhaniad y Ddeiliadaeth (Canol)'!D$109)+(E$44*(-(50-$B45)*('Rhaniad y Ddeiliadaeth (Canol)'!D$110/40)))</f>
        <v>27884.077834902786</v>
      </c>
      <c r="G45" s="278">
        <f>F45*(1+'Rhaniad y Ddeiliadaeth (Canol)'!E$109)+(F$44*(-(50-$B45)*('Rhaniad y Ddeiliadaeth (Canol)'!E$110/40)))</f>
        <v>28843.90067051135</v>
      </c>
      <c r="H45" s="278">
        <f>G45*(1+'Rhaniad y Ddeiliadaeth (Canol)'!F$109)+(G$44*(-(50-$B45)*('Rhaniad y Ddeiliadaeth (Canol)'!F$110/40)))</f>
        <v>29851.384014855579</v>
      </c>
      <c r="I45" s="279">
        <f>H45*(1+'Rhaniad y Ddeiliadaeth (Canol)'!G$109)+(H$44*(-(50-$B45)*('Rhaniad y Ddeiliadaeth (Canol)'!G$110/40)))</f>
        <v>30888.468930919946</v>
      </c>
      <c r="M45" s="36" t="str">
        <f t="shared" si="1"/>
        <v/>
      </c>
      <c r="N45" s="190"/>
      <c r="O45" s="13">
        <f t="shared" si="4"/>
        <v>1</v>
      </c>
      <c r="U45" s="1">
        <f t="shared" si="2"/>
        <v>51</v>
      </c>
      <c r="V45" s="4" t="str">
        <f t="shared" si="3"/>
        <v/>
      </c>
      <c r="W45" s="4" t="e">
        <f>IF($W$3=$N$3,N45,V45*(1+'Rhaniad y Ddeiliadaeth (Canol)'!C$109)+(V$44*(-(50-$U45)*('Rhaniad y Ddeiliadaeth (Canol)'!C$110/40))))</f>
        <v>#VALUE!</v>
      </c>
      <c r="X45" s="4" t="e">
        <f>W45*(1+'Rhaniad y Ddeiliadaeth (Canol)'!D$109)+(W$44*(-(50-$U45)*('Rhaniad y Ddeiliadaeth (Canol)'!D$110/40)))</f>
        <v>#VALUE!</v>
      </c>
      <c r="Y45" s="4" t="e">
        <f>X45*(1+'Rhaniad y Ddeiliadaeth (Canol)'!E$109)+(X$44*(-(50-$U45)*('Rhaniad y Ddeiliadaeth (Canol)'!E$110/40)))</f>
        <v>#VALUE!</v>
      </c>
      <c r="Z45" s="4" t="e">
        <f>Y45*(1+'Rhaniad y Ddeiliadaeth (Canol)'!F$109)+(Y$44*(-(50-$U45)*('Rhaniad y Ddeiliadaeth (Canol)'!F$110/40)))</f>
        <v>#VALUE!</v>
      </c>
      <c r="AA45" s="4" t="e">
        <f>Z45*(1+'Rhaniad y Ddeiliadaeth (Canol)'!G$109)+(Z$44*(-(50-$U45)*('Rhaniad y Ddeiliadaeth (Canol)'!G$110/40)))</f>
        <v>#VALUE!</v>
      </c>
      <c r="AC45" s="260">
        <v>51</v>
      </c>
      <c r="AD45" s="4">
        <f>IF('Rhaniad y Ddeiliadaeth (Cymru)'!$D$8="Amcangyfrifon LlC",'Incwm (Canolbarth)'!E45,'Incwm (Canolbarth)'!W45)</f>
        <v>26953.699755966321</v>
      </c>
      <c r="AE45" s="4">
        <f>IF('Rhaniad y Ddeiliadaeth (Cymru)'!$D$8="Amcangyfrifon LlC",'Incwm (Canolbarth)'!F45,'Incwm (Canolbarth)'!X45)</f>
        <v>27884.077834902786</v>
      </c>
      <c r="AF45" s="4">
        <f>IF('Rhaniad y Ddeiliadaeth (Cymru)'!$D$8="Amcangyfrifon LlC",'Incwm (Canolbarth)'!G45,'Incwm (Canolbarth)'!Y45)</f>
        <v>28843.90067051135</v>
      </c>
      <c r="AG45" s="4">
        <f>IF('Rhaniad y Ddeiliadaeth (Cymru)'!$D$8="Amcangyfrifon LlC",'Incwm (Canolbarth)'!H45,'Incwm (Canolbarth)'!Z45)</f>
        <v>29851.384014855579</v>
      </c>
      <c r="AH45" s="4">
        <f>IF('Rhaniad y Ddeiliadaeth (Cymru)'!$D$8="Amcangyfrifon LlC",'Incwm (Canolbarth)'!I45,'Incwm (Canolbarth)'!AA45)</f>
        <v>30888.468930919946</v>
      </c>
    </row>
    <row r="46" spans="2:34" x14ac:dyDescent="0.35">
      <c r="B46" s="251">
        <v>52</v>
      </c>
      <c r="C46" s="258">
        <v>26241.8</v>
      </c>
      <c r="D46" s="258">
        <v>26935.205203032401</v>
      </c>
      <c r="E46" s="278">
        <f>D46*(1+'Rhaniad y Ddeiliadaeth (Canol)'!C$109)+(D$44*(-(50-$B46)*('Rhaniad y Ddeiliadaeth (Canol)'!C$110/40)))</f>
        <v>27552.644799114081</v>
      </c>
      <c r="F46" s="278">
        <f>E46*(1+'Rhaniad y Ddeiliadaeth (Canol)'!D$109)+(E$44*(-(50-$B46)*('Rhaniad y Ddeiliadaeth (Canol)'!D$110/40)))</f>
        <v>28510.118775528121</v>
      </c>
      <c r="G46" s="278">
        <f>F46*(1+'Rhaniad y Ddeiliadaeth (Canol)'!E$109)+(F$44*(-(50-$B46)*('Rhaniad y Ddeiliadaeth (Canol)'!E$110/40)))</f>
        <v>29498.131389928723</v>
      </c>
      <c r="H46" s="278">
        <f>G46*(1+'Rhaniad y Ddeiliadaeth (Canol)'!F$109)+(G$44*(-(50-$B46)*('Rhaniad y Ddeiliadaeth (Canol)'!F$110/40)))</f>
        <v>30535.331837742309</v>
      </c>
      <c r="I46" s="279">
        <f>H46*(1+'Rhaniad y Ddeiliadaeth (Canol)'!G$109)+(H$44*(-(50-$B46)*('Rhaniad y Ddeiliadaeth (Canol)'!G$110/40)))</f>
        <v>31603.280258572842</v>
      </c>
      <c r="M46" s="36" t="str">
        <f t="shared" si="1"/>
        <v/>
      </c>
      <c r="N46" s="190"/>
      <c r="O46" s="13">
        <f t="shared" si="4"/>
        <v>1</v>
      </c>
      <c r="U46" s="1">
        <f t="shared" si="2"/>
        <v>52</v>
      </c>
      <c r="V46" s="4" t="str">
        <f t="shared" si="3"/>
        <v/>
      </c>
      <c r="W46" s="4" t="e">
        <f>IF($W$3=$N$3,N46,V46*(1+'Rhaniad y Ddeiliadaeth (Canol)'!C$109)+(V$44*(-(50-$U46)*('Rhaniad y Ddeiliadaeth (Canol)'!C$110/40))))</f>
        <v>#VALUE!</v>
      </c>
      <c r="X46" s="4" t="e">
        <f>W46*(1+'Rhaniad y Ddeiliadaeth (Canol)'!D$109)+(W$44*(-(50-$U46)*('Rhaniad y Ddeiliadaeth (Canol)'!D$110/40)))</f>
        <v>#VALUE!</v>
      </c>
      <c r="Y46" s="4" t="e">
        <f>X46*(1+'Rhaniad y Ddeiliadaeth (Canol)'!E$109)+(X$44*(-(50-$U46)*('Rhaniad y Ddeiliadaeth (Canol)'!E$110/40)))</f>
        <v>#VALUE!</v>
      </c>
      <c r="Z46" s="4" t="e">
        <f>Y46*(1+'Rhaniad y Ddeiliadaeth (Canol)'!F$109)+(Y$44*(-(50-$U46)*('Rhaniad y Ddeiliadaeth (Canol)'!F$110/40)))</f>
        <v>#VALUE!</v>
      </c>
      <c r="AA46" s="4" t="e">
        <f>Z46*(1+'Rhaniad y Ddeiliadaeth (Canol)'!G$109)+(Z$44*(-(50-$U46)*('Rhaniad y Ddeiliadaeth (Canol)'!G$110/40)))</f>
        <v>#VALUE!</v>
      </c>
      <c r="AC46" s="260">
        <v>52</v>
      </c>
      <c r="AD46" s="4">
        <f>IF('Rhaniad y Ddeiliadaeth (Cymru)'!$D$8="Amcangyfrifon LlC",'Incwm (Canolbarth)'!E46,'Incwm (Canolbarth)'!W46)</f>
        <v>27552.644799114081</v>
      </c>
      <c r="AE46" s="4">
        <f>IF('Rhaniad y Ddeiliadaeth (Cymru)'!$D$8="Amcangyfrifon LlC",'Incwm (Canolbarth)'!F46,'Incwm (Canolbarth)'!X46)</f>
        <v>28510.118775528121</v>
      </c>
      <c r="AF46" s="4">
        <f>IF('Rhaniad y Ddeiliadaeth (Cymru)'!$D$8="Amcangyfrifon LlC",'Incwm (Canolbarth)'!G46,'Incwm (Canolbarth)'!Y46)</f>
        <v>29498.131389928723</v>
      </c>
      <c r="AG46" s="4">
        <f>IF('Rhaniad y Ddeiliadaeth (Cymru)'!$D$8="Amcangyfrifon LlC",'Incwm (Canolbarth)'!H46,'Incwm (Canolbarth)'!Z46)</f>
        <v>30535.331837742309</v>
      </c>
      <c r="AH46" s="4">
        <f>IF('Rhaniad y Ddeiliadaeth (Cymru)'!$D$8="Amcangyfrifon LlC",'Incwm (Canolbarth)'!I46,'Incwm (Canolbarth)'!AA46)</f>
        <v>31603.280258572842</v>
      </c>
    </row>
    <row r="47" spans="2:34" x14ac:dyDescent="0.35">
      <c r="B47" s="251">
        <v>53</v>
      </c>
      <c r="C47" s="258">
        <v>26778.1</v>
      </c>
      <c r="D47" s="258">
        <v>27485.676228281671</v>
      </c>
      <c r="E47" s="278">
        <f>D47*(1+'Rhaniad y Ddeiliadaeth (Canol)'!C$109)+(D$44*(-(50-$B47)*('Rhaniad y Ddeiliadaeth (Canol)'!C$110/40)))</f>
        <v>28121.895287032457</v>
      </c>
      <c r="F47" s="278">
        <f>E47*(1+'Rhaniad y Ddeiliadaeth (Canol)'!D$109)+(E$44*(-(50-$B47)*('Rhaniad y Ddeiliadaeth (Canol)'!D$110/40)))</f>
        <v>29105.447410506076</v>
      </c>
      <c r="G47" s="278">
        <f>F47*(1+'Rhaniad y Ddeiliadaeth (Canol)'!E$109)+(F$44*(-(50-$B47)*('Rhaniad y Ddeiliadaeth (Canol)'!E$110/40)))</f>
        <v>30120.600109646897</v>
      </c>
      <c r="H47" s="278">
        <f>G47*(1+'Rhaniad y Ddeiliadaeth (Canol)'!F$109)+(G$44*(-(50-$B47)*('Rhaniad y Ddeiliadaeth (Canol)'!F$110/40)))</f>
        <v>31186.415987476328</v>
      </c>
      <c r="I47" s="279">
        <f>H47*(1+'Rhaniad y Ddeiliadaeth (Canol)'!G$109)+(H$44*(-(50-$B47)*('Rhaniad y Ddeiliadaeth (Canol)'!G$110/40)))</f>
        <v>32284.094178473846</v>
      </c>
      <c r="M47" s="36" t="str">
        <f t="shared" si="1"/>
        <v/>
      </c>
      <c r="N47" s="190"/>
      <c r="O47" s="13">
        <f t="shared" si="4"/>
        <v>1</v>
      </c>
      <c r="U47" s="1">
        <f t="shared" si="2"/>
        <v>53</v>
      </c>
      <c r="V47" s="4" t="str">
        <f t="shared" si="3"/>
        <v/>
      </c>
      <c r="W47" s="4" t="e">
        <f>IF($W$3=$N$3,N47,V47*(1+'Rhaniad y Ddeiliadaeth (Canol)'!C$109)+(V$44*(-(50-$U47)*('Rhaniad y Ddeiliadaeth (Canol)'!C$110/40))))</f>
        <v>#VALUE!</v>
      </c>
      <c r="X47" s="4" t="e">
        <f>W47*(1+'Rhaniad y Ddeiliadaeth (Canol)'!D$109)+(W$44*(-(50-$U47)*('Rhaniad y Ddeiliadaeth (Canol)'!D$110/40)))</f>
        <v>#VALUE!</v>
      </c>
      <c r="Y47" s="4" t="e">
        <f>X47*(1+'Rhaniad y Ddeiliadaeth (Canol)'!E$109)+(X$44*(-(50-$U47)*('Rhaniad y Ddeiliadaeth (Canol)'!E$110/40)))</f>
        <v>#VALUE!</v>
      </c>
      <c r="Z47" s="4" t="e">
        <f>Y47*(1+'Rhaniad y Ddeiliadaeth (Canol)'!F$109)+(Y$44*(-(50-$U47)*('Rhaniad y Ddeiliadaeth (Canol)'!F$110/40)))</f>
        <v>#VALUE!</v>
      </c>
      <c r="AA47" s="4" t="e">
        <f>Z47*(1+'Rhaniad y Ddeiliadaeth (Canol)'!G$109)+(Z$44*(-(50-$U47)*('Rhaniad y Ddeiliadaeth (Canol)'!G$110/40)))</f>
        <v>#VALUE!</v>
      </c>
      <c r="AC47" s="260">
        <v>53</v>
      </c>
      <c r="AD47" s="4">
        <f>IF('Rhaniad y Ddeiliadaeth (Cymru)'!$D$8="Amcangyfrifon LlC",'Incwm (Canolbarth)'!E47,'Incwm (Canolbarth)'!W47)</f>
        <v>28121.895287032457</v>
      </c>
      <c r="AE47" s="4">
        <f>IF('Rhaniad y Ddeiliadaeth (Cymru)'!$D$8="Amcangyfrifon LlC",'Incwm (Canolbarth)'!F47,'Incwm (Canolbarth)'!X47)</f>
        <v>29105.447410506076</v>
      </c>
      <c r="AF47" s="4">
        <f>IF('Rhaniad y Ddeiliadaeth (Cymru)'!$D$8="Amcangyfrifon LlC",'Incwm (Canolbarth)'!G47,'Incwm (Canolbarth)'!Y47)</f>
        <v>30120.600109646897</v>
      </c>
      <c r="AG47" s="4">
        <f>IF('Rhaniad y Ddeiliadaeth (Cymru)'!$D$8="Amcangyfrifon LlC",'Incwm (Canolbarth)'!H47,'Incwm (Canolbarth)'!Z47)</f>
        <v>31186.415987476328</v>
      </c>
      <c r="AH47" s="4">
        <f>IF('Rhaniad y Ddeiliadaeth (Cymru)'!$D$8="Amcangyfrifon LlC",'Incwm (Canolbarth)'!I47,'Incwm (Canolbarth)'!AA47)</f>
        <v>32284.094178473846</v>
      </c>
    </row>
    <row r="48" spans="2:34" x14ac:dyDescent="0.35">
      <c r="B48" s="251">
        <v>54</v>
      </c>
      <c r="C48" s="258">
        <v>27284.5</v>
      </c>
      <c r="D48" s="258">
        <v>28005.457185183088</v>
      </c>
      <c r="E48" s="278">
        <f>D48*(1+'Rhaniad y Ddeiliadaeth (Canol)'!C$109)+(D$44*(-(50-$B48)*('Rhaniad y Ddeiliadaeth (Canol)'!C$110/40)))</f>
        <v>28659.766831626606</v>
      </c>
      <c r="F48" s="278">
        <f>E48*(1+'Rhaniad y Ddeiliadaeth (Canol)'!D$109)+(E$44*(-(50-$B48)*('Rhaniad y Ddeiliadaeth (Canol)'!D$110/40)))</f>
        <v>29668.321621067811</v>
      </c>
      <c r="G48" s="278">
        <f>F48*(1+'Rhaniad y Ddeiliadaeth (Canol)'!E$109)+(F$44*(-(50-$B48)*('Rhaniad y Ddeiliadaeth (Canol)'!E$110/40)))</f>
        <v>30709.505168258653</v>
      </c>
      <c r="H48" s="278">
        <f>G48*(1+'Rhaniad y Ddeiliadaeth (Canol)'!F$109)+(G$44*(-(50-$B48)*('Rhaniad y Ddeiliadaeth (Canol)'!F$110/40)))</f>
        <v>31802.772311542692</v>
      </c>
      <c r="I48" s="279">
        <f>H48*(1+'Rhaniad y Ddeiliadaeth (Canol)'!G$109)+(H$44*(-(50-$B48)*('Rhaniad y Ddeiliadaeth (Canol)'!G$110/40)))</f>
        <v>32928.982228370194</v>
      </c>
      <c r="M48" s="36" t="str">
        <f t="shared" si="1"/>
        <v/>
      </c>
      <c r="N48" s="190"/>
      <c r="O48" s="13">
        <f t="shared" si="4"/>
        <v>1</v>
      </c>
      <c r="U48" s="1">
        <f t="shared" si="2"/>
        <v>54</v>
      </c>
      <c r="V48" s="4" t="str">
        <f t="shared" si="3"/>
        <v/>
      </c>
      <c r="W48" s="4" t="e">
        <f>IF($W$3=$N$3,N48,V48*(1+'Rhaniad y Ddeiliadaeth (Canol)'!C$109)+(V$44*(-(50-$U48)*('Rhaniad y Ddeiliadaeth (Canol)'!C$110/40))))</f>
        <v>#VALUE!</v>
      </c>
      <c r="X48" s="4" t="e">
        <f>W48*(1+'Rhaniad y Ddeiliadaeth (Canol)'!D$109)+(W$44*(-(50-$U48)*('Rhaniad y Ddeiliadaeth (Canol)'!D$110/40)))</f>
        <v>#VALUE!</v>
      </c>
      <c r="Y48" s="4" t="e">
        <f>X48*(1+'Rhaniad y Ddeiliadaeth (Canol)'!E$109)+(X$44*(-(50-$U48)*('Rhaniad y Ddeiliadaeth (Canol)'!E$110/40)))</f>
        <v>#VALUE!</v>
      </c>
      <c r="Z48" s="4" t="e">
        <f>Y48*(1+'Rhaniad y Ddeiliadaeth (Canol)'!F$109)+(Y$44*(-(50-$U48)*('Rhaniad y Ddeiliadaeth (Canol)'!F$110/40)))</f>
        <v>#VALUE!</v>
      </c>
      <c r="AA48" s="4" t="e">
        <f>Z48*(1+'Rhaniad y Ddeiliadaeth (Canol)'!G$109)+(Z$44*(-(50-$U48)*('Rhaniad y Ddeiliadaeth (Canol)'!G$110/40)))</f>
        <v>#VALUE!</v>
      </c>
      <c r="AC48" s="260">
        <v>54</v>
      </c>
      <c r="AD48" s="4">
        <f>IF('Rhaniad y Ddeiliadaeth (Cymru)'!$D$8="Amcangyfrifon LlC",'Incwm (Canolbarth)'!E48,'Incwm (Canolbarth)'!W48)</f>
        <v>28659.766831626606</v>
      </c>
      <c r="AE48" s="4">
        <f>IF('Rhaniad y Ddeiliadaeth (Cymru)'!$D$8="Amcangyfrifon LlC",'Incwm (Canolbarth)'!F48,'Incwm (Canolbarth)'!X48)</f>
        <v>29668.321621067811</v>
      </c>
      <c r="AF48" s="4">
        <f>IF('Rhaniad y Ddeiliadaeth (Cymru)'!$D$8="Amcangyfrifon LlC",'Incwm (Canolbarth)'!G48,'Incwm (Canolbarth)'!Y48)</f>
        <v>30709.505168258653</v>
      </c>
      <c r="AG48" s="4">
        <f>IF('Rhaniad y Ddeiliadaeth (Cymru)'!$D$8="Amcangyfrifon LlC",'Incwm (Canolbarth)'!H48,'Incwm (Canolbarth)'!Z48)</f>
        <v>31802.772311542692</v>
      </c>
      <c r="AH48" s="4">
        <f>IF('Rhaniad y Ddeiliadaeth (Cymru)'!$D$8="Amcangyfrifon LlC",'Incwm (Canolbarth)'!I48,'Incwm (Canolbarth)'!AA48)</f>
        <v>32928.982228370194</v>
      </c>
    </row>
    <row r="49" spans="2:34" x14ac:dyDescent="0.35">
      <c r="B49" s="251">
        <v>55</v>
      </c>
      <c r="C49" s="258">
        <v>28262.75</v>
      </c>
      <c r="D49" s="258">
        <v>29009.55616047695</v>
      </c>
      <c r="E49" s="278">
        <f>D49*(1+'Rhaniad y Ddeiliadaeth (Canol)'!C$109)+(D$44*(-(50-$B49)*('Rhaniad y Ddeiliadaeth (Canol)'!C$110/40)))</f>
        <v>29692.827486840619</v>
      </c>
      <c r="F49" s="278">
        <f>E49*(1+'Rhaniad y Ddeiliadaeth (Canol)'!D$109)+(E$44*(-(50-$B49)*('Rhaniad y Ddeiliadaeth (Canol)'!D$110/40)))</f>
        <v>30743.357041020561</v>
      </c>
      <c r="G49" s="278">
        <f>F49*(1+'Rhaniad y Ddeiliadaeth (Canol)'!E$109)+(F$44*(-(50-$B49)*('Rhaniad y Ddeiliadaeth (Canol)'!E$110/40)))</f>
        <v>31828.076229982933</v>
      </c>
      <c r="H49" s="278">
        <f>G49*(1+'Rhaniad y Ddeiliadaeth (Canol)'!F$109)+(G$44*(-(50-$B49)*('Rhaniad y Ddeiliadaeth (Canol)'!F$110/40)))</f>
        <v>32967.166245685446</v>
      </c>
      <c r="I49" s="279">
        <f>H49*(1+'Rhaniad y Ddeiliadaeth (Canol)'!G$109)+(H$44*(-(50-$B49)*('Rhaniad y Ddeiliadaeth (Canol)'!G$110/40)))</f>
        <v>34140.814149895239</v>
      </c>
      <c r="M49" s="36" t="str">
        <f t="shared" si="1"/>
        <v/>
      </c>
      <c r="N49" s="190"/>
      <c r="O49" s="13">
        <f t="shared" si="4"/>
        <v>1</v>
      </c>
      <c r="U49" s="1">
        <f t="shared" si="2"/>
        <v>55</v>
      </c>
      <c r="V49" s="4" t="str">
        <f t="shared" si="3"/>
        <v/>
      </c>
      <c r="W49" s="4" t="e">
        <f>IF($W$3=$N$3,N49,V49*(1+'Rhaniad y Ddeiliadaeth (Canol)'!C$109)+(V$44*(-(50-$U49)*('Rhaniad y Ddeiliadaeth (Canol)'!C$110/40))))</f>
        <v>#VALUE!</v>
      </c>
      <c r="X49" s="4" t="e">
        <f>W49*(1+'Rhaniad y Ddeiliadaeth (Canol)'!D$109)+(W$44*(-(50-$U49)*('Rhaniad y Ddeiliadaeth (Canol)'!D$110/40)))</f>
        <v>#VALUE!</v>
      </c>
      <c r="Y49" s="4" t="e">
        <f>X49*(1+'Rhaniad y Ddeiliadaeth (Canol)'!E$109)+(X$44*(-(50-$U49)*('Rhaniad y Ddeiliadaeth (Canol)'!E$110/40)))</f>
        <v>#VALUE!</v>
      </c>
      <c r="Z49" s="4" t="e">
        <f>Y49*(1+'Rhaniad y Ddeiliadaeth (Canol)'!F$109)+(Y$44*(-(50-$U49)*('Rhaniad y Ddeiliadaeth (Canol)'!F$110/40)))</f>
        <v>#VALUE!</v>
      </c>
      <c r="AA49" s="4" t="e">
        <f>Z49*(1+'Rhaniad y Ddeiliadaeth (Canol)'!G$109)+(Z$44*(-(50-$U49)*('Rhaniad y Ddeiliadaeth (Canol)'!G$110/40)))</f>
        <v>#VALUE!</v>
      </c>
      <c r="AC49" s="260">
        <v>55</v>
      </c>
      <c r="AD49" s="4">
        <f>IF('Rhaniad y Ddeiliadaeth (Cymru)'!$D$8="Amcangyfrifon LlC",'Incwm (Canolbarth)'!E49,'Incwm (Canolbarth)'!W49)</f>
        <v>29692.827486840619</v>
      </c>
      <c r="AE49" s="4">
        <f>IF('Rhaniad y Ddeiliadaeth (Cymru)'!$D$8="Amcangyfrifon LlC",'Incwm (Canolbarth)'!F49,'Incwm (Canolbarth)'!X49)</f>
        <v>30743.357041020561</v>
      </c>
      <c r="AF49" s="4">
        <f>IF('Rhaniad y Ddeiliadaeth (Cymru)'!$D$8="Amcangyfrifon LlC",'Incwm (Canolbarth)'!G49,'Incwm (Canolbarth)'!Y49)</f>
        <v>31828.076229982933</v>
      </c>
      <c r="AG49" s="4">
        <f>IF('Rhaniad y Ddeiliadaeth (Cymru)'!$D$8="Amcangyfrifon LlC",'Incwm (Canolbarth)'!H49,'Incwm (Canolbarth)'!Z49)</f>
        <v>32967.166245685446</v>
      </c>
      <c r="AH49" s="4">
        <f>IF('Rhaniad y Ddeiliadaeth (Cymru)'!$D$8="Amcangyfrifon LlC",'Incwm (Canolbarth)'!I49,'Incwm (Canolbarth)'!AA49)</f>
        <v>34140.814149895239</v>
      </c>
    </row>
    <row r="50" spans="2:34" x14ac:dyDescent="0.35">
      <c r="B50" s="251">
        <v>56</v>
      </c>
      <c r="C50" s="258">
        <v>28662.5</v>
      </c>
      <c r="D50" s="258">
        <v>29419.869030779755</v>
      </c>
      <c r="E50" s="278">
        <f>D50*(1+'Rhaniad y Ddeiliadaeth (Canol)'!C$109)+(D$44*(-(50-$B50)*('Rhaniad y Ddeiliadaeth (Canol)'!C$110/40)))</f>
        <v>30118.77380382513</v>
      </c>
      <c r="F50" s="278">
        <f>E50*(1+'Rhaniad y Ddeiliadaeth (Canol)'!D$109)+(E$44*(-(50-$B50)*('Rhaniad y Ddeiliadaeth (Canol)'!D$110/40)))</f>
        <v>31190.469901616096</v>
      </c>
      <c r="G50" s="278">
        <f>F50*(1+'Rhaniad y Ddeiliadaeth (Canol)'!E$109)+(F$44*(-(50-$B50)*('Rhaniad y Ddeiliadaeth (Canol)'!E$110/40)))</f>
        <v>32297.263413778637</v>
      </c>
      <c r="H50" s="278">
        <f>G50*(1+'Rhaniad y Ddeiliadaeth (Canol)'!F$109)+(G$44*(-(50-$B50)*('Rhaniad y Ddeiliadaeth (Canol)'!F$110/40)))</f>
        <v>33459.652248432212</v>
      </c>
      <c r="I50" s="279">
        <f>H50*(1+'Rhaniad y Ddeiliadaeth (Canol)'!G$109)+(H$44*(-(50-$B50)*('Rhaniad y Ddeiliadaeth (Canol)'!G$110/40)))</f>
        <v>34657.558586547537</v>
      </c>
      <c r="M50" s="36" t="str">
        <f t="shared" si="1"/>
        <v/>
      </c>
      <c r="N50" s="190"/>
      <c r="O50" s="13">
        <f t="shared" si="4"/>
        <v>1</v>
      </c>
      <c r="U50" s="1">
        <f t="shared" si="2"/>
        <v>56</v>
      </c>
      <c r="V50" s="4" t="str">
        <f t="shared" si="3"/>
        <v/>
      </c>
      <c r="W50" s="4" t="e">
        <f>IF($W$3=$N$3,N50,V50*(1+'Rhaniad y Ddeiliadaeth (Canol)'!C$109)+(V$44*(-(50-$U50)*('Rhaniad y Ddeiliadaeth (Canol)'!C$110/40))))</f>
        <v>#VALUE!</v>
      </c>
      <c r="X50" s="4" t="e">
        <f>W50*(1+'Rhaniad y Ddeiliadaeth (Canol)'!D$109)+(W$44*(-(50-$U50)*('Rhaniad y Ddeiliadaeth (Canol)'!D$110/40)))</f>
        <v>#VALUE!</v>
      </c>
      <c r="Y50" s="4" t="e">
        <f>X50*(1+'Rhaniad y Ddeiliadaeth (Canol)'!E$109)+(X$44*(-(50-$U50)*('Rhaniad y Ddeiliadaeth (Canol)'!E$110/40)))</f>
        <v>#VALUE!</v>
      </c>
      <c r="Z50" s="4" t="e">
        <f>Y50*(1+'Rhaniad y Ddeiliadaeth (Canol)'!F$109)+(Y$44*(-(50-$U50)*('Rhaniad y Ddeiliadaeth (Canol)'!F$110/40)))</f>
        <v>#VALUE!</v>
      </c>
      <c r="AA50" s="4" t="e">
        <f>Z50*(1+'Rhaniad y Ddeiliadaeth (Canol)'!G$109)+(Z$44*(-(50-$U50)*('Rhaniad y Ddeiliadaeth (Canol)'!G$110/40)))</f>
        <v>#VALUE!</v>
      </c>
      <c r="AC50" s="260">
        <v>56</v>
      </c>
      <c r="AD50" s="4">
        <f>IF('Rhaniad y Ddeiliadaeth (Cymru)'!$D$8="Amcangyfrifon LlC",'Incwm (Canolbarth)'!E50,'Incwm (Canolbarth)'!W50)</f>
        <v>30118.77380382513</v>
      </c>
      <c r="AE50" s="4">
        <f>IF('Rhaniad y Ddeiliadaeth (Cymru)'!$D$8="Amcangyfrifon LlC",'Incwm (Canolbarth)'!F50,'Incwm (Canolbarth)'!X50)</f>
        <v>31190.469901616096</v>
      </c>
      <c r="AF50" s="4">
        <f>IF('Rhaniad y Ddeiliadaeth (Cymru)'!$D$8="Amcangyfrifon LlC",'Incwm (Canolbarth)'!G50,'Incwm (Canolbarth)'!Y50)</f>
        <v>32297.263413778637</v>
      </c>
      <c r="AG50" s="4">
        <f>IF('Rhaniad y Ddeiliadaeth (Cymru)'!$D$8="Amcangyfrifon LlC",'Incwm (Canolbarth)'!H50,'Incwm (Canolbarth)'!Z50)</f>
        <v>33459.652248432212</v>
      </c>
      <c r="AH50" s="4">
        <f>IF('Rhaniad y Ddeiliadaeth (Cymru)'!$D$8="Amcangyfrifon LlC",'Incwm (Canolbarth)'!I50,'Incwm (Canolbarth)'!AA50)</f>
        <v>34657.558586547537</v>
      </c>
    </row>
    <row r="51" spans="2:34" x14ac:dyDescent="0.35">
      <c r="B51" s="251">
        <v>57</v>
      </c>
      <c r="C51" s="258">
        <v>29177.5</v>
      </c>
      <c r="D51" s="258">
        <v>29948.47723142002</v>
      </c>
      <c r="E51" s="278">
        <f>D51*(1+'Rhaniad y Ddeiliadaeth (Canol)'!C$109)+(D$44*(-(50-$B51)*('Rhaniad y Ddeiliadaeth (Canol)'!C$110/40)))</f>
        <v>30665.670730111196</v>
      </c>
      <c r="F51" s="278">
        <f>E51*(1+'Rhaniad y Ddeiliadaeth (Canol)'!D$109)+(E$44*(-(50-$B51)*('Rhaniad y Ddeiliadaeth (Canol)'!D$110/40)))</f>
        <v>31762.678829568446</v>
      </c>
      <c r="G51" s="278">
        <f>F51*(1+'Rhaniad y Ddeiliadaeth (Canol)'!E$109)+(F$44*(-(50-$B51)*('Rhaniad y Ddeiliadaeth (Canol)'!E$110/40)))</f>
        <v>32895.822234447754</v>
      </c>
      <c r="H51" s="278">
        <f>G51*(1+'Rhaniad y Ddeiliadaeth (Canol)'!F$109)+(G$44*(-(50-$B51)*('Rhaniad y Ddeiliadaeth (Canol)'!F$110/40)))</f>
        <v>34085.997177874546</v>
      </c>
      <c r="I51" s="279">
        <f>H51*(1+'Rhaniad y Ddeiliadaeth (Canol)'!G$109)+(H$44*(-(50-$B51)*('Rhaniad y Ddeiliadaeth (Canol)'!G$110/40)))</f>
        <v>35312.77982982315</v>
      </c>
      <c r="M51" s="36" t="str">
        <f t="shared" si="1"/>
        <v/>
      </c>
      <c r="N51" s="190"/>
      <c r="O51" s="13">
        <f t="shared" si="4"/>
        <v>1</v>
      </c>
      <c r="U51" s="1">
        <f t="shared" si="2"/>
        <v>57</v>
      </c>
      <c r="V51" s="4" t="str">
        <f t="shared" si="3"/>
        <v/>
      </c>
      <c r="W51" s="4" t="e">
        <f>IF($W$3=$N$3,N51,V51*(1+'Rhaniad y Ddeiliadaeth (Canol)'!C$109)+(V$44*(-(50-$U51)*('Rhaniad y Ddeiliadaeth (Canol)'!C$110/40))))</f>
        <v>#VALUE!</v>
      </c>
      <c r="X51" s="4" t="e">
        <f>W51*(1+'Rhaniad y Ddeiliadaeth (Canol)'!D$109)+(W$44*(-(50-$U51)*('Rhaniad y Ddeiliadaeth (Canol)'!D$110/40)))</f>
        <v>#VALUE!</v>
      </c>
      <c r="Y51" s="4" t="e">
        <f>X51*(1+'Rhaniad y Ddeiliadaeth (Canol)'!E$109)+(X$44*(-(50-$U51)*('Rhaniad y Ddeiliadaeth (Canol)'!E$110/40)))</f>
        <v>#VALUE!</v>
      </c>
      <c r="Z51" s="4" t="e">
        <f>Y51*(1+'Rhaniad y Ddeiliadaeth (Canol)'!F$109)+(Y$44*(-(50-$U51)*('Rhaniad y Ddeiliadaeth (Canol)'!F$110/40)))</f>
        <v>#VALUE!</v>
      </c>
      <c r="AA51" s="4" t="e">
        <f>Z51*(1+'Rhaniad y Ddeiliadaeth (Canol)'!G$109)+(Z$44*(-(50-$U51)*('Rhaniad y Ddeiliadaeth (Canol)'!G$110/40)))</f>
        <v>#VALUE!</v>
      </c>
      <c r="AC51" s="260">
        <v>57</v>
      </c>
      <c r="AD51" s="4">
        <f>IF('Rhaniad y Ddeiliadaeth (Cymru)'!$D$8="Amcangyfrifon LlC",'Incwm (Canolbarth)'!E51,'Incwm (Canolbarth)'!W51)</f>
        <v>30665.670730111196</v>
      </c>
      <c r="AE51" s="4">
        <f>IF('Rhaniad y Ddeiliadaeth (Cymru)'!$D$8="Amcangyfrifon LlC",'Incwm (Canolbarth)'!F51,'Incwm (Canolbarth)'!X51)</f>
        <v>31762.678829568446</v>
      </c>
      <c r="AF51" s="4">
        <f>IF('Rhaniad y Ddeiliadaeth (Cymru)'!$D$8="Amcangyfrifon LlC",'Incwm (Canolbarth)'!G51,'Incwm (Canolbarth)'!Y51)</f>
        <v>32895.822234447754</v>
      </c>
      <c r="AG51" s="4">
        <f>IF('Rhaniad y Ddeiliadaeth (Cymru)'!$D$8="Amcangyfrifon LlC",'Incwm (Canolbarth)'!H51,'Incwm (Canolbarth)'!Z51)</f>
        <v>34085.997177874546</v>
      </c>
      <c r="AH51" s="4">
        <f>IF('Rhaniad y Ddeiliadaeth (Cymru)'!$D$8="Amcangyfrifon LlC",'Incwm (Canolbarth)'!I51,'Incwm (Canolbarth)'!AA51)</f>
        <v>35312.77982982315</v>
      </c>
    </row>
    <row r="52" spans="2:34" x14ac:dyDescent="0.35">
      <c r="B52" s="251">
        <v>58</v>
      </c>
      <c r="C52" s="258">
        <v>29759.599999999999</v>
      </c>
      <c r="D52" s="258">
        <v>30545.958461697101</v>
      </c>
      <c r="E52" s="278">
        <f>D52*(1+'Rhaniad y Ddeiliadaeth (Canol)'!C$109)+(D$44*(-(50-$B52)*('Rhaniad y Ddeiliadaeth (Canol)'!C$110/40)))</f>
        <v>31282.986622853961</v>
      </c>
      <c r="F52" s="278">
        <f>E52*(1+'Rhaniad y Ddeiliadaeth (Canol)'!D$109)+(E$44*(-(50-$B52)*('Rhaniad y Ddeiliadaeth (Canol)'!D$110/40)))</f>
        <v>32407.720261812708</v>
      </c>
      <c r="G52" s="278">
        <f>F52*(1+'Rhaniad y Ddeiliadaeth (Canol)'!E$109)+(F$44*(-(50-$B52)*('Rhaniad y Ddeiliadaeth (Canol)'!E$110/40)))</f>
        <v>33569.702849773756</v>
      </c>
      <c r="H52" s="278">
        <f>G52*(1+'Rhaniad y Ddeiliadaeth (Canol)'!F$109)+(G$44*(-(50-$B52)*('Rhaniad y Ddeiliadaeth (Canol)'!F$110/40)))</f>
        <v>34790.276458564374</v>
      </c>
      <c r="I52" s="279">
        <f>H52*(1+'Rhaniad y Ddeiliadaeth (Canol)'!G$109)+(H$44*(-(50-$B52)*('Rhaniad y Ddeiliadaeth (Canol)'!G$110/40)))</f>
        <v>36048.624012139313</v>
      </c>
      <c r="M52" s="36" t="str">
        <f t="shared" si="1"/>
        <v/>
      </c>
      <c r="N52" s="190"/>
      <c r="O52" s="13">
        <f t="shared" si="4"/>
        <v>1</v>
      </c>
      <c r="U52" s="1">
        <f t="shared" si="2"/>
        <v>58</v>
      </c>
      <c r="V52" s="4" t="str">
        <f t="shared" si="3"/>
        <v/>
      </c>
      <c r="W52" s="4" t="e">
        <f>IF($W$3=$N$3,N52,V52*(1+'Rhaniad y Ddeiliadaeth (Canol)'!C$109)+(V$44*(-(50-$U52)*('Rhaniad y Ddeiliadaeth (Canol)'!C$110/40))))</f>
        <v>#VALUE!</v>
      </c>
      <c r="X52" s="4" t="e">
        <f>W52*(1+'Rhaniad y Ddeiliadaeth (Canol)'!D$109)+(W$44*(-(50-$U52)*('Rhaniad y Ddeiliadaeth (Canol)'!D$110/40)))</f>
        <v>#VALUE!</v>
      </c>
      <c r="Y52" s="4" t="e">
        <f>X52*(1+'Rhaniad y Ddeiliadaeth (Canol)'!E$109)+(X$44*(-(50-$U52)*('Rhaniad y Ddeiliadaeth (Canol)'!E$110/40)))</f>
        <v>#VALUE!</v>
      </c>
      <c r="Z52" s="4" t="e">
        <f>Y52*(1+'Rhaniad y Ddeiliadaeth (Canol)'!F$109)+(Y$44*(-(50-$U52)*('Rhaniad y Ddeiliadaeth (Canol)'!F$110/40)))</f>
        <v>#VALUE!</v>
      </c>
      <c r="AA52" s="4" t="e">
        <f>Z52*(1+'Rhaniad y Ddeiliadaeth (Canol)'!G$109)+(Z$44*(-(50-$U52)*('Rhaniad y Ddeiliadaeth (Canol)'!G$110/40)))</f>
        <v>#VALUE!</v>
      </c>
      <c r="AC52" s="260">
        <v>58</v>
      </c>
      <c r="AD52" s="4">
        <f>IF('Rhaniad y Ddeiliadaeth (Cymru)'!$D$8="Amcangyfrifon LlC",'Incwm (Canolbarth)'!E52,'Incwm (Canolbarth)'!W52)</f>
        <v>31282.986622853961</v>
      </c>
      <c r="AE52" s="4">
        <f>IF('Rhaniad y Ddeiliadaeth (Cymru)'!$D$8="Amcangyfrifon LlC",'Incwm (Canolbarth)'!F52,'Incwm (Canolbarth)'!X52)</f>
        <v>32407.720261812708</v>
      </c>
      <c r="AF52" s="4">
        <f>IF('Rhaniad y Ddeiliadaeth (Cymru)'!$D$8="Amcangyfrifon LlC",'Incwm (Canolbarth)'!G52,'Incwm (Canolbarth)'!Y52)</f>
        <v>33569.702849773756</v>
      </c>
      <c r="AG52" s="4">
        <f>IF('Rhaniad y Ddeiliadaeth (Cymru)'!$D$8="Amcangyfrifon LlC",'Incwm (Canolbarth)'!H52,'Incwm (Canolbarth)'!Z52)</f>
        <v>34790.276458564374</v>
      </c>
      <c r="AH52" s="4">
        <f>IF('Rhaniad y Ddeiliadaeth (Cymru)'!$D$8="Amcangyfrifon LlC",'Incwm (Canolbarth)'!I52,'Incwm (Canolbarth)'!AA52)</f>
        <v>36048.624012139313</v>
      </c>
    </row>
    <row r="53" spans="2:34" x14ac:dyDescent="0.35">
      <c r="B53" s="251">
        <v>59</v>
      </c>
      <c r="C53" s="258">
        <v>30703</v>
      </c>
      <c r="D53" s="258">
        <v>31514.286571374822</v>
      </c>
      <c r="E53" s="278">
        <f>D53*(1+'Rhaniad y Ddeiliadaeth (Canol)'!C$109)+(D$44*(-(50-$B53)*('Rhaniad y Ddeiliadaeth (Canol)'!C$110/40)))</f>
        <v>32279.473492955964</v>
      </c>
      <c r="F53" s="278">
        <f>E53*(1+'Rhaniad y Ddeiliadaeth (Canol)'!D$109)+(E$44*(-(50-$B53)*('Rhaniad y Ddeiliadaeth (Canol)'!D$110/40)))</f>
        <v>33444.928367688364</v>
      </c>
      <c r="G53" s="278">
        <f>F53*(1+'Rhaniad y Ddeiliadaeth (Canol)'!E$109)+(F$44*(-(50-$B53)*('Rhaniad y Ddeiliadaeth (Canol)'!E$110/40)))</f>
        <v>34649.153724556272</v>
      </c>
      <c r="H53" s="278">
        <f>G53*(1+'Rhaniad y Ddeiliadaeth (Canol)'!F$109)+(G$44*(-(50-$B53)*('Rhaniad y Ddeiliadaeth (Canol)'!F$110/40)))</f>
        <v>35914.193311619572</v>
      </c>
      <c r="I53" s="279">
        <f>H53*(1+'Rhaniad y Ddeiliadaeth (Canol)'!G$109)+(H$44*(-(50-$B53)*('Rhaniad y Ddeiliadaeth (Canol)'!G$110/40)))</f>
        <v>37218.582469796049</v>
      </c>
      <c r="M53" s="36" t="str">
        <f t="shared" si="1"/>
        <v/>
      </c>
      <c r="N53" s="190"/>
      <c r="O53" s="13">
        <f t="shared" si="4"/>
        <v>1</v>
      </c>
      <c r="U53" s="1">
        <f t="shared" si="2"/>
        <v>59</v>
      </c>
      <c r="V53" s="4" t="str">
        <f t="shared" si="3"/>
        <v/>
      </c>
      <c r="W53" s="4" t="e">
        <f>IF($W$3=$N$3,N53,V53*(1+'Rhaniad y Ddeiliadaeth (Canol)'!C$109)+(V$44*(-(50-$U53)*('Rhaniad y Ddeiliadaeth (Canol)'!C$110/40))))</f>
        <v>#VALUE!</v>
      </c>
      <c r="X53" s="4" t="e">
        <f>W53*(1+'Rhaniad y Ddeiliadaeth (Canol)'!D$109)+(W$44*(-(50-$U53)*('Rhaniad y Ddeiliadaeth (Canol)'!D$110/40)))</f>
        <v>#VALUE!</v>
      </c>
      <c r="Y53" s="4" t="e">
        <f>X53*(1+'Rhaniad y Ddeiliadaeth (Canol)'!E$109)+(X$44*(-(50-$U53)*('Rhaniad y Ddeiliadaeth (Canol)'!E$110/40)))</f>
        <v>#VALUE!</v>
      </c>
      <c r="Z53" s="4" t="e">
        <f>Y53*(1+'Rhaniad y Ddeiliadaeth (Canol)'!F$109)+(Y$44*(-(50-$U53)*('Rhaniad y Ddeiliadaeth (Canol)'!F$110/40)))</f>
        <v>#VALUE!</v>
      </c>
      <c r="AA53" s="4" t="e">
        <f>Z53*(1+'Rhaniad y Ddeiliadaeth (Canol)'!G$109)+(Z$44*(-(50-$U53)*('Rhaniad y Ddeiliadaeth (Canol)'!G$110/40)))</f>
        <v>#VALUE!</v>
      </c>
      <c r="AC53" s="260">
        <v>59</v>
      </c>
      <c r="AD53" s="4">
        <f>IF('Rhaniad y Ddeiliadaeth (Cymru)'!$D$8="Amcangyfrifon LlC",'Incwm (Canolbarth)'!E53,'Incwm (Canolbarth)'!W53)</f>
        <v>32279.473492955964</v>
      </c>
      <c r="AE53" s="4">
        <f>IF('Rhaniad y Ddeiliadaeth (Cymru)'!$D$8="Amcangyfrifon LlC",'Incwm (Canolbarth)'!F53,'Incwm (Canolbarth)'!X53)</f>
        <v>33444.928367688364</v>
      </c>
      <c r="AF53" s="4">
        <f>IF('Rhaniad y Ddeiliadaeth (Cymru)'!$D$8="Amcangyfrifon LlC",'Incwm (Canolbarth)'!G53,'Incwm (Canolbarth)'!Y53)</f>
        <v>34649.153724556272</v>
      </c>
      <c r="AG53" s="4">
        <f>IF('Rhaniad y Ddeiliadaeth (Cymru)'!$D$8="Amcangyfrifon LlC",'Incwm (Canolbarth)'!H53,'Incwm (Canolbarth)'!Z53)</f>
        <v>35914.193311619572</v>
      </c>
      <c r="AH53" s="4">
        <f>IF('Rhaniad y Ddeiliadaeth (Cymru)'!$D$8="Amcangyfrifon LlC",'Incwm (Canolbarth)'!I53,'Incwm (Canolbarth)'!AA53)</f>
        <v>37218.582469796049</v>
      </c>
    </row>
    <row r="54" spans="2:34" x14ac:dyDescent="0.35">
      <c r="B54" s="251">
        <v>60</v>
      </c>
      <c r="C54" s="258">
        <v>31475</v>
      </c>
      <c r="D54" s="258">
        <v>32452.195443498669</v>
      </c>
      <c r="E54" s="278">
        <f>D54*(1+'Rhaniad y Ddeiliadaeth (Canol)'!C$109)+(D$44*(-(50-$B54)*('Rhaniad y Ddeiliadaeth (Canol)'!C$110/40)))</f>
        <v>33244.858329646042</v>
      </c>
      <c r="F54" s="278">
        <f>E54*(1+'Rhaniad y Ddeiliadaeth (Canol)'!D$109)+(E$44*(-(50-$B54)*('Rhaniad y Ddeiliadaeth (Canol)'!D$110/40)))</f>
        <v>34449.968449863278</v>
      </c>
      <c r="G54" s="278">
        <f>F54*(1+'Rhaniad y Ddeiliadaeth (Canol)'!E$109)+(F$44*(-(50-$B54)*('Rhaniad y Ddeiliadaeth (Canol)'!E$110/40)))</f>
        <v>35695.337127634208</v>
      </c>
      <c r="H54" s="278">
        <f>G54*(1+'Rhaniad y Ddeiliadaeth (Canol)'!F$109)+(G$44*(-(50-$B54)*('Rhaniad y Ddeiliadaeth (Canol)'!F$110/40)))</f>
        <v>37003.68880181756</v>
      </c>
      <c r="I54" s="279">
        <f>H54*(1+'Rhaniad y Ddeiliadaeth (Canol)'!G$109)+(H$44*(-(50-$B54)*('Rhaniad y Ddeiliadaeth (Canol)'!G$110/40)))</f>
        <v>38352.93209264621</v>
      </c>
      <c r="M54" s="36" t="str">
        <f t="shared" si="1"/>
        <v/>
      </c>
      <c r="N54" s="190"/>
      <c r="O54" s="13">
        <f t="shared" si="4"/>
        <v>1</v>
      </c>
      <c r="U54" s="1">
        <f t="shared" si="2"/>
        <v>60</v>
      </c>
      <c r="V54" s="4" t="str">
        <f t="shared" si="3"/>
        <v/>
      </c>
      <c r="W54" s="4" t="e">
        <f>IF($W$3=$N$3,N54,V54*(1+'Rhaniad y Ddeiliadaeth (Canol)'!C$109)+(V$44*(-(50-$U54)*('Rhaniad y Ddeiliadaeth (Canol)'!C$110/40))))</f>
        <v>#VALUE!</v>
      </c>
      <c r="X54" s="4" t="e">
        <f>W54*(1+'Rhaniad y Ddeiliadaeth (Canol)'!D$109)+(W$44*(-(50-$U54)*('Rhaniad y Ddeiliadaeth (Canol)'!D$110/40)))</f>
        <v>#VALUE!</v>
      </c>
      <c r="Y54" s="4" t="e">
        <f>X54*(1+'Rhaniad y Ddeiliadaeth (Canol)'!E$109)+(X$44*(-(50-$U54)*('Rhaniad y Ddeiliadaeth (Canol)'!E$110/40)))</f>
        <v>#VALUE!</v>
      </c>
      <c r="Z54" s="4" t="e">
        <f>Y54*(1+'Rhaniad y Ddeiliadaeth (Canol)'!F$109)+(Y$44*(-(50-$U54)*('Rhaniad y Ddeiliadaeth (Canol)'!F$110/40)))</f>
        <v>#VALUE!</v>
      </c>
      <c r="AA54" s="4" t="e">
        <f>Z54*(1+'Rhaniad y Ddeiliadaeth (Canol)'!G$109)+(Z$44*(-(50-$U54)*('Rhaniad y Ddeiliadaeth (Canol)'!G$110/40)))</f>
        <v>#VALUE!</v>
      </c>
      <c r="AC54" s="260">
        <v>60</v>
      </c>
      <c r="AD54" s="4">
        <f>IF('Rhaniad y Ddeiliadaeth (Cymru)'!$D$8="Amcangyfrifon LlC",'Incwm (Canolbarth)'!E54,'Incwm (Canolbarth)'!W54)</f>
        <v>33244.858329646042</v>
      </c>
      <c r="AE54" s="4">
        <f>IF('Rhaniad y Ddeiliadaeth (Cymru)'!$D$8="Amcangyfrifon LlC",'Incwm (Canolbarth)'!F54,'Incwm (Canolbarth)'!X54)</f>
        <v>34449.968449863278</v>
      </c>
      <c r="AF54" s="4">
        <f>IF('Rhaniad y Ddeiliadaeth (Cymru)'!$D$8="Amcangyfrifon LlC",'Incwm (Canolbarth)'!G54,'Incwm (Canolbarth)'!Y54)</f>
        <v>35695.337127634208</v>
      </c>
      <c r="AG54" s="4">
        <f>IF('Rhaniad y Ddeiliadaeth (Cymru)'!$D$8="Amcangyfrifon LlC",'Incwm (Canolbarth)'!H54,'Incwm (Canolbarth)'!Z54)</f>
        <v>37003.68880181756</v>
      </c>
      <c r="AH54" s="4">
        <f>IF('Rhaniad y Ddeiliadaeth (Cymru)'!$D$8="Amcangyfrifon LlC",'Incwm (Canolbarth)'!I54,'Incwm (Canolbarth)'!AA54)</f>
        <v>38352.93209264621</v>
      </c>
    </row>
    <row r="55" spans="2:34" x14ac:dyDescent="0.35">
      <c r="B55" s="251">
        <v>61</v>
      </c>
      <c r="C55" s="258">
        <v>32016.5</v>
      </c>
      <c r="D55" s="258">
        <v>33010.507241200161</v>
      </c>
      <c r="E55" s="278">
        <f>D55*(1+'Rhaniad y Ddeiliadaeth (Canol)'!C$109)+(D$44*(-(50-$B55)*('Rhaniad y Ddeiliadaeth (Canol)'!C$110/40)))</f>
        <v>33822.125585451926</v>
      </c>
      <c r="F55" s="278">
        <f>E55*(1+'Rhaniad y Ddeiliadaeth (Canol)'!D$109)+(E$44*(-(50-$B55)*('Rhaniad y Ddeiliadaeth (Canol)'!D$110/40)))</f>
        <v>35053.588619223992</v>
      </c>
      <c r="G55" s="278">
        <f>F55*(1+'Rhaniad y Ddeiliadaeth (Canol)'!E$109)+(F$44*(-(50-$B55)*('Rhaniad y Ddeiliadaeth (Canol)'!E$110/40)))</f>
        <v>36326.380772191784</v>
      </c>
      <c r="H55" s="278">
        <f>G55*(1+'Rhaniad y Ddeiliadaeth (Canol)'!F$109)+(G$44*(-(50-$B55)*('Rhaniad y Ddeiliadaeth (Canol)'!F$110/40)))</f>
        <v>37663.645299952186</v>
      </c>
      <c r="I55" s="279">
        <f>H55*(1+'Rhaniad y Ddeiliadaeth (Canol)'!G$109)+(H$44*(-(50-$B55)*('Rhaniad y Ddeiliadaeth (Canol)'!G$110/40)))</f>
        <v>39042.924440195595</v>
      </c>
      <c r="M55" s="36" t="str">
        <f t="shared" si="1"/>
        <v/>
      </c>
      <c r="N55" s="190"/>
      <c r="O55" s="13">
        <f t="shared" si="4"/>
        <v>1</v>
      </c>
      <c r="U55" s="1">
        <f t="shared" si="2"/>
        <v>61</v>
      </c>
      <c r="V55" s="4" t="str">
        <f t="shared" si="3"/>
        <v/>
      </c>
      <c r="W55" s="4" t="e">
        <f>IF($W$3=$N$3,N55,V55*(1+'Rhaniad y Ddeiliadaeth (Canol)'!C$109)+(V$44*(-(50-$U55)*('Rhaniad y Ddeiliadaeth (Canol)'!C$110/40))))</f>
        <v>#VALUE!</v>
      </c>
      <c r="X55" s="4" t="e">
        <f>W55*(1+'Rhaniad y Ddeiliadaeth (Canol)'!D$109)+(W$44*(-(50-$U55)*('Rhaniad y Ddeiliadaeth (Canol)'!D$110/40)))</f>
        <v>#VALUE!</v>
      </c>
      <c r="Y55" s="4" t="e">
        <f>X55*(1+'Rhaniad y Ddeiliadaeth (Canol)'!E$109)+(X$44*(-(50-$U55)*('Rhaniad y Ddeiliadaeth (Canol)'!E$110/40)))</f>
        <v>#VALUE!</v>
      </c>
      <c r="Z55" s="4" t="e">
        <f>Y55*(1+'Rhaniad y Ddeiliadaeth (Canol)'!F$109)+(Y$44*(-(50-$U55)*('Rhaniad y Ddeiliadaeth (Canol)'!F$110/40)))</f>
        <v>#VALUE!</v>
      </c>
      <c r="AA55" s="4" t="e">
        <f>Z55*(1+'Rhaniad y Ddeiliadaeth (Canol)'!G$109)+(Z$44*(-(50-$U55)*('Rhaniad y Ddeiliadaeth (Canol)'!G$110/40)))</f>
        <v>#VALUE!</v>
      </c>
      <c r="AC55" s="260">
        <v>61</v>
      </c>
      <c r="AD55" s="4">
        <f>IF('Rhaniad y Ddeiliadaeth (Cymru)'!$D$8="Amcangyfrifon LlC",'Incwm (Canolbarth)'!E55,'Incwm (Canolbarth)'!W55)</f>
        <v>33822.125585451926</v>
      </c>
      <c r="AE55" s="4">
        <f>IF('Rhaniad y Ddeiliadaeth (Cymru)'!$D$8="Amcangyfrifon LlC",'Incwm (Canolbarth)'!F55,'Incwm (Canolbarth)'!X55)</f>
        <v>35053.588619223992</v>
      </c>
      <c r="AF55" s="4">
        <f>IF('Rhaniad y Ddeiliadaeth (Cymru)'!$D$8="Amcangyfrifon LlC",'Incwm (Canolbarth)'!G55,'Incwm (Canolbarth)'!Y55)</f>
        <v>36326.380772191784</v>
      </c>
      <c r="AG55" s="4">
        <f>IF('Rhaniad y Ddeiliadaeth (Cymru)'!$D$8="Amcangyfrifon LlC",'Incwm (Canolbarth)'!H55,'Incwm (Canolbarth)'!Z55)</f>
        <v>37663.645299952186</v>
      </c>
      <c r="AH55" s="4">
        <f>IF('Rhaniad y Ddeiliadaeth (Cymru)'!$D$8="Amcangyfrifon LlC",'Incwm (Canolbarth)'!I55,'Incwm (Canolbarth)'!AA55)</f>
        <v>39042.924440195595</v>
      </c>
    </row>
    <row r="56" spans="2:34" x14ac:dyDescent="0.35">
      <c r="B56" s="251">
        <v>62</v>
      </c>
      <c r="C56" s="258">
        <v>33190</v>
      </c>
      <c r="D56" s="258">
        <v>34220.44056456619</v>
      </c>
      <c r="E56" s="278">
        <f>D56*(1+'Rhaniad y Ddeiliadaeth (Canol)'!C$109)+(D$44*(-(50-$B56)*('Rhaniad y Ddeiliadaeth (Canol)'!C$110/40)))</f>
        <v>35065.640784759074</v>
      </c>
      <c r="F56" s="278">
        <f>E56*(1+'Rhaniad y Ddeiliadaeth (Canol)'!D$109)+(E$44*(-(50-$B56)*('Rhaniad y Ddeiliadaeth (Canol)'!D$110/40)))</f>
        <v>36346.2916968715</v>
      </c>
      <c r="G56" s="278">
        <f>F56*(1+'Rhaniad y Ddeiliadaeth (Canol)'!E$109)+(F$44*(-(50-$B56)*('Rhaniad y Ddeiliadaeth (Canol)'!E$110/40)))</f>
        <v>37670.058999675719</v>
      </c>
      <c r="H56" s="278">
        <f>G56*(1+'Rhaniad y Ddeiliadaeth (Canol)'!F$109)+(G$44*(-(50-$B56)*('Rhaniad y Ddeiliadaeth (Canol)'!F$110/40)))</f>
        <v>39060.954302098238</v>
      </c>
      <c r="I56" s="279">
        <f>H56*(1+'Rhaniad y Ddeiliadaeth (Canol)'!G$109)+(H$44*(-(50-$B56)*('Rhaniad y Ddeiliadaeth (Canol)'!G$110/40)))</f>
        <v>40495.706559273771</v>
      </c>
      <c r="M56" s="36" t="str">
        <f t="shared" si="1"/>
        <v/>
      </c>
      <c r="N56" s="190"/>
      <c r="O56" s="13">
        <f t="shared" si="4"/>
        <v>1</v>
      </c>
      <c r="U56" s="1">
        <f t="shared" si="2"/>
        <v>62</v>
      </c>
      <c r="V56" s="4" t="str">
        <f t="shared" si="3"/>
        <v/>
      </c>
      <c r="W56" s="4" t="e">
        <f>IF($W$3=$N$3,N56,V56*(1+'Rhaniad y Ddeiliadaeth (Canol)'!C$109)+(V$44*(-(50-$U56)*('Rhaniad y Ddeiliadaeth (Canol)'!C$110/40))))</f>
        <v>#VALUE!</v>
      </c>
      <c r="X56" s="4" t="e">
        <f>W56*(1+'Rhaniad y Ddeiliadaeth (Canol)'!D$109)+(W$44*(-(50-$U56)*('Rhaniad y Ddeiliadaeth (Canol)'!D$110/40)))</f>
        <v>#VALUE!</v>
      </c>
      <c r="Y56" s="4" t="e">
        <f>X56*(1+'Rhaniad y Ddeiliadaeth (Canol)'!E$109)+(X$44*(-(50-$U56)*('Rhaniad y Ddeiliadaeth (Canol)'!E$110/40)))</f>
        <v>#VALUE!</v>
      </c>
      <c r="Z56" s="4" t="e">
        <f>Y56*(1+'Rhaniad y Ddeiliadaeth (Canol)'!F$109)+(Y$44*(-(50-$U56)*('Rhaniad y Ddeiliadaeth (Canol)'!F$110/40)))</f>
        <v>#VALUE!</v>
      </c>
      <c r="AA56" s="4" t="e">
        <f>Z56*(1+'Rhaniad y Ddeiliadaeth (Canol)'!G$109)+(Z$44*(-(50-$U56)*('Rhaniad y Ddeiliadaeth (Canol)'!G$110/40)))</f>
        <v>#VALUE!</v>
      </c>
      <c r="AC56" s="260">
        <v>62</v>
      </c>
      <c r="AD56" s="4">
        <f>IF('Rhaniad y Ddeiliadaeth (Cymru)'!$D$8="Amcangyfrifon LlC",'Incwm (Canolbarth)'!E56,'Incwm (Canolbarth)'!W56)</f>
        <v>35065.640784759074</v>
      </c>
      <c r="AE56" s="4">
        <f>IF('Rhaniad y Ddeiliadaeth (Cymru)'!$D$8="Amcangyfrifon LlC",'Incwm (Canolbarth)'!F56,'Incwm (Canolbarth)'!X56)</f>
        <v>36346.2916968715</v>
      </c>
      <c r="AF56" s="4">
        <f>IF('Rhaniad y Ddeiliadaeth (Cymru)'!$D$8="Amcangyfrifon LlC",'Incwm (Canolbarth)'!G56,'Incwm (Canolbarth)'!Y56)</f>
        <v>37670.058999675719</v>
      </c>
      <c r="AG56" s="4">
        <f>IF('Rhaniad y Ddeiliadaeth (Cymru)'!$D$8="Amcangyfrifon LlC",'Incwm (Canolbarth)'!H56,'Incwm (Canolbarth)'!Z56)</f>
        <v>39060.954302098238</v>
      </c>
      <c r="AH56" s="4">
        <f>IF('Rhaniad y Ddeiliadaeth (Cymru)'!$D$8="Amcangyfrifon LlC",'Incwm (Canolbarth)'!I56,'Incwm (Canolbarth)'!AA56)</f>
        <v>40495.706559273771</v>
      </c>
    </row>
    <row r="57" spans="2:34" x14ac:dyDescent="0.35">
      <c r="B57" s="251">
        <v>63</v>
      </c>
      <c r="C57" s="258">
        <v>33637.5</v>
      </c>
      <c r="D57" s="258">
        <v>34681.833970792264</v>
      </c>
      <c r="E57" s="278">
        <f>D57*(1+'Rhaniad y Ddeiliadaeth (Canol)'!C$109)+(D$44*(-(50-$B57)*('Rhaniad y Ddeiliadaeth (Canol)'!C$110/40)))</f>
        <v>35543.814200866982</v>
      </c>
      <c r="F57" s="278">
        <f>E57*(1+'Rhaniad y Ddeiliadaeth (Canol)'!D$109)+(E$44*(-(50-$B57)*('Rhaniad y Ddeiliadaeth (Canol)'!D$110/40)))</f>
        <v>36847.421686835121</v>
      </c>
      <c r="G57" s="278">
        <f>F57*(1+'Rhaniad y Ddeiliadaeth (Canol)'!E$109)+(F$44*(-(50-$B57)*('Rhaniad y Ddeiliadaeth (Canol)'!E$110/40)))</f>
        <v>38195.109525886655</v>
      </c>
      <c r="H57" s="278">
        <f>G57*(1+'Rhaniad y Ddeiliadaeth (Canol)'!F$109)+(G$44*(-(50-$B57)*('Rhaniad y Ddeiliadaeth (Canol)'!F$110/40)))</f>
        <v>39611.24128223116</v>
      </c>
      <c r="I57" s="279">
        <f>H57*(1+'Rhaniad y Ddeiliadaeth (Canol)'!G$109)+(H$44*(-(50-$B57)*('Rhaniad y Ddeiliadaeth (Canol)'!G$110/40)))</f>
        <v>41072.245997766659</v>
      </c>
      <c r="M57" s="36" t="str">
        <f t="shared" si="1"/>
        <v/>
      </c>
      <c r="N57" s="190"/>
      <c r="O57" s="13">
        <f t="shared" si="4"/>
        <v>1</v>
      </c>
      <c r="U57" s="1">
        <f t="shared" si="2"/>
        <v>63</v>
      </c>
      <c r="V57" s="4" t="str">
        <f t="shared" si="3"/>
        <v/>
      </c>
      <c r="W57" s="4" t="e">
        <f>IF($W$3=$N$3,N57,V57*(1+'Rhaniad y Ddeiliadaeth (Canol)'!C$109)+(V$44*(-(50-$U57)*('Rhaniad y Ddeiliadaeth (Canol)'!C$110/40))))</f>
        <v>#VALUE!</v>
      </c>
      <c r="X57" s="4" t="e">
        <f>W57*(1+'Rhaniad y Ddeiliadaeth (Canol)'!D$109)+(W$44*(-(50-$U57)*('Rhaniad y Ddeiliadaeth (Canol)'!D$110/40)))</f>
        <v>#VALUE!</v>
      </c>
      <c r="Y57" s="4" t="e">
        <f>X57*(1+'Rhaniad y Ddeiliadaeth (Canol)'!E$109)+(X$44*(-(50-$U57)*('Rhaniad y Ddeiliadaeth (Canol)'!E$110/40)))</f>
        <v>#VALUE!</v>
      </c>
      <c r="Z57" s="4" t="e">
        <f>Y57*(1+'Rhaniad y Ddeiliadaeth (Canol)'!F$109)+(Y$44*(-(50-$U57)*('Rhaniad y Ddeiliadaeth (Canol)'!F$110/40)))</f>
        <v>#VALUE!</v>
      </c>
      <c r="AA57" s="4" t="e">
        <f>Z57*(1+'Rhaniad y Ddeiliadaeth (Canol)'!G$109)+(Z$44*(-(50-$U57)*('Rhaniad y Ddeiliadaeth (Canol)'!G$110/40)))</f>
        <v>#VALUE!</v>
      </c>
      <c r="AC57" s="260">
        <v>63</v>
      </c>
      <c r="AD57" s="4">
        <f>IF('Rhaniad y Ddeiliadaeth (Cymru)'!$D$8="Amcangyfrifon LlC",'Incwm (Canolbarth)'!E57,'Incwm (Canolbarth)'!W57)</f>
        <v>35543.814200866982</v>
      </c>
      <c r="AE57" s="4">
        <f>IF('Rhaniad y Ddeiliadaeth (Cymru)'!$D$8="Amcangyfrifon LlC",'Incwm (Canolbarth)'!F57,'Incwm (Canolbarth)'!X57)</f>
        <v>36847.421686835121</v>
      </c>
      <c r="AF57" s="4">
        <f>IF('Rhaniad y Ddeiliadaeth (Cymru)'!$D$8="Amcangyfrifon LlC",'Incwm (Canolbarth)'!G57,'Incwm (Canolbarth)'!Y57)</f>
        <v>38195.109525886655</v>
      </c>
      <c r="AG57" s="4">
        <f>IF('Rhaniad y Ddeiliadaeth (Cymru)'!$D$8="Amcangyfrifon LlC",'Incwm (Canolbarth)'!H57,'Incwm (Canolbarth)'!Z57)</f>
        <v>39611.24128223116</v>
      </c>
      <c r="AH57" s="4">
        <f>IF('Rhaniad y Ddeiliadaeth (Cymru)'!$D$8="Amcangyfrifon LlC",'Incwm (Canolbarth)'!I57,'Incwm (Canolbarth)'!AA57)</f>
        <v>41072.245997766659</v>
      </c>
    </row>
    <row r="58" spans="2:34" x14ac:dyDescent="0.35">
      <c r="B58" s="251">
        <v>64</v>
      </c>
      <c r="C58" s="258">
        <v>34512.5</v>
      </c>
      <c r="D58" s="258">
        <v>35583.999848887936</v>
      </c>
      <c r="E58" s="278">
        <f>D58*(1+'Rhaniad y Ddeiliadaeth (Canol)'!C$109)+(D$44*(-(50-$B58)*('Rhaniad y Ddeiliadaeth (Canol)'!C$110/40)))</f>
        <v>36472.653749643861</v>
      </c>
      <c r="F58" s="278">
        <f>E58*(1+'Rhaniad y Ddeiliadaeth (Canol)'!D$109)+(E$44*(-(50-$B58)*('Rhaniad y Ddeiliadaeth (Canol)'!D$110/40)))</f>
        <v>37814.663928844006</v>
      </c>
      <c r="G58" s="278">
        <f>F58*(1+'Rhaniad y Ddeiliadaeth (Canol)'!E$109)+(F$44*(-(50-$B58)*('Rhaniad y Ddeiliadaeth (Canol)'!E$110/40)))</f>
        <v>39202.203223301731</v>
      </c>
      <c r="H58" s="278">
        <f>G58*(1+'Rhaniad y Ddeiliadaeth (Canol)'!F$109)+(G$44*(-(50-$B58)*('Rhaniad y Ddeiliadaeth (Canol)'!F$110/40)))</f>
        <v>40660.291229871822</v>
      </c>
      <c r="I58" s="279">
        <f>H58*(1+'Rhaniad y Ddeiliadaeth (Canol)'!G$109)+(H$44*(-(50-$B58)*('Rhaniad y Ddeiliadaeth (Canol)'!G$110/40)))</f>
        <v>42164.754783298406</v>
      </c>
      <c r="M58" s="36" t="str">
        <f t="shared" si="1"/>
        <v/>
      </c>
      <c r="N58" s="190"/>
      <c r="O58" s="13">
        <f t="shared" si="4"/>
        <v>1</v>
      </c>
      <c r="U58" s="1">
        <f t="shared" si="2"/>
        <v>64</v>
      </c>
      <c r="V58" s="4" t="str">
        <f t="shared" si="3"/>
        <v/>
      </c>
      <c r="W58" s="4" t="e">
        <f>IF($W$3=$N$3,N58,V58*(1+'Rhaniad y Ddeiliadaeth (Canol)'!C$109)+(V$44*(-(50-$U58)*('Rhaniad y Ddeiliadaeth (Canol)'!C$110/40))))</f>
        <v>#VALUE!</v>
      </c>
      <c r="X58" s="4" t="e">
        <f>W58*(1+'Rhaniad y Ddeiliadaeth (Canol)'!D$109)+(W$44*(-(50-$U58)*('Rhaniad y Ddeiliadaeth (Canol)'!D$110/40)))</f>
        <v>#VALUE!</v>
      </c>
      <c r="Y58" s="4" t="e">
        <f>X58*(1+'Rhaniad y Ddeiliadaeth (Canol)'!E$109)+(X$44*(-(50-$U58)*('Rhaniad y Ddeiliadaeth (Canol)'!E$110/40)))</f>
        <v>#VALUE!</v>
      </c>
      <c r="Z58" s="4" t="e">
        <f>Y58*(1+'Rhaniad y Ddeiliadaeth (Canol)'!F$109)+(Y$44*(-(50-$U58)*('Rhaniad y Ddeiliadaeth (Canol)'!F$110/40)))</f>
        <v>#VALUE!</v>
      </c>
      <c r="AA58" s="4" t="e">
        <f>Z58*(1+'Rhaniad y Ddeiliadaeth (Canol)'!G$109)+(Z$44*(-(50-$U58)*('Rhaniad y Ddeiliadaeth (Canol)'!G$110/40)))</f>
        <v>#VALUE!</v>
      </c>
      <c r="AC58" s="260">
        <v>64</v>
      </c>
      <c r="AD58" s="4">
        <f>IF('Rhaniad y Ddeiliadaeth (Cymru)'!$D$8="Amcangyfrifon LlC",'Incwm (Canolbarth)'!E58,'Incwm (Canolbarth)'!W58)</f>
        <v>36472.653749643861</v>
      </c>
      <c r="AE58" s="4">
        <f>IF('Rhaniad y Ddeiliadaeth (Cymru)'!$D$8="Amcangyfrifon LlC",'Incwm (Canolbarth)'!F58,'Incwm (Canolbarth)'!X58)</f>
        <v>37814.663928844006</v>
      </c>
      <c r="AF58" s="4">
        <f>IF('Rhaniad y Ddeiliadaeth (Cymru)'!$D$8="Amcangyfrifon LlC",'Incwm (Canolbarth)'!G58,'Incwm (Canolbarth)'!Y58)</f>
        <v>39202.203223301731</v>
      </c>
      <c r="AG58" s="4">
        <f>IF('Rhaniad y Ddeiliadaeth (Cymru)'!$D$8="Amcangyfrifon LlC",'Incwm (Canolbarth)'!H58,'Incwm (Canolbarth)'!Z58)</f>
        <v>40660.291229871822</v>
      </c>
      <c r="AH58" s="4">
        <f>IF('Rhaniad y Ddeiliadaeth (Cymru)'!$D$8="Amcangyfrifon LlC",'Incwm (Canolbarth)'!I58,'Incwm (Canolbarth)'!AA58)</f>
        <v>42164.754783298406</v>
      </c>
    </row>
    <row r="59" spans="2:34" x14ac:dyDescent="0.35">
      <c r="B59" s="251">
        <v>65</v>
      </c>
      <c r="C59" s="258">
        <v>35245</v>
      </c>
      <c r="D59" s="258">
        <v>36339.241569693746</v>
      </c>
      <c r="E59" s="278">
        <f>D59*(1+'Rhaniad y Ddeiliadaeth (Canol)'!C$109)+(D$44*(-(50-$B59)*('Rhaniad y Ddeiliadaeth (Canol)'!C$110/40)))</f>
        <v>37251.27125419776</v>
      </c>
      <c r="F59" s="278">
        <f>E59*(1+'Rhaniad y Ddeiliadaeth (Canol)'!D$109)+(E$44*(-(50-$B59)*('Rhaniad y Ddeiliadaeth (Canol)'!D$110/40)))</f>
        <v>38626.535420171145</v>
      </c>
      <c r="G59" s="278">
        <f>F59*(1+'Rhaniad y Ddeiliadaeth (Canol)'!E$109)+(F$44*(-(50-$B59)*('Rhaniad y Ddeiliadaeth (Canol)'!E$110/40)))</f>
        <v>40048.615863648767</v>
      </c>
      <c r="H59" s="278">
        <f>G59*(1+'Rhaniad y Ddeiliadaeth (Canol)'!F$109)+(G$44*(-(50-$B59)*('Rhaniad y Ddeiliadaeth (Canol)'!F$110/40)))</f>
        <v>41543.086855009904</v>
      </c>
      <c r="I59" s="279">
        <f>H59*(1+'Rhaniad y Ddeiliadaeth (Canol)'!G$109)+(H$44*(-(50-$B59)*('Rhaniad y Ddeiliadaeth (Canol)'!G$110/40)))</f>
        <v>43085.273786483871</v>
      </c>
      <c r="M59" s="36" t="str">
        <f t="shared" si="1"/>
        <v/>
      </c>
      <c r="N59" s="190"/>
      <c r="O59" s="13">
        <f t="shared" si="4"/>
        <v>1</v>
      </c>
      <c r="U59" s="1">
        <f t="shared" si="2"/>
        <v>65</v>
      </c>
      <c r="V59" s="4" t="str">
        <f t="shared" si="3"/>
        <v/>
      </c>
      <c r="W59" s="4" t="e">
        <f>IF($W$3=$N$3,N59,V59*(1+'Rhaniad y Ddeiliadaeth (Canol)'!C$109)+(V$44*(-(50-$U59)*('Rhaniad y Ddeiliadaeth (Canol)'!C$110/40))))</f>
        <v>#VALUE!</v>
      </c>
      <c r="X59" s="4" t="e">
        <f>W59*(1+'Rhaniad y Ddeiliadaeth (Canol)'!D$109)+(W$44*(-(50-$U59)*('Rhaniad y Ddeiliadaeth (Canol)'!D$110/40)))</f>
        <v>#VALUE!</v>
      </c>
      <c r="Y59" s="4" t="e">
        <f>X59*(1+'Rhaniad y Ddeiliadaeth (Canol)'!E$109)+(X$44*(-(50-$U59)*('Rhaniad y Ddeiliadaeth (Canol)'!E$110/40)))</f>
        <v>#VALUE!</v>
      </c>
      <c r="Z59" s="4" t="e">
        <f>Y59*(1+'Rhaniad y Ddeiliadaeth (Canol)'!F$109)+(Y$44*(-(50-$U59)*('Rhaniad y Ddeiliadaeth (Canol)'!F$110/40)))</f>
        <v>#VALUE!</v>
      </c>
      <c r="AA59" s="4" t="e">
        <f>Z59*(1+'Rhaniad y Ddeiliadaeth (Canol)'!G$109)+(Z$44*(-(50-$U59)*('Rhaniad y Ddeiliadaeth (Canol)'!G$110/40)))</f>
        <v>#VALUE!</v>
      </c>
      <c r="AC59" s="260">
        <v>65</v>
      </c>
      <c r="AD59" s="4">
        <f>IF('Rhaniad y Ddeiliadaeth (Cymru)'!$D$8="Amcangyfrifon LlC",'Incwm (Canolbarth)'!E59,'Incwm (Canolbarth)'!W59)</f>
        <v>37251.27125419776</v>
      </c>
      <c r="AE59" s="4">
        <f>IF('Rhaniad y Ddeiliadaeth (Cymru)'!$D$8="Amcangyfrifon LlC",'Incwm (Canolbarth)'!F59,'Incwm (Canolbarth)'!X59)</f>
        <v>38626.535420171145</v>
      </c>
      <c r="AF59" s="4">
        <f>IF('Rhaniad y Ddeiliadaeth (Cymru)'!$D$8="Amcangyfrifon LlC",'Incwm (Canolbarth)'!G59,'Incwm (Canolbarth)'!Y59)</f>
        <v>40048.615863648767</v>
      </c>
      <c r="AG59" s="4">
        <f>IF('Rhaniad y Ddeiliadaeth (Cymru)'!$D$8="Amcangyfrifon LlC",'Incwm (Canolbarth)'!H59,'Incwm (Canolbarth)'!Z59)</f>
        <v>41543.086855009904</v>
      </c>
      <c r="AH59" s="4">
        <f>IF('Rhaniad y Ddeiliadaeth (Cymru)'!$D$8="Amcangyfrifon LlC",'Incwm (Canolbarth)'!I59,'Incwm (Canolbarth)'!AA59)</f>
        <v>43085.273786483871</v>
      </c>
    </row>
    <row r="60" spans="2:34" x14ac:dyDescent="0.35">
      <c r="B60" s="251">
        <v>66</v>
      </c>
      <c r="C60" s="258">
        <v>36074</v>
      </c>
      <c r="D60" s="258">
        <v>37193.979298769533</v>
      </c>
      <c r="E60" s="278">
        <f>D60*(1+'Rhaniad y Ddeiliadaeth (Canol)'!C$109)+(D$44*(-(50-$B60)*('Rhaniad y Ddeiliadaeth (Canol)'!C$110/40)))</f>
        <v>38131.618072909674</v>
      </c>
      <c r="F60" s="278">
        <f>E60*(1+'Rhaniad y Ddeiliadaeth (Canol)'!D$109)+(E$44*(-(50-$B60)*('Rhaniad y Ddeiliadaeth (Canol)'!D$110/40)))</f>
        <v>39543.622893538901</v>
      </c>
      <c r="G60" s="278">
        <f>F60*(1+'Rhaniad y Ddeiliadaeth (Canol)'!E$109)+(F$44*(-(50-$B60)*('Rhaniad y Ddeiliadaeth (Canol)'!E$110/40)))</f>
        <v>41003.840588255909</v>
      </c>
      <c r="H60" s="278">
        <f>G60*(1+'Rhaniad y Ddeiliadaeth (Canol)'!F$109)+(G$44*(-(50-$B60)*('Rhaniad y Ddeiliadaeth (Canol)'!F$110/40)))</f>
        <v>42538.468740649718</v>
      </c>
      <c r="I60" s="279">
        <f>H60*(1+'Rhaniad y Ddeiliadaeth (Canol)'!G$109)+(H$44*(-(50-$B60)*('Rhaniad y Ddeiliadaeth (Canol)'!G$110/40)))</f>
        <v>44122.263063328384</v>
      </c>
      <c r="M60" s="36" t="str">
        <f t="shared" si="1"/>
        <v/>
      </c>
      <c r="N60" s="190"/>
      <c r="O60" s="13">
        <f t="shared" si="4"/>
        <v>1</v>
      </c>
      <c r="U60" s="1">
        <f t="shared" si="2"/>
        <v>66</v>
      </c>
      <c r="V60" s="4" t="str">
        <f t="shared" si="3"/>
        <v/>
      </c>
      <c r="W60" s="4" t="e">
        <f>IF($W$3=$N$3,N60,V60*(1+'Rhaniad y Ddeiliadaeth (Canol)'!C$109)+(V$44*(-(50-$U60)*('Rhaniad y Ddeiliadaeth (Canol)'!C$110/40))))</f>
        <v>#VALUE!</v>
      </c>
      <c r="X60" s="4" t="e">
        <f>W60*(1+'Rhaniad y Ddeiliadaeth (Canol)'!D$109)+(W$44*(-(50-$U60)*('Rhaniad y Ddeiliadaeth (Canol)'!D$110/40)))</f>
        <v>#VALUE!</v>
      </c>
      <c r="Y60" s="4" t="e">
        <f>X60*(1+'Rhaniad y Ddeiliadaeth (Canol)'!E$109)+(X$44*(-(50-$U60)*('Rhaniad y Ddeiliadaeth (Canol)'!E$110/40)))</f>
        <v>#VALUE!</v>
      </c>
      <c r="Z60" s="4" t="e">
        <f>Y60*(1+'Rhaniad y Ddeiliadaeth (Canol)'!F$109)+(Y$44*(-(50-$U60)*('Rhaniad y Ddeiliadaeth (Canol)'!F$110/40)))</f>
        <v>#VALUE!</v>
      </c>
      <c r="AA60" s="4" t="e">
        <f>Z60*(1+'Rhaniad y Ddeiliadaeth (Canol)'!G$109)+(Z$44*(-(50-$U60)*('Rhaniad y Ddeiliadaeth (Canol)'!G$110/40)))</f>
        <v>#VALUE!</v>
      </c>
      <c r="AC60" s="260">
        <v>66</v>
      </c>
      <c r="AD60" s="4">
        <f>IF('Rhaniad y Ddeiliadaeth (Cymru)'!$D$8="Amcangyfrifon LlC",'Incwm (Canolbarth)'!E60,'Incwm (Canolbarth)'!W60)</f>
        <v>38131.618072909674</v>
      </c>
      <c r="AE60" s="4">
        <f>IF('Rhaniad y Ddeiliadaeth (Cymru)'!$D$8="Amcangyfrifon LlC",'Incwm (Canolbarth)'!F60,'Incwm (Canolbarth)'!X60)</f>
        <v>39543.622893538901</v>
      </c>
      <c r="AF60" s="4">
        <f>IF('Rhaniad y Ddeiliadaeth (Cymru)'!$D$8="Amcangyfrifon LlC",'Incwm (Canolbarth)'!G60,'Incwm (Canolbarth)'!Y60)</f>
        <v>41003.840588255909</v>
      </c>
      <c r="AG60" s="4">
        <f>IF('Rhaniad y Ddeiliadaeth (Cymru)'!$D$8="Amcangyfrifon LlC",'Incwm (Canolbarth)'!H60,'Incwm (Canolbarth)'!Z60)</f>
        <v>42538.468740649718</v>
      </c>
      <c r="AH60" s="4">
        <f>IF('Rhaniad y Ddeiliadaeth (Cymru)'!$D$8="Amcangyfrifon LlC",'Incwm (Canolbarth)'!I60,'Incwm (Canolbarth)'!AA60)</f>
        <v>44122.263063328384</v>
      </c>
    </row>
    <row r="61" spans="2:34" x14ac:dyDescent="0.35">
      <c r="B61" s="251">
        <v>67</v>
      </c>
      <c r="C61" s="258">
        <v>36738.9</v>
      </c>
      <c r="D61" s="258">
        <v>37879.522261450467</v>
      </c>
      <c r="E61" s="278">
        <f>D61*(1+'Rhaniad y Ddeiliadaeth (Canol)'!C$109)+(D$44*(-(50-$B61)*('Rhaniad y Ddeiliadaeth (Canol)'!C$110/40)))</f>
        <v>38838.972348063748</v>
      </c>
      <c r="F61" s="278">
        <f>E61*(1+'Rhaniad y Ddeiliadaeth (Canol)'!D$109)+(E$44*(-(50-$B61)*('Rhaniad y Ddeiliadaeth (Canol)'!D$110/40)))</f>
        <v>40281.788681384729</v>
      </c>
      <c r="G61" s="278">
        <f>F61*(1+'Rhaniad y Ddeiliadaeth (Canol)'!E$109)+(F$44*(-(50-$B61)*('Rhaniad y Ddeiliadaeth (Canol)'!E$110/40)))</f>
        <v>41774.028390302599</v>
      </c>
      <c r="H61" s="278">
        <f>G61*(1+'Rhaniad y Ddeiliadaeth (Canol)'!F$109)+(G$44*(-(50-$B61)*('Rhaniad y Ddeiliadaeth (Canol)'!F$110/40)))</f>
        <v>43342.395648586586</v>
      </c>
      <c r="I61" s="279">
        <f>H61*(1+'Rhaniad y Ddeiliadaeth (Canol)'!G$109)+(H$44*(-(50-$B61)*('Rhaniad y Ddeiliadaeth (Canol)'!G$110/40)))</f>
        <v>44961.19252766046</v>
      </c>
      <c r="M61" s="36" t="str">
        <f t="shared" si="1"/>
        <v/>
      </c>
      <c r="N61" s="190"/>
      <c r="O61" s="13">
        <f t="shared" si="4"/>
        <v>1</v>
      </c>
      <c r="U61" s="1">
        <f t="shared" si="2"/>
        <v>67</v>
      </c>
      <c r="V61" s="4" t="str">
        <f t="shared" si="3"/>
        <v/>
      </c>
      <c r="W61" s="4" t="e">
        <f>IF($W$3=$N$3,N61,V61*(1+'Rhaniad y Ddeiliadaeth (Canol)'!C$109)+(V$44*(-(50-$U61)*('Rhaniad y Ddeiliadaeth (Canol)'!C$110/40))))</f>
        <v>#VALUE!</v>
      </c>
      <c r="X61" s="4" t="e">
        <f>W61*(1+'Rhaniad y Ddeiliadaeth (Canol)'!D$109)+(W$44*(-(50-$U61)*('Rhaniad y Ddeiliadaeth (Canol)'!D$110/40)))</f>
        <v>#VALUE!</v>
      </c>
      <c r="Y61" s="4" t="e">
        <f>X61*(1+'Rhaniad y Ddeiliadaeth (Canol)'!E$109)+(X$44*(-(50-$U61)*('Rhaniad y Ddeiliadaeth (Canol)'!E$110/40)))</f>
        <v>#VALUE!</v>
      </c>
      <c r="Z61" s="4" t="e">
        <f>Y61*(1+'Rhaniad y Ddeiliadaeth (Canol)'!F$109)+(Y$44*(-(50-$U61)*('Rhaniad y Ddeiliadaeth (Canol)'!F$110/40)))</f>
        <v>#VALUE!</v>
      </c>
      <c r="AA61" s="4" t="e">
        <f>Z61*(1+'Rhaniad y Ddeiliadaeth (Canol)'!G$109)+(Z$44*(-(50-$U61)*('Rhaniad y Ddeiliadaeth (Canol)'!G$110/40)))</f>
        <v>#VALUE!</v>
      </c>
      <c r="AC61" s="260">
        <v>67</v>
      </c>
      <c r="AD61" s="4">
        <f>IF('Rhaniad y Ddeiliadaeth (Cymru)'!$D$8="Amcangyfrifon LlC",'Incwm (Canolbarth)'!E61,'Incwm (Canolbarth)'!W61)</f>
        <v>38838.972348063748</v>
      </c>
      <c r="AE61" s="4">
        <f>IF('Rhaniad y Ddeiliadaeth (Cymru)'!$D$8="Amcangyfrifon LlC",'Incwm (Canolbarth)'!F61,'Incwm (Canolbarth)'!X61)</f>
        <v>40281.788681384729</v>
      </c>
      <c r="AF61" s="4">
        <f>IF('Rhaniad y Ddeiliadaeth (Cymru)'!$D$8="Amcangyfrifon LlC",'Incwm (Canolbarth)'!G61,'Incwm (Canolbarth)'!Y61)</f>
        <v>41774.028390302599</v>
      </c>
      <c r="AG61" s="4">
        <f>IF('Rhaniad y Ddeiliadaeth (Cymru)'!$D$8="Amcangyfrifon LlC",'Incwm (Canolbarth)'!H61,'Incwm (Canolbarth)'!Z61)</f>
        <v>43342.395648586586</v>
      </c>
      <c r="AH61" s="4">
        <f>IF('Rhaniad y Ddeiliadaeth (Cymru)'!$D$8="Amcangyfrifon LlC",'Incwm (Canolbarth)'!I61,'Incwm (Canolbarth)'!AA61)</f>
        <v>44961.19252766046</v>
      </c>
    </row>
    <row r="62" spans="2:34" x14ac:dyDescent="0.35">
      <c r="B62" s="251">
        <v>68</v>
      </c>
      <c r="C62" s="258">
        <v>37734.11</v>
      </c>
      <c r="D62" s="258">
        <v>38905.630265495718</v>
      </c>
      <c r="E62" s="278">
        <f>D62*(1+'Rhaniad y Ddeiliadaeth (Canol)'!C$109)+(D$44*(-(50-$B62)*('Rhaniad y Ddeiliadaeth (Canol)'!C$110/40)))</f>
        <v>39894.536050777795</v>
      </c>
      <c r="F62" s="278">
        <f>E62*(1+'Rhaniad y Ddeiliadaeth (Canol)'!D$109)+(E$44*(-(50-$B62)*('Rhaniad y Ddeiliadaeth (Canol)'!D$110/40)))</f>
        <v>41380.098417705573</v>
      </c>
      <c r="G62" s="278">
        <f>F62*(1+'Rhaniad y Ddeiliadaeth (Canol)'!E$109)+(F$44*(-(50-$B62)*('Rhaniad y Ddeiliadaeth (Canol)'!E$110/40)))</f>
        <v>42916.669244701188</v>
      </c>
      <c r="H62" s="278">
        <f>G62*(1+'Rhaniad y Ddeiliadaeth (Canol)'!F$109)+(G$44*(-(50-$B62)*('Rhaniad y Ddeiliadaeth (Canol)'!F$110/40)))</f>
        <v>44531.694242599413</v>
      </c>
      <c r="I62" s="279">
        <f>H62*(1+'Rhaniad y Ddeiliadaeth (Canol)'!G$109)+(H$44*(-(50-$B62)*('Rhaniad y Ddeiliadaeth (Canol)'!G$110/40)))</f>
        <v>46198.788272742007</v>
      </c>
      <c r="M62" s="36" t="str">
        <f t="shared" si="1"/>
        <v/>
      </c>
      <c r="N62" s="190"/>
      <c r="O62" s="13">
        <f t="shared" si="4"/>
        <v>1</v>
      </c>
      <c r="U62" s="1">
        <f t="shared" si="2"/>
        <v>68</v>
      </c>
      <c r="V62" s="4" t="str">
        <f t="shared" si="3"/>
        <v/>
      </c>
      <c r="W62" s="4" t="e">
        <f>IF($W$3=$N$3,N62,V62*(1+'Rhaniad y Ddeiliadaeth (Canol)'!C$109)+(V$44*(-(50-$U62)*('Rhaniad y Ddeiliadaeth (Canol)'!C$110/40))))</f>
        <v>#VALUE!</v>
      </c>
      <c r="X62" s="4" t="e">
        <f>W62*(1+'Rhaniad y Ddeiliadaeth (Canol)'!D$109)+(W$44*(-(50-$U62)*('Rhaniad y Ddeiliadaeth (Canol)'!D$110/40)))</f>
        <v>#VALUE!</v>
      </c>
      <c r="Y62" s="4" t="e">
        <f>X62*(1+'Rhaniad y Ddeiliadaeth (Canol)'!E$109)+(X$44*(-(50-$U62)*('Rhaniad y Ddeiliadaeth (Canol)'!E$110/40)))</f>
        <v>#VALUE!</v>
      </c>
      <c r="Z62" s="4" t="e">
        <f>Y62*(1+'Rhaniad y Ddeiliadaeth (Canol)'!F$109)+(Y$44*(-(50-$U62)*('Rhaniad y Ddeiliadaeth (Canol)'!F$110/40)))</f>
        <v>#VALUE!</v>
      </c>
      <c r="AA62" s="4" t="e">
        <f>Z62*(1+'Rhaniad y Ddeiliadaeth (Canol)'!G$109)+(Z$44*(-(50-$U62)*('Rhaniad y Ddeiliadaeth (Canol)'!G$110/40)))</f>
        <v>#VALUE!</v>
      </c>
      <c r="AC62" s="260">
        <v>68</v>
      </c>
      <c r="AD62" s="4">
        <f>IF('Rhaniad y Ddeiliadaeth (Cymru)'!$D$8="Amcangyfrifon LlC",'Incwm (Canolbarth)'!E62,'Incwm (Canolbarth)'!W62)</f>
        <v>39894.536050777795</v>
      </c>
      <c r="AE62" s="4">
        <f>IF('Rhaniad y Ddeiliadaeth (Cymru)'!$D$8="Amcangyfrifon LlC",'Incwm (Canolbarth)'!F62,'Incwm (Canolbarth)'!X62)</f>
        <v>41380.098417705573</v>
      </c>
      <c r="AF62" s="4">
        <f>IF('Rhaniad y Ddeiliadaeth (Cymru)'!$D$8="Amcangyfrifon LlC",'Incwm (Canolbarth)'!G62,'Incwm (Canolbarth)'!Y62)</f>
        <v>42916.669244701188</v>
      </c>
      <c r="AG62" s="4">
        <f>IF('Rhaniad y Ddeiliadaeth (Cymru)'!$D$8="Amcangyfrifon LlC",'Incwm (Canolbarth)'!H62,'Incwm (Canolbarth)'!Z62)</f>
        <v>44531.694242599413</v>
      </c>
      <c r="AH62" s="4">
        <f>IF('Rhaniad y Ddeiliadaeth (Cymru)'!$D$8="Amcangyfrifon LlC",'Incwm (Canolbarth)'!I62,'Incwm (Canolbarth)'!AA62)</f>
        <v>46198.788272742007</v>
      </c>
    </row>
    <row r="63" spans="2:34" x14ac:dyDescent="0.35">
      <c r="B63" s="251">
        <v>69</v>
      </c>
      <c r="C63" s="258">
        <v>38400</v>
      </c>
      <c r="D63" s="258">
        <v>39592.193964427286</v>
      </c>
      <c r="E63" s="278">
        <f>D63*(1+'Rhaniad y Ddeiliadaeth (Canol)'!C$109)+(D$44*(-(50-$B63)*('Rhaniad y Ddeiliadaeth (Canol)'!C$110/40)))</f>
        <v>40602.933973818035</v>
      </c>
      <c r="F63" s="278">
        <f>E63*(1+'Rhaniad y Ddeiliadaeth (Canol)'!D$109)+(E$44*(-(50-$B63)*('Rhaniad y Ddeiliadaeth (Canol)'!D$110/40)))</f>
        <v>42119.343623398221</v>
      </c>
      <c r="G63" s="278">
        <f>F63*(1+'Rhaniad y Ddeiliadaeth (Canol)'!E$109)+(F$44*(-(50-$B63)*('Rhaniad y Ddeiliadaeth (Canol)'!E$110/40)))</f>
        <v>43687.973357249582</v>
      </c>
      <c r="H63" s="278">
        <f>G63*(1+'Rhaniad y Ddeiliadaeth (Canol)'!F$109)+(G$44*(-(50-$B63)*('Rhaniad y Ddeiliadaeth (Canol)'!F$110/40)))</f>
        <v>45336.776180566267</v>
      </c>
      <c r="I63" s="279">
        <f>H63*(1+'Rhaniad y Ddeiliadaeth (Canol)'!G$109)+(H$44*(-(50-$B63)*('Rhaniad y Ddeiliadaeth (Canol)'!G$110/40)))</f>
        <v>47038.912613456676</v>
      </c>
      <c r="M63" s="36" t="str">
        <f t="shared" si="1"/>
        <v/>
      </c>
      <c r="N63" s="190"/>
      <c r="O63" s="13">
        <f t="shared" si="4"/>
        <v>1</v>
      </c>
      <c r="U63" s="1">
        <f t="shared" si="2"/>
        <v>69</v>
      </c>
      <c r="V63" s="4" t="str">
        <f t="shared" si="3"/>
        <v/>
      </c>
      <c r="W63" s="4" t="e">
        <f>IF($W$3=$N$3,N63,V63*(1+'Rhaniad y Ddeiliadaeth (Canol)'!C$109)+(V$44*(-(50-$U63)*('Rhaniad y Ddeiliadaeth (Canol)'!C$110/40))))</f>
        <v>#VALUE!</v>
      </c>
      <c r="X63" s="4" t="e">
        <f>W63*(1+'Rhaniad y Ddeiliadaeth (Canol)'!D$109)+(W$44*(-(50-$U63)*('Rhaniad y Ddeiliadaeth (Canol)'!D$110/40)))</f>
        <v>#VALUE!</v>
      </c>
      <c r="Y63" s="4" t="e">
        <f>X63*(1+'Rhaniad y Ddeiliadaeth (Canol)'!E$109)+(X$44*(-(50-$U63)*('Rhaniad y Ddeiliadaeth (Canol)'!E$110/40)))</f>
        <v>#VALUE!</v>
      </c>
      <c r="Z63" s="4" t="e">
        <f>Y63*(1+'Rhaniad y Ddeiliadaeth (Canol)'!F$109)+(Y$44*(-(50-$U63)*('Rhaniad y Ddeiliadaeth (Canol)'!F$110/40)))</f>
        <v>#VALUE!</v>
      </c>
      <c r="AA63" s="4" t="e">
        <f>Z63*(1+'Rhaniad y Ddeiliadaeth (Canol)'!G$109)+(Z$44*(-(50-$U63)*('Rhaniad y Ddeiliadaeth (Canol)'!G$110/40)))</f>
        <v>#VALUE!</v>
      </c>
      <c r="AC63" s="260">
        <v>69</v>
      </c>
      <c r="AD63" s="4">
        <f>IF('Rhaniad y Ddeiliadaeth (Cymru)'!$D$8="Amcangyfrifon LlC",'Incwm (Canolbarth)'!E63,'Incwm (Canolbarth)'!W63)</f>
        <v>40602.933973818035</v>
      </c>
      <c r="AE63" s="4">
        <f>IF('Rhaniad y Ddeiliadaeth (Cymru)'!$D$8="Amcangyfrifon LlC",'Incwm (Canolbarth)'!F63,'Incwm (Canolbarth)'!X63)</f>
        <v>42119.343623398221</v>
      </c>
      <c r="AF63" s="4">
        <f>IF('Rhaniad y Ddeiliadaeth (Cymru)'!$D$8="Amcangyfrifon LlC",'Incwm (Canolbarth)'!G63,'Incwm (Canolbarth)'!Y63)</f>
        <v>43687.973357249582</v>
      </c>
      <c r="AG63" s="4">
        <f>IF('Rhaniad y Ddeiliadaeth (Cymru)'!$D$8="Amcangyfrifon LlC",'Incwm (Canolbarth)'!H63,'Incwm (Canolbarth)'!Z63)</f>
        <v>45336.776180566267</v>
      </c>
      <c r="AH63" s="4">
        <f>IF('Rhaniad y Ddeiliadaeth (Cymru)'!$D$8="Amcangyfrifon LlC",'Incwm (Canolbarth)'!I63,'Incwm (Canolbarth)'!AA63)</f>
        <v>47038.912613456676</v>
      </c>
    </row>
    <row r="64" spans="2:34" x14ac:dyDescent="0.35">
      <c r="B64" s="251">
        <v>70</v>
      </c>
      <c r="C64" s="258">
        <v>38775</v>
      </c>
      <c r="D64" s="258">
        <v>40083.465177916718</v>
      </c>
      <c r="E64" s="278">
        <f>D64*(1+'Rhaniad y Ddeiliadaeth (Canol)'!C$109)+(D$44*(-(50-$B64)*('Rhaniad y Ddeiliadaeth (Canol)'!C$110/40)))</f>
        <v>41111.655840002451</v>
      </c>
      <c r="F64" s="278">
        <f>E64*(1+'Rhaniad y Ddeiliadaeth (Canol)'!D$109)+(E$44*(-(50-$B64)*('Rhaniad y Ddeiliadaeth (Canol)'!D$110/40)))</f>
        <v>42652.069080226262</v>
      </c>
      <c r="G64" s="278">
        <f>F64*(1+'Rhaniad y Ddeiliadaeth (Canol)'!E$109)+(F$44*(-(50-$B64)*('Rhaniad y Ddeiliadaeth (Canol)'!E$110/40)))</f>
        <v>44245.699229315884</v>
      </c>
      <c r="H64" s="278">
        <f>G64*(1+'Rhaniad y Ddeiliadaeth (Canol)'!F$109)+(G$44*(-(50-$B64)*('Rhaniad y Ddeiliadaeth (Canol)'!F$110/40)))</f>
        <v>45920.871859663755</v>
      </c>
      <c r="I64" s="279">
        <f>H64*(1+'Rhaniad y Ddeiliadaeth (Canol)'!G$109)+(H$44*(-(50-$B64)*('Rhaniad y Ddeiliadaeth (Canol)'!G$110/40)))</f>
        <v>47650.427087117365</v>
      </c>
      <c r="M64" s="36" t="str">
        <f t="shared" si="1"/>
        <v/>
      </c>
      <c r="N64" s="190"/>
      <c r="O64" s="13">
        <f t="shared" si="4"/>
        <v>1</v>
      </c>
      <c r="U64" s="1">
        <f t="shared" si="2"/>
        <v>70</v>
      </c>
      <c r="V64" s="4" t="str">
        <f t="shared" si="3"/>
        <v/>
      </c>
      <c r="W64" s="4" t="e">
        <f>IF($W$3=$N$3,N64,V64*(1+'Rhaniad y Ddeiliadaeth (Canol)'!C$109)+(V$44*(-(50-$U64)*('Rhaniad y Ddeiliadaeth (Canol)'!C$110/40))))</f>
        <v>#VALUE!</v>
      </c>
      <c r="X64" s="4" t="e">
        <f>W64*(1+'Rhaniad y Ddeiliadaeth (Canol)'!D$109)+(W$44*(-(50-$U64)*('Rhaniad y Ddeiliadaeth (Canol)'!D$110/40)))</f>
        <v>#VALUE!</v>
      </c>
      <c r="Y64" s="4" t="e">
        <f>X64*(1+'Rhaniad y Ddeiliadaeth (Canol)'!E$109)+(X$44*(-(50-$U64)*('Rhaniad y Ddeiliadaeth (Canol)'!E$110/40)))</f>
        <v>#VALUE!</v>
      </c>
      <c r="Z64" s="4" t="e">
        <f>Y64*(1+'Rhaniad y Ddeiliadaeth (Canol)'!F$109)+(Y$44*(-(50-$U64)*('Rhaniad y Ddeiliadaeth (Canol)'!F$110/40)))</f>
        <v>#VALUE!</v>
      </c>
      <c r="AA64" s="4" t="e">
        <f>Z64*(1+'Rhaniad y Ddeiliadaeth (Canol)'!G$109)+(Z$44*(-(50-$U64)*('Rhaniad y Ddeiliadaeth (Canol)'!G$110/40)))</f>
        <v>#VALUE!</v>
      </c>
      <c r="AC64" s="260">
        <v>70</v>
      </c>
      <c r="AD64" s="4">
        <f>IF('Rhaniad y Ddeiliadaeth (Cymru)'!$D$8="Amcangyfrifon LlC",'Incwm (Canolbarth)'!E64,'Incwm (Canolbarth)'!W64)</f>
        <v>41111.655840002451</v>
      </c>
      <c r="AE64" s="4">
        <f>IF('Rhaniad y Ddeiliadaeth (Cymru)'!$D$8="Amcangyfrifon LlC",'Incwm (Canolbarth)'!F64,'Incwm (Canolbarth)'!X64)</f>
        <v>42652.069080226262</v>
      </c>
      <c r="AF64" s="4">
        <f>IF('Rhaniad y Ddeiliadaeth (Cymru)'!$D$8="Amcangyfrifon LlC",'Incwm (Canolbarth)'!G64,'Incwm (Canolbarth)'!Y64)</f>
        <v>44245.699229315884</v>
      </c>
      <c r="AG64" s="4">
        <f>IF('Rhaniad y Ddeiliadaeth (Cymru)'!$D$8="Amcangyfrifon LlC",'Incwm (Canolbarth)'!H64,'Incwm (Canolbarth)'!Z64)</f>
        <v>45920.871859663755</v>
      </c>
      <c r="AH64" s="4">
        <f>IF('Rhaniad y Ddeiliadaeth (Cymru)'!$D$8="Amcangyfrifon LlC",'Incwm (Canolbarth)'!I64,'Incwm (Canolbarth)'!AA64)</f>
        <v>47650.427087117365</v>
      </c>
    </row>
    <row r="65" spans="2:34" x14ac:dyDescent="0.35">
      <c r="B65" s="251">
        <v>71</v>
      </c>
      <c r="C65" s="258">
        <v>39552.5</v>
      </c>
      <c r="D65" s="258">
        <v>40887.20197161963</v>
      </c>
      <c r="E65" s="278">
        <f>D65*(1+'Rhaniad y Ddeiliadaeth (Canol)'!C$109)+(D$44*(-(50-$B65)*('Rhaniad y Ddeiliadaeth (Canol)'!C$110/40)))</f>
        <v>41939.856946870117</v>
      </c>
      <c r="F65" s="278">
        <f>E65*(1+'Rhaniad y Ddeiliadaeth (Canol)'!D$109)+(E$44*(-(50-$B65)*('Rhaniad y Ddeiliadaeth (Canol)'!D$110/40)))</f>
        <v>43515.223600970574</v>
      </c>
      <c r="G65" s="278">
        <f>F65*(1+'Rhaniad y Ddeiliadaeth (Canol)'!E$109)+(F$44*(-(50-$B65)*('Rhaniad y Ddeiliadaeth (Canol)'!E$110/40)))</f>
        <v>45145.147665269535</v>
      </c>
      <c r="H65" s="278">
        <f>G65*(1+'Rhaniad y Ddeiliadaeth (Canol)'!F$109)+(G$44*(-(50-$B65)*('Rhaniad y Ddeiliadaeth (Canol)'!F$110/40)))</f>
        <v>46858.542841162161</v>
      </c>
      <c r="I65" s="279">
        <f>H65*(1+'Rhaniad y Ddeiliadaeth (Canol)'!G$109)+(H$44*(-(50-$B65)*('Rhaniad y Ddeiliadaeth (Canol)'!G$110/40)))</f>
        <v>48627.714542722708</v>
      </c>
      <c r="M65" s="36" t="str">
        <f t="shared" si="1"/>
        <v/>
      </c>
      <c r="N65" s="190"/>
      <c r="O65" s="13">
        <f t="shared" si="4"/>
        <v>1</v>
      </c>
      <c r="U65" s="1">
        <f t="shared" si="2"/>
        <v>71</v>
      </c>
      <c r="V65" s="4" t="str">
        <f t="shared" si="3"/>
        <v/>
      </c>
      <c r="W65" s="4" t="e">
        <f>IF($W$3=$N$3,N65,V65*(1+'Rhaniad y Ddeiliadaeth (Canol)'!C$109)+(V$44*(-(50-$U65)*('Rhaniad y Ddeiliadaeth (Canol)'!C$110/40))))</f>
        <v>#VALUE!</v>
      </c>
      <c r="X65" s="4" t="e">
        <f>W65*(1+'Rhaniad y Ddeiliadaeth (Canol)'!D$109)+(W$44*(-(50-$U65)*('Rhaniad y Ddeiliadaeth (Canol)'!D$110/40)))</f>
        <v>#VALUE!</v>
      </c>
      <c r="Y65" s="4" t="e">
        <f>X65*(1+'Rhaniad y Ddeiliadaeth (Canol)'!E$109)+(X$44*(-(50-$U65)*('Rhaniad y Ddeiliadaeth (Canol)'!E$110/40)))</f>
        <v>#VALUE!</v>
      </c>
      <c r="Z65" s="4" t="e">
        <f>Y65*(1+'Rhaniad y Ddeiliadaeth (Canol)'!F$109)+(Y$44*(-(50-$U65)*('Rhaniad y Ddeiliadaeth (Canol)'!F$110/40)))</f>
        <v>#VALUE!</v>
      </c>
      <c r="AA65" s="4" t="e">
        <f>Z65*(1+'Rhaniad y Ddeiliadaeth (Canol)'!G$109)+(Z$44*(-(50-$U65)*('Rhaniad y Ddeiliadaeth (Canol)'!G$110/40)))</f>
        <v>#VALUE!</v>
      </c>
      <c r="AC65" s="260">
        <v>71</v>
      </c>
      <c r="AD65" s="4">
        <f>IF('Rhaniad y Ddeiliadaeth (Cymru)'!$D$8="Amcangyfrifon LlC",'Incwm (Canolbarth)'!E65,'Incwm (Canolbarth)'!W65)</f>
        <v>41939.856946870117</v>
      </c>
      <c r="AE65" s="4">
        <f>IF('Rhaniad y Ddeiliadaeth (Cymru)'!$D$8="Amcangyfrifon LlC",'Incwm (Canolbarth)'!F65,'Incwm (Canolbarth)'!X65)</f>
        <v>43515.223600970574</v>
      </c>
      <c r="AF65" s="4">
        <f>IF('Rhaniad y Ddeiliadaeth (Cymru)'!$D$8="Amcangyfrifon LlC",'Incwm (Canolbarth)'!G65,'Incwm (Canolbarth)'!Y65)</f>
        <v>45145.147665269535</v>
      </c>
      <c r="AG65" s="4">
        <f>IF('Rhaniad y Ddeiliadaeth (Cymru)'!$D$8="Amcangyfrifon LlC",'Incwm (Canolbarth)'!H65,'Incwm (Canolbarth)'!Z65)</f>
        <v>46858.542841162161</v>
      </c>
      <c r="AH65" s="4">
        <f>IF('Rhaniad y Ddeiliadaeth (Cymru)'!$D$8="Amcangyfrifon LlC",'Incwm (Canolbarth)'!I65,'Incwm (Canolbarth)'!AA65)</f>
        <v>48627.714542722708</v>
      </c>
    </row>
    <row r="66" spans="2:34" x14ac:dyDescent="0.35">
      <c r="B66" s="251">
        <v>72</v>
      </c>
      <c r="C66" s="258">
        <v>40837.5</v>
      </c>
      <c r="D66" s="258">
        <v>42215.564389508036</v>
      </c>
      <c r="E66" s="278">
        <f>D66*(1+'Rhaniad y Ddeiliadaeth (Canol)'!C$109)+(D$44*(-(50-$B66)*('Rhaniad y Ddeiliadaeth (Canol)'!C$110/40)))</f>
        <v>43304.459522159486</v>
      </c>
      <c r="F66" s="278">
        <f>E66*(1+'Rhaniad y Ddeiliadaeth (Canol)'!D$109)+(E$44*(-(50-$B66)*('Rhaniad y Ddeiliadaeth (Canol)'!D$110/40)))</f>
        <v>44933.164200193234</v>
      </c>
      <c r="G66" s="278">
        <f>F66*(1+'Rhaniad y Ddeiliadaeth (Canol)'!E$109)+(F$44*(-(50-$B66)*('Rhaniad y Ddeiliadaeth (Canol)'!E$110/40)))</f>
        <v>46618.343818508336</v>
      </c>
      <c r="H66" s="278">
        <f>G66*(1+'Rhaniad y Ddeiliadaeth (Canol)'!F$109)+(G$44*(-(50-$B66)*('Rhaniad y Ddeiliadaeth (Canol)'!F$110/40)))</f>
        <v>48389.862132954215</v>
      </c>
      <c r="I66" s="279">
        <f>H66*(1+'Rhaniad y Ddeiliadaeth (Canol)'!G$109)+(H$44*(-(50-$B66)*('Rhaniad y Ddeiliadaeth (Canol)'!G$110/40)))</f>
        <v>50219.130053110282</v>
      </c>
      <c r="M66" s="36" t="str">
        <f t="shared" si="1"/>
        <v/>
      </c>
      <c r="N66" s="190"/>
      <c r="O66" s="13">
        <f t="shared" si="4"/>
        <v>1</v>
      </c>
      <c r="U66" s="1">
        <f t="shared" si="2"/>
        <v>72</v>
      </c>
      <c r="V66" s="4" t="str">
        <f t="shared" si="3"/>
        <v/>
      </c>
      <c r="W66" s="4" t="e">
        <f>IF($W$3=$N$3,N66,V66*(1+'Rhaniad y Ddeiliadaeth (Canol)'!C$109)+(V$44*(-(50-$U66)*('Rhaniad y Ddeiliadaeth (Canol)'!C$110/40))))</f>
        <v>#VALUE!</v>
      </c>
      <c r="X66" s="4" t="e">
        <f>W66*(1+'Rhaniad y Ddeiliadaeth (Canol)'!D$109)+(W$44*(-(50-$U66)*('Rhaniad y Ddeiliadaeth (Canol)'!D$110/40)))</f>
        <v>#VALUE!</v>
      </c>
      <c r="Y66" s="4" t="e">
        <f>X66*(1+'Rhaniad y Ddeiliadaeth (Canol)'!E$109)+(X$44*(-(50-$U66)*('Rhaniad y Ddeiliadaeth (Canol)'!E$110/40)))</f>
        <v>#VALUE!</v>
      </c>
      <c r="Z66" s="4" t="e">
        <f>Y66*(1+'Rhaniad y Ddeiliadaeth (Canol)'!F$109)+(Y$44*(-(50-$U66)*('Rhaniad y Ddeiliadaeth (Canol)'!F$110/40)))</f>
        <v>#VALUE!</v>
      </c>
      <c r="AA66" s="4" t="e">
        <f>Z66*(1+'Rhaniad y Ddeiliadaeth (Canol)'!G$109)+(Z$44*(-(50-$U66)*('Rhaniad y Ddeiliadaeth (Canol)'!G$110/40)))</f>
        <v>#VALUE!</v>
      </c>
      <c r="AC66" s="260">
        <v>72</v>
      </c>
      <c r="AD66" s="4">
        <f>IF('Rhaniad y Ddeiliadaeth (Cymru)'!$D$8="Amcangyfrifon LlC",'Incwm (Canolbarth)'!E66,'Incwm (Canolbarth)'!W66)</f>
        <v>43304.459522159486</v>
      </c>
      <c r="AE66" s="4">
        <f>IF('Rhaniad y Ddeiliadaeth (Cymru)'!$D$8="Amcangyfrifon LlC",'Incwm (Canolbarth)'!F66,'Incwm (Canolbarth)'!X66)</f>
        <v>44933.164200193234</v>
      </c>
      <c r="AF66" s="4">
        <f>IF('Rhaniad y Ddeiliadaeth (Cymru)'!$D$8="Amcangyfrifon LlC",'Incwm (Canolbarth)'!G66,'Incwm (Canolbarth)'!Y66)</f>
        <v>46618.343818508336</v>
      </c>
      <c r="AG66" s="4">
        <f>IF('Rhaniad y Ddeiliadaeth (Cymru)'!$D$8="Amcangyfrifon LlC",'Incwm (Canolbarth)'!H66,'Incwm (Canolbarth)'!Z66)</f>
        <v>48389.862132954215</v>
      </c>
      <c r="AH66" s="4">
        <f>IF('Rhaniad y Ddeiliadaeth (Cymru)'!$D$8="Amcangyfrifon LlC",'Incwm (Canolbarth)'!I66,'Incwm (Canolbarth)'!AA66)</f>
        <v>50219.130053110282</v>
      </c>
    </row>
    <row r="67" spans="2:34" x14ac:dyDescent="0.35">
      <c r="B67" s="251">
        <v>73</v>
      </c>
      <c r="C67" s="258">
        <v>42051.75</v>
      </c>
      <c r="D67" s="258">
        <v>43470.78934353216</v>
      </c>
      <c r="E67" s="278">
        <f>D67*(1+'Rhaniad y Ddeiliadaeth (Canol)'!C$109)+(D$44*(-(50-$B67)*('Rhaniad y Ddeiliadaeth (Canol)'!C$110/40)))</f>
        <v>44594.2829764817</v>
      </c>
      <c r="F67" s="278">
        <f>E67*(1+'Rhaniad y Ddeiliadaeth (Canol)'!D$109)+(E$44*(-(50-$B67)*('Rhaniad y Ddeiliadaeth (Canol)'!D$110/40)))</f>
        <v>46273.762700790598</v>
      </c>
      <c r="G67" s="278">
        <f>F67*(1+'Rhaniad y Ddeiliadaeth (Canol)'!E$109)+(F$44*(-(50-$B67)*('Rhaniad y Ddeiliadaeth (Canol)'!E$110/40)))</f>
        <v>48011.554452539422</v>
      </c>
      <c r="H67" s="278">
        <f>G67*(1+'Rhaniad y Ddeiliadaeth (Canol)'!F$109)+(G$44*(-(50-$B67)*('Rhaniad y Ddeiliadaeth (Canol)'!F$110/40)))</f>
        <v>49838.421586414712</v>
      </c>
      <c r="I67" s="279">
        <f>H67*(1+'Rhaniad y Ddeiliadaeth (Canol)'!G$109)+(H$44*(-(50-$B67)*('Rhaniad y Ddeiliadaeth (Canol)'!G$110/40)))</f>
        <v>51724.930667190798</v>
      </c>
      <c r="M67" s="36" t="str">
        <f t="shared" si="1"/>
        <v/>
      </c>
      <c r="N67" s="190"/>
      <c r="O67" s="13">
        <f t="shared" si="4"/>
        <v>1</v>
      </c>
      <c r="U67" s="1">
        <f t="shared" si="2"/>
        <v>73</v>
      </c>
      <c r="V67" s="4" t="str">
        <f t="shared" si="3"/>
        <v/>
      </c>
      <c r="W67" s="4" t="e">
        <f>IF($W$3=$N$3,N67,V67*(1+'Rhaniad y Ddeiliadaeth (Canol)'!C$109)+(V$44*(-(50-$U67)*('Rhaniad y Ddeiliadaeth (Canol)'!C$110/40))))</f>
        <v>#VALUE!</v>
      </c>
      <c r="X67" s="4" t="e">
        <f>W67*(1+'Rhaniad y Ddeiliadaeth (Canol)'!D$109)+(W$44*(-(50-$U67)*('Rhaniad y Ddeiliadaeth (Canol)'!D$110/40)))</f>
        <v>#VALUE!</v>
      </c>
      <c r="Y67" s="4" t="e">
        <f>X67*(1+'Rhaniad y Ddeiliadaeth (Canol)'!E$109)+(X$44*(-(50-$U67)*('Rhaniad y Ddeiliadaeth (Canol)'!E$110/40)))</f>
        <v>#VALUE!</v>
      </c>
      <c r="Z67" s="4" t="e">
        <f>Y67*(1+'Rhaniad y Ddeiliadaeth (Canol)'!F$109)+(Y$44*(-(50-$U67)*('Rhaniad y Ddeiliadaeth (Canol)'!F$110/40)))</f>
        <v>#VALUE!</v>
      </c>
      <c r="AA67" s="4" t="e">
        <f>Z67*(1+'Rhaniad y Ddeiliadaeth (Canol)'!G$109)+(Z$44*(-(50-$U67)*('Rhaniad y Ddeiliadaeth (Canol)'!G$110/40)))</f>
        <v>#VALUE!</v>
      </c>
      <c r="AC67" s="260">
        <v>73</v>
      </c>
      <c r="AD67" s="4">
        <f>IF('Rhaniad y Ddeiliadaeth (Cymru)'!$D$8="Amcangyfrifon LlC",'Incwm (Canolbarth)'!E67,'Incwm (Canolbarth)'!W67)</f>
        <v>44594.2829764817</v>
      </c>
      <c r="AE67" s="4">
        <f>IF('Rhaniad y Ddeiliadaeth (Cymru)'!$D$8="Amcangyfrifon LlC",'Incwm (Canolbarth)'!F67,'Incwm (Canolbarth)'!X67)</f>
        <v>46273.762700790598</v>
      </c>
      <c r="AF67" s="4">
        <f>IF('Rhaniad y Ddeiliadaeth (Cymru)'!$D$8="Amcangyfrifon LlC",'Incwm (Canolbarth)'!G67,'Incwm (Canolbarth)'!Y67)</f>
        <v>48011.554452539422</v>
      </c>
      <c r="AG67" s="4">
        <f>IF('Rhaniad y Ddeiliadaeth (Cymru)'!$D$8="Amcangyfrifon LlC",'Incwm (Canolbarth)'!H67,'Incwm (Canolbarth)'!Z67)</f>
        <v>49838.421586414712</v>
      </c>
      <c r="AH67" s="4">
        <f>IF('Rhaniad y Ddeiliadaeth (Cymru)'!$D$8="Amcangyfrifon LlC",'Incwm (Canolbarth)'!I67,'Incwm (Canolbarth)'!AA67)</f>
        <v>51724.930667190798</v>
      </c>
    </row>
    <row r="68" spans="2:34" x14ac:dyDescent="0.35">
      <c r="B68" s="251">
        <v>74</v>
      </c>
      <c r="C68" s="258">
        <v>43103.5</v>
      </c>
      <c r="D68" s="258">
        <v>44558.03072330969</v>
      </c>
      <c r="E68" s="278">
        <f>D68*(1+'Rhaniad y Ddeiliadaeth (Canol)'!C$109)+(D$44*(-(50-$B68)*('Rhaniad y Ddeiliadaeth (Canol)'!C$110/40)))</f>
        <v>45712.352266038339</v>
      </c>
      <c r="F68" s="278">
        <f>E68*(1+'Rhaniad y Ddeiliadaeth (Canol)'!D$109)+(E$44*(-(50-$B68)*('Rhaniad y Ddeiliadaeth (Canol)'!D$110/40)))</f>
        <v>47436.720338821004</v>
      </c>
      <c r="G68" s="278">
        <f>F68*(1+'Rhaniad y Ddeiliadaeth (Canol)'!E$109)+(F$44*(-(50-$B68)*('Rhaniad y Ddeiliadaeth (Canol)'!E$110/40)))</f>
        <v>49221.052763301865</v>
      </c>
      <c r="H68" s="278">
        <f>G68*(1+'Rhaniad y Ddeiliadaeth (Canol)'!F$109)+(G$44*(-(50-$B68)*('Rhaniad y Ddeiliadaeth (Canol)'!F$110/40)))</f>
        <v>51096.896605544724</v>
      </c>
      <c r="I68" s="279">
        <f>H68*(1+'Rhaniad y Ddeiliadaeth (Canol)'!G$109)+(H$44*(-(50-$B68)*('Rhaniad y Ddeiliadaeth (Canol)'!G$110/40)))</f>
        <v>53034.089293286845</v>
      </c>
      <c r="M68" s="36" t="str">
        <f t="shared" ref="M68:M84" si="5">IF(ISBLANK($L$4),"",B68)</f>
        <v/>
      </c>
      <c r="N68" s="190"/>
      <c r="O68" s="13">
        <f t="shared" si="4"/>
        <v>1</v>
      </c>
      <c r="U68" s="1">
        <f t="shared" ref="U68:U84" si="6">B68</f>
        <v>74</v>
      </c>
      <c r="V68" s="4" t="str">
        <f t="shared" ref="V68:V84" si="7">IF($N$3=$V$3,N68,"")</f>
        <v/>
      </c>
      <c r="W68" s="4" t="e">
        <f>IF($W$3=$N$3,N68,V68*(1+'Rhaniad y Ddeiliadaeth (Canol)'!C$109)+(V$44*(-(50-$U68)*('Rhaniad y Ddeiliadaeth (Canol)'!C$110/40))))</f>
        <v>#VALUE!</v>
      </c>
      <c r="X68" s="4" t="e">
        <f>W68*(1+'Rhaniad y Ddeiliadaeth (Canol)'!D$109)+(W$44*(-(50-$U68)*('Rhaniad y Ddeiliadaeth (Canol)'!D$110/40)))</f>
        <v>#VALUE!</v>
      </c>
      <c r="Y68" s="4" t="e">
        <f>X68*(1+'Rhaniad y Ddeiliadaeth (Canol)'!E$109)+(X$44*(-(50-$U68)*('Rhaniad y Ddeiliadaeth (Canol)'!E$110/40)))</f>
        <v>#VALUE!</v>
      </c>
      <c r="Z68" s="4" t="e">
        <f>Y68*(1+'Rhaniad y Ddeiliadaeth (Canol)'!F$109)+(Y$44*(-(50-$U68)*('Rhaniad y Ddeiliadaeth (Canol)'!F$110/40)))</f>
        <v>#VALUE!</v>
      </c>
      <c r="AA68" s="4" t="e">
        <f>Z68*(1+'Rhaniad y Ddeiliadaeth (Canol)'!G$109)+(Z$44*(-(50-$U68)*('Rhaniad y Ddeiliadaeth (Canol)'!G$110/40)))</f>
        <v>#VALUE!</v>
      </c>
      <c r="AC68" s="260">
        <v>74</v>
      </c>
      <c r="AD68" s="4">
        <f>IF('Rhaniad y Ddeiliadaeth (Cymru)'!$D$8="Amcangyfrifon LlC",'Incwm (Canolbarth)'!E68,'Incwm (Canolbarth)'!W68)</f>
        <v>45712.352266038339</v>
      </c>
      <c r="AE68" s="4">
        <f>IF('Rhaniad y Ddeiliadaeth (Cymru)'!$D$8="Amcangyfrifon LlC",'Incwm (Canolbarth)'!F68,'Incwm (Canolbarth)'!X68)</f>
        <v>47436.720338821004</v>
      </c>
      <c r="AF68" s="4">
        <f>IF('Rhaniad y Ddeiliadaeth (Cymru)'!$D$8="Amcangyfrifon LlC",'Incwm (Canolbarth)'!G68,'Incwm (Canolbarth)'!Y68)</f>
        <v>49221.052763301865</v>
      </c>
      <c r="AG68" s="4">
        <f>IF('Rhaniad y Ddeiliadaeth (Cymru)'!$D$8="Amcangyfrifon LlC",'Incwm (Canolbarth)'!H68,'Incwm (Canolbarth)'!Z68)</f>
        <v>51096.896605544724</v>
      </c>
      <c r="AH68" s="4">
        <f>IF('Rhaniad y Ddeiliadaeth (Cymru)'!$D$8="Amcangyfrifon LlC",'Incwm (Canolbarth)'!I68,'Incwm (Canolbarth)'!AA68)</f>
        <v>53034.089293286845</v>
      </c>
    </row>
    <row r="69" spans="2:34" x14ac:dyDescent="0.35">
      <c r="B69" s="251">
        <v>75</v>
      </c>
      <c r="C69" s="258">
        <v>43733.25</v>
      </c>
      <c r="D69" s="258">
        <v>45209.031682582237</v>
      </c>
      <c r="E69" s="278">
        <f>D69*(1+'Rhaniad y Ddeiliadaeth (Canol)'!C$109)+(D$44*(-(50-$B69)*('Rhaniad y Ddeiliadaeth (Canol)'!C$110/40)))</f>
        <v>46384.389201557591</v>
      </c>
      <c r="F69" s="278">
        <f>E69*(1+'Rhaniad y Ddeiliadaeth (Canol)'!D$109)+(E$44*(-(50-$B69)*('Rhaniad y Ddeiliadaeth (Canol)'!D$110/40)))</f>
        <v>48138.358321446714</v>
      </c>
      <c r="G69" s="278">
        <f>F69*(1+'Rhaniad y Ddeiliadaeth (Canol)'!E$109)+(F$44*(-(50-$B69)*('Rhaniad y Ddeiliadaeth (Canol)'!E$110/40)))</f>
        <v>49953.46430225276</v>
      </c>
      <c r="H69" s="278">
        <f>G69*(1+'Rhaniad y Ddeiliadaeth (Canol)'!F$109)+(G$44*(-(50-$B69)*('Rhaniad y Ddeiliadaeth (Canol)'!F$110/40)))</f>
        <v>51861.736970598002</v>
      </c>
      <c r="I69" s="279">
        <f>H69*(1+'Rhaniad y Ddeiliadaeth (Canol)'!G$109)+(H$44*(-(50-$B69)*('Rhaniad y Ddeiliadaeth (Canol)'!G$110/40)))</f>
        <v>53832.583802893983</v>
      </c>
      <c r="M69" s="36" t="str">
        <f t="shared" si="5"/>
        <v/>
      </c>
      <c r="N69" s="190"/>
      <c r="O69" s="13">
        <f t="shared" ref="O69:O84" si="8">IF(ISBLANK(N69),1,0)</f>
        <v>1</v>
      </c>
      <c r="U69" s="1">
        <f t="shared" si="6"/>
        <v>75</v>
      </c>
      <c r="V69" s="4" t="str">
        <f t="shared" si="7"/>
        <v/>
      </c>
      <c r="W69" s="4" t="e">
        <f>IF($W$3=$N$3,N69,V69*(1+'Rhaniad y Ddeiliadaeth (Canol)'!C$109)+(V$44*(-(50-$U69)*('Rhaniad y Ddeiliadaeth (Canol)'!C$110/40))))</f>
        <v>#VALUE!</v>
      </c>
      <c r="X69" s="4" t="e">
        <f>W69*(1+'Rhaniad y Ddeiliadaeth (Canol)'!D$109)+(W$44*(-(50-$U69)*('Rhaniad y Ddeiliadaeth (Canol)'!D$110/40)))</f>
        <v>#VALUE!</v>
      </c>
      <c r="Y69" s="4" t="e">
        <f>X69*(1+'Rhaniad y Ddeiliadaeth (Canol)'!E$109)+(X$44*(-(50-$U69)*('Rhaniad y Ddeiliadaeth (Canol)'!E$110/40)))</f>
        <v>#VALUE!</v>
      </c>
      <c r="Z69" s="4" t="e">
        <f>Y69*(1+'Rhaniad y Ddeiliadaeth (Canol)'!F$109)+(Y$44*(-(50-$U69)*('Rhaniad y Ddeiliadaeth (Canol)'!F$110/40)))</f>
        <v>#VALUE!</v>
      </c>
      <c r="AA69" s="4" t="e">
        <f>Z69*(1+'Rhaniad y Ddeiliadaeth (Canol)'!G$109)+(Z$44*(-(50-$U69)*('Rhaniad y Ddeiliadaeth (Canol)'!G$110/40)))</f>
        <v>#VALUE!</v>
      </c>
      <c r="AC69" s="260">
        <v>75</v>
      </c>
      <c r="AD69" s="4">
        <f>IF('Rhaniad y Ddeiliadaeth (Cymru)'!$D$8="Amcangyfrifon LlC",'Incwm (Canolbarth)'!E69,'Incwm (Canolbarth)'!W69)</f>
        <v>46384.389201557591</v>
      </c>
      <c r="AE69" s="4">
        <f>IF('Rhaniad y Ddeiliadaeth (Cymru)'!$D$8="Amcangyfrifon LlC",'Incwm (Canolbarth)'!F69,'Incwm (Canolbarth)'!X69)</f>
        <v>48138.358321446714</v>
      </c>
      <c r="AF69" s="4">
        <f>IF('Rhaniad y Ddeiliadaeth (Cymru)'!$D$8="Amcangyfrifon LlC",'Incwm (Canolbarth)'!G69,'Incwm (Canolbarth)'!Y69)</f>
        <v>49953.46430225276</v>
      </c>
      <c r="AG69" s="4">
        <f>IF('Rhaniad y Ddeiliadaeth (Cymru)'!$D$8="Amcangyfrifon LlC",'Incwm (Canolbarth)'!H69,'Incwm (Canolbarth)'!Z69)</f>
        <v>51861.736970598002</v>
      </c>
      <c r="AH69" s="4">
        <f>IF('Rhaniad y Ddeiliadaeth (Cymru)'!$D$8="Amcangyfrifon LlC",'Incwm (Canolbarth)'!I69,'Incwm (Canolbarth)'!AA69)</f>
        <v>53832.583802893983</v>
      </c>
    </row>
    <row r="70" spans="2:34" x14ac:dyDescent="0.35">
      <c r="B70" s="251">
        <v>76</v>
      </c>
      <c r="C70" s="258">
        <v>44712.5</v>
      </c>
      <c r="D70" s="258">
        <v>46221.326544618991</v>
      </c>
      <c r="E70" s="278">
        <f>D70*(1+'Rhaniad y Ddeiliadaeth (Canol)'!C$109)+(D$44*(-(50-$B70)*('Rhaniad y Ddeiliadaeth (Canol)'!C$110/40)))</f>
        <v>47425.82970991113</v>
      </c>
      <c r="F70" s="278">
        <f>E70*(1+'Rhaniad y Ddeiliadaeth (Canol)'!D$109)+(E$44*(-(50-$B70)*('Rhaniad y Ddeiliadaeth (Canol)'!D$110/40)))</f>
        <v>49222.060805408779</v>
      </c>
      <c r="G70" s="278">
        <f>F70*(1+'Rhaniad y Ddeiliadaeth (Canol)'!E$109)+(F$44*(-(50-$B70)*('Rhaniad y Ddeiliadaeth (Canol)'!E$110/40)))</f>
        <v>51080.998653403025</v>
      </c>
      <c r="H70" s="278">
        <f>G70*(1+'Rhaniad y Ddeiliadaeth (Canol)'!F$109)+(G$44*(-(50-$B70)*('Rhaniad y Ddeiliadaeth (Canol)'!F$110/40)))</f>
        <v>53035.405088257488</v>
      </c>
      <c r="I70" s="279">
        <f>H70*(1+'Rhaniad y Ddeiliadaeth (Canol)'!G$109)+(H$44*(-(50-$B70)*('Rhaniad y Ddeiliadaeth (Canol)'!G$110/40)))</f>
        <v>55054.009849735427</v>
      </c>
      <c r="M70" s="36" t="str">
        <f t="shared" si="5"/>
        <v/>
      </c>
      <c r="N70" s="190"/>
      <c r="O70" s="13">
        <f t="shared" si="8"/>
        <v>1</v>
      </c>
      <c r="U70" s="1">
        <f t="shared" si="6"/>
        <v>76</v>
      </c>
      <c r="V70" s="4" t="str">
        <f t="shared" si="7"/>
        <v/>
      </c>
      <c r="W70" s="4" t="e">
        <f>IF($W$3=$N$3,N70,V70*(1+'Rhaniad y Ddeiliadaeth (Canol)'!C$109)+(V$44*(-(50-$U70)*('Rhaniad y Ddeiliadaeth (Canol)'!C$110/40))))</f>
        <v>#VALUE!</v>
      </c>
      <c r="X70" s="4" t="e">
        <f>W70*(1+'Rhaniad y Ddeiliadaeth (Canol)'!D$109)+(W$44*(-(50-$U70)*('Rhaniad y Ddeiliadaeth (Canol)'!D$110/40)))</f>
        <v>#VALUE!</v>
      </c>
      <c r="Y70" s="4" t="e">
        <f>X70*(1+'Rhaniad y Ddeiliadaeth (Canol)'!E$109)+(X$44*(-(50-$U70)*('Rhaniad y Ddeiliadaeth (Canol)'!E$110/40)))</f>
        <v>#VALUE!</v>
      </c>
      <c r="Z70" s="4" t="e">
        <f>Y70*(1+'Rhaniad y Ddeiliadaeth (Canol)'!F$109)+(Y$44*(-(50-$U70)*('Rhaniad y Ddeiliadaeth (Canol)'!F$110/40)))</f>
        <v>#VALUE!</v>
      </c>
      <c r="AA70" s="4" t="e">
        <f>Z70*(1+'Rhaniad y Ddeiliadaeth (Canol)'!G$109)+(Z$44*(-(50-$U70)*('Rhaniad y Ddeiliadaeth (Canol)'!G$110/40)))</f>
        <v>#VALUE!</v>
      </c>
      <c r="AC70" s="260">
        <v>76</v>
      </c>
      <c r="AD70" s="4">
        <f>IF('Rhaniad y Ddeiliadaeth (Cymru)'!$D$8="Amcangyfrifon LlC",'Incwm (Canolbarth)'!E70,'Incwm (Canolbarth)'!W70)</f>
        <v>47425.82970991113</v>
      </c>
      <c r="AE70" s="4">
        <f>IF('Rhaniad y Ddeiliadaeth (Cymru)'!$D$8="Amcangyfrifon LlC",'Incwm (Canolbarth)'!F70,'Incwm (Canolbarth)'!X70)</f>
        <v>49222.060805408779</v>
      </c>
      <c r="AF70" s="4">
        <f>IF('Rhaniad y Ddeiliadaeth (Cymru)'!$D$8="Amcangyfrifon LlC",'Incwm (Canolbarth)'!G70,'Incwm (Canolbarth)'!Y70)</f>
        <v>51080.998653403025</v>
      </c>
      <c r="AG70" s="4">
        <f>IF('Rhaniad y Ddeiliadaeth (Cymru)'!$D$8="Amcangyfrifon LlC",'Incwm (Canolbarth)'!H70,'Incwm (Canolbarth)'!Z70)</f>
        <v>53035.405088257488</v>
      </c>
      <c r="AH70" s="4">
        <f>IF('Rhaniad y Ddeiliadaeth (Cymru)'!$D$8="Amcangyfrifon LlC",'Incwm (Canolbarth)'!I70,'Incwm (Canolbarth)'!AA70)</f>
        <v>55054.009849735427</v>
      </c>
    </row>
    <row r="71" spans="2:34" x14ac:dyDescent="0.35">
      <c r="B71" s="251">
        <v>77</v>
      </c>
      <c r="C71" s="258">
        <v>46357.75</v>
      </c>
      <c r="D71" s="258">
        <v>47922.095624798676</v>
      </c>
      <c r="E71" s="278">
        <f>D71*(1+'Rhaniad y Ddeiliadaeth (Canol)'!C$109)+(D$44*(-(50-$B71)*('Rhaniad y Ddeiliadaeth (Canol)'!C$110/40)))</f>
        <v>49171.198056626956</v>
      </c>
      <c r="F71" s="278">
        <f>E71*(1+'Rhaniad y Ddeiliadaeth (Canol)'!D$109)+(E$44*(-(50-$B71)*('Rhaniad y Ddeiliadaeth (Canol)'!D$110/40)))</f>
        <v>51033.817532260669</v>
      </c>
      <c r="G71" s="278">
        <f>F71*(1+'Rhaniad y Ddeiliadaeth (Canol)'!E$109)+(F$44*(-(50-$B71)*('Rhaniad y Ddeiliadaeth (Canol)'!E$110/40)))</f>
        <v>52961.470895611266</v>
      </c>
      <c r="H71" s="278">
        <f>G71*(1+'Rhaniad y Ddeiliadaeth (Canol)'!F$109)+(G$44*(-(50-$B71)*('Rhaniad y Ddeiliadaeth (Canol)'!F$110/40)))</f>
        <v>54988.126949080674</v>
      </c>
      <c r="I71" s="279">
        <f>H71*(1+'Rhaniad y Ddeiliadaeth (Canol)'!G$109)+(H$44*(-(50-$B71)*('Rhaniad y Ddeiliadaeth (Canol)'!G$110/40)))</f>
        <v>57081.365521177795</v>
      </c>
      <c r="M71" s="36" t="str">
        <f t="shared" si="5"/>
        <v/>
      </c>
      <c r="N71" s="190"/>
      <c r="O71" s="13">
        <f t="shared" si="8"/>
        <v>1</v>
      </c>
      <c r="U71" s="1">
        <f t="shared" si="6"/>
        <v>77</v>
      </c>
      <c r="V71" s="4" t="str">
        <f t="shared" si="7"/>
        <v/>
      </c>
      <c r="W71" s="4" t="e">
        <f>IF($W$3=$N$3,N71,V71*(1+'Rhaniad y Ddeiliadaeth (Canol)'!C$109)+(V$44*(-(50-$U71)*('Rhaniad y Ddeiliadaeth (Canol)'!C$110/40))))</f>
        <v>#VALUE!</v>
      </c>
      <c r="X71" s="4" t="e">
        <f>W71*(1+'Rhaniad y Ddeiliadaeth (Canol)'!D$109)+(W$44*(-(50-$U71)*('Rhaniad y Ddeiliadaeth (Canol)'!D$110/40)))</f>
        <v>#VALUE!</v>
      </c>
      <c r="Y71" s="4" t="e">
        <f>X71*(1+'Rhaniad y Ddeiliadaeth (Canol)'!E$109)+(X$44*(-(50-$U71)*('Rhaniad y Ddeiliadaeth (Canol)'!E$110/40)))</f>
        <v>#VALUE!</v>
      </c>
      <c r="Z71" s="4" t="e">
        <f>Y71*(1+'Rhaniad y Ddeiliadaeth (Canol)'!F$109)+(Y$44*(-(50-$U71)*('Rhaniad y Ddeiliadaeth (Canol)'!F$110/40)))</f>
        <v>#VALUE!</v>
      </c>
      <c r="AA71" s="4" t="e">
        <f>Z71*(1+'Rhaniad y Ddeiliadaeth (Canol)'!G$109)+(Z$44*(-(50-$U71)*('Rhaniad y Ddeiliadaeth (Canol)'!G$110/40)))</f>
        <v>#VALUE!</v>
      </c>
      <c r="AC71" s="260">
        <v>77</v>
      </c>
      <c r="AD71" s="4">
        <f>IF('Rhaniad y Ddeiliadaeth (Cymru)'!$D$8="Amcangyfrifon LlC",'Incwm (Canolbarth)'!E71,'Incwm (Canolbarth)'!W71)</f>
        <v>49171.198056626956</v>
      </c>
      <c r="AE71" s="4">
        <f>IF('Rhaniad y Ddeiliadaeth (Cymru)'!$D$8="Amcangyfrifon LlC",'Incwm (Canolbarth)'!F71,'Incwm (Canolbarth)'!X71)</f>
        <v>51033.817532260669</v>
      </c>
      <c r="AF71" s="4">
        <f>IF('Rhaniad y Ddeiliadaeth (Cymru)'!$D$8="Amcangyfrifon LlC",'Incwm (Canolbarth)'!G71,'Incwm (Canolbarth)'!Y71)</f>
        <v>52961.470895611266</v>
      </c>
      <c r="AG71" s="4">
        <f>IF('Rhaniad y Ddeiliadaeth (Cymru)'!$D$8="Amcangyfrifon LlC",'Incwm (Canolbarth)'!H71,'Incwm (Canolbarth)'!Z71)</f>
        <v>54988.126949080674</v>
      </c>
      <c r="AH71" s="4">
        <f>IF('Rhaniad y Ddeiliadaeth (Cymru)'!$D$8="Amcangyfrifon LlC",'Incwm (Canolbarth)'!I71,'Incwm (Canolbarth)'!AA71)</f>
        <v>57081.365521177795</v>
      </c>
    </row>
    <row r="72" spans="2:34" x14ac:dyDescent="0.35">
      <c r="B72" s="251">
        <v>78</v>
      </c>
      <c r="C72" s="258">
        <v>47645.75</v>
      </c>
      <c r="D72" s="258">
        <v>49253.559277903943</v>
      </c>
      <c r="E72" s="278">
        <f>D72*(1+'Rhaniad y Ddeiliadaeth (Canol)'!C$109)+(D$44*(-(50-$B72)*('Rhaniad y Ddeiliadaeth (Canol)'!C$110/40)))</f>
        <v>50538.971478035084</v>
      </c>
      <c r="F72" s="278">
        <f>E72*(1+'Rhaniad y Ddeiliadaeth (Canol)'!D$109)+(E$44*(-(50-$B72)*('Rhaniad y Ddeiliadaeth (Canol)'!D$110/40)))</f>
        <v>52455.037655099964</v>
      </c>
      <c r="G72" s="278">
        <f>F72*(1+'Rhaniad y Ddeiliadaeth (Canol)'!E$109)+(F$44*(-(50-$B72)*('Rhaniad y Ddeiliadaeth (Canol)'!E$110/40)))</f>
        <v>54438.058660971968</v>
      </c>
      <c r="H72" s="278">
        <f>G72*(1+'Rhaniad y Ddeiliadaeth (Canol)'!F$109)+(G$44*(-(50-$B72)*('Rhaniad y Ddeiliadaeth (Canol)'!F$110/40)))</f>
        <v>56522.955491968081</v>
      </c>
      <c r="I72" s="279">
        <f>H72*(1+'Rhaniad y Ddeiliadaeth (Canol)'!G$109)+(H$44*(-(50-$B72)*('Rhaniad y Ddeiliadaeth (Canol)'!G$110/40)))</f>
        <v>58676.411345189714</v>
      </c>
      <c r="M72" s="36" t="str">
        <f t="shared" si="5"/>
        <v/>
      </c>
      <c r="N72" s="190"/>
      <c r="O72" s="13">
        <f t="shared" si="8"/>
        <v>1</v>
      </c>
      <c r="U72" s="1">
        <f t="shared" si="6"/>
        <v>78</v>
      </c>
      <c r="V72" s="4" t="str">
        <f t="shared" si="7"/>
        <v/>
      </c>
      <c r="W72" s="4" t="e">
        <f>IF($W$3=$N$3,N72,V72*(1+'Rhaniad y Ddeiliadaeth (Canol)'!C$109)+(V$44*(-(50-$U72)*('Rhaniad y Ddeiliadaeth (Canol)'!C$110/40))))</f>
        <v>#VALUE!</v>
      </c>
      <c r="X72" s="4" t="e">
        <f>W72*(1+'Rhaniad y Ddeiliadaeth (Canol)'!D$109)+(W$44*(-(50-$U72)*('Rhaniad y Ddeiliadaeth (Canol)'!D$110/40)))</f>
        <v>#VALUE!</v>
      </c>
      <c r="Y72" s="4" t="e">
        <f>X72*(1+'Rhaniad y Ddeiliadaeth (Canol)'!E$109)+(X$44*(-(50-$U72)*('Rhaniad y Ddeiliadaeth (Canol)'!E$110/40)))</f>
        <v>#VALUE!</v>
      </c>
      <c r="Z72" s="4" t="e">
        <f>Y72*(1+'Rhaniad y Ddeiliadaeth (Canol)'!F$109)+(Y$44*(-(50-$U72)*('Rhaniad y Ddeiliadaeth (Canol)'!F$110/40)))</f>
        <v>#VALUE!</v>
      </c>
      <c r="AA72" s="4" t="e">
        <f>Z72*(1+'Rhaniad y Ddeiliadaeth (Canol)'!G$109)+(Z$44*(-(50-$U72)*('Rhaniad y Ddeiliadaeth (Canol)'!G$110/40)))</f>
        <v>#VALUE!</v>
      </c>
      <c r="AC72" s="260">
        <v>78</v>
      </c>
      <c r="AD72" s="4">
        <f>IF('Rhaniad y Ddeiliadaeth (Cymru)'!$D$8="Amcangyfrifon LlC",'Incwm (Canolbarth)'!E72,'Incwm (Canolbarth)'!W72)</f>
        <v>50538.971478035084</v>
      </c>
      <c r="AE72" s="4">
        <f>IF('Rhaniad y Ddeiliadaeth (Cymru)'!$D$8="Amcangyfrifon LlC",'Incwm (Canolbarth)'!F72,'Incwm (Canolbarth)'!X72)</f>
        <v>52455.037655099964</v>
      </c>
      <c r="AF72" s="4">
        <f>IF('Rhaniad y Ddeiliadaeth (Cymru)'!$D$8="Amcangyfrifon LlC",'Incwm (Canolbarth)'!G72,'Incwm (Canolbarth)'!Y72)</f>
        <v>54438.058660971968</v>
      </c>
      <c r="AG72" s="4">
        <f>IF('Rhaniad y Ddeiliadaeth (Cymru)'!$D$8="Amcangyfrifon LlC",'Incwm (Canolbarth)'!H72,'Incwm (Canolbarth)'!Z72)</f>
        <v>56522.955491968081</v>
      </c>
      <c r="AH72" s="4">
        <f>IF('Rhaniad y Ddeiliadaeth (Cymru)'!$D$8="Amcangyfrifon LlC",'Incwm (Canolbarth)'!I72,'Incwm (Canolbarth)'!AA72)</f>
        <v>58676.411345189714</v>
      </c>
    </row>
    <row r="73" spans="2:34" x14ac:dyDescent="0.35">
      <c r="B73" s="251">
        <v>79</v>
      </c>
      <c r="C73" s="258">
        <v>48745.75</v>
      </c>
      <c r="D73" s="258">
        <v>50390.678857419312</v>
      </c>
      <c r="E73" s="278">
        <f>D73*(1+'Rhaniad y Ddeiliadaeth (Canol)'!C$109)+(D$44*(-(50-$B73)*('Rhaniad y Ddeiliadaeth (Canol)'!C$110/40)))</f>
        <v>51708.03854266827</v>
      </c>
      <c r="F73" s="278">
        <f>E73*(1+'Rhaniad y Ddeiliadaeth (Canol)'!D$109)+(E$44*(-(50-$B73)*('Rhaniad y Ddeiliadaeth (Canol)'!D$110/40)))</f>
        <v>53670.740964631012</v>
      </c>
      <c r="G73" s="278">
        <f>F73*(1+'Rhaniad y Ddeiliadaeth (Canol)'!E$109)+(F$44*(-(50-$B73)*('Rhaniad y Ddeiliadaeth (Canol)'!E$110/40)))</f>
        <v>55702.105400028013</v>
      </c>
      <c r="H73" s="278">
        <f>G73*(1+'Rhaniad y Ddeiliadaeth (Canol)'!F$109)+(G$44*(-(50-$B73)*('Rhaniad y Ddeiliadaeth (Canol)'!F$110/40)))</f>
        <v>57837.870966214672</v>
      </c>
      <c r="I73" s="279">
        <f>H73*(1+'Rhaniad y Ddeiliadaeth (Canol)'!G$109)+(H$44*(-(50-$B73)*('Rhaniad y Ddeiliadaeth (Canol)'!G$110/40)))</f>
        <v>60043.957515410373</v>
      </c>
      <c r="M73" s="36" t="str">
        <f t="shared" si="5"/>
        <v/>
      </c>
      <c r="N73" s="190"/>
      <c r="O73" s="13">
        <f t="shared" si="8"/>
        <v>1</v>
      </c>
      <c r="U73" s="1">
        <f t="shared" si="6"/>
        <v>79</v>
      </c>
      <c r="V73" s="4" t="str">
        <f t="shared" si="7"/>
        <v/>
      </c>
      <c r="W73" s="4" t="e">
        <f>IF($W$3=$N$3,N73,V73*(1+'Rhaniad y Ddeiliadaeth (Canol)'!C$109)+(V$44*(-(50-$U73)*('Rhaniad y Ddeiliadaeth (Canol)'!C$110/40))))</f>
        <v>#VALUE!</v>
      </c>
      <c r="X73" s="4" t="e">
        <f>W73*(1+'Rhaniad y Ddeiliadaeth (Canol)'!D$109)+(W$44*(-(50-$U73)*('Rhaniad y Ddeiliadaeth (Canol)'!D$110/40)))</f>
        <v>#VALUE!</v>
      </c>
      <c r="Y73" s="4" t="e">
        <f>X73*(1+'Rhaniad y Ddeiliadaeth (Canol)'!E$109)+(X$44*(-(50-$U73)*('Rhaniad y Ddeiliadaeth (Canol)'!E$110/40)))</f>
        <v>#VALUE!</v>
      </c>
      <c r="Z73" s="4" t="e">
        <f>Y73*(1+'Rhaniad y Ddeiliadaeth (Canol)'!F$109)+(Y$44*(-(50-$U73)*('Rhaniad y Ddeiliadaeth (Canol)'!F$110/40)))</f>
        <v>#VALUE!</v>
      </c>
      <c r="AA73" s="4" t="e">
        <f>Z73*(1+'Rhaniad y Ddeiliadaeth (Canol)'!G$109)+(Z$44*(-(50-$U73)*('Rhaniad y Ddeiliadaeth (Canol)'!G$110/40)))</f>
        <v>#VALUE!</v>
      </c>
      <c r="AC73" s="260">
        <v>79</v>
      </c>
      <c r="AD73" s="4">
        <f>IF('Rhaniad y Ddeiliadaeth (Cymru)'!$D$8="Amcangyfrifon LlC",'Incwm (Canolbarth)'!E73,'Incwm (Canolbarth)'!W73)</f>
        <v>51708.03854266827</v>
      </c>
      <c r="AE73" s="4">
        <f>IF('Rhaniad y Ddeiliadaeth (Cymru)'!$D$8="Amcangyfrifon LlC",'Incwm (Canolbarth)'!F73,'Incwm (Canolbarth)'!X73)</f>
        <v>53670.740964631012</v>
      </c>
      <c r="AF73" s="4">
        <f>IF('Rhaniad y Ddeiliadaeth (Cymru)'!$D$8="Amcangyfrifon LlC",'Incwm (Canolbarth)'!G73,'Incwm (Canolbarth)'!Y73)</f>
        <v>55702.105400028013</v>
      </c>
      <c r="AG73" s="4">
        <f>IF('Rhaniad y Ddeiliadaeth (Cymru)'!$D$8="Amcangyfrifon LlC",'Incwm (Canolbarth)'!H73,'Incwm (Canolbarth)'!Z73)</f>
        <v>57837.870966214672</v>
      </c>
      <c r="AH73" s="4">
        <f>IF('Rhaniad y Ddeiliadaeth (Cymru)'!$D$8="Amcangyfrifon LlC",'Incwm (Canolbarth)'!I73,'Incwm (Canolbarth)'!AA73)</f>
        <v>60043.957515410373</v>
      </c>
    </row>
    <row r="74" spans="2:34" x14ac:dyDescent="0.35">
      <c r="B74" s="251">
        <v>80</v>
      </c>
      <c r="C74" s="258">
        <v>50145</v>
      </c>
      <c r="D74" s="258">
        <v>51795.975746189986</v>
      </c>
      <c r="E74" s="278">
        <f>D74*(1+'Rhaniad y Ddeiliadaeth (Canol)'!C$109)+(D$44*(-(50-$B74)*('Rhaniad y Ddeiliadaeth (Canol)'!C$110/40)))</f>
        <v>53151.30247426781</v>
      </c>
      <c r="F74" s="278">
        <f>E74*(1+'Rhaniad y Ddeiliadaeth (Canol)'!D$109)+(E$44*(-(50-$B74)*('Rhaniad y Ddeiliadaeth (Canol)'!D$110/40)))</f>
        <v>55170.038957455741</v>
      </c>
      <c r="G74" s="278">
        <f>F74*(1+'Rhaniad y Ddeiliadaeth (Canol)'!E$109)+(F$44*(-(50-$B74)*('Rhaniad y Ddeiliadaeth (Canol)'!E$110/40)))</f>
        <v>57259.439603362611</v>
      </c>
      <c r="H74" s="278">
        <f>G74*(1+'Rhaniad y Ddeiliadaeth (Canol)'!F$109)+(G$44*(-(50-$B74)*('Rhaniad y Ddeiliadaeth (Canol)'!F$110/40)))</f>
        <v>59456.246658870703</v>
      </c>
      <c r="I74" s="279">
        <f>H74*(1+'Rhaniad y Ddeiliadaeth (Canol)'!G$109)+(H$44*(-(50-$B74)*('Rhaniad y Ddeiliadaeth (Canol)'!G$110/40)))</f>
        <v>61725.432707922686</v>
      </c>
      <c r="M74" s="36" t="str">
        <f t="shared" si="5"/>
        <v/>
      </c>
      <c r="N74" s="190"/>
      <c r="O74" s="13">
        <f t="shared" si="8"/>
        <v>1</v>
      </c>
      <c r="U74" s="1">
        <f t="shared" si="6"/>
        <v>80</v>
      </c>
      <c r="V74" s="4" t="str">
        <f t="shared" si="7"/>
        <v/>
      </c>
      <c r="W74" s="4" t="e">
        <f>IF($W$3=$N$3,N74,V74*(1+'Rhaniad y Ddeiliadaeth (Canol)'!C$109)+(V$44*(-(50-$U74)*('Rhaniad y Ddeiliadaeth (Canol)'!C$110/40))))</f>
        <v>#VALUE!</v>
      </c>
      <c r="X74" s="4" t="e">
        <f>W74*(1+'Rhaniad y Ddeiliadaeth (Canol)'!D$109)+(W$44*(-(50-$U74)*('Rhaniad y Ddeiliadaeth (Canol)'!D$110/40)))</f>
        <v>#VALUE!</v>
      </c>
      <c r="Y74" s="4" t="e">
        <f>X74*(1+'Rhaniad y Ddeiliadaeth (Canol)'!E$109)+(X$44*(-(50-$U74)*('Rhaniad y Ddeiliadaeth (Canol)'!E$110/40)))</f>
        <v>#VALUE!</v>
      </c>
      <c r="Z74" s="4" t="e">
        <f>Y74*(1+'Rhaniad y Ddeiliadaeth (Canol)'!F$109)+(Y$44*(-(50-$U74)*('Rhaniad y Ddeiliadaeth (Canol)'!F$110/40)))</f>
        <v>#VALUE!</v>
      </c>
      <c r="AA74" s="4" t="e">
        <f>Z74*(1+'Rhaniad y Ddeiliadaeth (Canol)'!G$109)+(Z$44*(-(50-$U74)*('Rhaniad y Ddeiliadaeth (Canol)'!G$110/40)))</f>
        <v>#VALUE!</v>
      </c>
      <c r="AC74" s="260">
        <v>80</v>
      </c>
      <c r="AD74" s="4">
        <f>IF('Rhaniad y Ddeiliadaeth (Cymru)'!$D$8="Amcangyfrifon LlC",'Incwm (Canolbarth)'!E74,'Incwm (Canolbarth)'!W74)</f>
        <v>53151.30247426781</v>
      </c>
      <c r="AE74" s="4">
        <f>IF('Rhaniad y Ddeiliadaeth (Cymru)'!$D$8="Amcangyfrifon LlC",'Incwm (Canolbarth)'!F74,'Incwm (Canolbarth)'!X74)</f>
        <v>55170.038957455741</v>
      </c>
      <c r="AF74" s="4">
        <f>IF('Rhaniad y Ddeiliadaeth (Cymru)'!$D$8="Amcangyfrifon LlC",'Incwm (Canolbarth)'!G74,'Incwm (Canolbarth)'!Y74)</f>
        <v>57259.439603362611</v>
      </c>
      <c r="AG74" s="4">
        <f>IF('Rhaniad y Ddeiliadaeth (Cymru)'!$D$8="Amcangyfrifon LlC",'Incwm (Canolbarth)'!H74,'Incwm (Canolbarth)'!Z74)</f>
        <v>59456.246658870703</v>
      </c>
      <c r="AH74" s="4">
        <f>IF('Rhaniad y Ddeiliadaeth (Cymru)'!$D$8="Amcangyfrifon LlC",'Incwm (Canolbarth)'!I74,'Incwm (Canolbarth)'!AA74)</f>
        <v>61725.432707922686</v>
      </c>
    </row>
    <row r="75" spans="2:34" x14ac:dyDescent="0.35">
      <c r="B75" s="251">
        <v>81</v>
      </c>
      <c r="C75" s="258">
        <v>51828.6</v>
      </c>
      <c r="D75" s="258">
        <v>53535.006651889162</v>
      </c>
      <c r="E75" s="278">
        <f>D75*(1+'Rhaniad y Ddeiliadaeth (Canol)'!C$109)+(D$44*(-(50-$B75)*('Rhaniad y Ddeiliadaeth (Canol)'!C$110/40)))</f>
        <v>54935.791478547813</v>
      </c>
      <c r="F75" s="278">
        <f>E75*(1+'Rhaniad y Ddeiliadaeth (Canol)'!D$109)+(E$44*(-(50-$B75)*('Rhaniad y Ddeiliadaeth (Canol)'!D$110/40)))</f>
        <v>57022.257162277456</v>
      </c>
      <c r="G75" s="278">
        <f>F75*(1+'Rhaniad y Ddeiliadaeth (Canol)'!E$109)+(F$44*(-(50-$B75)*('Rhaniad y Ddeiliadaeth (Canol)'!E$110/40)))</f>
        <v>59181.756227619597</v>
      </c>
      <c r="H75" s="278">
        <f>G75*(1+'Rhaniad y Ddeiliadaeth (Canol)'!F$109)+(G$44*(-(50-$B75)*('Rhaniad y Ddeiliadaeth (Canol)'!F$110/40)))</f>
        <v>61452.264285324229</v>
      </c>
      <c r="I75" s="279">
        <f>H75*(1+'Rhaniad y Ddeiliadaeth (Canol)'!G$109)+(H$44*(-(50-$B75)*('Rhaniad y Ddeiliadaeth (Canol)'!G$110/40)))</f>
        <v>63797.577767064518</v>
      </c>
      <c r="M75" s="36" t="str">
        <f t="shared" si="5"/>
        <v/>
      </c>
      <c r="N75" s="190"/>
      <c r="O75" s="13">
        <f t="shared" si="8"/>
        <v>1</v>
      </c>
      <c r="U75" s="1">
        <f t="shared" si="6"/>
        <v>81</v>
      </c>
      <c r="V75" s="4" t="str">
        <f t="shared" si="7"/>
        <v/>
      </c>
      <c r="W75" s="4" t="e">
        <f>IF($W$3=$N$3,N75,V75*(1+'Rhaniad y Ddeiliadaeth (Canol)'!C$109)+(V$44*(-(50-$U75)*('Rhaniad y Ddeiliadaeth (Canol)'!C$110/40))))</f>
        <v>#VALUE!</v>
      </c>
      <c r="X75" s="4" t="e">
        <f>W75*(1+'Rhaniad y Ddeiliadaeth (Canol)'!D$109)+(W$44*(-(50-$U75)*('Rhaniad y Ddeiliadaeth (Canol)'!D$110/40)))</f>
        <v>#VALUE!</v>
      </c>
      <c r="Y75" s="4" t="e">
        <f>X75*(1+'Rhaniad y Ddeiliadaeth (Canol)'!E$109)+(X$44*(-(50-$U75)*('Rhaniad y Ddeiliadaeth (Canol)'!E$110/40)))</f>
        <v>#VALUE!</v>
      </c>
      <c r="Z75" s="4" t="e">
        <f>Y75*(1+'Rhaniad y Ddeiliadaeth (Canol)'!F$109)+(Y$44*(-(50-$U75)*('Rhaniad y Ddeiliadaeth (Canol)'!F$110/40)))</f>
        <v>#VALUE!</v>
      </c>
      <c r="AA75" s="4" t="e">
        <f>Z75*(1+'Rhaniad y Ddeiliadaeth (Canol)'!G$109)+(Z$44*(-(50-$U75)*('Rhaniad y Ddeiliadaeth (Canol)'!G$110/40)))</f>
        <v>#VALUE!</v>
      </c>
      <c r="AC75" s="260">
        <v>81</v>
      </c>
      <c r="AD75" s="4">
        <f>IF('Rhaniad y Ddeiliadaeth (Cymru)'!$D$8="Amcangyfrifon LlC",'Incwm (Canolbarth)'!E75,'Incwm (Canolbarth)'!W75)</f>
        <v>54935.791478547813</v>
      </c>
      <c r="AE75" s="4">
        <f>IF('Rhaniad y Ddeiliadaeth (Cymru)'!$D$8="Amcangyfrifon LlC",'Incwm (Canolbarth)'!F75,'Incwm (Canolbarth)'!X75)</f>
        <v>57022.257162277456</v>
      </c>
      <c r="AF75" s="4">
        <f>IF('Rhaniad y Ddeiliadaeth (Cymru)'!$D$8="Amcangyfrifon LlC",'Incwm (Canolbarth)'!G75,'Incwm (Canolbarth)'!Y75)</f>
        <v>59181.756227619597</v>
      </c>
      <c r="AG75" s="4">
        <f>IF('Rhaniad y Ddeiliadaeth (Cymru)'!$D$8="Amcangyfrifon LlC",'Incwm (Canolbarth)'!H75,'Incwm (Canolbarth)'!Z75)</f>
        <v>61452.264285324229</v>
      </c>
      <c r="AH75" s="4">
        <f>IF('Rhaniad y Ddeiliadaeth (Cymru)'!$D$8="Amcangyfrifon LlC",'Incwm (Canolbarth)'!I75,'Incwm (Canolbarth)'!AA75)</f>
        <v>63797.577767064518</v>
      </c>
    </row>
    <row r="76" spans="2:34" x14ac:dyDescent="0.35">
      <c r="B76" s="251">
        <v>82</v>
      </c>
      <c r="C76" s="258">
        <v>52577</v>
      </c>
      <c r="D76" s="258">
        <v>54308.046999849052</v>
      </c>
      <c r="E76" s="278">
        <f>D76*(1+'Rhaniad y Ddeiliadaeth (Canol)'!C$109)+(D$44*(-(50-$B76)*('Rhaniad y Ddeiliadaeth (Canol)'!C$110/40)))</f>
        <v>55732.607121547881</v>
      </c>
      <c r="F76" s="278">
        <f>E76*(1+'Rhaniad y Ddeiliadaeth (Canol)'!D$109)+(E$44*(-(50-$B76)*('Rhaniad y Ddeiliadaeth (Canol)'!D$110/40)))</f>
        <v>57852.950514577235</v>
      </c>
      <c r="G76" s="278">
        <f>F76*(1+'Rhaniad y Ddeiliadaeth (Canol)'!E$109)+(F$44*(-(50-$B76)*('Rhaniad y Ddeiliadaeth (Canol)'!E$110/40)))</f>
        <v>60047.634027939159</v>
      </c>
      <c r="H76" s="278">
        <f>G76*(1+'Rhaniad y Ddeiliadaeth (Canol)'!F$109)+(G$44*(-(50-$B76)*('Rhaniad y Ddeiliadaeth (Canol)'!F$110/40)))</f>
        <v>62355.200224713954</v>
      </c>
      <c r="I76" s="279">
        <f>H76*(1+'Rhaniad y Ddeiliadaeth (Canol)'!G$109)+(H$44*(-(50-$B76)*('Rhaniad y Ddeiliadaeth (Canol)'!G$110/40)))</f>
        <v>64738.931887270606</v>
      </c>
      <c r="M76" s="36" t="str">
        <f t="shared" si="5"/>
        <v/>
      </c>
      <c r="N76" s="190"/>
      <c r="O76" s="13">
        <f t="shared" si="8"/>
        <v>1</v>
      </c>
      <c r="U76" s="1">
        <f t="shared" si="6"/>
        <v>82</v>
      </c>
      <c r="V76" s="4" t="str">
        <f t="shared" si="7"/>
        <v/>
      </c>
      <c r="W76" s="4" t="e">
        <f>IF($W$3=$N$3,N76,V76*(1+'Rhaniad y Ddeiliadaeth (Canol)'!C$109)+(V$44*(-(50-$U76)*('Rhaniad y Ddeiliadaeth (Canol)'!C$110/40))))</f>
        <v>#VALUE!</v>
      </c>
      <c r="X76" s="4" t="e">
        <f>W76*(1+'Rhaniad y Ddeiliadaeth (Canol)'!D$109)+(W$44*(-(50-$U76)*('Rhaniad y Ddeiliadaeth (Canol)'!D$110/40)))</f>
        <v>#VALUE!</v>
      </c>
      <c r="Y76" s="4" t="e">
        <f>X76*(1+'Rhaniad y Ddeiliadaeth (Canol)'!E$109)+(X$44*(-(50-$U76)*('Rhaniad y Ddeiliadaeth (Canol)'!E$110/40)))</f>
        <v>#VALUE!</v>
      </c>
      <c r="Z76" s="4" t="e">
        <f>Y76*(1+'Rhaniad y Ddeiliadaeth (Canol)'!F$109)+(Y$44*(-(50-$U76)*('Rhaniad y Ddeiliadaeth (Canol)'!F$110/40)))</f>
        <v>#VALUE!</v>
      </c>
      <c r="AA76" s="4" t="e">
        <f>Z76*(1+'Rhaniad y Ddeiliadaeth (Canol)'!G$109)+(Z$44*(-(50-$U76)*('Rhaniad y Ddeiliadaeth (Canol)'!G$110/40)))</f>
        <v>#VALUE!</v>
      </c>
      <c r="AC76" s="260">
        <v>82</v>
      </c>
      <c r="AD76" s="4">
        <f>IF('Rhaniad y Ddeiliadaeth (Cymru)'!$D$8="Amcangyfrifon LlC",'Incwm (Canolbarth)'!E76,'Incwm (Canolbarth)'!W76)</f>
        <v>55732.607121547881</v>
      </c>
      <c r="AE76" s="4">
        <f>IF('Rhaniad y Ddeiliadaeth (Cymru)'!$D$8="Amcangyfrifon LlC",'Incwm (Canolbarth)'!F76,'Incwm (Canolbarth)'!X76)</f>
        <v>57852.950514577235</v>
      </c>
      <c r="AF76" s="4">
        <f>IF('Rhaniad y Ddeiliadaeth (Cymru)'!$D$8="Amcangyfrifon LlC",'Incwm (Canolbarth)'!G76,'Incwm (Canolbarth)'!Y76)</f>
        <v>60047.634027939159</v>
      </c>
      <c r="AG76" s="4">
        <f>IF('Rhaniad y Ddeiliadaeth (Cymru)'!$D$8="Amcangyfrifon LlC",'Incwm (Canolbarth)'!H76,'Incwm (Canolbarth)'!Z76)</f>
        <v>62355.200224713954</v>
      </c>
      <c r="AH76" s="4">
        <f>IF('Rhaniad y Ddeiliadaeth (Cymru)'!$D$8="Amcangyfrifon LlC",'Incwm (Canolbarth)'!I76,'Incwm (Canolbarth)'!AA76)</f>
        <v>64738.931887270606</v>
      </c>
    </row>
    <row r="77" spans="2:34" x14ac:dyDescent="0.35">
      <c r="B77" s="251">
        <v>83</v>
      </c>
      <c r="C77" s="258">
        <v>54281.7</v>
      </c>
      <c r="D77" s="258">
        <v>56068.872602691408</v>
      </c>
      <c r="E77" s="278">
        <f>D77*(1+'Rhaniad y Ddeiliadaeth (Canol)'!C$109)+(D$44*(-(50-$B77)*('Rhaniad y Ddeiliadaeth (Canol)'!C$110/40)))</f>
        <v>57539.380030792607</v>
      </c>
      <c r="F77" s="278">
        <f>E77*(1+'Rhaniad y Ddeiliadaeth (Canol)'!D$109)+(E$44*(-(50-$B77)*('Rhaniad y Ddeiliadaeth (Canol)'!D$110/40)))</f>
        <v>59728.216382346145</v>
      </c>
      <c r="G77" s="278">
        <f>F77*(1+'Rhaniad y Ddeiliadaeth (Canol)'!E$109)+(F$44*(-(50-$B77)*('Rhaniad y Ddeiliadaeth (Canol)'!E$110/40)))</f>
        <v>61993.786044823479</v>
      </c>
      <c r="H77" s="278">
        <f>G77*(1+'Rhaniad y Ddeiliadaeth (Canol)'!F$109)+(G$44*(-(50-$B77)*('Rhaniad y Ddeiliadaeth (Canol)'!F$110/40)))</f>
        <v>64375.879980762264</v>
      </c>
      <c r="I77" s="279">
        <f>H77*(1+'Rhaniad y Ddeiliadaeth (Canol)'!G$109)+(H$44*(-(50-$B77)*('Rhaniad y Ddeiliadaeth (Canol)'!G$110/40)))</f>
        <v>66836.589872857614</v>
      </c>
      <c r="M77" s="36" t="str">
        <f t="shared" si="5"/>
        <v/>
      </c>
      <c r="N77" s="190"/>
      <c r="O77" s="13">
        <f t="shared" si="8"/>
        <v>1</v>
      </c>
      <c r="U77" s="1">
        <f t="shared" si="6"/>
        <v>83</v>
      </c>
      <c r="V77" s="4" t="str">
        <f t="shared" si="7"/>
        <v/>
      </c>
      <c r="W77" s="4" t="e">
        <f>IF($W$3=$N$3,N77,V77*(1+'Rhaniad y Ddeiliadaeth (Canol)'!C$109)+(V$44*(-(50-$U77)*('Rhaniad y Ddeiliadaeth (Canol)'!C$110/40))))</f>
        <v>#VALUE!</v>
      </c>
      <c r="X77" s="4" t="e">
        <f>W77*(1+'Rhaniad y Ddeiliadaeth (Canol)'!D$109)+(W$44*(-(50-$U77)*('Rhaniad y Ddeiliadaeth (Canol)'!D$110/40)))</f>
        <v>#VALUE!</v>
      </c>
      <c r="Y77" s="4" t="e">
        <f>X77*(1+'Rhaniad y Ddeiliadaeth (Canol)'!E$109)+(X$44*(-(50-$U77)*('Rhaniad y Ddeiliadaeth (Canol)'!E$110/40)))</f>
        <v>#VALUE!</v>
      </c>
      <c r="Z77" s="4" t="e">
        <f>Y77*(1+'Rhaniad y Ddeiliadaeth (Canol)'!F$109)+(Y$44*(-(50-$U77)*('Rhaniad y Ddeiliadaeth (Canol)'!F$110/40)))</f>
        <v>#VALUE!</v>
      </c>
      <c r="AA77" s="4" t="e">
        <f>Z77*(1+'Rhaniad y Ddeiliadaeth (Canol)'!G$109)+(Z$44*(-(50-$U77)*('Rhaniad y Ddeiliadaeth (Canol)'!G$110/40)))</f>
        <v>#VALUE!</v>
      </c>
      <c r="AC77" s="260">
        <v>83</v>
      </c>
      <c r="AD77" s="4">
        <f>IF('Rhaniad y Ddeiliadaeth (Cymru)'!$D$8="Amcangyfrifon LlC",'Incwm (Canolbarth)'!E77,'Incwm (Canolbarth)'!W77)</f>
        <v>57539.380030792607</v>
      </c>
      <c r="AE77" s="4">
        <f>IF('Rhaniad y Ddeiliadaeth (Cymru)'!$D$8="Amcangyfrifon LlC",'Incwm (Canolbarth)'!F77,'Incwm (Canolbarth)'!X77)</f>
        <v>59728.216382346145</v>
      </c>
      <c r="AF77" s="4">
        <f>IF('Rhaniad y Ddeiliadaeth (Cymru)'!$D$8="Amcangyfrifon LlC",'Incwm (Canolbarth)'!G77,'Incwm (Canolbarth)'!Y77)</f>
        <v>61993.786044823479</v>
      </c>
      <c r="AG77" s="4">
        <f>IF('Rhaniad y Ddeiliadaeth (Cymru)'!$D$8="Amcangyfrifon LlC",'Incwm (Canolbarth)'!H77,'Incwm (Canolbarth)'!Z77)</f>
        <v>64375.879980762264</v>
      </c>
      <c r="AH77" s="4">
        <f>IF('Rhaniad y Ddeiliadaeth (Cymru)'!$D$8="Amcangyfrifon LlC",'Incwm (Canolbarth)'!I77,'Incwm (Canolbarth)'!AA77)</f>
        <v>66836.589872857614</v>
      </c>
    </row>
    <row r="78" spans="2:34" x14ac:dyDescent="0.35">
      <c r="B78" s="251">
        <v>84</v>
      </c>
      <c r="C78" s="258">
        <v>55404.84</v>
      </c>
      <c r="D78" s="258">
        <v>57228.990903610262</v>
      </c>
      <c r="E78" s="278">
        <f>D78*(1+'Rhaniad y Ddeiliadaeth (Canol)'!C$109)+(D$44*(-(50-$B78)*('Rhaniad y Ddeiliadaeth (Canol)'!C$110/40)))</f>
        <v>58731.962050403075</v>
      </c>
      <c r="F78" s="278">
        <f>E78*(1+'Rhaniad y Ddeiliadaeth (Canol)'!D$109)+(E$44*(-(50-$B78)*('Rhaniad y Ddeiliadaeth (Canol)'!D$110/40)))</f>
        <v>60968.240597813237</v>
      </c>
      <c r="G78" s="278">
        <f>F78*(1+'Rhaniad y Ddeiliadaeth (Canol)'!E$109)+(F$44*(-(50-$B78)*('Rhaniad y Ddeiliadaeth (Canol)'!E$110/40)))</f>
        <v>63282.984936762281</v>
      </c>
      <c r="H78" s="278">
        <f>G78*(1+'Rhaniad y Ddeiliadaeth (Canol)'!F$109)+(G$44*(-(50-$B78)*('Rhaniad y Ddeiliadaeth (Canol)'!F$110/40)))</f>
        <v>65716.820017040664</v>
      </c>
      <c r="I78" s="279">
        <f>H78*(1+'Rhaniad y Ddeiliadaeth (Canol)'!G$109)+(H$44*(-(50-$B78)*('Rhaniad y Ddeiliadaeth (Canol)'!G$110/40)))</f>
        <v>68231.05840330405</v>
      </c>
      <c r="M78" s="36" t="str">
        <f t="shared" si="5"/>
        <v/>
      </c>
      <c r="N78" s="190"/>
      <c r="O78" s="13">
        <f t="shared" si="8"/>
        <v>1</v>
      </c>
      <c r="U78" s="1">
        <f t="shared" si="6"/>
        <v>84</v>
      </c>
      <c r="V78" s="4" t="str">
        <f t="shared" si="7"/>
        <v/>
      </c>
      <c r="W78" s="4" t="e">
        <f>IF($W$3=$N$3,N78,V78*(1+'Rhaniad y Ddeiliadaeth (Canol)'!C$109)+(V$44*(-(50-$U78)*('Rhaniad y Ddeiliadaeth (Canol)'!C$110/40))))</f>
        <v>#VALUE!</v>
      </c>
      <c r="X78" s="4" t="e">
        <f>W78*(1+'Rhaniad y Ddeiliadaeth (Canol)'!D$109)+(W$44*(-(50-$U78)*('Rhaniad y Ddeiliadaeth (Canol)'!D$110/40)))</f>
        <v>#VALUE!</v>
      </c>
      <c r="Y78" s="4" t="e">
        <f>X78*(1+'Rhaniad y Ddeiliadaeth (Canol)'!E$109)+(X$44*(-(50-$U78)*('Rhaniad y Ddeiliadaeth (Canol)'!E$110/40)))</f>
        <v>#VALUE!</v>
      </c>
      <c r="Z78" s="4" t="e">
        <f>Y78*(1+'Rhaniad y Ddeiliadaeth (Canol)'!F$109)+(Y$44*(-(50-$U78)*('Rhaniad y Ddeiliadaeth (Canol)'!F$110/40)))</f>
        <v>#VALUE!</v>
      </c>
      <c r="AA78" s="4" t="e">
        <f>Z78*(1+'Rhaniad y Ddeiliadaeth (Canol)'!G$109)+(Z$44*(-(50-$U78)*('Rhaniad y Ddeiliadaeth (Canol)'!G$110/40)))</f>
        <v>#VALUE!</v>
      </c>
      <c r="AC78" s="260">
        <v>84</v>
      </c>
      <c r="AD78" s="4">
        <f>IF('Rhaniad y Ddeiliadaeth (Cymru)'!$D$8="Amcangyfrifon LlC",'Incwm (Canolbarth)'!E78,'Incwm (Canolbarth)'!W78)</f>
        <v>58731.962050403075</v>
      </c>
      <c r="AE78" s="4">
        <f>IF('Rhaniad y Ddeiliadaeth (Cymru)'!$D$8="Amcangyfrifon LlC",'Incwm (Canolbarth)'!F78,'Incwm (Canolbarth)'!X78)</f>
        <v>60968.240597813237</v>
      </c>
      <c r="AF78" s="4">
        <f>IF('Rhaniad y Ddeiliadaeth (Cymru)'!$D$8="Amcangyfrifon LlC",'Incwm (Canolbarth)'!G78,'Incwm (Canolbarth)'!Y78)</f>
        <v>63282.984936762281</v>
      </c>
      <c r="AG78" s="4">
        <f>IF('Rhaniad y Ddeiliadaeth (Cymru)'!$D$8="Amcangyfrifon LlC",'Incwm (Canolbarth)'!H78,'Incwm (Canolbarth)'!Z78)</f>
        <v>65716.820017040664</v>
      </c>
      <c r="AH78" s="4">
        <f>IF('Rhaniad y Ddeiliadaeth (Cymru)'!$D$8="Amcangyfrifon LlC",'Incwm (Canolbarth)'!I78,'Incwm (Canolbarth)'!AA78)</f>
        <v>68231.05840330405</v>
      </c>
    </row>
    <row r="79" spans="2:34" x14ac:dyDescent="0.35">
      <c r="B79" s="251">
        <v>85</v>
      </c>
      <c r="C79" s="258">
        <v>56222</v>
      </c>
      <c r="D79" s="258">
        <v>58073.055108231994</v>
      </c>
      <c r="E79" s="278">
        <f>D79*(1+'Rhaniad y Ddeiliadaeth (Canol)'!C$109)+(D$44*(-(50-$B79)*('Rhaniad y Ddeiliadaeth (Canol)'!C$110/40)))</f>
        <v>59601.395764747889</v>
      </c>
      <c r="F79" s="278">
        <f>E79*(1+'Rhaniad y Ddeiliadaeth (Canol)'!D$109)+(E$44*(-(50-$B79)*('Rhaniad y Ddeiliadaeth (Canol)'!D$110/40)))</f>
        <v>61874.040931357042</v>
      </c>
      <c r="G79" s="278">
        <f>F79*(1+'Rhaniad y Ddeiliadaeth (Canol)'!E$109)+(F$44*(-(50-$B79)*('Rhaniad y Ddeiliadaeth (Canol)'!E$110/40)))</f>
        <v>64226.536746420963</v>
      </c>
      <c r="H79" s="278">
        <f>G79*(1+'Rhaniad y Ddeiliadaeth (Canol)'!F$109)+(G$44*(-(50-$B79)*('Rhaniad y Ddeiliadaeth (Canol)'!F$110/40)))</f>
        <v>66700.124109555414</v>
      </c>
      <c r="I79" s="279">
        <f>H79*(1+'Rhaniad y Ddeiliadaeth (Canol)'!G$109)+(H$44*(-(50-$B79)*('Rhaniad y Ddeiliadaeth (Canol)'!G$110/40)))</f>
        <v>69255.553225992233</v>
      </c>
      <c r="M79" s="36" t="str">
        <f t="shared" si="5"/>
        <v/>
      </c>
      <c r="N79" s="190"/>
      <c r="O79" s="13">
        <f t="shared" si="8"/>
        <v>1</v>
      </c>
      <c r="U79" s="1">
        <f t="shared" si="6"/>
        <v>85</v>
      </c>
      <c r="V79" s="4" t="str">
        <f t="shared" si="7"/>
        <v/>
      </c>
      <c r="W79" s="4" t="e">
        <f>IF($W$3=$N$3,N79,V79*(1+'Rhaniad y Ddeiliadaeth (Canol)'!C$109)+(V$44*(-(50-$U79)*('Rhaniad y Ddeiliadaeth (Canol)'!C$110/40))))</f>
        <v>#VALUE!</v>
      </c>
      <c r="X79" s="4" t="e">
        <f>W79*(1+'Rhaniad y Ddeiliadaeth (Canol)'!D$109)+(W$44*(-(50-$U79)*('Rhaniad y Ddeiliadaeth (Canol)'!D$110/40)))</f>
        <v>#VALUE!</v>
      </c>
      <c r="Y79" s="4" t="e">
        <f>X79*(1+'Rhaniad y Ddeiliadaeth (Canol)'!E$109)+(X$44*(-(50-$U79)*('Rhaniad y Ddeiliadaeth (Canol)'!E$110/40)))</f>
        <v>#VALUE!</v>
      </c>
      <c r="Z79" s="4" t="e">
        <f>Y79*(1+'Rhaniad y Ddeiliadaeth (Canol)'!F$109)+(Y$44*(-(50-$U79)*('Rhaniad y Ddeiliadaeth (Canol)'!F$110/40)))</f>
        <v>#VALUE!</v>
      </c>
      <c r="AA79" s="4" t="e">
        <f>Z79*(1+'Rhaniad y Ddeiliadaeth (Canol)'!G$109)+(Z$44*(-(50-$U79)*('Rhaniad y Ddeiliadaeth (Canol)'!G$110/40)))</f>
        <v>#VALUE!</v>
      </c>
      <c r="AC79" s="260">
        <v>85</v>
      </c>
      <c r="AD79" s="4">
        <f>IF('Rhaniad y Ddeiliadaeth (Cymru)'!$D$8="Amcangyfrifon LlC",'Incwm (Canolbarth)'!E79,'Incwm (Canolbarth)'!W79)</f>
        <v>59601.395764747889</v>
      </c>
      <c r="AE79" s="4">
        <f>IF('Rhaniad y Ddeiliadaeth (Cymru)'!$D$8="Amcangyfrifon LlC",'Incwm (Canolbarth)'!F79,'Incwm (Canolbarth)'!X79)</f>
        <v>61874.040931357042</v>
      </c>
      <c r="AF79" s="4">
        <f>IF('Rhaniad y Ddeiliadaeth (Cymru)'!$D$8="Amcangyfrifon LlC",'Incwm (Canolbarth)'!G79,'Incwm (Canolbarth)'!Y79)</f>
        <v>64226.536746420963</v>
      </c>
      <c r="AG79" s="4">
        <f>IF('Rhaniad y Ddeiliadaeth (Cymru)'!$D$8="Amcangyfrifon LlC",'Incwm (Canolbarth)'!H79,'Incwm (Canolbarth)'!Z79)</f>
        <v>66700.124109555414</v>
      </c>
      <c r="AH79" s="4">
        <f>IF('Rhaniad y Ddeiliadaeth (Cymru)'!$D$8="Amcangyfrifon LlC",'Incwm (Canolbarth)'!I79,'Incwm (Canolbarth)'!AA79)</f>
        <v>69255.553225992233</v>
      </c>
    </row>
    <row r="80" spans="2:34" x14ac:dyDescent="0.35">
      <c r="B80" s="251">
        <v>86</v>
      </c>
      <c r="C80" s="258">
        <v>57777</v>
      </c>
      <c r="D80" s="258">
        <v>59679.251983001668</v>
      </c>
      <c r="E80" s="278">
        <f>D80*(1+'Rhaniad y Ddeiliadaeth (Canol)'!C$109)+(D$44*(-(50-$B80)*('Rhaniad y Ddeiliadaeth (Canol)'!C$110/40)))</f>
        <v>61250.069120759508</v>
      </c>
      <c r="F80" s="278">
        <f>E80*(1+'Rhaniad y Ddeiliadaeth (Canol)'!D$109)+(E$44*(-(50-$B80)*('Rhaniad y Ddeiliadaeth (Canol)'!D$110/40)))</f>
        <v>63585.788545893993</v>
      </c>
      <c r="G80" s="278">
        <f>F80*(1+'Rhaniad y Ddeiliadaeth (Canol)'!E$109)+(F$44*(-(50-$B80)*('Rhaniad y Ddeiliadaeth (Canol)'!E$110/40)))</f>
        <v>66003.581735991946</v>
      </c>
      <c r="H80" s="278">
        <f>G80*(1+'Rhaniad y Ddeiliadaeth (Canol)'!F$109)+(G$44*(-(50-$B80)*('Rhaniad y Ddeiliadaeth (Canol)'!F$110/40)))</f>
        <v>68545.831315824587</v>
      </c>
      <c r="I80" s="279">
        <f>H80*(1+'Rhaniad y Ddeiliadaeth (Canol)'!G$109)+(H$44*(-(50-$B80)*('Rhaniad y Ddeiliadaeth (Canol)'!G$110/40)))</f>
        <v>71172.202439596047</v>
      </c>
      <c r="M80" s="36" t="str">
        <f t="shared" si="5"/>
        <v/>
      </c>
      <c r="N80" s="190"/>
      <c r="O80" s="13">
        <f t="shared" si="8"/>
        <v>1</v>
      </c>
      <c r="U80" s="1">
        <f t="shared" si="6"/>
        <v>86</v>
      </c>
      <c r="V80" s="4" t="str">
        <f t="shared" si="7"/>
        <v/>
      </c>
      <c r="W80" s="4" t="e">
        <f>IF($W$3=$N$3,N80,V80*(1+'Rhaniad y Ddeiliadaeth (Canol)'!C$109)+(V$44*(-(50-$U80)*('Rhaniad y Ddeiliadaeth (Canol)'!C$110/40))))</f>
        <v>#VALUE!</v>
      </c>
      <c r="X80" s="4" t="e">
        <f>W80*(1+'Rhaniad y Ddeiliadaeth (Canol)'!D$109)+(W$44*(-(50-$U80)*('Rhaniad y Ddeiliadaeth (Canol)'!D$110/40)))</f>
        <v>#VALUE!</v>
      </c>
      <c r="Y80" s="4" t="e">
        <f>X80*(1+'Rhaniad y Ddeiliadaeth (Canol)'!E$109)+(X$44*(-(50-$U80)*('Rhaniad y Ddeiliadaeth (Canol)'!E$110/40)))</f>
        <v>#VALUE!</v>
      </c>
      <c r="Z80" s="4" t="e">
        <f>Y80*(1+'Rhaniad y Ddeiliadaeth (Canol)'!F$109)+(Y$44*(-(50-$U80)*('Rhaniad y Ddeiliadaeth (Canol)'!F$110/40)))</f>
        <v>#VALUE!</v>
      </c>
      <c r="AA80" s="4" t="e">
        <f>Z80*(1+'Rhaniad y Ddeiliadaeth (Canol)'!G$109)+(Z$44*(-(50-$U80)*('Rhaniad y Ddeiliadaeth (Canol)'!G$110/40)))</f>
        <v>#VALUE!</v>
      </c>
      <c r="AC80" s="260">
        <v>86</v>
      </c>
      <c r="AD80" s="4">
        <f>IF('Rhaniad y Ddeiliadaeth (Cymru)'!$D$8="Amcangyfrifon LlC",'Incwm (Canolbarth)'!E80,'Incwm (Canolbarth)'!W80)</f>
        <v>61250.069120759508</v>
      </c>
      <c r="AE80" s="4">
        <f>IF('Rhaniad y Ddeiliadaeth (Cymru)'!$D$8="Amcangyfrifon LlC",'Incwm (Canolbarth)'!F80,'Incwm (Canolbarth)'!X80)</f>
        <v>63585.788545893993</v>
      </c>
      <c r="AF80" s="4">
        <f>IF('Rhaniad y Ddeiliadaeth (Cymru)'!$D$8="Amcangyfrifon LlC",'Incwm (Canolbarth)'!G80,'Incwm (Canolbarth)'!Y80)</f>
        <v>66003.581735991946</v>
      </c>
      <c r="AG80" s="4">
        <f>IF('Rhaniad y Ddeiliadaeth (Cymru)'!$D$8="Amcangyfrifon LlC",'Incwm (Canolbarth)'!H80,'Incwm (Canolbarth)'!Z80)</f>
        <v>68545.831315824587</v>
      </c>
      <c r="AH80" s="4">
        <f>IF('Rhaniad y Ddeiliadaeth (Cymru)'!$D$8="Amcangyfrifon LlC",'Incwm (Canolbarth)'!I80,'Incwm (Canolbarth)'!AA80)</f>
        <v>71172.202439596047</v>
      </c>
    </row>
    <row r="81" spans="2:34" x14ac:dyDescent="0.35">
      <c r="B81" s="251">
        <v>87</v>
      </c>
      <c r="C81" s="258">
        <v>59180</v>
      </c>
      <c r="D81" s="258">
        <v>61128.444404417656</v>
      </c>
      <c r="E81" s="278">
        <f>D81*(1+'Rhaniad y Ddeiliadaeth (Canol)'!C$109)+(D$44*(-(50-$B81)*('Rhaniad y Ddeiliadaeth (Canol)'!C$110/40)))</f>
        <v>62738.213872285931</v>
      </c>
      <c r="F81" s="278">
        <f>E81*(1+'Rhaniad y Ddeiliadaeth (Canol)'!D$109)+(E$44*(-(50-$B81)*('Rhaniad y Ddeiliadaeth (Canol)'!D$110/40)))</f>
        <v>65131.505602707097</v>
      </c>
      <c r="G81" s="278">
        <f>F81*(1+'Rhaniad y Ddeiliadaeth (Canol)'!E$109)+(F$44*(-(50-$B81)*('Rhaniad y Ddeiliadaeth (Canol)'!E$110/40)))</f>
        <v>67608.921527489263</v>
      </c>
      <c r="H81" s="278">
        <f>G81*(1+'Rhaniad y Ddeiliadaeth (Canol)'!F$109)+(G$44*(-(50-$B81)*('Rhaniad y Ddeiliadaeth (Canol)'!F$110/40)))</f>
        <v>70213.877683306651</v>
      </c>
      <c r="I81" s="279">
        <f>H81*(1+'Rhaniad y Ddeiliadaeth (Canol)'!G$109)+(H$44*(-(50-$B81)*('Rhaniad y Ddeiliadaeth (Canol)'!G$110/40)))</f>
        <v>72905.061851319813</v>
      </c>
      <c r="M81" s="36" t="str">
        <f t="shared" si="5"/>
        <v/>
      </c>
      <c r="N81" s="190"/>
      <c r="O81" s="13">
        <f t="shared" si="8"/>
        <v>1</v>
      </c>
      <c r="U81" s="1">
        <f t="shared" si="6"/>
        <v>87</v>
      </c>
      <c r="V81" s="4" t="str">
        <f t="shared" si="7"/>
        <v/>
      </c>
      <c r="W81" s="4" t="e">
        <f>IF($W$3=$N$3,N81,V81*(1+'Rhaniad y Ddeiliadaeth (Canol)'!C$109)+(V$44*(-(50-$U81)*('Rhaniad y Ddeiliadaeth (Canol)'!C$110/40))))</f>
        <v>#VALUE!</v>
      </c>
      <c r="X81" s="4" t="e">
        <f>W81*(1+'Rhaniad y Ddeiliadaeth (Canol)'!D$109)+(W$44*(-(50-$U81)*('Rhaniad y Ddeiliadaeth (Canol)'!D$110/40)))</f>
        <v>#VALUE!</v>
      </c>
      <c r="Y81" s="4" t="e">
        <f>X81*(1+'Rhaniad y Ddeiliadaeth (Canol)'!E$109)+(X$44*(-(50-$U81)*('Rhaniad y Ddeiliadaeth (Canol)'!E$110/40)))</f>
        <v>#VALUE!</v>
      </c>
      <c r="Z81" s="4" t="e">
        <f>Y81*(1+'Rhaniad y Ddeiliadaeth (Canol)'!F$109)+(Y$44*(-(50-$U81)*('Rhaniad y Ddeiliadaeth (Canol)'!F$110/40)))</f>
        <v>#VALUE!</v>
      </c>
      <c r="AA81" s="4" t="e">
        <f>Z81*(1+'Rhaniad y Ddeiliadaeth (Canol)'!G$109)+(Z$44*(-(50-$U81)*('Rhaniad y Ddeiliadaeth (Canol)'!G$110/40)))</f>
        <v>#VALUE!</v>
      </c>
      <c r="AC81" s="260">
        <v>87</v>
      </c>
      <c r="AD81" s="4">
        <f>IF('Rhaniad y Ddeiliadaeth (Cymru)'!$D$8="Amcangyfrifon LlC",'Incwm (Canolbarth)'!E81,'Incwm (Canolbarth)'!W81)</f>
        <v>62738.213872285931</v>
      </c>
      <c r="AE81" s="4">
        <f>IF('Rhaniad y Ddeiliadaeth (Cymru)'!$D$8="Amcangyfrifon LlC",'Incwm (Canolbarth)'!F81,'Incwm (Canolbarth)'!X81)</f>
        <v>65131.505602707097</v>
      </c>
      <c r="AF81" s="4">
        <f>IF('Rhaniad y Ddeiliadaeth (Cymru)'!$D$8="Amcangyfrifon LlC",'Incwm (Canolbarth)'!G81,'Incwm (Canolbarth)'!Y81)</f>
        <v>67608.921527489263</v>
      </c>
      <c r="AG81" s="4">
        <f>IF('Rhaniad y Ddeiliadaeth (Cymru)'!$D$8="Amcangyfrifon LlC",'Incwm (Canolbarth)'!H81,'Incwm (Canolbarth)'!Z81)</f>
        <v>70213.877683306651</v>
      </c>
      <c r="AH81" s="4">
        <f>IF('Rhaniad y Ddeiliadaeth (Cymru)'!$D$8="Amcangyfrifon LlC",'Incwm (Canolbarth)'!I81,'Incwm (Canolbarth)'!AA81)</f>
        <v>72905.061851319813</v>
      </c>
    </row>
    <row r="82" spans="2:34" x14ac:dyDescent="0.35">
      <c r="B82" s="251">
        <v>88</v>
      </c>
      <c r="C82" s="258">
        <v>60456</v>
      </c>
      <c r="D82" s="258">
        <v>62446.455473360489</v>
      </c>
      <c r="E82" s="278">
        <f>D82*(1+'Rhaniad y Ddeiliadaeth (Canol)'!C$109)+(D$44*(-(50-$B82)*('Rhaniad y Ddeiliadaeth (Canol)'!C$110/40)))</f>
        <v>64092.232750328018</v>
      </c>
      <c r="F82" s="278">
        <f>E82*(1+'Rhaniad y Ddeiliadaeth (Canol)'!D$109)+(E$44*(-(50-$B82)*('Rhaniad y Ddeiliadaeth (Canol)'!D$110/40)))</f>
        <v>66538.499759316735</v>
      </c>
      <c r="G82" s="278">
        <f>F82*(1+'Rhaniad y Ddeiliadaeth (Canol)'!E$109)+(F$44*(-(50-$B82)*('Rhaniad y Ddeiliadaeth (Canol)'!E$110/40)))</f>
        <v>69070.797107438193</v>
      </c>
      <c r="H82" s="278">
        <f>G82*(1+'Rhaniad y Ddeiliadaeth (Canol)'!F$109)+(G$44*(-(50-$B82)*('Rhaniad y Ddeiliadaeth (Canol)'!F$110/40)))</f>
        <v>71733.483744696874</v>
      </c>
      <c r="I82" s="279">
        <f>H82*(1+'Rhaniad y Ddeiliadaeth (Canol)'!G$109)+(H$44*(-(50-$B82)*('Rhaniad y Ddeiliadaeth (Canol)'!G$110/40)))</f>
        <v>74484.360046999063</v>
      </c>
      <c r="M82" s="36" t="str">
        <f t="shared" si="5"/>
        <v/>
      </c>
      <c r="N82" s="190"/>
      <c r="O82" s="13">
        <f t="shared" si="8"/>
        <v>1</v>
      </c>
      <c r="U82" s="1">
        <f t="shared" si="6"/>
        <v>88</v>
      </c>
      <c r="V82" s="4" t="str">
        <f t="shared" si="7"/>
        <v/>
      </c>
      <c r="W82" s="4" t="e">
        <f>IF($W$3=$N$3,N82,V82*(1+'Rhaniad y Ddeiliadaeth (Canol)'!C$109)+(V$44*(-(50-$U82)*('Rhaniad y Ddeiliadaeth (Canol)'!C$110/40))))</f>
        <v>#VALUE!</v>
      </c>
      <c r="X82" s="4" t="e">
        <f>W82*(1+'Rhaniad y Ddeiliadaeth (Canol)'!D$109)+(W$44*(-(50-$U82)*('Rhaniad y Ddeiliadaeth (Canol)'!D$110/40)))</f>
        <v>#VALUE!</v>
      </c>
      <c r="Y82" s="4" t="e">
        <f>X82*(1+'Rhaniad y Ddeiliadaeth (Canol)'!E$109)+(X$44*(-(50-$U82)*('Rhaniad y Ddeiliadaeth (Canol)'!E$110/40)))</f>
        <v>#VALUE!</v>
      </c>
      <c r="Z82" s="4" t="e">
        <f>Y82*(1+'Rhaniad y Ddeiliadaeth (Canol)'!F$109)+(Y$44*(-(50-$U82)*('Rhaniad y Ddeiliadaeth (Canol)'!F$110/40)))</f>
        <v>#VALUE!</v>
      </c>
      <c r="AA82" s="4" t="e">
        <f>Z82*(1+'Rhaniad y Ddeiliadaeth (Canol)'!G$109)+(Z$44*(-(50-$U82)*('Rhaniad y Ddeiliadaeth (Canol)'!G$110/40)))</f>
        <v>#VALUE!</v>
      </c>
      <c r="AC82" s="260">
        <v>88</v>
      </c>
      <c r="AD82" s="4">
        <f>IF('Rhaniad y Ddeiliadaeth (Cymru)'!$D$8="Amcangyfrifon LlC",'Incwm (Canolbarth)'!E82,'Incwm (Canolbarth)'!W82)</f>
        <v>64092.232750328018</v>
      </c>
      <c r="AE82" s="4">
        <f>IF('Rhaniad y Ddeiliadaeth (Cymru)'!$D$8="Amcangyfrifon LlC",'Incwm (Canolbarth)'!F82,'Incwm (Canolbarth)'!X82)</f>
        <v>66538.499759316735</v>
      </c>
      <c r="AF82" s="4">
        <f>IF('Rhaniad y Ddeiliadaeth (Cymru)'!$D$8="Amcangyfrifon LlC",'Incwm (Canolbarth)'!G82,'Incwm (Canolbarth)'!Y82)</f>
        <v>69070.797107438193</v>
      </c>
      <c r="AG82" s="4">
        <f>IF('Rhaniad y Ddeiliadaeth (Cymru)'!$D$8="Amcangyfrifon LlC",'Incwm (Canolbarth)'!H82,'Incwm (Canolbarth)'!Z82)</f>
        <v>71733.483744696874</v>
      </c>
      <c r="AH82" s="4">
        <f>IF('Rhaniad y Ddeiliadaeth (Cymru)'!$D$8="Amcangyfrifon LlC",'Incwm (Canolbarth)'!I82,'Incwm (Canolbarth)'!AA82)</f>
        <v>74484.360046999063</v>
      </c>
    </row>
    <row r="83" spans="2:34" x14ac:dyDescent="0.35">
      <c r="B83" s="251">
        <v>89</v>
      </c>
      <c r="C83" s="258">
        <v>64349</v>
      </c>
      <c r="D83" s="258">
        <v>66467.628742478395</v>
      </c>
      <c r="E83" s="278">
        <f>D83*(1+'Rhaniad y Ddeiliadaeth (Canol)'!C$109)+(D$44*(-(50-$B83)*('Rhaniad y Ddeiliadaeth (Canol)'!C$110/40)))</f>
        <v>68210.089509539466</v>
      </c>
      <c r="F83" s="278">
        <f>E83*(1+'Rhaniad y Ddeiliadaeth (Canol)'!D$109)+(E$44*(-(50-$B83)*('Rhaniad y Ddeiliadaeth (Canol)'!D$110/40)))</f>
        <v>70804.059505158482</v>
      </c>
      <c r="G83" s="278">
        <f>F83*(1+'Rhaniad y Ddeiliadaeth (Canol)'!E$109)+(F$44*(-(50-$B83)*('Rhaniad y Ddeiliadaeth (Canol)'!E$110/40)))</f>
        <v>73488.939156852706</v>
      </c>
      <c r="H83" s="278">
        <f>G83*(1+'Rhaniad y Ddeiliadaeth (Canol)'!F$109)+(G$44*(-(50-$B83)*('Rhaniad y Ddeiliadaeth (Canol)'!F$110/40)))</f>
        <v>76311.895168625517</v>
      </c>
      <c r="I83" s="279">
        <f>H83*(1+'Rhaniad y Ddeiliadaeth (Canol)'!G$109)+(H$44*(-(50-$B83)*('Rhaniad y Ddeiliadaeth (Canol)'!G$110/40)))</f>
        <v>79227.986607942192</v>
      </c>
      <c r="M83" s="36" t="str">
        <f t="shared" si="5"/>
        <v/>
      </c>
      <c r="N83" s="190"/>
      <c r="O83" s="13">
        <f t="shared" si="8"/>
        <v>1</v>
      </c>
      <c r="U83" s="1">
        <f t="shared" si="6"/>
        <v>89</v>
      </c>
      <c r="V83" s="4" t="str">
        <f t="shared" si="7"/>
        <v/>
      </c>
      <c r="W83" s="4" t="e">
        <f>IF($W$3=$N$3,N83,V83*(1+'Rhaniad y Ddeiliadaeth (Canol)'!C$109)+(V$44*(-(50-$U83)*('Rhaniad y Ddeiliadaeth (Canol)'!C$110/40))))</f>
        <v>#VALUE!</v>
      </c>
      <c r="X83" s="4" t="e">
        <f>W83*(1+'Rhaniad y Ddeiliadaeth (Canol)'!D$109)+(W$44*(-(50-$U83)*('Rhaniad y Ddeiliadaeth (Canol)'!D$110/40)))</f>
        <v>#VALUE!</v>
      </c>
      <c r="Y83" s="4" t="e">
        <f>X83*(1+'Rhaniad y Ddeiliadaeth (Canol)'!E$109)+(X$44*(-(50-$U83)*('Rhaniad y Ddeiliadaeth (Canol)'!E$110/40)))</f>
        <v>#VALUE!</v>
      </c>
      <c r="Z83" s="4" t="e">
        <f>Y83*(1+'Rhaniad y Ddeiliadaeth (Canol)'!F$109)+(Y$44*(-(50-$U83)*('Rhaniad y Ddeiliadaeth (Canol)'!F$110/40)))</f>
        <v>#VALUE!</v>
      </c>
      <c r="AA83" s="4" t="e">
        <f>Z83*(1+'Rhaniad y Ddeiliadaeth (Canol)'!G$109)+(Z$44*(-(50-$U83)*('Rhaniad y Ddeiliadaeth (Canol)'!G$110/40)))</f>
        <v>#VALUE!</v>
      </c>
      <c r="AC83" s="260">
        <v>89</v>
      </c>
      <c r="AD83" s="4">
        <f>IF('Rhaniad y Ddeiliadaeth (Cymru)'!$D$8="Amcangyfrifon LlC",'Incwm (Canolbarth)'!E83,'Incwm (Canolbarth)'!W83)</f>
        <v>68210.089509539466</v>
      </c>
      <c r="AE83" s="4">
        <f>IF('Rhaniad y Ddeiliadaeth (Cymru)'!$D$8="Amcangyfrifon LlC",'Incwm (Canolbarth)'!F83,'Incwm (Canolbarth)'!X83)</f>
        <v>70804.059505158482</v>
      </c>
      <c r="AF83" s="4">
        <f>IF('Rhaniad y Ddeiliadaeth (Cymru)'!$D$8="Amcangyfrifon LlC",'Incwm (Canolbarth)'!G83,'Incwm (Canolbarth)'!Y83)</f>
        <v>73488.939156852706</v>
      </c>
      <c r="AG83" s="4">
        <f>IF('Rhaniad y Ddeiliadaeth (Cymru)'!$D$8="Amcangyfrifon LlC",'Incwm (Canolbarth)'!H83,'Incwm (Canolbarth)'!Z83)</f>
        <v>76311.895168625517</v>
      </c>
      <c r="AH83" s="4">
        <f>IF('Rhaniad y Ddeiliadaeth (Cymru)'!$D$8="Amcangyfrifon LlC",'Incwm (Canolbarth)'!I83,'Incwm (Canolbarth)'!AA83)</f>
        <v>79227.986607942192</v>
      </c>
    </row>
    <row r="84" spans="2:34" x14ac:dyDescent="0.35">
      <c r="B84" s="253">
        <v>90</v>
      </c>
      <c r="C84" s="259">
        <v>67125</v>
      </c>
      <c r="D84" s="259">
        <v>69156.958992221407</v>
      </c>
      <c r="E84" s="286">
        <f>D84*(1+'Rhaniad y Ddeiliadaeth (Canol)'!C$109)+(D$44*(-(50-$B84)*('Rhaniad y Ddeiliadaeth (Canol)'!C$110/40)))</f>
        <v>70966.208453505911</v>
      </c>
      <c r="F84" s="286">
        <f>E84*(1+'Rhaniad y Ddeiliadaeth (Canol)'!D$109)+(E$44*(-(50-$B84)*('Rhaniad y Ddeiliadaeth (Canol)'!D$110/40)))</f>
        <v>73661.209269091836</v>
      </c>
      <c r="G84" s="286">
        <f>F84*(1+'Rhaniad y Ddeiliadaeth (Canol)'!E$109)+(F$44*(-(50-$B84)*('Rhaniad y Ddeiliadaeth (Canol)'!E$110/40)))</f>
        <v>76450.534181262672</v>
      </c>
      <c r="H84" s="286">
        <f>G84*(1+'Rhaniad y Ddeiliadaeth (Canol)'!F$109)+(G$44*(-(50-$B84)*('Rhaniad y Ddeiliadaeth (Canol)'!F$110/40)))</f>
        <v>79383.238844470296</v>
      </c>
      <c r="I84" s="287">
        <f>H84*(1+'Rhaniad y Ddeiliadaeth (Canol)'!G$109)+(H$44*(-(50-$B84)*('Rhaniad y Ddeiliadaeth (Canol)'!G$110/40)))</f>
        <v>82412.554432412275</v>
      </c>
      <c r="M84" s="37" t="str">
        <f t="shared" si="5"/>
        <v/>
      </c>
      <c r="N84" s="192"/>
      <c r="O84" s="13">
        <f t="shared" si="8"/>
        <v>1</v>
      </c>
      <c r="U84" s="1">
        <f t="shared" si="6"/>
        <v>90</v>
      </c>
      <c r="V84" s="4" t="str">
        <f t="shared" si="7"/>
        <v/>
      </c>
      <c r="W84" s="4" t="e">
        <f>IF($W$3=$N$3,N84,V84*(1+'Rhaniad y Ddeiliadaeth (Canol)'!C$109)+(V$44*(-(50-$U84)*('Rhaniad y Ddeiliadaeth (Canol)'!C$110/40))))</f>
        <v>#VALUE!</v>
      </c>
      <c r="X84" s="4" t="e">
        <f>W84*(1+'Rhaniad y Ddeiliadaeth (Canol)'!D$109)+(W$44*(-(50-$U84)*('Rhaniad y Ddeiliadaeth (Canol)'!D$110/40)))</f>
        <v>#VALUE!</v>
      </c>
      <c r="Y84" s="4" t="e">
        <f>X84*(1+'Rhaniad y Ddeiliadaeth (Canol)'!E$109)+(X$44*(-(50-$U84)*('Rhaniad y Ddeiliadaeth (Canol)'!E$110/40)))</f>
        <v>#VALUE!</v>
      </c>
      <c r="Z84" s="4" t="e">
        <f>Y84*(1+'Rhaniad y Ddeiliadaeth (Canol)'!F$109)+(Y$44*(-(50-$U84)*('Rhaniad y Ddeiliadaeth (Canol)'!F$110/40)))</f>
        <v>#VALUE!</v>
      </c>
      <c r="AA84" s="4" t="e">
        <f>Z84*(1+'Rhaniad y Ddeiliadaeth (Canol)'!G$109)+(Z$44*(-(50-$U84)*('Rhaniad y Ddeiliadaeth (Canol)'!G$110/40)))</f>
        <v>#VALUE!</v>
      </c>
      <c r="AC84" s="260">
        <v>90</v>
      </c>
      <c r="AD84" s="4">
        <f>IF('Rhaniad y Ddeiliadaeth (Cymru)'!$D$8="Amcangyfrifon LlC",'Incwm (Canolbarth)'!E84,'Incwm (Canolbarth)'!W84)</f>
        <v>70966.208453505911</v>
      </c>
      <c r="AE84" s="4">
        <f>IF('Rhaniad y Ddeiliadaeth (Cymru)'!$D$8="Amcangyfrifon LlC",'Incwm (Canolbarth)'!F84,'Incwm (Canolbarth)'!X84)</f>
        <v>73661.209269091836</v>
      </c>
      <c r="AF84" s="4">
        <f>IF('Rhaniad y Ddeiliadaeth (Cymru)'!$D$8="Amcangyfrifon LlC",'Incwm (Canolbarth)'!G84,'Incwm (Canolbarth)'!Y84)</f>
        <v>76450.534181262672</v>
      </c>
      <c r="AG84" s="4">
        <f>IF('Rhaniad y Ddeiliadaeth (Cymru)'!$D$8="Amcangyfrifon LlC",'Incwm (Canolbarth)'!H84,'Incwm (Canolbarth)'!Z84)</f>
        <v>79383.238844470296</v>
      </c>
      <c r="AH84" s="4">
        <f>IF('Rhaniad y Ddeiliadaeth (Cymru)'!$D$8="Amcangyfrifon LlC",'Incwm (Canolbarth)'!I84,'Incwm (Canolbarth)'!AA84)</f>
        <v>82412.554432412275</v>
      </c>
    </row>
    <row r="85" spans="2:34" x14ac:dyDescent="0.35">
      <c r="O85" s="13">
        <f>IF(SUM(O4:O84)&gt;0,1,0)</f>
        <v>1</v>
      </c>
    </row>
  </sheetData>
  <mergeCells count="3">
    <mergeCell ref="B2:I2"/>
    <mergeCell ref="K2:N2"/>
    <mergeCell ref="K9:K10"/>
  </mergeCells>
  <dataValidations count="2">
    <dataValidation type="list" allowBlank="1" showInputMessage="1" showErrorMessage="1" sqref="L4">
      <formula1>"2017,2018"</formula1>
    </dataValidation>
    <dataValidation type="decimal" operator="greaterThan" allowBlank="1" showInputMessage="1" showErrorMessage="1" sqref="N4:N84">
      <formula1>0</formula1>
    </dataValidation>
  </dataValidations>
  <pageMargins left="0.7" right="0.7" top="0.75" bottom="0.75" header="0.3" footer="0.3"/>
  <pageSetup paperSize="9"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1:AH85"/>
  <sheetViews>
    <sheetView showGridLines="0" zoomScale="73" zoomScaleNormal="73" workbookViewId="0"/>
  </sheetViews>
  <sheetFormatPr defaultColWidth="9.1796875" defaultRowHeight="14.5" x14ac:dyDescent="0.35"/>
  <cols>
    <col min="1" max="1" width="2.1796875" style="1" customWidth="1"/>
    <col min="2" max="2" width="10.1796875" style="1" bestFit="1" customWidth="1"/>
    <col min="3" max="4" width="9.1796875" style="1"/>
    <col min="5" max="9" width="10.1796875" style="1" bestFit="1" customWidth="1"/>
    <col min="10" max="10" width="9.1796875" style="1"/>
    <col min="11" max="11" width="53.81640625" style="1" customWidth="1"/>
    <col min="12" max="12" width="9.1796875" style="1"/>
    <col min="13" max="13" width="10.1796875" style="1" customWidth="1"/>
    <col min="14" max="14" width="9.1796875" style="1"/>
    <col min="15" max="15" width="9.1796875" style="1" hidden="1" customWidth="1"/>
    <col min="16" max="19" width="9.1796875" style="1"/>
    <col min="20" max="20" width="8.1796875" style="1" customWidth="1"/>
    <col min="21" max="21" width="9.1796875" style="1" hidden="1" customWidth="1"/>
    <col min="22" max="27" width="10.1796875" style="1" hidden="1" customWidth="1"/>
    <col min="28" max="29" width="9.1796875" style="1" customWidth="1"/>
    <col min="30" max="30" width="10.1796875" style="1" customWidth="1"/>
    <col min="31" max="34" width="9.1796875" style="1" customWidth="1"/>
    <col min="35" max="16384" width="9.1796875" style="1"/>
  </cols>
  <sheetData>
    <row r="1" spans="2:34" ht="9.75" customHeight="1" x14ac:dyDescent="0.35"/>
    <row r="2" spans="2:34" ht="26.25" customHeight="1" x14ac:dyDescent="0.35">
      <c r="B2" s="568" t="s">
        <v>134</v>
      </c>
      <c r="C2" s="569"/>
      <c r="D2" s="569"/>
      <c r="E2" s="569"/>
      <c r="F2" s="569"/>
      <c r="G2" s="569"/>
      <c r="H2" s="569"/>
      <c r="I2" s="570"/>
      <c r="K2" s="564" t="s">
        <v>137</v>
      </c>
      <c r="L2" s="565"/>
      <c r="M2" s="565"/>
      <c r="N2" s="566"/>
      <c r="O2" s="39"/>
      <c r="V2" s="1" t="s">
        <v>4</v>
      </c>
      <c r="AC2" s="260" t="s">
        <v>128</v>
      </c>
    </row>
    <row r="3" spans="2:34" x14ac:dyDescent="0.35">
      <c r="B3" s="257" t="s">
        <v>122</v>
      </c>
      <c r="C3" s="325" t="s">
        <v>22</v>
      </c>
      <c r="D3" s="325" t="s">
        <v>21</v>
      </c>
      <c r="E3" s="326" t="s">
        <v>0</v>
      </c>
      <c r="F3" s="326" t="s">
        <v>1</v>
      </c>
      <c r="G3" s="326" t="s">
        <v>2</v>
      </c>
      <c r="H3" s="326" t="s">
        <v>3</v>
      </c>
      <c r="I3" s="38" t="s">
        <v>20</v>
      </c>
      <c r="M3" s="23" t="s">
        <v>122</v>
      </c>
      <c r="N3" s="38">
        <f>L4</f>
        <v>0</v>
      </c>
      <c r="O3" s="40" t="s">
        <v>5</v>
      </c>
      <c r="V3" s="1">
        <v>2017</v>
      </c>
      <c r="W3" s="1">
        <v>2018</v>
      </c>
      <c r="X3" s="1">
        <v>2019</v>
      </c>
      <c r="Y3" s="1">
        <v>2020</v>
      </c>
      <c r="Z3" s="1">
        <v>2021</v>
      </c>
      <c r="AA3" s="1">
        <v>2022</v>
      </c>
      <c r="AD3" s="324" t="str">
        <f>E3</f>
        <v>2019/20</v>
      </c>
      <c r="AE3" s="324" t="str">
        <f t="shared" ref="AE3:AH3" si="0">F3</f>
        <v>2020/21</v>
      </c>
      <c r="AF3" s="324" t="str">
        <f t="shared" si="0"/>
        <v>2021/22</v>
      </c>
      <c r="AG3" s="324" t="str">
        <f t="shared" si="0"/>
        <v>2022/23</v>
      </c>
      <c r="AH3" s="324" t="str">
        <f t="shared" si="0"/>
        <v>2023/24</v>
      </c>
    </row>
    <row r="4" spans="2:34" x14ac:dyDescent="0.35">
      <c r="B4" s="251">
        <v>10</v>
      </c>
      <c r="C4" s="258">
        <v>11795.5</v>
      </c>
      <c r="D4" s="258">
        <v>12082.23994635845</v>
      </c>
      <c r="E4" s="278">
        <f>D4*(1+'Rhaniad y Ddeiliadaeth (De-o)'!C$109)+(D$44*(-(50-$B4)*('Rhaniad y Ddeiliadaeth (De-o)'!C$110/40)))</f>
        <v>12093.754955369297</v>
      </c>
      <c r="F4" s="278">
        <f>E4*(1+'Rhaniad y Ddeiliadaeth (De-o)'!D$109)+(E$44*(-(50-$B4)*('Rhaniad y Ddeiliadaeth (De-o)'!D$110/40)))</f>
        <v>12242.74186412905</v>
      </c>
      <c r="G4" s="278">
        <f>F4*(1+'Rhaniad y Ddeiliadaeth (De-o)'!E$109)+(F$44*(-(50-$B4)*('Rhaniad y Ddeiliadaeth (De-o)'!E$110/40)))</f>
        <v>12386.563470695726</v>
      </c>
      <c r="H4" s="278">
        <f>G4*(1+'Rhaniad y Ddeiliadaeth (De-o)'!F$109)+(G$44*(-(50-$B4)*('Rhaniad y Ddeiliadaeth (De-o)'!F$110/40)))</f>
        <v>12532.194527790945</v>
      </c>
      <c r="I4" s="279">
        <f>H4*(1+'Rhaniad y Ddeiliadaeth (De-o)'!G$109)+H$44*(-(50-$B4)*('Rhaniad y Ddeiliadaeth (De-o)'!G$110/40))</f>
        <v>12670.680715909006</v>
      </c>
      <c r="J4" s="4"/>
      <c r="K4" s="41" t="str">
        <f>IF('Rhaniad y Ddeiliadaeth (De-o)'!D8="Arall","Dewiswch data ar gyfer pa flwyddyn:","")</f>
        <v/>
      </c>
      <c r="L4" s="201"/>
      <c r="M4" s="36" t="str">
        <f t="shared" ref="M4:M67" si="1">IF(ISBLANK($L$4),"",B4)</f>
        <v/>
      </c>
      <c r="N4" s="190"/>
      <c r="O4" s="13">
        <f>IF(ISBLANK(N4),1,0)</f>
        <v>1</v>
      </c>
      <c r="P4" s="10" t="str">
        <f>IF(K4="","","&lt;&lt; Rhowch y gwerthoedd yma.")</f>
        <v/>
      </c>
      <c r="U4" s="1">
        <f t="shared" ref="U4:U67" si="2">B4</f>
        <v>10</v>
      </c>
      <c r="V4" s="4" t="str">
        <f t="shared" ref="V4:V67" si="3">IF($N$3=$V$3,N4,"")</f>
        <v/>
      </c>
      <c r="W4" s="4" t="e">
        <f>IF($W$3=$N$3,N4,V4*(1+'Rhaniad y Ddeiliadaeth (De-o)'!C$109)+(V$44*(-(50-$U4)*('Rhaniad y Ddeiliadaeth (De-o)'!C$110/40))))</f>
        <v>#VALUE!</v>
      </c>
      <c r="X4" s="4" t="e">
        <f>W4*(1+'Rhaniad y Ddeiliadaeth (De-o)'!D$109)+(W$44*(-(50-$U4)*('Rhaniad y Ddeiliadaeth (De-o)'!D$110/40)))</f>
        <v>#VALUE!</v>
      </c>
      <c r="Y4" s="4" t="e">
        <f>X4*(1+'Rhaniad y Ddeiliadaeth (De-o)'!E$109)+(X$44*(-(50-$U4)*('Rhaniad y Ddeiliadaeth (De-o)'!E$110/40)))</f>
        <v>#VALUE!</v>
      </c>
      <c r="Z4" s="4" t="e">
        <f>Y4*(1+'Rhaniad y Ddeiliadaeth (De-o)'!F$109)+(Y$44*(-(50-$U4)*('Rhaniad y Ddeiliadaeth (De-o)'!F$110/40)))</f>
        <v>#VALUE!</v>
      </c>
      <c r="AA4" s="4" t="e">
        <f>Z4*(1+'Rhaniad y Ddeiliadaeth (De-o)'!G$109)+(Z$44*(-(50-$U4)*('Rhaniad y Ddeiliadaeth (De-o)'!G$110/40)))</f>
        <v>#VALUE!</v>
      </c>
      <c r="AC4" s="260">
        <v>10</v>
      </c>
      <c r="AD4" s="4">
        <f>IF('Rhaniad y Ddeiliadaeth (Cymru)'!$D$8="Amcangyfrifon LlC",'Incwm (De-orllewin)'!E4,'Incwm (De-orllewin)'!W4)</f>
        <v>12093.754955369297</v>
      </c>
      <c r="AE4" s="4">
        <f>IF('Rhaniad y Ddeiliadaeth (Cymru)'!$D$8="Amcangyfrifon LlC",'Incwm (De-orllewin)'!F4,'Incwm (De-orllewin)'!X4)</f>
        <v>12242.74186412905</v>
      </c>
      <c r="AF4" s="4">
        <f>IF('Rhaniad y Ddeiliadaeth (Cymru)'!$D$8="Amcangyfrifon LlC",'Incwm (De-orllewin)'!G4,'Incwm (De-orllewin)'!Y4)</f>
        <v>12386.563470695726</v>
      </c>
      <c r="AG4" s="4">
        <f>IF('Rhaniad y Ddeiliadaeth (Cymru)'!$D$8="Amcangyfrifon LlC",'Incwm (De-orllewin)'!H4,'Incwm (De-orllewin)'!Z4)</f>
        <v>12532.194527790945</v>
      </c>
      <c r="AH4" s="4">
        <f>IF('Rhaniad y Ddeiliadaeth (Cymru)'!$D$8="Amcangyfrifon LlC",'Incwm (De-orllewin)'!I4,'Incwm (De-orllewin)'!AA4)</f>
        <v>12670.680715909006</v>
      </c>
    </row>
    <row r="5" spans="2:34" x14ac:dyDescent="0.35">
      <c r="B5" s="251">
        <v>11</v>
      </c>
      <c r="C5" s="258">
        <v>12376</v>
      </c>
      <c r="D5" s="258">
        <v>12676.851475234807</v>
      </c>
      <c r="E5" s="278">
        <f>D5*(1+'Rhaniad y Ddeiliadaeth (De-o)'!C$109)+(D$44*(-(50-$B5)*('Rhaniad y Ddeiliadaeth (De-o)'!C$110/40)))</f>
        <v>12708.20537494481</v>
      </c>
      <c r="F5" s="278">
        <f>E5*(1+'Rhaniad y Ddeiliadaeth (De-o)'!D$109)+(E$44*(-(50-$B5)*('Rhaniad y Ddeiliadaeth (De-o)'!D$110/40)))</f>
        <v>12884.889794890116</v>
      </c>
      <c r="G5" s="278">
        <f>F5*(1+'Rhaniad y Ddeiliadaeth (De-o)'!E$109)+(F$44*(-(50-$B5)*('Rhaniad y Ddeiliadaeth (De-o)'!E$110/40)))</f>
        <v>13057.524277891258</v>
      </c>
      <c r="H5" s="278">
        <f>G5*(1+'Rhaniad y Ddeiliadaeth (De-o)'!F$109)+(G$44*(-(50-$B5)*('Rhaniad y Ddeiliadaeth (De-o)'!F$110/40)))</f>
        <v>13233.527795249767</v>
      </c>
      <c r="I5" s="279">
        <f>H5*(1+'Rhaniad y Ddeiliadaeth (De-o)'!G$109)+H$44*(-(50-$B5)*('Rhaniad y Ddeiliadaeth (De-o)'!G$110/40))</f>
        <v>13403.554926128216</v>
      </c>
      <c r="K5" s="42" t="str">
        <f>IF(K4="","","Dim ond data ar gyfer un blwyddyn sydd angen (naill ai 2017 neu 2018)")</f>
        <v/>
      </c>
      <c r="M5" s="36" t="str">
        <f t="shared" si="1"/>
        <v/>
      </c>
      <c r="N5" s="190"/>
      <c r="O5" s="13">
        <f t="shared" ref="O5:O68" si="4">IF(ISBLANK(N5),1,0)</f>
        <v>1</v>
      </c>
      <c r="U5" s="1">
        <f t="shared" si="2"/>
        <v>11</v>
      </c>
      <c r="V5" s="4" t="str">
        <f t="shared" si="3"/>
        <v/>
      </c>
      <c r="W5" s="4" t="e">
        <f>IF($W$3=$N$3,N5,V5*(1+'Rhaniad y Ddeiliadaeth (De-o)'!C$109)+(V$44*(-(50-$U5)*('Rhaniad y Ddeiliadaeth (De-o)'!C$110/40))))</f>
        <v>#VALUE!</v>
      </c>
      <c r="X5" s="4" t="e">
        <f>W5*(1+'Rhaniad y Ddeiliadaeth (De-o)'!D$109)+(W$44*(-(50-$U5)*('Rhaniad y Ddeiliadaeth (De-o)'!D$110/40)))</f>
        <v>#VALUE!</v>
      </c>
      <c r="Y5" s="4" t="e">
        <f>X5*(1+'Rhaniad y Ddeiliadaeth (De-o)'!E$109)+(X$44*(-(50-$U5)*('Rhaniad y Ddeiliadaeth (De-o)'!E$110/40)))</f>
        <v>#VALUE!</v>
      </c>
      <c r="Z5" s="4" t="e">
        <f>Y5*(1+'Rhaniad y Ddeiliadaeth (De-o)'!F$109)+(Y$44*(-(50-$U5)*('Rhaniad y Ddeiliadaeth (De-o)'!F$110/40)))</f>
        <v>#VALUE!</v>
      </c>
      <c r="AA5" s="4" t="e">
        <f>Z5*(1+'Rhaniad y Ddeiliadaeth (De-o)'!G$109)+(Z$44*(-(50-$U5)*('Rhaniad y Ddeiliadaeth (De-o)'!G$110/40)))</f>
        <v>#VALUE!</v>
      </c>
      <c r="AC5" s="260">
        <v>11</v>
      </c>
      <c r="AD5" s="4">
        <f>IF('Rhaniad y Ddeiliadaeth (Cymru)'!$D$8="Amcangyfrifon LlC",'Incwm (De-orllewin)'!E5,'Incwm (De-orllewin)'!W5)</f>
        <v>12708.20537494481</v>
      </c>
      <c r="AE5" s="4">
        <f>IF('Rhaniad y Ddeiliadaeth (Cymru)'!$D$8="Amcangyfrifon LlC",'Incwm (De-orllewin)'!F5,'Incwm (De-orllewin)'!X5)</f>
        <v>12884.889794890116</v>
      </c>
      <c r="AF5" s="4">
        <f>IF('Rhaniad y Ddeiliadaeth (Cymru)'!$D$8="Amcangyfrifon LlC",'Incwm (De-orllewin)'!G5,'Incwm (De-orllewin)'!Y5)</f>
        <v>13057.524277891258</v>
      </c>
      <c r="AG5" s="4">
        <f>IF('Rhaniad y Ddeiliadaeth (Cymru)'!$D$8="Amcangyfrifon LlC",'Incwm (De-orllewin)'!H5,'Incwm (De-orllewin)'!Z5)</f>
        <v>13233.527795249767</v>
      </c>
      <c r="AH5" s="4">
        <f>IF('Rhaniad y Ddeiliadaeth (Cymru)'!$D$8="Amcangyfrifon LlC",'Incwm (De-orllewin)'!I5,'Incwm (De-orllewin)'!AA5)</f>
        <v>13403.554926128216</v>
      </c>
    </row>
    <row r="6" spans="2:34" x14ac:dyDescent="0.35">
      <c r="B6" s="251">
        <v>12</v>
      </c>
      <c r="C6" s="258">
        <v>12635</v>
      </c>
      <c r="D6" s="258">
        <v>12942.14757511246</v>
      </c>
      <c r="E6" s="278">
        <f>D6*(1+'Rhaniad y Ddeiliadaeth (De-o)'!C$109)+(D$44*(-(50-$B6)*('Rhaniad y Ddeiliadaeth (De-o)'!C$110/40)))</f>
        <v>12985.948490215309</v>
      </c>
      <c r="F6" s="278">
        <f>E6*(1+'Rhaniad y Ddeiliadaeth (De-o)'!D$109)+(E$44*(-(50-$B6)*('Rhaniad y Ddeiliadaeth (De-o)'!D$110/40)))</f>
        <v>13178.790123906107</v>
      </c>
      <c r="G6" s="278">
        <f>F6*(1+'Rhaniad y Ddeiliadaeth (De-o)'!E$109)+(F$44*(-(50-$B6)*('Rhaniad y Ddeiliadaeth (De-o)'!E$110/40)))</f>
        <v>13368.334976238906</v>
      </c>
      <c r="H6" s="278">
        <f>G6*(1+'Rhaniad y Ddeiliadaeth (De-o)'!F$109)+(G$44*(-(50-$B6)*('Rhaniad y Ddeiliadaeth (De-o)'!F$110/40)))</f>
        <v>13562.21905102219</v>
      </c>
      <c r="I6" s="279">
        <f>H6*(1+'Rhaniad y Ddeiliadaeth (De-o)'!G$109)+H$44*(-(50-$B6)*('Rhaniad y Ddeiliadaeth (De-o)'!G$110/40))</f>
        <v>13750.931679690128</v>
      </c>
      <c r="M6" s="36" t="str">
        <f t="shared" si="1"/>
        <v/>
      </c>
      <c r="N6" s="190"/>
      <c r="O6" s="13">
        <f t="shared" si="4"/>
        <v>1</v>
      </c>
      <c r="U6" s="1">
        <f t="shared" si="2"/>
        <v>12</v>
      </c>
      <c r="V6" s="4" t="str">
        <f t="shared" si="3"/>
        <v/>
      </c>
      <c r="W6" s="4" t="e">
        <f>IF($W$3=$N$3,N6,V6*(1+'Rhaniad y Ddeiliadaeth (De-o)'!C$109)+(V$44*(-(50-$U6)*('Rhaniad y Ddeiliadaeth (De-o)'!C$110/40))))</f>
        <v>#VALUE!</v>
      </c>
      <c r="X6" s="4" t="e">
        <f>W6*(1+'Rhaniad y Ddeiliadaeth (De-o)'!D$109)+(W$44*(-(50-$U6)*('Rhaniad y Ddeiliadaeth (De-o)'!D$110/40)))</f>
        <v>#VALUE!</v>
      </c>
      <c r="Y6" s="4" t="e">
        <f>X6*(1+'Rhaniad y Ddeiliadaeth (De-o)'!E$109)+(X$44*(-(50-$U6)*('Rhaniad y Ddeiliadaeth (De-o)'!E$110/40)))</f>
        <v>#VALUE!</v>
      </c>
      <c r="Z6" s="4" t="e">
        <f>Y6*(1+'Rhaniad y Ddeiliadaeth (De-o)'!F$109)+(Y$44*(-(50-$U6)*('Rhaniad y Ddeiliadaeth (De-o)'!F$110/40)))</f>
        <v>#VALUE!</v>
      </c>
      <c r="AA6" s="4" t="e">
        <f>Z6*(1+'Rhaniad y Ddeiliadaeth (De-o)'!G$109)+(Z$44*(-(50-$U6)*('Rhaniad y Ddeiliadaeth (De-o)'!G$110/40)))</f>
        <v>#VALUE!</v>
      </c>
      <c r="AC6" s="260">
        <v>12</v>
      </c>
      <c r="AD6" s="4">
        <f>IF('Rhaniad y Ddeiliadaeth (Cymru)'!$D$8="Amcangyfrifon LlC",'Incwm (De-orllewin)'!E6,'Incwm (De-orllewin)'!W6)</f>
        <v>12985.948490215309</v>
      </c>
      <c r="AE6" s="4">
        <f>IF('Rhaniad y Ddeiliadaeth (Cymru)'!$D$8="Amcangyfrifon LlC",'Incwm (De-orllewin)'!F6,'Incwm (De-orllewin)'!X6)</f>
        <v>13178.790123906107</v>
      </c>
      <c r="AF6" s="4">
        <f>IF('Rhaniad y Ddeiliadaeth (Cymru)'!$D$8="Amcangyfrifon LlC",'Incwm (De-orllewin)'!G6,'Incwm (De-orllewin)'!Y6)</f>
        <v>13368.334976238906</v>
      </c>
      <c r="AG6" s="4">
        <f>IF('Rhaniad y Ddeiliadaeth (Cymru)'!$D$8="Amcangyfrifon LlC",'Incwm (De-orllewin)'!H6,'Incwm (De-orllewin)'!Z6)</f>
        <v>13562.21905102219</v>
      </c>
      <c r="AH6" s="4">
        <f>IF('Rhaniad y Ddeiliadaeth (Cymru)'!$D$8="Amcangyfrifon LlC",'Incwm (De-orllewin)'!I6,'Incwm (De-orllewin)'!AA6)</f>
        <v>13750.931679690128</v>
      </c>
    </row>
    <row r="7" spans="2:34" x14ac:dyDescent="0.35">
      <c r="B7" s="251">
        <v>13</v>
      </c>
      <c r="C7" s="258">
        <v>12841.43</v>
      </c>
      <c r="D7" s="258">
        <v>13153.59573687981</v>
      </c>
      <c r="E7" s="278">
        <f>D7*(1+'Rhaniad y Ddeiliadaeth (De-o)'!C$109)+(D$44*(-(50-$B7)*('Rhaniad y Ddeiliadaeth (De-o)'!C$110/40)))</f>
        <v>13208.634986551699</v>
      </c>
      <c r="F7" s="278">
        <f>E7*(1+'Rhaniad y Ddeiliadaeth (De-o)'!D$109)+(E$44*(-(50-$B7)*('Rhaniad y Ddeiliadaeth (De-o)'!D$110/40)))</f>
        <v>13415.746824854476</v>
      </c>
      <c r="G7" s="278">
        <f>F7*(1+'Rhaniad y Ddeiliadaeth (De-o)'!E$109)+(F$44*(-(50-$B7)*('Rhaniad y Ddeiliadaeth (De-o)'!E$110/40)))</f>
        <v>13620.255810754097</v>
      </c>
      <c r="H7" s="278">
        <f>G7*(1+'Rhaniad y Ddeiliadaeth (De-o)'!F$109)+(G$44*(-(50-$B7)*('Rhaniad y Ddeiliadaeth (De-o)'!F$110/40)))</f>
        <v>13829.977832286508</v>
      </c>
      <c r="I7" s="279">
        <f>H7*(1+'Rhaniad y Ddeiliadaeth (De-o)'!G$109)+H$44*(-(50-$B7)*('Rhaniad y Ddeiliadaeth (De-o)'!G$110/40))</f>
        <v>14035.273903558489</v>
      </c>
      <c r="K7" s="10" t="str">
        <f>IF(K4="","",IF(O85=1,"Dewis defnyddiwr anghyflawn",IF(O85=0,"Dewis defnyddiwr yn gyflawn","")))</f>
        <v/>
      </c>
      <c r="M7" s="36" t="str">
        <f t="shared" si="1"/>
        <v/>
      </c>
      <c r="N7" s="190"/>
      <c r="O7" s="13">
        <f t="shared" si="4"/>
        <v>1</v>
      </c>
      <c r="U7" s="1">
        <f t="shared" si="2"/>
        <v>13</v>
      </c>
      <c r="V7" s="4" t="str">
        <f t="shared" si="3"/>
        <v/>
      </c>
      <c r="W7" s="4" t="e">
        <f>IF($W$3=$N$3,N7,V7*(1+'Rhaniad y Ddeiliadaeth (De-o)'!C$109)+(V$44*(-(50-$U7)*('Rhaniad y Ddeiliadaeth (De-o)'!C$110/40))))</f>
        <v>#VALUE!</v>
      </c>
      <c r="X7" s="4" t="e">
        <f>W7*(1+'Rhaniad y Ddeiliadaeth (De-o)'!D$109)+(W$44*(-(50-$U7)*('Rhaniad y Ddeiliadaeth (De-o)'!D$110/40)))</f>
        <v>#VALUE!</v>
      </c>
      <c r="Y7" s="4" t="e">
        <f>X7*(1+'Rhaniad y Ddeiliadaeth (De-o)'!E$109)+(X$44*(-(50-$U7)*('Rhaniad y Ddeiliadaeth (De-o)'!E$110/40)))</f>
        <v>#VALUE!</v>
      </c>
      <c r="Z7" s="4" t="e">
        <f>Y7*(1+'Rhaniad y Ddeiliadaeth (De-o)'!F$109)+(Y$44*(-(50-$U7)*('Rhaniad y Ddeiliadaeth (De-o)'!F$110/40)))</f>
        <v>#VALUE!</v>
      </c>
      <c r="AA7" s="4" t="e">
        <f>Z7*(1+'Rhaniad y Ddeiliadaeth (De-o)'!G$109)+(Z$44*(-(50-$U7)*('Rhaniad y Ddeiliadaeth (De-o)'!G$110/40)))</f>
        <v>#VALUE!</v>
      </c>
      <c r="AC7" s="260">
        <v>13</v>
      </c>
      <c r="AD7" s="4">
        <f>IF('Rhaniad y Ddeiliadaeth (Cymru)'!$D$8="Amcangyfrifon LlC",'Incwm (De-orllewin)'!E7,'Incwm (De-orllewin)'!W7)</f>
        <v>13208.634986551699</v>
      </c>
      <c r="AE7" s="4">
        <f>IF('Rhaniad y Ddeiliadaeth (Cymru)'!$D$8="Amcangyfrifon LlC",'Incwm (De-orllewin)'!F7,'Incwm (De-orllewin)'!X7)</f>
        <v>13415.746824854476</v>
      </c>
      <c r="AF7" s="4">
        <f>IF('Rhaniad y Ddeiliadaeth (Cymru)'!$D$8="Amcangyfrifon LlC",'Incwm (De-orllewin)'!G7,'Incwm (De-orllewin)'!Y7)</f>
        <v>13620.255810754097</v>
      </c>
      <c r="AG7" s="4">
        <f>IF('Rhaniad y Ddeiliadaeth (Cymru)'!$D$8="Amcangyfrifon LlC",'Incwm (De-orllewin)'!H7,'Incwm (De-orllewin)'!Z7)</f>
        <v>13829.977832286508</v>
      </c>
      <c r="AH7" s="4">
        <f>IF('Rhaniad y Ddeiliadaeth (Cymru)'!$D$8="Amcangyfrifon LlC",'Incwm (De-orllewin)'!I7,'Incwm (De-orllewin)'!AA7)</f>
        <v>14035.273903558489</v>
      </c>
    </row>
    <row r="8" spans="2:34" x14ac:dyDescent="0.35">
      <c r="B8" s="251">
        <v>14</v>
      </c>
      <c r="C8" s="258">
        <v>12919.199999999999</v>
      </c>
      <c r="D8" s="258">
        <v>13233.256268491719</v>
      </c>
      <c r="E8" s="278">
        <f>D8*(1+'Rhaniad y Ddeiliadaeth (De-o)'!C$109)+(D$44*(-(50-$B8)*('Rhaniad y Ddeiliadaeth (De-o)'!C$110/40)))</f>
        <v>13296.575723099959</v>
      </c>
      <c r="F8" s="278">
        <f>E8*(1+'Rhaniad y Ddeiliadaeth (De-o)'!D$109)+(E$44*(-(50-$B8)*('Rhaniad y Ddeiliadaeth (De-o)'!D$110/40)))</f>
        <v>13513.339493328436</v>
      </c>
      <c r="G8" s="278">
        <f>F8*(1+'Rhaniad y Ddeiliadaeth (De-o)'!E$109)+(F$44*(-(50-$B8)*('Rhaniad y Ddeiliadaeth (De-o)'!E$110/40)))</f>
        <v>13728.049388646054</v>
      </c>
      <c r="H8" s="278">
        <f>G8*(1+'Rhaniad y Ddeiliadaeth (De-o)'!F$109)+(G$44*(-(50-$B8)*('Rhaniad y Ddeiliadaeth (De-o)'!F$110/40)))</f>
        <v>13948.61026448839</v>
      </c>
      <c r="I8" s="279">
        <f>H8*(1+'Rhaniad y Ddeiliadaeth (De-o)'!G$109)+H$44*(-(50-$B8)*('Rhaniad y Ddeiliadaeth (De-o)'!G$110/40))</f>
        <v>14165.345201226139</v>
      </c>
      <c r="M8" s="36" t="str">
        <f t="shared" si="1"/>
        <v/>
      </c>
      <c r="N8" s="190"/>
      <c r="O8" s="13">
        <f t="shared" si="4"/>
        <v>1</v>
      </c>
      <c r="U8" s="1">
        <f t="shared" si="2"/>
        <v>14</v>
      </c>
      <c r="V8" s="4" t="str">
        <f t="shared" si="3"/>
        <v/>
      </c>
      <c r="W8" s="4" t="e">
        <f>IF($W$3=$N$3,N8,V8*(1+'Rhaniad y Ddeiliadaeth (De-o)'!C$109)+(V$44*(-(50-$U8)*('Rhaniad y Ddeiliadaeth (De-o)'!C$110/40))))</f>
        <v>#VALUE!</v>
      </c>
      <c r="X8" s="4" t="e">
        <f>W8*(1+'Rhaniad y Ddeiliadaeth (De-o)'!D$109)+(W$44*(-(50-$U8)*('Rhaniad y Ddeiliadaeth (De-o)'!D$110/40)))</f>
        <v>#VALUE!</v>
      </c>
      <c r="Y8" s="4" t="e">
        <f>X8*(1+'Rhaniad y Ddeiliadaeth (De-o)'!E$109)+(X$44*(-(50-$U8)*('Rhaniad y Ddeiliadaeth (De-o)'!E$110/40)))</f>
        <v>#VALUE!</v>
      </c>
      <c r="Z8" s="4" t="e">
        <f>Y8*(1+'Rhaniad y Ddeiliadaeth (De-o)'!F$109)+(Y$44*(-(50-$U8)*('Rhaniad y Ddeiliadaeth (De-o)'!F$110/40)))</f>
        <v>#VALUE!</v>
      </c>
      <c r="AA8" s="4" t="e">
        <f>Z8*(1+'Rhaniad y Ddeiliadaeth (De-o)'!G$109)+(Z$44*(-(50-$U8)*('Rhaniad y Ddeiliadaeth (De-o)'!G$110/40)))</f>
        <v>#VALUE!</v>
      </c>
      <c r="AC8" s="260">
        <v>14</v>
      </c>
      <c r="AD8" s="4">
        <f>IF('Rhaniad y Ddeiliadaeth (Cymru)'!$D$8="Amcangyfrifon LlC",'Incwm (De-orllewin)'!E8,'Incwm (De-orllewin)'!W8)</f>
        <v>13296.575723099959</v>
      </c>
      <c r="AE8" s="4">
        <f>IF('Rhaniad y Ddeiliadaeth (Cymru)'!$D$8="Amcangyfrifon LlC",'Incwm (De-orllewin)'!F8,'Incwm (De-orllewin)'!X8)</f>
        <v>13513.339493328436</v>
      </c>
      <c r="AF8" s="4">
        <f>IF('Rhaniad y Ddeiliadaeth (Cymru)'!$D$8="Amcangyfrifon LlC",'Incwm (De-orllewin)'!G8,'Incwm (De-orllewin)'!Y8)</f>
        <v>13728.049388646054</v>
      </c>
      <c r="AG8" s="4">
        <f>IF('Rhaniad y Ddeiliadaeth (Cymru)'!$D$8="Amcangyfrifon LlC",'Incwm (De-orllewin)'!H8,'Incwm (De-orllewin)'!Z8)</f>
        <v>13948.61026448839</v>
      </c>
      <c r="AH8" s="4">
        <f>IF('Rhaniad y Ddeiliadaeth (Cymru)'!$D$8="Amcangyfrifon LlC",'Incwm (De-orllewin)'!I8,'Incwm (De-orllewin)'!AA8)</f>
        <v>14165.345201226139</v>
      </c>
    </row>
    <row r="9" spans="2:34" ht="14.5" customHeight="1" x14ac:dyDescent="0.35">
      <c r="B9" s="251">
        <v>15</v>
      </c>
      <c r="C9" s="258">
        <v>13189.8</v>
      </c>
      <c r="D9" s="258">
        <v>13510.434355854239</v>
      </c>
      <c r="E9" s="278">
        <f>D9*(1+'Rhaniad y Ddeiliadaeth (De-o)'!C$109)+(D$44*(-(50-$B9)*('Rhaniad y Ddeiliadaeth (De-o)'!C$110/40)))</f>
        <v>13586.467531154087</v>
      </c>
      <c r="F9" s="278">
        <f>E9*(1+'Rhaniad y Ddeiliadaeth (De-o)'!D$109)+(E$44*(-(50-$B9)*('Rhaniad y Ddeiliadaeth (De-o)'!D$110/40)))</f>
        <v>13819.804899110341</v>
      </c>
      <c r="G9" s="278">
        <f>F9*(1+'Rhaniad y Ddeiliadaeth (De-o)'!E$109)+(F$44*(-(50-$B9)*('Rhaniad y Ddeiliadaeth (De-o)'!E$110/40)))</f>
        <v>14051.854616581988</v>
      </c>
      <c r="H9" s="278">
        <f>G9*(1+'Rhaniad y Ddeiliadaeth (De-o)'!F$109)+(G$44*(-(50-$B9)*('Rhaniad y Ddeiliadaeth (De-o)'!F$110/40)))</f>
        <v>14290.746768582931</v>
      </c>
      <c r="I9" s="279">
        <f>H9*(1+'Rhaniad y Ddeiliadaeth (De-o)'!G$109)+H$44*(-(50-$B9)*('Rhaniad y Ddeiliadaeth (De-o)'!G$110/40))</f>
        <v>14526.63103876075</v>
      </c>
      <c r="K9" s="567" t="str">
        <f>IF(K4="","Os ydych am ddefnyddio eich dosraniad data incwm eich hunan, newidiwch y dewis yn y blwch","")</f>
        <v>Os ydych am ddefnyddio eich dosraniad data incwm eich hunan, newidiwch y dewis yn y blwch</v>
      </c>
      <c r="M9" s="36" t="str">
        <f t="shared" si="1"/>
        <v/>
      </c>
      <c r="N9" s="190"/>
      <c r="O9" s="13">
        <f t="shared" si="4"/>
        <v>1</v>
      </c>
      <c r="U9" s="1">
        <f t="shared" si="2"/>
        <v>15</v>
      </c>
      <c r="V9" s="4" t="str">
        <f t="shared" si="3"/>
        <v/>
      </c>
      <c r="W9" s="4" t="e">
        <f>IF($W$3=$N$3,N9,V9*(1+'Rhaniad y Ddeiliadaeth (De-o)'!C$109)+(V$44*(-(50-$U9)*('Rhaniad y Ddeiliadaeth (De-o)'!C$110/40))))</f>
        <v>#VALUE!</v>
      </c>
      <c r="X9" s="4" t="e">
        <f>W9*(1+'Rhaniad y Ddeiliadaeth (De-o)'!D$109)+(W$44*(-(50-$U9)*('Rhaniad y Ddeiliadaeth (De-o)'!D$110/40)))</f>
        <v>#VALUE!</v>
      </c>
      <c r="Y9" s="4" t="e">
        <f>X9*(1+'Rhaniad y Ddeiliadaeth (De-o)'!E$109)+(X$44*(-(50-$U9)*('Rhaniad y Ddeiliadaeth (De-o)'!E$110/40)))</f>
        <v>#VALUE!</v>
      </c>
      <c r="Z9" s="4" t="e">
        <f>Y9*(1+'Rhaniad y Ddeiliadaeth (De-o)'!F$109)+(Y$44*(-(50-$U9)*('Rhaniad y Ddeiliadaeth (De-o)'!F$110/40)))</f>
        <v>#VALUE!</v>
      </c>
      <c r="AA9" s="4" t="e">
        <f>Z9*(1+'Rhaniad y Ddeiliadaeth (De-o)'!G$109)+(Z$44*(-(50-$U9)*('Rhaniad y Ddeiliadaeth (De-o)'!G$110/40)))</f>
        <v>#VALUE!</v>
      </c>
      <c r="AC9" s="260">
        <v>15</v>
      </c>
      <c r="AD9" s="4">
        <f>IF('Rhaniad y Ddeiliadaeth (Cymru)'!$D$8="Amcangyfrifon LlC",'Incwm (De-orllewin)'!E9,'Incwm (De-orllewin)'!W9)</f>
        <v>13586.467531154087</v>
      </c>
      <c r="AE9" s="4">
        <f>IF('Rhaniad y Ddeiliadaeth (Cymru)'!$D$8="Amcangyfrifon LlC",'Incwm (De-orllewin)'!F9,'Incwm (De-orllewin)'!X9)</f>
        <v>13819.804899110341</v>
      </c>
      <c r="AF9" s="4">
        <f>IF('Rhaniad y Ddeiliadaeth (Cymru)'!$D$8="Amcangyfrifon LlC",'Incwm (De-orllewin)'!G9,'Incwm (De-orllewin)'!Y9)</f>
        <v>14051.854616581988</v>
      </c>
      <c r="AG9" s="4">
        <f>IF('Rhaniad y Ddeiliadaeth (Cymru)'!$D$8="Amcangyfrifon LlC",'Incwm (De-orllewin)'!H9,'Incwm (De-orllewin)'!Z9)</f>
        <v>14290.746768582931</v>
      </c>
      <c r="AH9" s="4">
        <f>IF('Rhaniad y Ddeiliadaeth (Cymru)'!$D$8="Amcangyfrifon LlC",'Incwm (De-orllewin)'!I9,'Incwm (De-orllewin)'!AA9)</f>
        <v>14526.63103876075</v>
      </c>
    </row>
    <row r="10" spans="2:34" x14ac:dyDescent="0.35">
      <c r="B10" s="251">
        <v>16</v>
      </c>
      <c r="C10" s="258">
        <v>13497.150000000001</v>
      </c>
      <c r="D10" s="258">
        <v>13825.255808739941</v>
      </c>
      <c r="E10" s="278">
        <f>D10*(1+'Rhaniad y Ddeiliadaeth (De-o)'!C$109)+(D$44*(-(50-$B10)*('Rhaniad y Ddeiliadaeth (De-o)'!C$110/40)))</f>
        <v>13914.847654708095</v>
      </c>
      <c r="F10" s="278">
        <f>E10*(1+'Rhaniad y Ddeiliadaeth (De-o)'!D$109)+(E$44*(-(50-$B10)*('Rhaniad y Ddeiliadaeth (De-o)'!D$110/40)))</f>
        <v>14166.077767922208</v>
      </c>
      <c r="G10" s="278">
        <f>F10*(1+'Rhaniad y Ddeiliadaeth (De-o)'!E$109)+(F$44*(-(50-$B10)*('Rhaniad y Ddeiliadaeth (De-o)'!E$110/40)))</f>
        <v>14416.827858515315</v>
      </c>
      <c r="H10" s="278">
        <f>G10*(1+'Rhaniad y Ddeiliadaeth (De-o)'!F$109)+(G$44*(-(50-$B10)*('Rhaniad y Ddeiliadaeth (De-o)'!F$110/40)))</f>
        <v>14675.479210249719</v>
      </c>
      <c r="I10" s="279">
        <f>H10*(1+'Rhaniad y Ddeiliadaeth (De-o)'!G$109)+H$44*(-(50-$B10)*('Rhaniad y Ddeiliadaeth (De-o)'!G$110/40))</f>
        <v>14931.982293191657</v>
      </c>
      <c r="K10" s="567"/>
      <c r="M10" s="36" t="str">
        <f t="shared" si="1"/>
        <v/>
      </c>
      <c r="N10" s="190"/>
      <c r="O10" s="13">
        <f t="shared" si="4"/>
        <v>1</v>
      </c>
      <c r="U10" s="1">
        <f t="shared" si="2"/>
        <v>16</v>
      </c>
      <c r="V10" s="4" t="str">
        <f t="shared" si="3"/>
        <v/>
      </c>
      <c r="W10" s="4" t="e">
        <f>IF($W$3=$N$3,N10,V10*(1+'Rhaniad y Ddeiliadaeth (De-o)'!C$109)+(V$44*(-(50-$U10)*('Rhaniad y Ddeiliadaeth (De-o)'!C$110/40))))</f>
        <v>#VALUE!</v>
      </c>
      <c r="X10" s="4" t="e">
        <f>W10*(1+'Rhaniad y Ddeiliadaeth (De-o)'!D$109)+(W$44*(-(50-$U10)*('Rhaniad y Ddeiliadaeth (De-o)'!D$110/40)))</f>
        <v>#VALUE!</v>
      </c>
      <c r="Y10" s="4" t="e">
        <f>X10*(1+'Rhaniad y Ddeiliadaeth (De-o)'!E$109)+(X$44*(-(50-$U10)*('Rhaniad y Ddeiliadaeth (De-o)'!E$110/40)))</f>
        <v>#VALUE!</v>
      </c>
      <c r="Z10" s="4" t="e">
        <f>Y10*(1+'Rhaniad y Ddeiliadaeth (De-o)'!F$109)+(Y$44*(-(50-$U10)*('Rhaniad y Ddeiliadaeth (De-o)'!F$110/40)))</f>
        <v>#VALUE!</v>
      </c>
      <c r="AA10" s="4" t="e">
        <f>Z10*(1+'Rhaniad y Ddeiliadaeth (De-o)'!G$109)+(Z$44*(-(50-$U10)*('Rhaniad y Ddeiliadaeth (De-o)'!G$110/40)))</f>
        <v>#VALUE!</v>
      </c>
      <c r="AC10" s="260">
        <v>16</v>
      </c>
      <c r="AD10" s="4">
        <f>IF('Rhaniad y Ddeiliadaeth (Cymru)'!$D$8="Amcangyfrifon LlC",'Incwm (De-orllewin)'!E10,'Incwm (De-orllewin)'!W10)</f>
        <v>13914.847654708095</v>
      </c>
      <c r="AE10" s="4">
        <f>IF('Rhaniad y Ddeiliadaeth (Cymru)'!$D$8="Amcangyfrifon LlC",'Incwm (De-orllewin)'!F10,'Incwm (De-orllewin)'!X10)</f>
        <v>14166.077767922208</v>
      </c>
      <c r="AF10" s="4">
        <f>IF('Rhaniad y Ddeiliadaeth (Cymru)'!$D$8="Amcangyfrifon LlC",'Incwm (De-orllewin)'!G10,'Incwm (De-orllewin)'!Y10)</f>
        <v>14416.827858515315</v>
      </c>
      <c r="AG10" s="4">
        <f>IF('Rhaniad y Ddeiliadaeth (Cymru)'!$D$8="Amcangyfrifon LlC",'Incwm (De-orllewin)'!H10,'Incwm (De-orllewin)'!Z10)</f>
        <v>14675.479210249719</v>
      </c>
      <c r="AH10" s="4">
        <f>IF('Rhaniad y Ddeiliadaeth (Cymru)'!$D$8="Amcangyfrifon LlC",'Incwm (De-orllewin)'!I10,'Incwm (De-orllewin)'!AA10)</f>
        <v>14931.982293191657</v>
      </c>
    </row>
    <row r="11" spans="2:34" x14ac:dyDescent="0.35">
      <c r="B11" s="251">
        <v>17</v>
      </c>
      <c r="C11" s="258">
        <v>13944</v>
      </c>
      <c r="D11" s="258">
        <v>14282.968404223833</v>
      </c>
      <c r="E11" s="278">
        <f>D11*(1+'Rhaniad y Ddeiliadaeth (De-o)'!C$109)+(D$44*(-(50-$B11)*('Rhaniad y Ddeiliadaeth (De-o)'!C$110/40)))</f>
        <v>14389.326281996309</v>
      </c>
      <c r="F11" s="278">
        <f>E11*(1+'Rhaniad y Ddeiliadaeth (De-o)'!D$109)+(E$44*(-(50-$B11)*('Rhaniad y Ddeiliadaeth (De-o)'!D$110/40)))</f>
        <v>14663.456516806973</v>
      </c>
      <c r="G11" s="278">
        <f>F11*(1+'Rhaniad y Ddeiliadaeth (De-o)'!E$109)+(F$44*(-(50-$B11)*('Rhaniad y Ddeiliadaeth (De-o)'!E$110/40)))</f>
        <v>14938.07152092851</v>
      </c>
      <c r="H11" s="278">
        <f>G11*(1+'Rhaniad y Ddeiliadaeth (De-o)'!F$109)+(G$44*(-(50-$B11)*('Rhaniad y Ddeiliadaeth (De-o)'!F$110/40)))</f>
        <v>15221.902353721327</v>
      </c>
      <c r="I11" s="279">
        <f>H11*(1+'Rhaniad y Ddeiliadaeth (De-o)'!G$109)+H$44*(-(50-$B11)*('Rhaniad y Ddeiliadaeth (De-o)'!G$110/40))</f>
        <v>15504.602272983962</v>
      </c>
      <c r="K11" s="246"/>
      <c r="M11" s="36" t="str">
        <f t="shared" si="1"/>
        <v/>
      </c>
      <c r="N11" s="190"/>
      <c r="O11" s="13">
        <f t="shared" si="4"/>
        <v>1</v>
      </c>
      <c r="U11" s="1">
        <f t="shared" si="2"/>
        <v>17</v>
      </c>
      <c r="V11" s="4" t="str">
        <f t="shared" si="3"/>
        <v/>
      </c>
      <c r="W11" s="4" t="e">
        <f>IF($W$3=$N$3,N11,V11*(1+'Rhaniad y Ddeiliadaeth (De-o)'!C$109)+(V$44*(-(50-$U11)*('Rhaniad y Ddeiliadaeth (De-o)'!C$110/40))))</f>
        <v>#VALUE!</v>
      </c>
      <c r="X11" s="4" t="e">
        <f>W11*(1+'Rhaniad y Ddeiliadaeth (De-o)'!D$109)+(W$44*(-(50-$U11)*('Rhaniad y Ddeiliadaeth (De-o)'!D$110/40)))</f>
        <v>#VALUE!</v>
      </c>
      <c r="Y11" s="4" t="e">
        <f>X11*(1+'Rhaniad y Ddeiliadaeth (De-o)'!E$109)+(X$44*(-(50-$U11)*('Rhaniad y Ddeiliadaeth (De-o)'!E$110/40)))</f>
        <v>#VALUE!</v>
      </c>
      <c r="Z11" s="4" t="e">
        <f>Y11*(1+'Rhaniad y Ddeiliadaeth (De-o)'!F$109)+(Y$44*(-(50-$U11)*('Rhaniad y Ddeiliadaeth (De-o)'!F$110/40)))</f>
        <v>#VALUE!</v>
      </c>
      <c r="AA11" s="4" t="e">
        <f>Z11*(1+'Rhaniad y Ddeiliadaeth (De-o)'!G$109)+(Z$44*(-(50-$U11)*('Rhaniad y Ddeiliadaeth (De-o)'!G$110/40)))</f>
        <v>#VALUE!</v>
      </c>
      <c r="AC11" s="260">
        <v>17</v>
      </c>
      <c r="AD11" s="4">
        <f>IF('Rhaniad y Ddeiliadaeth (Cymru)'!$D$8="Amcangyfrifon LlC",'Incwm (De-orllewin)'!E11,'Incwm (De-orllewin)'!W11)</f>
        <v>14389.326281996309</v>
      </c>
      <c r="AE11" s="4">
        <f>IF('Rhaniad y Ddeiliadaeth (Cymru)'!$D$8="Amcangyfrifon LlC",'Incwm (De-orllewin)'!F11,'Incwm (De-orllewin)'!X11)</f>
        <v>14663.456516806973</v>
      </c>
      <c r="AF11" s="4">
        <f>IF('Rhaniad y Ddeiliadaeth (Cymru)'!$D$8="Amcangyfrifon LlC",'Incwm (De-orllewin)'!G11,'Incwm (De-orllewin)'!Y11)</f>
        <v>14938.07152092851</v>
      </c>
      <c r="AG11" s="4">
        <f>IF('Rhaniad y Ddeiliadaeth (Cymru)'!$D$8="Amcangyfrifon LlC",'Incwm (De-orllewin)'!H11,'Incwm (De-orllewin)'!Z11)</f>
        <v>15221.902353721327</v>
      </c>
      <c r="AH11" s="4">
        <f>IF('Rhaniad y Ddeiliadaeth (Cymru)'!$D$8="Amcangyfrifon LlC",'Incwm (De-orllewin)'!I11,'Incwm (De-orllewin)'!AA11)</f>
        <v>15504.602272983962</v>
      </c>
    </row>
    <row r="12" spans="2:34" x14ac:dyDescent="0.35">
      <c r="B12" s="251">
        <v>18</v>
      </c>
      <c r="C12" s="258">
        <v>14252.75</v>
      </c>
      <c r="D12" s="258">
        <v>14599.223890081845</v>
      </c>
      <c r="E12" s="278">
        <f>D12*(1+'Rhaniad y Ddeiliadaeth (De-o)'!C$109)+(D$44*(-(50-$B12)*('Rhaniad y Ddeiliadaeth (De-o)'!C$110/40)))</f>
        <v>14719.172627093165</v>
      </c>
      <c r="F12" s="278">
        <f>E12*(1+'Rhaniad y Ddeiliadaeth (De-o)'!D$109)+(E$44*(-(50-$B12)*('Rhaniad y Ddeiliadaeth (De-o)'!D$110/40)))</f>
        <v>15011.245860400932</v>
      </c>
      <c r="G12" s="278">
        <f>F12*(1+'Rhaniad y Ddeiliadaeth (De-o)'!E$109)+(F$44*(-(50-$B12)*('Rhaniad y Ddeiliadaeth (De-o)'!E$110/40)))</f>
        <v>15304.613068156972</v>
      </c>
      <c r="H12" s="278">
        <f>G12*(1+'Rhaniad y Ddeiliadaeth (De-o)'!F$109)+(G$44*(-(50-$B12)*('Rhaniad y Ddeiliadaeth (De-o)'!F$110/40)))</f>
        <v>15608.257497771816</v>
      </c>
      <c r="I12" s="279">
        <f>H12*(1+'Rhaniad y Ddeiliadaeth (De-o)'!G$109)+H$44*(-(50-$B12)*('Rhaniad y Ddeiliadaeth (De-o)'!G$110/40))</f>
        <v>15911.632209963293</v>
      </c>
      <c r="M12" s="36" t="str">
        <f t="shared" si="1"/>
        <v/>
      </c>
      <c r="N12" s="190"/>
      <c r="O12" s="13">
        <f t="shared" si="4"/>
        <v>1</v>
      </c>
      <c r="U12" s="1">
        <f t="shared" si="2"/>
        <v>18</v>
      </c>
      <c r="V12" s="4" t="str">
        <f t="shared" si="3"/>
        <v/>
      </c>
      <c r="W12" s="4" t="e">
        <f>IF($W$3=$N$3,N12,V12*(1+'Rhaniad y Ddeiliadaeth (De-o)'!C$109)+(V$44*(-(50-$U12)*('Rhaniad y Ddeiliadaeth (De-o)'!C$110/40))))</f>
        <v>#VALUE!</v>
      </c>
      <c r="X12" s="4" t="e">
        <f>W12*(1+'Rhaniad y Ddeiliadaeth (De-o)'!D$109)+(W$44*(-(50-$U12)*('Rhaniad y Ddeiliadaeth (De-o)'!D$110/40)))</f>
        <v>#VALUE!</v>
      </c>
      <c r="Y12" s="4" t="e">
        <f>X12*(1+'Rhaniad y Ddeiliadaeth (De-o)'!E$109)+(X$44*(-(50-$U12)*('Rhaniad y Ddeiliadaeth (De-o)'!E$110/40)))</f>
        <v>#VALUE!</v>
      </c>
      <c r="Z12" s="4" t="e">
        <f>Y12*(1+'Rhaniad y Ddeiliadaeth (De-o)'!F$109)+(Y$44*(-(50-$U12)*('Rhaniad y Ddeiliadaeth (De-o)'!F$110/40)))</f>
        <v>#VALUE!</v>
      </c>
      <c r="AA12" s="4" t="e">
        <f>Z12*(1+'Rhaniad y Ddeiliadaeth (De-o)'!G$109)+(Z$44*(-(50-$U12)*('Rhaniad y Ddeiliadaeth (De-o)'!G$110/40)))</f>
        <v>#VALUE!</v>
      </c>
      <c r="AC12" s="260">
        <v>18</v>
      </c>
      <c r="AD12" s="4">
        <f>IF('Rhaniad y Ddeiliadaeth (Cymru)'!$D$8="Amcangyfrifon LlC",'Incwm (De-orllewin)'!E12,'Incwm (De-orllewin)'!W12)</f>
        <v>14719.172627093165</v>
      </c>
      <c r="AE12" s="4">
        <f>IF('Rhaniad y Ddeiliadaeth (Cymru)'!$D$8="Amcangyfrifon LlC",'Incwm (De-orllewin)'!F12,'Incwm (De-orllewin)'!X12)</f>
        <v>15011.245860400932</v>
      </c>
      <c r="AF12" s="4">
        <f>IF('Rhaniad y Ddeiliadaeth (Cymru)'!$D$8="Amcangyfrifon LlC",'Incwm (De-orllewin)'!G12,'Incwm (De-orllewin)'!Y12)</f>
        <v>15304.613068156972</v>
      </c>
      <c r="AG12" s="4">
        <f>IF('Rhaniad y Ddeiliadaeth (Cymru)'!$D$8="Amcangyfrifon LlC",'Incwm (De-orllewin)'!H12,'Incwm (De-orllewin)'!Z12)</f>
        <v>15608.257497771816</v>
      </c>
      <c r="AH12" s="4">
        <f>IF('Rhaniad y Ddeiliadaeth (Cymru)'!$D$8="Amcangyfrifon LlC",'Incwm (De-orllewin)'!I12,'Incwm (De-orllewin)'!AA12)</f>
        <v>15911.632209963293</v>
      </c>
    </row>
    <row r="13" spans="2:34" x14ac:dyDescent="0.35">
      <c r="B13" s="251">
        <v>19</v>
      </c>
      <c r="C13" s="258">
        <v>14604</v>
      </c>
      <c r="D13" s="258">
        <v>14959.012519742173</v>
      </c>
      <c r="E13" s="278">
        <f>D13*(1+'Rhaniad y Ddeiliadaeth (De-o)'!C$109)+(D$44*(-(50-$B13)*('Rhaniad y Ddeiliadaeth (De-o)'!C$110/40)))</f>
        <v>15093.529269026607</v>
      </c>
      <c r="F13" s="278">
        <f>E13*(1+'Rhaniad y Ddeiliadaeth (De-o)'!D$109)+(E$44*(-(50-$B13)*('Rhaniad y Ddeiliadaeth (De-o)'!D$110/40)))</f>
        <v>15405.071045594159</v>
      </c>
      <c r="G13" s="278">
        <f>F13*(1+'Rhaniad y Ddeiliadaeth (De-o)'!E$109)+(F$44*(-(50-$B13)*('Rhaniad y Ddeiliadaeth (De-o)'!E$110/40)))</f>
        <v>15718.763883273567</v>
      </c>
      <c r="H13" s="278">
        <f>G13*(1+'Rhaniad y Ddeiliadaeth (De-o)'!F$109)+(G$44*(-(50-$B13)*('Rhaniad y Ddeiliadaeth (De-o)'!F$110/40)))</f>
        <v>16043.873249899041</v>
      </c>
      <c r="I13" s="279">
        <f>H13*(1+'Rhaniad y Ddeiliadaeth (De-o)'!G$109)+H$44*(-(50-$B13)*('Rhaniad y Ddeiliadaeth (De-o)'!G$110/40))</f>
        <v>16369.622152877097</v>
      </c>
      <c r="M13" s="36" t="str">
        <f t="shared" si="1"/>
        <v/>
      </c>
      <c r="N13" s="190"/>
      <c r="O13" s="13">
        <f t="shared" si="4"/>
        <v>1</v>
      </c>
      <c r="U13" s="1">
        <f t="shared" si="2"/>
        <v>19</v>
      </c>
      <c r="V13" s="4" t="str">
        <f t="shared" si="3"/>
        <v/>
      </c>
      <c r="W13" s="4" t="e">
        <f>IF($W$3=$N$3,N13,V13*(1+'Rhaniad y Ddeiliadaeth (De-o)'!C$109)+(V$44*(-(50-$U13)*('Rhaniad y Ddeiliadaeth (De-o)'!C$110/40))))</f>
        <v>#VALUE!</v>
      </c>
      <c r="X13" s="4" t="e">
        <f>W13*(1+'Rhaniad y Ddeiliadaeth (De-o)'!D$109)+(W$44*(-(50-$U13)*('Rhaniad y Ddeiliadaeth (De-o)'!D$110/40)))</f>
        <v>#VALUE!</v>
      </c>
      <c r="Y13" s="4" t="e">
        <f>X13*(1+'Rhaniad y Ddeiliadaeth (De-o)'!E$109)+(X$44*(-(50-$U13)*('Rhaniad y Ddeiliadaeth (De-o)'!E$110/40)))</f>
        <v>#VALUE!</v>
      </c>
      <c r="Z13" s="4" t="e">
        <f>Y13*(1+'Rhaniad y Ddeiliadaeth (De-o)'!F$109)+(Y$44*(-(50-$U13)*('Rhaniad y Ddeiliadaeth (De-o)'!F$110/40)))</f>
        <v>#VALUE!</v>
      </c>
      <c r="AA13" s="4" t="e">
        <f>Z13*(1+'Rhaniad y Ddeiliadaeth (De-o)'!G$109)+(Z$44*(-(50-$U13)*('Rhaniad y Ddeiliadaeth (De-o)'!G$110/40)))</f>
        <v>#VALUE!</v>
      </c>
      <c r="AC13" s="260">
        <v>19</v>
      </c>
      <c r="AD13" s="4">
        <f>IF('Rhaniad y Ddeiliadaeth (Cymru)'!$D$8="Amcangyfrifon LlC",'Incwm (De-orllewin)'!E13,'Incwm (De-orllewin)'!W13)</f>
        <v>15093.529269026607</v>
      </c>
      <c r="AE13" s="4">
        <f>IF('Rhaniad y Ddeiliadaeth (Cymru)'!$D$8="Amcangyfrifon LlC",'Incwm (De-orllewin)'!F13,'Incwm (De-orllewin)'!X13)</f>
        <v>15405.071045594159</v>
      </c>
      <c r="AF13" s="4">
        <f>IF('Rhaniad y Ddeiliadaeth (Cymru)'!$D$8="Amcangyfrifon LlC",'Incwm (De-orllewin)'!G13,'Incwm (De-orllewin)'!Y13)</f>
        <v>15718.763883273567</v>
      </c>
      <c r="AG13" s="4">
        <f>IF('Rhaniad y Ddeiliadaeth (Cymru)'!$D$8="Amcangyfrifon LlC",'Incwm (De-orllewin)'!H13,'Incwm (De-orllewin)'!Z13)</f>
        <v>16043.873249899041</v>
      </c>
      <c r="AH13" s="4">
        <f>IF('Rhaniad y Ddeiliadaeth (Cymru)'!$D$8="Amcangyfrifon LlC",'Incwm (De-orllewin)'!I13,'Incwm (De-orllewin)'!AA13)</f>
        <v>16369.622152877097</v>
      </c>
    </row>
    <row r="14" spans="2:34" x14ac:dyDescent="0.35">
      <c r="B14" s="251">
        <v>20</v>
      </c>
      <c r="C14" s="258">
        <v>14856.2</v>
      </c>
      <c r="D14" s="258">
        <v>15236.606503147523</v>
      </c>
      <c r="E14" s="278">
        <f>D14*(1+'Rhaniad y Ddeiliadaeth (De-o)'!C$109)+(D$44*(-(50-$B14)*('Rhaniad y Ddeiliadaeth (De-o)'!C$110/40)))</f>
        <v>15383.846308403419</v>
      </c>
      <c r="F14" s="278">
        <f>E14*(1+'Rhaniad y Ddeiliadaeth (De-o)'!D$109)+(E$44*(-(50-$B14)*('Rhaniad y Ddeiliadaeth (De-o)'!D$110/40)))</f>
        <v>15711.976257066104</v>
      </c>
      <c r="G14" s="278">
        <f>F14*(1+'Rhaniad y Ddeiliadaeth (De-o)'!E$109)+(F$44*(-(50-$B14)*('Rhaniad y Ddeiliadaeth (De-o)'!E$110/40)))</f>
        <v>16043.023948705426</v>
      </c>
      <c r="H14" s="278">
        <f>G14*(1+'Rhaniad y Ddeiliadaeth (De-o)'!F$109)+(G$44*(-(50-$B14)*('Rhaniad y Ddeiliadaeth (De-o)'!F$110/40)))</f>
        <v>16386.480367649689</v>
      </c>
      <c r="I14" s="279">
        <f>H14*(1+'Rhaniad y Ddeiliadaeth (De-o)'!G$109)+H$44*(-(50-$B14)*('Rhaniad y Ddeiliadaeth (De-o)'!G$110/40))</f>
        <v>16731.394839349319</v>
      </c>
      <c r="M14" s="36" t="str">
        <f t="shared" si="1"/>
        <v/>
      </c>
      <c r="N14" s="190"/>
      <c r="O14" s="13">
        <f t="shared" si="4"/>
        <v>1</v>
      </c>
      <c r="U14" s="1">
        <f t="shared" si="2"/>
        <v>20</v>
      </c>
      <c r="V14" s="4" t="str">
        <f t="shared" si="3"/>
        <v/>
      </c>
      <c r="W14" s="4" t="e">
        <f>IF($W$3=$N$3,N14,V14*(1+'Rhaniad y Ddeiliadaeth (De-o)'!C$109)+(V$44*(-(50-$U14)*('Rhaniad y Ddeiliadaeth (De-o)'!C$110/40))))</f>
        <v>#VALUE!</v>
      </c>
      <c r="X14" s="4" t="e">
        <f>W14*(1+'Rhaniad y Ddeiliadaeth (De-o)'!D$109)+(W$44*(-(50-$U14)*('Rhaniad y Ddeiliadaeth (De-o)'!D$110/40)))</f>
        <v>#VALUE!</v>
      </c>
      <c r="Y14" s="4" t="e">
        <f>X14*(1+'Rhaniad y Ddeiliadaeth (De-o)'!E$109)+(X$44*(-(50-$U14)*('Rhaniad y Ddeiliadaeth (De-o)'!E$110/40)))</f>
        <v>#VALUE!</v>
      </c>
      <c r="Z14" s="4" t="e">
        <f>Y14*(1+'Rhaniad y Ddeiliadaeth (De-o)'!F$109)+(Y$44*(-(50-$U14)*('Rhaniad y Ddeiliadaeth (De-o)'!F$110/40)))</f>
        <v>#VALUE!</v>
      </c>
      <c r="AA14" s="4" t="e">
        <f>Z14*(1+'Rhaniad y Ddeiliadaeth (De-o)'!G$109)+(Z$44*(-(50-$U14)*('Rhaniad y Ddeiliadaeth (De-o)'!G$110/40)))</f>
        <v>#VALUE!</v>
      </c>
      <c r="AC14" s="260">
        <v>20</v>
      </c>
      <c r="AD14" s="4">
        <f>IF('Rhaniad y Ddeiliadaeth (Cymru)'!$D$8="Amcangyfrifon LlC",'Incwm (De-orllewin)'!E14,'Incwm (De-orllewin)'!W14)</f>
        <v>15383.846308403419</v>
      </c>
      <c r="AE14" s="4">
        <f>IF('Rhaniad y Ddeiliadaeth (Cymru)'!$D$8="Amcangyfrifon LlC",'Incwm (De-orllewin)'!F14,'Incwm (De-orllewin)'!X14)</f>
        <v>15711.976257066104</v>
      </c>
      <c r="AF14" s="4">
        <f>IF('Rhaniad y Ddeiliadaeth (Cymru)'!$D$8="Amcangyfrifon LlC",'Incwm (De-orllewin)'!G14,'Incwm (De-orllewin)'!Y14)</f>
        <v>16043.023948705426</v>
      </c>
      <c r="AG14" s="4">
        <f>IF('Rhaniad y Ddeiliadaeth (Cymru)'!$D$8="Amcangyfrifon LlC",'Incwm (De-orllewin)'!H14,'Incwm (De-orllewin)'!Z14)</f>
        <v>16386.480367649689</v>
      </c>
      <c r="AH14" s="4">
        <f>IF('Rhaniad y Ddeiliadaeth (Cymru)'!$D$8="Amcangyfrifon LlC",'Incwm (De-orllewin)'!I14,'Incwm (De-orllewin)'!AA14)</f>
        <v>16731.394839349319</v>
      </c>
    </row>
    <row r="15" spans="2:34" x14ac:dyDescent="0.35">
      <c r="B15" s="251">
        <v>21</v>
      </c>
      <c r="C15" s="258">
        <v>14970.099999999999</v>
      </c>
      <c r="D15" s="258">
        <v>15353.423016166227</v>
      </c>
      <c r="E15" s="278">
        <f>D15*(1+'Rhaniad y Ddeiliadaeth (De-o)'!C$109)+(D$44*(-(50-$B15)*('Rhaniad y Ddeiliadaeth (De-o)'!C$110/40)))</f>
        <v>15509.777036420735</v>
      </c>
      <c r="F15" s="278">
        <f>E15*(1+'Rhaniad y Ddeiliadaeth (De-o)'!D$109)+(E$44*(-(50-$B15)*('Rhaniad y Ddeiliadaeth (De-o)'!D$110/40)))</f>
        <v>15848.860984994262</v>
      </c>
      <c r="G15" s="278">
        <f>F15*(1+'Rhaniad y Ddeiliadaeth (De-o)'!E$109)+(F$44*(-(50-$B15)*('Rhaniad y Ddeiliadaeth (De-o)'!E$110/40)))</f>
        <v>16191.452521406754</v>
      </c>
      <c r="H15" s="278">
        <f>G15*(1+'Rhaniad y Ddeiliadaeth (De-o)'!F$109)+(G$44*(-(50-$B15)*('Rhaniad y Ddeiliadaeth (De-o)'!F$110/40)))</f>
        <v>16547.157230322719</v>
      </c>
      <c r="I15" s="279">
        <f>H15*(1+'Rhaniad y Ddeiliadaeth (De-o)'!G$109)+H$44*(-(50-$B15)*('Rhaniad y Ddeiliadaeth (De-o)'!G$110/40))</f>
        <v>16904.96102085973</v>
      </c>
      <c r="M15" s="36" t="str">
        <f t="shared" si="1"/>
        <v/>
      </c>
      <c r="N15" s="190"/>
      <c r="O15" s="13">
        <f t="shared" si="4"/>
        <v>1</v>
      </c>
      <c r="U15" s="1">
        <f t="shared" si="2"/>
        <v>21</v>
      </c>
      <c r="V15" s="4" t="str">
        <f t="shared" si="3"/>
        <v/>
      </c>
      <c r="W15" s="4" t="e">
        <f>IF($W$3=$N$3,N15,V15*(1+'Rhaniad y Ddeiliadaeth (De-o)'!C$109)+(V$44*(-(50-$U15)*('Rhaniad y Ddeiliadaeth (De-o)'!C$110/40))))</f>
        <v>#VALUE!</v>
      </c>
      <c r="X15" s="4" t="e">
        <f>W15*(1+'Rhaniad y Ddeiliadaeth (De-o)'!D$109)+(W$44*(-(50-$U15)*('Rhaniad y Ddeiliadaeth (De-o)'!D$110/40)))</f>
        <v>#VALUE!</v>
      </c>
      <c r="Y15" s="4" t="e">
        <f>X15*(1+'Rhaniad y Ddeiliadaeth (De-o)'!E$109)+(X$44*(-(50-$U15)*('Rhaniad y Ddeiliadaeth (De-o)'!E$110/40)))</f>
        <v>#VALUE!</v>
      </c>
      <c r="Z15" s="4" t="e">
        <f>Y15*(1+'Rhaniad y Ddeiliadaeth (De-o)'!F$109)+(Y$44*(-(50-$U15)*('Rhaniad y Ddeiliadaeth (De-o)'!F$110/40)))</f>
        <v>#VALUE!</v>
      </c>
      <c r="AA15" s="4" t="e">
        <f>Z15*(1+'Rhaniad y Ddeiliadaeth (De-o)'!G$109)+(Z$44*(-(50-$U15)*('Rhaniad y Ddeiliadaeth (De-o)'!G$110/40)))</f>
        <v>#VALUE!</v>
      </c>
      <c r="AC15" s="260">
        <v>21</v>
      </c>
      <c r="AD15" s="4">
        <f>IF('Rhaniad y Ddeiliadaeth (Cymru)'!$D$8="Amcangyfrifon LlC",'Incwm (De-orllewin)'!E15,'Incwm (De-orllewin)'!W15)</f>
        <v>15509.777036420735</v>
      </c>
      <c r="AE15" s="4">
        <f>IF('Rhaniad y Ddeiliadaeth (Cymru)'!$D$8="Amcangyfrifon LlC",'Incwm (De-orllewin)'!F15,'Incwm (De-orllewin)'!X15)</f>
        <v>15848.860984994262</v>
      </c>
      <c r="AF15" s="4">
        <f>IF('Rhaniad y Ddeiliadaeth (Cymru)'!$D$8="Amcangyfrifon LlC",'Incwm (De-orllewin)'!G15,'Incwm (De-orllewin)'!Y15)</f>
        <v>16191.452521406754</v>
      </c>
      <c r="AG15" s="4">
        <f>IF('Rhaniad y Ddeiliadaeth (Cymru)'!$D$8="Amcangyfrifon LlC",'Incwm (De-orllewin)'!H15,'Incwm (De-orllewin)'!Z15)</f>
        <v>16547.157230322719</v>
      </c>
      <c r="AH15" s="4">
        <f>IF('Rhaniad y Ddeiliadaeth (Cymru)'!$D$8="Amcangyfrifon LlC",'Incwm (De-orllewin)'!I15,'Incwm (De-orllewin)'!AA15)</f>
        <v>16904.96102085973</v>
      </c>
    </row>
    <row r="16" spans="2:34" x14ac:dyDescent="0.35">
      <c r="B16" s="251">
        <v>22</v>
      </c>
      <c r="C16" s="258">
        <v>15091.5</v>
      </c>
      <c r="D16" s="258">
        <v>15477.931573501355</v>
      </c>
      <c r="E16" s="278">
        <f>D16*(1+'Rhaniad y Ddeiliadaeth (De-o)'!C$109)+(D$44*(-(50-$B16)*('Rhaniad y Ddeiliadaeth (De-o)'!C$110/40)))</f>
        <v>15643.572465810386</v>
      </c>
      <c r="F16" s="278">
        <f>E16*(1+'Rhaniad y Ddeiliadaeth (De-o)'!D$109)+(E$44*(-(50-$B16)*('Rhaniad y Ddeiliadaeth (De-o)'!D$110/40)))</f>
        <v>15993.879968866198</v>
      </c>
      <c r="G16" s="278">
        <f>F16*(1+'Rhaniad y Ddeiliadaeth (De-o)'!E$109)+(F$44*(-(50-$B16)*('Rhaniad y Ddeiliadaeth (De-o)'!E$110/40)))</f>
        <v>16348.293365000596</v>
      </c>
      <c r="H16" s="278">
        <f>G16*(1+'Rhaniad y Ddeiliadaeth (De-o)'!F$109)+(G$44*(-(50-$B16)*('Rhaniad y Ddeiliadaeth (De-o)'!F$110/40)))</f>
        <v>16716.538145753817</v>
      </c>
      <c r="I16" s="279">
        <f>H16*(1+'Rhaniad y Ddeiliadaeth (De-o)'!G$109)+H$44*(-(50-$B16)*('Rhaniad y Ddeiliadaeth (De-o)'!G$110/40))</f>
        <v>17087.531528494452</v>
      </c>
      <c r="M16" s="36" t="str">
        <f t="shared" si="1"/>
        <v/>
      </c>
      <c r="N16" s="190"/>
      <c r="O16" s="13">
        <f t="shared" si="4"/>
        <v>1</v>
      </c>
      <c r="U16" s="1">
        <f t="shared" si="2"/>
        <v>22</v>
      </c>
      <c r="V16" s="4" t="str">
        <f t="shared" si="3"/>
        <v/>
      </c>
      <c r="W16" s="4" t="e">
        <f>IF($W$3=$N$3,N16,V16*(1+'Rhaniad y Ddeiliadaeth (De-o)'!C$109)+(V$44*(-(50-$U16)*('Rhaniad y Ddeiliadaeth (De-o)'!C$110/40))))</f>
        <v>#VALUE!</v>
      </c>
      <c r="X16" s="4" t="e">
        <f>W16*(1+'Rhaniad y Ddeiliadaeth (De-o)'!D$109)+(W$44*(-(50-$U16)*('Rhaniad y Ddeiliadaeth (De-o)'!D$110/40)))</f>
        <v>#VALUE!</v>
      </c>
      <c r="Y16" s="4" t="e">
        <f>X16*(1+'Rhaniad y Ddeiliadaeth (De-o)'!E$109)+(X$44*(-(50-$U16)*('Rhaniad y Ddeiliadaeth (De-o)'!E$110/40)))</f>
        <v>#VALUE!</v>
      </c>
      <c r="Z16" s="4" t="e">
        <f>Y16*(1+'Rhaniad y Ddeiliadaeth (De-o)'!F$109)+(Y$44*(-(50-$U16)*('Rhaniad y Ddeiliadaeth (De-o)'!F$110/40)))</f>
        <v>#VALUE!</v>
      </c>
      <c r="AA16" s="4" t="e">
        <f>Z16*(1+'Rhaniad y Ddeiliadaeth (De-o)'!G$109)+(Z$44*(-(50-$U16)*('Rhaniad y Ddeiliadaeth (De-o)'!G$110/40)))</f>
        <v>#VALUE!</v>
      </c>
      <c r="AC16" s="260">
        <v>22</v>
      </c>
      <c r="AD16" s="4">
        <f>IF('Rhaniad y Ddeiliadaeth (Cymru)'!$D$8="Amcangyfrifon LlC",'Incwm (De-orllewin)'!E16,'Incwm (De-orllewin)'!W16)</f>
        <v>15643.572465810386</v>
      </c>
      <c r="AE16" s="4">
        <f>IF('Rhaniad y Ddeiliadaeth (Cymru)'!$D$8="Amcangyfrifon LlC",'Incwm (De-orllewin)'!F16,'Incwm (De-orllewin)'!X16)</f>
        <v>15993.879968866198</v>
      </c>
      <c r="AF16" s="4">
        <f>IF('Rhaniad y Ddeiliadaeth (Cymru)'!$D$8="Amcangyfrifon LlC",'Incwm (De-orllewin)'!G16,'Incwm (De-orllewin)'!Y16)</f>
        <v>16348.293365000596</v>
      </c>
      <c r="AG16" s="4">
        <f>IF('Rhaniad y Ddeiliadaeth (Cymru)'!$D$8="Amcangyfrifon LlC",'Incwm (De-orllewin)'!H16,'Incwm (De-orllewin)'!Z16)</f>
        <v>16716.538145753817</v>
      </c>
      <c r="AH16" s="4">
        <f>IF('Rhaniad y Ddeiliadaeth (Cymru)'!$D$8="Amcangyfrifon LlC",'Incwm (De-orllewin)'!I16,'Incwm (De-orllewin)'!AA16)</f>
        <v>17087.531528494452</v>
      </c>
    </row>
    <row r="17" spans="2:34" x14ac:dyDescent="0.35">
      <c r="B17" s="251">
        <v>23</v>
      </c>
      <c r="C17" s="258">
        <v>15391</v>
      </c>
      <c r="D17" s="258">
        <v>15785.100543203747</v>
      </c>
      <c r="E17" s="278">
        <f>D17*(1+'Rhaniad y Ddeiliadaeth (De-o)'!C$109)+(D$44*(-(50-$B17)*('Rhaniad y Ddeiliadaeth (De-o)'!C$110/40)))</f>
        <v>15964.128337121716</v>
      </c>
      <c r="F17" s="278">
        <f>E17*(1+'Rhaniad y Ddeiliadaeth (De-o)'!D$109)+(E$44*(-(50-$B17)*('Rhaniad y Ddeiliadaeth (De-o)'!D$110/40)))</f>
        <v>16332.060417216368</v>
      </c>
      <c r="G17" s="278">
        <f>F17*(1+'Rhaniad y Ddeiliadaeth (De-o)'!E$109)+(F$44*(-(50-$B17)*('Rhaniad y Ddeiliadaeth (De-o)'!E$110/40)))</f>
        <v>16704.897601388675</v>
      </c>
      <c r="H17" s="278">
        <f>G17*(1+'Rhaniad y Ddeiliadaeth (De-o)'!F$109)+(G$44*(-(50-$B17)*('Rhaniad y Ddeiliadaeth (De-o)'!F$110/40)))</f>
        <v>17092.611300679939</v>
      </c>
      <c r="I17" s="279">
        <f>H17*(1+'Rhaniad y Ddeiliadaeth (De-o)'!G$109)+H$44*(-(50-$B17)*('Rhaniad y Ddeiliadaeth (De-o)'!G$110/40))</f>
        <v>17483.924767161418</v>
      </c>
      <c r="M17" s="36" t="str">
        <f t="shared" si="1"/>
        <v/>
      </c>
      <c r="N17" s="190"/>
      <c r="O17" s="13">
        <f t="shared" si="4"/>
        <v>1</v>
      </c>
      <c r="U17" s="1">
        <f t="shared" si="2"/>
        <v>23</v>
      </c>
      <c r="V17" s="4" t="str">
        <f t="shared" si="3"/>
        <v/>
      </c>
      <c r="W17" s="4" t="e">
        <f>IF($W$3=$N$3,N17,V17*(1+'Rhaniad y Ddeiliadaeth (De-o)'!C$109)+(V$44*(-(50-$U17)*('Rhaniad y Ddeiliadaeth (De-o)'!C$110/40))))</f>
        <v>#VALUE!</v>
      </c>
      <c r="X17" s="4" t="e">
        <f>W17*(1+'Rhaniad y Ddeiliadaeth (De-o)'!D$109)+(W$44*(-(50-$U17)*('Rhaniad y Ddeiliadaeth (De-o)'!D$110/40)))</f>
        <v>#VALUE!</v>
      </c>
      <c r="Y17" s="4" t="e">
        <f>X17*(1+'Rhaniad y Ddeiliadaeth (De-o)'!E$109)+(X$44*(-(50-$U17)*('Rhaniad y Ddeiliadaeth (De-o)'!E$110/40)))</f>
        <v>#VALUE!</v>
      </c>
      <c r="Z17" s="4" t="e">
        <f>Y17*(1+'Rhaniad y Ddeiliadaeth (De-o)'!F$109)+(Y$44*(-(50-$U17)*('Rhaniad y Ddeiliadaeth (De-o)'!F$110/40)))</f>
        <v>#VALUE!</v>
      </c>
      <c r="AA17" s="4" t="e">
        <f>Z17*(1+'Rhaniad y Ddeiliadaeth (De-o)'!G$109)+(Z$44*(-(50-$U17)*('Rhaniad y Ddeiliadaeth (De-o)'!G$110/40)))</f>
        <v>#VALUE!</v>
      </c>
      <c r="AC17" s="260">
        <v>23</v>
      </c>
      <c r="AD17" s="4">
        <f>IF('Rhaniad y Ddeiliadaeth (Cymru)'!$D$8="Amcangyfrifon LlC",'Incwm (De-orllewin)'!E17,'Incwm (De-orllewin)'!W17)</f>
        <v>15964.128337121716</v>
      </c>
      <c r="AE17" s="4">
        <f>IF('Rhaniad y Ddeiliadaeth (Cymru)'!$D$8="Amcangyfrifon LlC",'Incwm (De-orllewin)'!F17,'Incwm (De-orllewin)'!X17)</f>
        <v>16332.060417216368</v>
      </c>
      <c r="AF17" s="4">
        <f>IF('Rhaniad y Ddeiliadaeth (Cymru)'!$D$8="Amcangyfrifon LlC",'Incwm (De-orllewin)'!G17,'Incwm (De-orllewin)'!Y17)</f>
        <v>16704.897601388675</v>
      </c>
      <c r="AG17" s="4">
        <f>IF('Rhaniad y Ddeiliadaeth (Cymru)'!$D$8="Amcangyfrifon LlC",'Incwm (De-orllewin)'!H17,'Incwm (De-orllewin)'!Z17)</f>
        <v>17092.611300679939</v>
      </c>
      <c r="AH17" s="4">
        <f>IF('Rhaniad y Ddeiliadaeth (Cymru)'!$D$8="Amcangyfrifon LlC",'Incwm (De-orllewin)'!I17,'Incwm (De-orllewin)'!AA17)</f>
        <v>17483.924767161418</v>
      </c>
    </row>
    <row r="18" spans="2:34" x14ac:dyDescent="0.35">
      <c r="B18" s="251">
        <v>24</v>
      </c>
      <c r="C18" s="258">
        <v>15698.800000000001</v>
      </c>
      <c r="D18" s="258">
        <v>16100.782041949646</v>
      </c>
      <c r="E18" s="278">
        <f>D18*(1+'Rhaniad y Ddeiliadaeth (De-o)'!C$109)+(D$44*(-(50-$B18)*('Rhaniad y Ddeiliadaeth (De-o)'!C$110/40)))</f>
        <v>16293.387811285093</v>
      </c>
      <c r="F18" s="278">
        <f>E18*(1+'Rhaniad y Ddeiliadaeth (De-o)'!D$109)+(E$44*(-(50-$B18)*('Rhaniad y Ddeiliadaeth (De-o)'!D$110/40)))</f>
        <v>16679.242775477651</v>
      </c>
      <c r="G18" s="278">
        <f>F18*(1+'Rhaniad y Ddeiliadaeth (De-o)'!E$109)+(F$44*(-(50-$B18)*('Rhaniad y Ddeiliadaeth (De-o)'!E$110/40)))</f>
        <v>17070.811417564466</v>
      </c>
      <c r="H18" s="278">
        <f>G18*(1+'Rhaniad y Ddeiliadaeth (De-o)'!F$109)+(G$44*(-(50-$B18)*('Rhaniad y Ddeiliadaeth (De-o)'!F$110/40)))</f>
        <v>17478.316940658322</v>
      </c>
      <c r="I18" s="279">
        <f>H18*(1+'Rhaniad y Ddeiliadaeth (De-o)'!G$109)+H$44*(-(50-$B18)*('Rhaniad y Ddeiliadaeth (De-o)'!G$110/40))</f>
        <v>17890.282793405961</v>
      </c>
      <c r="M18" s="36" t="str">
        <f t="shared" si="1"/>
        <v/>
      </c>
      <c r="N18" s="190"/>
      <c r="O18" s="13">
        <f t="shared" si="4"/>
        <v>1</v>
      </c>
      <c r="U18" s="1">
        <f t="shared" si="2"/>
        <v>24</v>
      </c>
      <c r="V18" s="4" t="str">
        <f t="shared" si="3"/>
        <v/>
      </c>
      <c r="W18" s="4" t="e">
        <f>IF($W$3=$N$3,N18,V18*(1+'Rhaniad y Ddeiliadaeth (De-o)'!C$109)+(V$44*(-(50-$U18)*('Rhaniad y Ddeiliadaeth (De-o)'!C$110/40))))</f>
        <v>#VALUE!</v>
      </c>
      <c r="X18" s="4" t="e">
        <f>W18*(1+'Rhaniad y Ddeiliadaeth (De-o)'!D$109)+(W$44*(-(50-$U18)*('Rhaniad y Ddeiliadaeth (De-o)'!D$110/40)))</f>
        <v>#VALUE!</v>
      </c>
      <c r="Y18" s="4" t="e">
        <f>X18*(1+'Rhaniad y Ddeiliadaeth (De-o)'!E$109)+(X$44*(-(50-$U18)*('Rhaniad y Ddeiliadaeth (De-o)'!E$110/40)))</f>
        <v>#VALUE!</v>
      </c>
      <c r="Z18" s="4" t="e">
        <f>Y18*(1+'Rhaniad y Ddeiliadaeth (De-o)'!F$109)+(Y$44*(-(50-$U18)*('Rhaniad y Ddeiliadaeth (De-o)'!F$110/40)))</f>
        <v>#VALUE!</v>
      </c>
      <c r="AA18" s="4" t="e">
        <f>Z18*(1+'Rhaniad y Ddeiliadaeth (De-o)'!G$109)+(Z$44*(-(50-$U18)*('Rhaniad y Ddeiliadaeth (De-o)'!G$110/40)))</f>
        <v>#VALUE!</v>
      </c>
      <c r="AC18" s="260">
        <v>24</v>
      </c>
      <c r="AD18" s="4">
        <f>IF('Rhaniad y Ddeiliadaeth (Cymru)'!$D$8="Amcangyfrifon LlC",'Incwm (De-orllewin)'!E18,'Incwm (De-orllewin)'!W18)</f>
        <v>16293.387811285093</v>
      </c>
      <c r="AE18" s="4">
        <f>IF('Rhaniad y Ddeiliadaeth (Cymru)'!$D$8="Amcangyfrifon LlC",'Incwm (De-orllewin)'!F18,'Incwm (De-orllewin)'!X18)</f>
        <v>16679.242775477651</v>
      </c>
      <c r="AF18" s="4">
        <f>IF('Rhaniad y Ddeiliadaeth (Cymru)'!$D$8="Amcangyfrifon LlC",'Incwm (De-orllewin)'!G18,'Incwm (De-orllewin)'!Y18)</f>
        <v>17070.811417564466</v>
      </c>
      <c r="AG18" s="4">
        <f>IF('Rhaniad y Ddeiliadaeth (Cymru)'!$D$8="Amcangyfrifon LlC",'Incwm (De-orllewin)'!H18,'Incwm (De-orllewin)'!Z18)</f>
        <v>17478.316940658322</v>
      </c>
      <c r="AH18" s="4">
        <f>IF('Rhaniad y Ddeiliadaeth (Cymru)'!$D$8="Amcangyfrifon LlC",'Incwm (De-orllewin)'!I18,'Incwm (De-orllewin)'!AA18)</f>
        <v>17890.282793405961</v>
      </c>
    </row>
    <row r="19" spans="2:34" x14ac:dyDescent="0.35">
      <c r="B19" s="251">
        <v>25</v>
      </c>
      <c r="C19" s="258">
        <v>15926</v>
      </c>
      <c r="D19" s="258">
        <v>16333.799704441744</v>
      </c>
      <c r="E19" s="278">
        <f>D19*(1+'Rhaniad y Ddeiliadaeth (De-o)'!C$109)+(D$44*(-(50-$B19)*('Rhaniad y Ddeiliadaeth (De-o)'!C$110/40)))</f>
        <v>16538.127961367125</v>
      </c>
      <c r="F19" s="278">
        <f>E19*(1+'Rhaniad y Ddeiliadaeth (De-o)'!D$109)+(E$44*(-(50-$B19)*('Rhaniad y Ddeiliadaeth (De-o)'!D$110/40)))</f>
        <v>16939.008996529803</v>
      </c>
      <c r="G19" s="278">
        <f>F19*(1+'Rhaniad y Ddeiliadaeth (De-o)'!E$109)+(F$44*(-(50-$B19)*('Rhaniad y Ddeiliadaeth (De-o)'!E$110/40)))</f>
        <v>17346.321362548708</v>
      </c>
      <c r="H19" s="278">
        <f>G19*(1+'Rhaniad y Ddeiliadaeth (De-o)'!F$109)+(G$44*(-(50-$B19)*('Rhaniad y Ddeiliadaeth (De-o)'!F$110/40)))</f>
        <v>17770.48302699663</v>
      </c>
      <c r="I19" s="279">
        <f>H19*(1+'Rhaniad y Ddeiliadaeth (De-o)'!G$109)+H$44*(-(50-$B19)*('Rhaniad y Ddeiliadaeth (De-o)'!G$110/40))</f>
        <v>18199.874328234462</v>
      </c>
      <c r="M19" s="36" t="str">
        <f t="shared" si="1"/>
        <v/>
      </c>
      <c r="N19" s="190"/>
      <c r="O19" s="13">
        <f t="shared" si="4"/>
        <v>1</v>
      </c>
      <c r="U19" s="1">
        <f t="shared" si="2"/>
        <v>25</v>
      </c>
      <c r="V19" s="4" t="str">
        <f t="shared" si="3"/>
        <v/>
      </c>
      <c r="W19" s="4" t="e">
        <f>IF($W$3=$N$3,N19,V19*(1+'Rhaniad y Ddeiliadaeth (De-o)'!C$109)+(V$44*(-(50-$U19)*('Rhaniad y Ddeiliadaeth (De-o)'!C$110/40))))</f>
        <v>#VALUE!</v>
      </c>
      <c r="X19" s="4" t="e">
        <f>W19*(1+'Rhaniad y Ddeiliadaeth (De-o)'!D$109)+(W$44*(-(50-$U19)*('Rhaniad y Ddeiliadaeth (De-o)'!D$110/40)))</f>
        <v>#VALUE!</v>
      </c>
      <c r="Y19" s="4" t="e">
        <f>X19*(1+'Rhaniad y Ddeiliadaeth (De-o)'!E$109)+(X$44*(-(50-$U19)*('Rhaniad y Ddeiliadaeth (De-o)'!E$110/40)))</f>
        <v>#VALUE!</v>
      </c>
      <c r="Z19" s="4" t="e">
        <f>Y19*(1+'Rhaniad y Ddeiliadaeth (De-o)'!F$109)+(Y$44*(-(50-$U19)*('Rhaniad y Ddeiliadaeth (De-o)'!F$110/40)))</f>
        <v>#VALUE!</v>
      </c>
      <c r="AA19" s="4" t="e">
        <f>Z19*(1+'Rhaniad y Ddeiliadaeth (De-o)'!G$109)+(Z$44*(-(50-$U19)*('Rhaniad y Ddeiliadaeth (De-o)'!G$110/40)))</f>
        <v>#VALUE!</v>
      </c>
      <c r="AC19" s="260">
        <v>25</v>
      </c>
      <c r="AD19" s="4">
        <f>IF('Rhaniad y Ddeiliadaeth (Cymru)'!$D$8="Amcangyfrifon LlC",'Incwm (De-orllewin)'!E19,'Incwm (De-orllewin)'!W19)</f>
        <v>16538.127961367125</v>
      </c>
      <c r="AE19" s="4">
        <f>IF('Rhaniad y Ddeiliadaeth (Cymru)'!$D$8="Amcangyfrifon LlC",'Incwm (De-orllewin)'!F19,'Incwm (De-orllewin)'!X19)</f>
        <v>16939.008996529803</v>
      </c>
      <c r="AF19" s="4">
        <f>IF('Rhaniad y Ddeiliadaeth (Cymru)'!$D$8="Amcangyfrifon LlC",'Incwm (De-orllewin)'!G19,'Incwm (De-orllewin)'!Y19)</f>
        <v>17346.321362548708</v>
      </c>
      <c r="AG19" s="4">
        <f>IF('Rhaniad y Ddeiliadaeth (Cymru)'!$D$8="Amcangyfrifon LlC",'Incwm (De-orllewin)'!H19,'Incwm (De-orllewin)'!Z19)</f>
        <v>17770.48302699663</v>
      </c>
      <c r="AH19" s="4">
        <f>IF('Rhaniad y Ddeiliadaeth (Cymru)'!$D$8="Amcangyfrifon LlC",'Incwm (De-orllewin)'!I19,'Incwm (De-orllewin)'!AA19)</f>
        <v>18199.874328234462</v>
      </c>
    </row>
    <row r="20" spans="2:34" x14ac:dyDescent="0.35">
      <c r="B20" s="251">
        <v>26</v>
      </c>
      <c r="C20" s="258">
        <v>16150</v>
      </c>
      <c r="D20" s="258">
        <v>16563.535428025501</v>
      </c>
      <c r="E20" s="278">
        <f>D20*(1+'Rhaniad y Ddeiliadaeth (De-o)'!C$109)+(D$44*(-(50-$B20)*('Rhaniad y Ddeiliadaeth (De-o)'!C$110/40)))</f>
        <v>16779.512505530296</v>
      </c>
      <c r="F20" s="278">
        <f>E20*(1+'Rhaniad y Ddeiliadaeth (De-o)'!D$109)+(E$44*(-(50-$B20)*('Rhaniad y Ddeiliadaeth (De-o)'!D$110/40)))</f>
        <v>17195.304601712614</v>
      </c>
      <c r="G20" s="278">
        <f>F20*(1+'Rhaniad y Ddeiliadaeth (De-o)'!E$109)+(F$44*(-(50-$B20)*('Rhaniad y Ddeiliadaeth (De-o)'!E$110/40)))</f>
        <v>17618.242071952143</v>
      </c>
      <c r="H20" s="278">
        <f>G20*(1+'Rhaniad y Ddeiliadaeth (De-o)'!F$109)+(G$44*(-(50-$B20)*('Rhaniad y Ddeiliadaeth (De-o)'!F$110/40)))</f>
        <v>18058.935384158154</v>
      </c>
      <c r="I20" s="279">
        <f>H20*(1+'Rhaniad y Ddeiliadaeth (De-o)'!G$109)+H$44*(-(50-$B20)*('Rhaniad y Ddeiliadaeth (De-o)'!G$110/40))</f>
        <v>18505.624017249917</v>
      </c>
      <c r="M20" s="36" t="str">
        <f t="shared" si="1"/>
        <v/>
      </c>
      <c r="N20" s="190"/>
      <c r="O20" s="13">
        <f t="shared" si="4"/>
        <v>1</v>
      </c>
      <c r="U20" s="1">
        <f t="shared" si="2"/>
        <v>26</v>
      </c>
      <c r="V20" s="4" t="str">
        <f t="shared" si="3"/>
        <v/>
      </c>
      <c r="W20" s="4" t="e">
        <f>IF($W$3=$N$3,N20,V20*(1+'Rhaniad y Ddeiliadaeth (De-o)'!C$109)+(V$44*(-(50-$U20)*('Rhaniad y Ddeiliadaeth (De-o)'!C$110/40))))</f>
        <v>#VALUE!</v>
      </c>
      <c r="X20" s="4" t="e">
        <f>W20*(1+'Rhaniad y Ddeiliadaeth (De-o)'!D$109)+(W$44*(-(50-$U20)*('Rhaniad y Ddeiliadaeth (De-o)'!D$110/40)))</f>
        <v>#VALUE!</v>
      </c>
      <c r="Y20" s="4" t="e">
        <f>X20*(1+'Rhaniad y Ddeiliadaeth (De-o)'!E$109)+(X$44*(-(50-$U20)*('Rhaniad y Ddeiliadaeth (De-o)'!E$110/40)))</f>
        <v>#VALUE!</v>
      </c>
      <c r="Z20" s="4" t="e">
        <f>Y20*(1+'Rhaniad y Ddeiliadaeth (De-o)'!F$109)+(Y$44*(-(50-$U20)*('Rhaniad y Ddeiliadaeth (De-o)'!F$110/40)))</f>
        <v>#VALUE!</v>
      </c>
      <c r="AA20" s="4" t="e">
        <f>Z20*(1+'Rhaniad y Ddeiliadaeth (De-o)'!G$109)+(Z$44*(-(50-$U20)*('Rhaniad y Ddeiliadaeth (De-o)'!G$110/40)))</f>
        <v>#VALUE!</v>
      </c>
      <c r="AC20" s="260">
        <v>26</v>
      </c>
      <c r="AD20" s="4">
        <f>IF('Rhaniad y Ddeiliadaeth (Cymru)'!$D$8="Amcangyfrifon LlC",'Incwm (De-orllewin)'!E20,'Incwm (De-orllewin)'!W20)</f>
        <v>16779.512505530296</v>
      </c>
      <c r="AE20" s="4">
        <f>IF('Rhaniad y Ddeiliadaeth (Cymru)'!$D$8="Amcangyfrifon LlC",'Incwm (De-orllewin)'!F20,'Incwm (De-orllewin)'!X20)</f>
        <v>17195.304601712614</v>
      </c>
      <c r="AF20" s="4">
        <f>IF('Rhaniad y Ddeiliadaeth (Cymru)'!$D$8="Amcangyfrifon LlC",'Incwm (De-orllewin)'!G20,'Incwm (De-orllewin)'!Y20)</f>
        <v>17618.242071952143</v>
      </c>
      <c r="AG20" s="4">
        <f>IF('Rhaniad y Ddeiliadaeth (Cymru)'!$D$8="Amcangyfrifon LlC",'Incwm (De-orllewin)'!H20,'Incwm (De-orllewin)'!Z20)</f>
        <v>18058.935384158154</v>
      </c>
      <c r="AH20" s="4">
        <f>IF('Rhaniad y Ddeiliadaeth (Cymru)'!$D$8="Amcangyfrifon LlC",'Incwm (De-orllewin)'!I20,'Incwm (De-orllewin)'!AA20)</f>
        <v>18505.624017249917</v>
      </c>
    </row>
    <row r="21" spans="2:34" x14ac:dyDescent="0.35">
      <c r="B21" s="251">
        <v>27</v>
      </c>
      <c r="C21" s="258">
        <v>16445.199999999997</v>
      </c>
      <c r="D21" s="258">
        <v>16866.29429231981</v>
      </c>
      <c r="E21" s="278">
        <f>D21*(1+'Rhaniad y Ddeiliadaeth (De-o)'!C$109)+(D$44*(-(50-$B21)*('Rhaniad y Ddeiliadaeth (De-o)'!C$110/40)))</f>
        <v>17095.559281388145</v>
      </c>
      <c r="F21" s="278">
        <f>E21*(1+'Rhaniad y Ddeiliadaeth (De-o)'!D$109)+(E$44*(-(50-$B21)*('Rhaniad y Ddeiliadaeth (De-o)'!D$110/40)))</f>
        <v>17528.821409988341</v>
      </c>
      <c r="G21" s="278">
        <f>F21*(1+'Rhaniad y Ddeiliadaeth (De-o)'!E$109)+(F$44*(-(50-$B21)*('Rhaniad y Ddeiliadaeth (De-o)'!E$110/40)))</f>
        <v>17970.023273028506</v>
      </c>
      <c r="H21" s="278">
        <f>G21*(1+'Rhaniad y Ddeiliadaeth (De-o)'!F$109)+(G$44*(-(50-$B21)*('Rhaniad y Ddeiliadaeth (De-o)'!F$110/40)))</f>
        <v>18430.018215502972</v>
      </c>
      <c r="I21" s="279">
        <f>H21*(1+'Rhaniad y Ddeiliadaeth (De-o)'!G$109)+H$44*(-(50-$B21)*('Rhaniad y Ddeiliadaeth (De-o)'!G$110/40))</f>
        <v>18896.854775605592</v>
      </c>
      <c r="M21" s="36" t="str">
        <f t="shared" si="1"/>
        <v/>
      </c>
      <c r="N21" s="190"/>
      <c r="O21" s="13">
        <f t="shared" si="4"/>
        <v>1</v>
      </c>
      <c r="U21" s="1">
        <f t="shared" si="2"/>
        <v>27</v>
      </c>
      <c r="V21" s="4" t="str">
        <f t="shared" si="3"/>
        <v/>
      </c>
      <c r="W21" s="4" t="e">
        <f>IF($W$3=$N$3,N21,V21*(1+'Rhaniad y Ddeiliadaeth (De-o)'!C$109)+(V$44*(-(50-$U21)*('Rhaniad y Ddeiliadaeth (De-o)'!C$110/40))))</f>
        <v>#VALUE!</v>
      </c>
      <c r="X21" s="4" t="e">
        <f>W21*(1+'Rhaniad y Ddeiliadaeth (De-o)'!D$109)+(W$44*(-(50-$U21)*('Rhaniad y Ddeiliadaeth (De-o)'!D$110/40)))</f>
        <v>#VALUE!</v>
      </c>
      <c r="Y21" s="4" t="e">
        <f>X21*(1+'Rhaniad y Ddeiliadaeth (De-o)'!E$109)+(X$44*(-(50-$U21)*('Rhaniad y Ddeiliadaeth (De-o)'!E$110/40)))</f>
        <v>#VALUE!</v>
      </c>
      <c r="Z21" s="4" t="e">
        <f>Y21*(1+'Rhaniad y Ddeiliadaeth (De-o)'!F$109)+(Y$44*(-(50-$U21)*('Rhaniad y Ddeiliadaeth (De-o)'!F$110/40)))</f>
        <v>#VALUE!</v>
      </c>
      <c r="AA21" s="4" t="e">
        <f>Z21*(1+'Rhaniad y Ddeiliadaeth (De-o)'!G$109)+(Z$44*(-(50-$U21)*('Rhaniad y Ddeiliadaeth (De-o)'!G$110/40)))</f>
        <v>#VALUE!</v>
      </c>
      <c r="AC21" s="260">
        <v>27</v>
      </c>
      <c r="AD21" s="4">
        <f>IF('Rhaniad y Ddeiliadaeth (Cymru)'!$D$8="Amcangyfrifon LlC",'Incwm (De-orllewin)'!E21,'Incwm (De-orllewin)'!W21)</f>
        <v>17095.559281388145</v>
      </c>
      <c r="AE21" s="4">
        <f>IF('Rhaniad y Ddeiliadaeth (Cymru)'!$D$8="Amcangyfrifon LlC",'Incwm (De-orllewin)'!F21,'Incwm (De-orllewin)'!X21)</f>
        <v>17528.821409988341</v>
      </c>
      <c r="AF21" s="4">
        <f>IF('Rhaniad y Ddeiliadaeth (Cymru)'!$D$8="Amcangyfrifon LlC",'Incwm (De-orllewin)'!G21,'Incwm (De-orllewin)'!Y21)</f>
        <v>17970.023273028506</v>
      </c>
      <c r="AG21" s="4">
        <f>IF('Rhaniad y Ddeiliadaeth (Cymru)'!$D$8="Amcangyfrifon LlC",'Incwm (De-orllewin)'!H21,'Incwm (De-orllewin)'!Z21)</f>
        <v>18430.018215502972</v>
      </c>
      <c r="AH21" s="4">
        <f>IF('Rhaniad y Ddeiliadaeth (Cymru)'!$D$8="Amcangyfrifon LlC",'Incwm (De-orllewin)'!I21,'Incwm (De-orllewin)'!AA21)</f>
        <v>18896.854775605592</v>
      </c>
    </row>
    <row r="22" spans="2:34" x14ac:dyDescent="0.35">
      <c r="B22" s="251">
        <v>28</v>
      </c>
      <c r="C22" s="258">
        <v>16736.14244</v>
      </c>
      <c r="D22" s="258">
        <v>17164.686577920816</v>
      </c>
      <c r="E22" s="278">
        <f>D22*(1+'Rhaniad y Ddeiliadaeth (De-o)'!C$109)+(D$44*(-(50-$B22)*('Rhaniad y Ddeiliadaeth (De-o)'!C$110/40)))</f>
        <v>17407.141465516037</v>
      </c>
      <c r="F22" s="278">
        <f>E22*(1+'Rhaniad y Ddeiliadaeth (De-o)'!D$109)+(E$44*(-(50-$B22)*('Rhaniad y Ddeiliadaeth (De-o)'!D$110/40)))</f>
        <v>17857.720607232623</v>
      </c>
      <c r="G22" s="278">
        <f>F22*(1+'Rhaniad y Ddeiliadaeth (De-o)'!E$109)+(F$44*(-(50-$B22)*('Rhaniad y Ddeiliadaeth (De-o)'!E$110/40)))</f>
        <v>18317.029041030066</v>
      </c>
      <c r="H22" s="278">
        <f>G22*(1+'Rhaniad y Ddeiliadaeth (De-o)'!F$109)+(G$44*(-(50-$B22)*('Rhaniad y Ddeiliadaeth (De-o)'!F$110/40)))</f>
        <v>18796.159976599716</v>
      </c>
      <c r="I22" s="279">
        <f>H22*(1+'Rhaniad y Ddeiliadaeth (De-o)'!G$109)+H$44*(-(50-$B22)*('Rhaniad y Ddeiliadaeth (De-o)'!G$110/40))</f>
        <v>19282.974006130102</v>
      </c>
      <c r="M22" s="36" t="str">
        <f t="shared" si="1"/>
        <v/>
      </c>
      <c r="N22" s="190"/>
      <c r="O22" s="13">
        <f t="shared" si="4"/>
        <v>1</v>
      </c>
      <c r="U22" s="1">
        <f t="shared" si="2"/>
        <v>28</v>
      </c>
      <c r="V22" s="4" t="str">
        <f t="shared" si="3"/>
        <v/>
      </c>
      <c r="W22" s="4" t="e">
        <f>IF($W$3=$N$3,N22,V22*(1+'Rhaniad y Ddeiliadaeth (De-o)'!C$109)+(V$44*(-(50-$U22)*('Rhaniad y Ddeiliadaeth (De-o)'!C$110/40))))</f>
        <v>#VALUE!</v>
      </c>
      <c r="X22" s="4" t="e">
        <f>W22*(1+'Rhaniad y Ddeiliadaeth (De-o)'!D$109)+(W$44*(-(50-$U22)*('Rhaniad y Ddeiliadaeth (De-o)'!D$110/40)))</f>
        <v>#VALUE!</v>
      </c>
      <c r="Y22" s="4" t="e">
        <f>X22*(1+'Rhaniad y Ddeiliadaeth (De-o)'!E$109)+(X$44*(-(50-$U22)*('Rhaniad y Ddeiliadaeth (De-o)'!E$110/40)))</f>
        <v>#VALUE!</v>
      </c>
      <c r="Z22" s="4" t="e">
        <f>Y22*(1+'Rhaniad y Ddeiliadaeth (De-o)'!F$109)+(Y$44*(-(50-$U22)*('Rhaniad y Ddeiliadaeth (De-o)'!F$110/40)))</f>
        <v>#VALUE!</v>
      </c>
      <c r="AA22" s="4" t="e">
        <f>Z22*(1+'Rhaniad y Ddeiliadaeth (De-o)'!G$109)+(Z$44*(-(50-$U22)*('Rhaniad y Ddeiliadaeth (De-o)'!G$110/40)))</f>
        <v>#VALUE!</v>
      </c>
      <c r="AC22" s="260">
        <v>28</v>
      </c>
      <c r="AD22" s="4">
        <f>IF('Rhaniad y Ddeiliadaeth (Cymru)'!$D$8="Amcangyfrifon LlC",'Incwm (De-orllewin)'!E22,'Incwm (De-orllewin)'!W22)</f>
        <v>17407.141465516037</v>
      </c>
      <c r="AE22" s="4">
        <f>IF('Rhaniad y Ddeiliadaeth (Cymru)'!$D$8="Amcangyfrifon LlC",'Incwm (De-orllewin)'!F22,'Incwm (De-orllewin)'!X22)</f>
        <v>17857.720607232623</v>
      </c>
      <c r="AF22" s="4">
        <f>IF('Rhaniad y Ddeiliadaeth (Cymru)'!$D$8="Amcangyfrifon LlC",'Incwm (De-orllewin)'!G22,'Incwm (De-orllewin)'!Y22)</f>
        <v>18317.029041030066</v>
      </c>
      <c r="AG22" s="4">
        <f>IF('Rhaniad y Ddeiliadaeth (Cymru)'!$D$8="Amcangyfrifon LlC",'Incwm (De-orllewin)'!H22,'Incwm (De-orllewin)'!Z22)</f>
        <v>18796.159976599716</v>
      </c>
      <c r="AH22" s="4">
        <f>IF('Rhaniad y Ddeiliadaeth (Cymru)'!$D$8="Amcangyfrifon LlC",'Incwm (De-orllewin)'!I22,'Incwm (De-orllewin)'!AA22)</f>
        <v>19282.974006130102</v>
      </c>
    </row>
    <row r="23" spans="2:34" x14ac:dyDescent="0.35">
      <c r="B23" s="251">
        <v>29</v>
      </c>
      <c r="C23" s="258">
        <v>17056</v>
      </c>
      <c r="D23" s="258">
        <v>17492.7343814491</v>
      </c>
      <c r="E23" s="278">
        <f>D23*(1+'Rhaniad y Ddeiliadaeth (De-o)'!C$109)+(D$44*(-(50-$B23)*('Rhaniad y Ddeiliadaeth (De-o)'!C$110/40)))</f>
        <v>17749.044820836611</v>
      </c>
      <c r="F23" s="278">
        <f>E23*(1+'Rhaniad y Ddeiliadaeth (De-o)'!D$109)+(E$44*(-(50-$B23)*('Rhaniad y Ddeiliadaeth (De-o)'!D$110/40)))</f>
        <v>18217.980202706894</v>
      </c>
      <c r="G23" s="278">
        <f>F23*(1+'Rhaniad y Ddeiliadaeth (De-o)'!E$109)+(F$44*(-(50-$B23)*('Rhaniad y Ddeiliadaeth (De-o)'!E$110/40)))</f>
        <v>18696.467052008891</v>
      </c>
      <c r="H23" s="278">
        <f>G23*(1+'Rhaniad y Ddeiliadaeth (De-o)'!F$109)+(G$44*(-(50-$B23)*('Rhaniad y Ddeiliadaeth (De-o)'!F$110/40)))</f>
        <v>19195.858901694588</v>
      </c>
      <c r="I23" s="279">
        <f>H23*(1+'Rhaniad y Ddeiliadaeth (De-o)'!G$109)+H$44*(-(50-$B23)*('Rhaniad y Ddeiliadaeth (De-o)'!G$110/40))</f>
        <v>19703.808059375129</v>
      </c>
      <c r="M23" s="36" t="str">
        <f t="shared" si="1"/>
        <v/>
      </c>
      <c r="N23" s="190"/>
      <c r="O23" s="13">
        <f t="shared" si="4"/>
        <v>1</v>
      </c>
      <c r="U23" s="1">
        <f t="shared" si="2"/>
        <v>29</v>
      </c>
      <c r="V23" s="4" t="str">
        <f t="shared" si="3"/>
        <v/>
      </c>
      <c r="W23" s="4" t="e">
        <f>IF($W$3=$N$3,N23,V23*(1+'Rhaniad y Ddeiliadaeth (De-o)'!C$109)+(V$44*(-(50-$U23)*('Rhaniad y Ddeiliadaeth (De-o)'!C$110/40))))</f>
        <v>#VALUE!</v>
      </c>
      <c r="X23" s="4" t="e">
        <f>W23*(1+'Rhaniad y Ddeiliadaeth (De-o)'!D$109)+(W$44*(-(50-$U23)*('Rhaniad y Ddeiliadaeth (De-o)'!D$110/40)))</f>
        <v>#VALUE!</v>
      </c>
      <c r="Y23" s="4" t="e">
        <f>X23*(1+'Rhaniad y Ddeiliadaeth (De-o)'!E$109)+(X$44*(-(50-$U23)*('Rhaniad y Ddeiliadaeth (De-o)'!E$110/40)))</f>
        <v>#VALUE!</v>
      </c>
      <c r="Z23" s="4" t="e">
        <f>Y23*(1+'Rhaniad y Ddeiliadaeth (De-o)'!F$109)+(Y$44*(-(50-$U23)*('Rhaniad y Ddeiliadaeth (De-o)'!F$110/40)))</f>
        <v>#VALUE!</v>
      </c>
      <c r="AA23" s="4" t="e">
        <f>Z23*(1+'Rhaniad y Ddeiliadaeth (De-o)'!G$109)+(Z$44*(-(50-$U23)*('Rhaniad y Ddeiliadaeth (De-o)'!G$110/40)))</f>
        <v>#VALUE!</v>
      </c>
      <c r="AC23" s="260">
        <v>29</v>
      </c>
      <c r="AD23" s="4">
        <f>IF('Rhaniad y Ddeiliadaeth (Cymru)'!$D$8="Amcangyfrifon LlC",'Incwm (De-orllewin)'!E23,'Incwm (De-orllewin)'!W23)</f>
        <v>17749.044820836611</v>
      </c>
      <c r="AE23" s="4">
        <f>IF('Rhaniad y Ddeiliadaeth (Cymru)'!$D$8="Amcangyfrifon LlC",'Incwm (De-orllewin)'!F23,'Incwm (De-orllewin)'!X23)</f>
        <v>18217.980202706894</v>
      </c>
      <c r="AF23" s="4">
        <f>IF('Rhaniad y Ddeiliadaeth (Cymru)'!$D$8="Amcangyfrifon LlC",'Incwm (De-orllewin)'!G23,'Incwm (De-orllewin)'!Y23)</f>
        <v>18696.467052008891</v>
      </c>
      <c r="AG23" s="4">
        <f>IF('Rhaniad y Ddeiliadaeth (Cymru)'!$D$8="Amcangyfrifon LlC",'Incwm (De-orllewin)'!H23,'Incwm (De-orllewin)'!Z23)</f>
        <v>19195.858901694588</v>
      </c>
      <c r="AH23" s="4">
        <f>IF('Rhaniad y Ddeiliadaeth (Cymru)'!$D$8="Amcangyfrifon LlC",'Incwm (De-orllewin)'!I23,'Incwm (De-orllewin)'!AA23)</f>
        <v>19703.808059375129</v>
      </c>
    </row>
    <row r="24" spans="2:34" x14ac:dyDescent="0.35">
      <c r="B24" s="251">
        <v>30</v>
      </c>
      <c r="C24" s="258">
        <v>17332</v>
      </c>
      <c r="D24" s="258">
        <v>17726.446660205296</v>
      </c>
      <c r="E24" s="278">
        <f>D24*(1+'Rhaniad y Ddeiliadaeth (De-o)'!C$109)+(D$44*(-(50-$B24)*('Rhaniad y Ddeiliadaeth (De-o)'!C$110/40)))</f>
        <v>17994.495178668465</v>
      </c>
      <c r="F24" s="278">
        <f>E24*(1+'Rhaniad y Ddeiliadaeth (De-o)'!D$109)+(E$44*(-(50-$B24)*('Rhaniad y Ddeiliadaeth (De-o)'!D$110/40)))</f>
        <v>18478.480973150923</v>
      </c>
      <c r="G24" s="278">
        <f>F24*(1+'Rhaniad y Ddeiliadaeth (De-o)'!E$109)+(F$44*(-(50-$B24)*('Rhaniad y Ddeiliadaeth (De-o)'!E$110/40)))</f>
        <v>18972.736652026251</v>
      </c>
      <c r="H24" s="278">
        <f>G24*(1+'Rhaniad y Ddeiliadaeth (De-o)'!F$109)+(G$44*(-(50-$B24)*('Rhaniad y Ddeiliadaeth (De-o)'!F$110/40)))</f>
        <v>19488.810991903985</v>
      </c>
      <c r="I24" s="279">
        <f>H24*(1+'Rhaniad y Ddeiliadaeth (De-o)'!G$109)+H$44*(-(50-$B24)*('Rhaniad y Ddeiliadaeth (De-o)'!G$110/40))</f>
        <v>20014.212713722434</v>
      </c>
      <c r="M24" s="36" t="str">
        <f t="shared" si="1"/>
        <v/>
      </c>
      <c r="N24" s="190"/>
      <c r="O24" s="13">
        <f t="shared" si="4"/>
        <v>1</v>
      </c>
      <c r="U24" s="1">
        <f t="shared" si="2"/>
        <v>30</v>
      </c>
      <c r="V24" s="4" t="str">
        <f t="shared" si="3"/>
        <v/>
      </c>
      <c r="W24" s="4" t="e">
        <f>IF($W$3=$N$3,N24,V24*(1+'Rhaniad y Ddeiliadaeth (De-o)'!C$109)+(V$44*(-(50-$U24)*('Rhaniad y Ddeiliadaeth (De-o)'!C$110/40))))</f>
        <v>#VALUE!</v>
      </c>
      <c r="X24" s="4" t="e">
        <f>W24*(1+'Rhaniad y Ddeiliadaeth (De-o)'!D$109)+(W$44*(-(50-$U24)*('Rhaniad y Ddeiliadaeth (De-o)'!D$110/40)))</f>
        <v>#VALUE!</v>
      </c>
      <c r="Y24" s="4" t="e">
        <f>X24*(1+'Rhaniad y Ddeiliadaeth (De-o)'!E$109)+(X$44*(-(50-$U24)*('Rhaniad y Ddeiliadaeth (De-o)'!E$110/40)))</f>
        <v>#VALUE!</v>
      </c>
      <c r="Z24" s="4" t="e">
        <f>Y24*(1+'Rhaniad y Ddeiliadaeth (De-o)'!F$109)+(Y$44*(-(50-$U24)*('Rhaniad y Ddeiliadaeth (De-o)'!F$110/40)))</f>
        <v>#VALUE!</v>
      </c>
      <c r="AA24" s="4" t="e">
        <f>Z24*(1+'Rhaniad y Ddeiliadaeth (De-o)'!G$109)+(Z$44*(-(50-$U24)*('Rhaniad y Ddeiliadaeth (De-o)'!G$110/40)))</f>
        <v>#VALUE!</v>
      </c>
      <c r="AC24" s="260">
        <v>30</v>
      </c>
      <c r="AD24" s="4">
        <f>IF('Rhaniad y Ddeiliadaeth (Cymru)'!$D$8="Amcangyfrifon LlC",'Incwm (De-orllewin)'!E24,'Incwm (De-orllewin)'!W24)</f>
        <v>17994.495178668465</v>
      </c>
      <c r="AE24" s="4">
        <f>IF('Rhaniad y Ddeiliadaeth (Cymru)'!$D$8="Amcangyfrifon LlC",'Incwm (De-orllewin)'!F24,'Incwm (De-orllewin)'!X24)</f>
        <v>18478.480973150923</v>
      </c>
      <c r="AF24" s="4">
        <f>IF('Rhaniad y Ddeiliadaeth (Cymru)'!$D$8="Amcangyfrifon LlC",'Incwm (De-orllewin)'!G24,'Incwm (De-orllewin)'!Y24)</f>
        <v>18972.736652026251</v>
      </c>
      <c r="AG24" s="4">
        <f>IF('Rhaniad y Ddeiliadaeth (Cymru)'!$D$8="Amcangyfrifon LlC",'Incwm (De-orllewin)'!H24,'Incwm (De-orllewin)'!Z24)</f>
        <v>19488.810991903985</v>
      </c>
      <c r="AH24" s="4">
        <f>IF('Rhaniad y Ddeiliadaeth (Cymru)'!$D$8="Amcangyfrifon LlC",'Incwm (De-orllewin)'!I24,'Incwm (De-orllewin)'!AA24)</f>
        <v>20014.212713722434</v>
      </c>
    </row>
    <row r="25" spans="2:34" x14ac:dyDescent="0.35">
      <c r="B25" s="251">
        <v>31</v>
      </c>
      <c r="C25" s="258">
        <v>17536</v>
      </c>
      <c r="D25" s="258">
        <v>17935.089351105471</v>
      </c>
      <c r="E25" s="278">
        <f>D25*(1+'Rhaniad y Ddeiliadaeth (De-o)'!C$109)+(D$44*(-(50-$B25)*('Rhaniad y Ddeiliadaeth (De-o)'!C$110/40)))</f>
        <v>18214.313232017339</v>
      </c>
      <c r="F25" s="278">
        <f>E25*(1+'Rhaniad y Ddeiliadaeth (De-o)'!D$109)+(E$44*(-(50-$B25)*('Rhaniad y Ddeiliadaeth (De-o)'!D$110/40)))</f>
        <v>18712.470918171002</v>
      </c>
      <c r="G25" s="278">
        <f>F25*(1+'Rhaniad y Ddeiliadaeth (De-o)'!E$109)+(F$44*(-(50-$B25)*('Rhaniad y Ddeiliadaeth (De-o)'!E$110/40)))</f>
        <v>19221.589331972267</v>
      </c>
      <c r="H25" s="278">
        <f>G25*(1+'Rhaniad y Ddeiliadaeth (De-o)'!F$109)+(G$44*(-(50-$B25)*('Rhaniad y Ddeiliadaeth (De-o)'!F$110/40)))</f>
        <v>19753.395198837396</v>
      </c>
      <c r="I25" s="279">
        <f>H25*(1+'Rhaniad y Ddeiliadaeth (De-o)'!G$109)+H$44*(-(50-$B25)*('Rhaniad y Ddeiliadaeth (De-o)'!G$110/40))</f>
        <v>20295.270846446601</v>
      </c>
      <c r="M25" s="36" t="str">
        <f t="shared" si="1"/>
        <v/>
      </c>
      <c r="N25" s="190"/>
      <c r="O25" s="13">
        <f t="shared" si="4"/>
        <v>1</v>
      </c>
      <c r="U25" s="1">
        <f t="shared" si="2"/>
        <v>31</v>
      </c>
      <c r="V25" s="4" t="str">
        <f t="shared" si="3"/>
        <v/>
      </c>
      <c r="W25" s="4" t="e">
        <f>IF($W$3=$N$3,N25,V25*(1+'Rhaniad y Ddeiliadaeth (De-o)'!C$109)+(V$44*(-(50-$U25)*('Rhaniad y Ddeiliadaeth (De-o)'!C$110/40))))</f>
        <v>#VALUE!</v>
      </c>
      <c r="X25" s="4" t="e">
        <f>W25*(1+'Rhaniad y Ddeiliadaeth (De-o)'!D$109)+(W$44*(-(50-$U25)*('Rhaniad y Ddeiliadaeth (De-o)'!D$110/40)))</f>
        <v>#VALUE!</v>
      </c>
      <c r="Y25" s="4" t="e">
        <f>X25*(1+'Rhaniad y Ddeiliadaeth (De-o)'!E$109)+(X$44*(-(50-$U25)*('Rhaniad y Ddeiliadaeth (De-o)'!E$110/40)))</f>
        <v>#VALUE!</v>
      </c>
      <c r="Z25" s="4" t="e">
        <f>Y25*(1+'Rhaniad y Ddeiliadaeth (De-o)'!F$109)+(Y$44*(-(50-$U25)*('Rhaniad y Ddeiliadaeth (De-o)'!F$110/40)))</f>
        <v>#VALUE!</v>
      </c>
      <c r="AA25" s="4" t="e">
        <f>Z25*(1+'Rhaniad y Ddeiliadaeth (De-o)'!G$109)+(Z$44*(-(50-$U25)*('Rhaniad y Ddeiliadaeth (De-o)'!G$110/40)))</f>
        <v>#VALUE!</v>
      </c>
      <c r="AC25" s="260">
        <v>31</v>
      </c>
      <c r="AD25" s="4">
        <f>IF('Rhaniad y Ddeiliadaeth (Cymru)'!$D$8="Amcangyfrifon LlC",'Incwm (De-orllewin)'!E25,'Incwm (De-orllewin)'!W25)</f>
        <v>18214.313232017339</v>
      </c>
      <c r="AE25" s="4">
        <f>IF('Rhaniad y Ddeiliadaeth (Cymru)'!$D$8="Amcangyfrifon LlC",'Incwm (De-orllewin)'!F25,'Incwm (De-orllewin)'!X25)</f>
        <v>18712.470918171002</v>
      </c>
      <c r="AF25" s="4">
        <f>IF('Rhaniad y Ddeiliadaeth (Cymru)'!$D$8="Amcangyfrifon LlC",'Incwm (De-orllewin)'!G25,'Incwm (De-orllewin)'!Y25)</f>
        <v>19221.589331972267</v>
      </c>
      <c r="AG25" s="4">
        <f>IF('Rhaniad y Ddeiliadaeth (Cymru)'!$D$8="Amcangyfrifon LlC",'Incwm (De-orllewin)'!H25,'Incwm (De-orllewin)'!Z25)</f>
        <v>19753.395198837396</v>
      </c>
      <c r="AH25" s="4">
        <f>IF('Rhaniad y Ddeiliadaeth (Cymru)'!$D$8="Amcangyfrifon LlC",'Incwm (De-orllewin)'!I25,'Incwm (De-orllewin)'!AA25)</f>
        <v>20295.270846446601</v>
      </c>
    </row>
    <row r="26" spans="2:34" x14ac:dyDescent="0.35">
      <c r="B26" s="251">
        <v>32</v>
      </c>
      <c r="C26" s="258">
        <v>17948.5</v>
      </c>
      <c r="D26" s="258">
        <v>18356.977145205095</v>
      </c>
      <c r="E26" s="278">
        <f>D26*(1+'Rhaniad y Ddeiliadaeth (De-o)'!C$109)+(D$44*(-(50-$B26)*('Rhaniad y Ddeiliadaeth (De-o)'!C$110/40)))</f>
        <v>18652.162927773148</v>
      </c>
      <c r="F26" s="278">
        <f>E26*(1+'Rhaniad y Ddeiliadaeth (De-o)'!D$109)+(E$44*(-(50-$B26)*('Rhaniad y Ddeiliadaeth (De-o)'!D$110/40)))</f>
        <v>19171.965316471291</v>
      </c>
      <c r="G26" s="278">
        <f>F26*(1+'Rhaniad y Ddeiliadaeth (De-o)'!E$109)+(F$44*(-(50-$B26)*('Rhaniad y Ddeiliadaeth (De-o)'!E$110/40)))</f>
        <v>19703.653821526095</v>
      </c>
      <c r="H26" s="278">
        <f>G26*(1+'Rhaniad y Ddeiliadaeth (De-o)'!F$109)+(G$44*(-(50-$B26)*('Rhaniad y Ddeiliadaeth (De-o)'!F$110/40)))</f>
        <v>20259.28022936152</v>
      </c>
      <c r="I26" s="279">
        <f>H26*(1+'Rhaniad y Ddeiliadaeth (De-o)'!G$109)+H$44*(-(50-$B26)*('Rhaniad y Ddeiliadaeth (De-o)'!G$110/40))</f>
        <v>20825.954225026875</v>
      </c>
      <c r="M26" s="36" t="str">
        <f t="shared" si="1"/>
        <v/>
      </c>
      <c r="N26" s="190"/>
      <c r="O26" s="13">
        <f t="shared" si="4"/>
        <v>1</v>
      </c>
      <c r="U26" s="1">
        <f t="shared" si="2"/>
        <v>32</v>
      </c>
      <c r="V26" s="4" t="str">
        <f t="shared" si="3"/>
        <v/>
      </c>
      <c r="W26" s="4" t="e">
        <f>IF($W$3=$N$3,N26,V26*(1+'Rhaniad y Ddeiliadaeth (De-o)'!C$109)+(V$44*(-(50-$U26)*('Rhaniad y Ddeiliadaeth (De-o)'!C$110/40))))</f>
        <v>#VALUE!</v>
      </c>
      <c r="X26" s="4" t="e">
        <f>W26*(1+'Rhaniad y Ddeiliadaeth (De-o)'!D$109)+(W$44*(-(50-$U26)*('Rhaniad y Ddeiliadaeth (De-o)'!D$110/40)))</f>
        <v>#VALUE!</v>
      </c>
      <c r="Y26" s="4" t="e">
        <f>X26*(1+'Rhaniad y Ddeiliadaeth (De-o)'!E$109)+(X$44*(-(50-$U26)*('Rhaniad y Ddeiliadaeth (De-o)'!E$110/40)))</f>
        <v>#VALUE!</v>
      </c>
      <c r="Z26" s="4" t="e">
        <f>Y26*(1+'Rhaniad y Ddeiliadaeth (De-o)'!F$109)+(Y$44*(-(50-$U26)*('Rhaniad y Ddeiliadaeth (De-o)'!F$110/40)))</f>
        <v>#VALUE!</v>
      </c>
      <c r="AA26" s="4" t="e">
        <f>Z26*(1+'Rhaniad y Ddeiliadaeth (De-o)'!G$109)+(Z$44*(-(50-$U26)*('Rhaniad y Ddeiliadaeth (De-o)'!G$110/40)))</f>
        <v>#VALUE!</v>
      </c>
      <c r="AC26" s="260">
        <v>32</v>
      </c>
      <c r="AD26" s="4">
        <f>IF('Rhaniad y Ddeiliadaeth (Cymru)'!$D$8="Amcangyfrifon LlC",'Incwm (De-orllewin)'!E26,'Incwm (De-orllewin)'!W26)</f>
        <v>18652.162927773148</v>
      </c>
      <c r="AE26" s="4">
        <f>IF('Rhaniad y Ddeiliadaeth (Cymru)'!$D$8="Amcangyfrifon LlC",'Incwm (De-orllewin)'!F26,'Incwm (De-orllewin)'!X26)</f>
        <v>19171.965316471291</v>
      </c>
      <c r="AF26" s="4">
        <f>IF('Rhaniad y Ddeiliadaeth (Cymru)'!$D$8="Amcangyfrifon LlC",'Incwm (De-orllewin)'!G26,'Incwm (De-orllewin)'!Y26)</f>
        <v>19703.653821526095</v>
      </c>
      <c r="AG26" s="4">
        <f>IF('Rhaniad y Ddeiliadaeth (Cymru)'!$D$8="Amcangyfrifon LlC",'Incwm (De-orllewin)'!H26,'Incwm (De-orllewin)'!Z26)</f>
        <v>20259.28022936152</v>
      </c>
      <c r="AH26" s="4">
        <f>IF('Rhaniad y Ddeiliadaeth (Cymru)'!$D$8="Amcangyfrifon LlC",'Incwm (De-orllewin)'!I26,'Incwm (De-orllewin)'!AA26)</f>
        <v>20825.954225026875</v>
      </c>
    </row>
    <row r="27" spans="2:34" x14ac:dyDescent="0.35">
      <c r="B27" s="251">
        <v>33</v>
      </c>
      <c r="C27" s="258">
        <v>18272</v>
      </c>
      <c r="D27" s="258">
        <v>18687.839451608073</v>
      </c>
      <c r="E27" s="278">
        <f>D27*(1+'Rhaniad y Ddeiliadaeth (De-o)'!C$109)+(D$44*(-(50-$B27)*('Rhaniad y Ddeiliadaeth (De-o)'!C$110/40)))</f>
        <v>18996.943960822875</v>
      </c>
      <c r="F27" s="278">
        <f>E27*(1+'Rhaniad y Ddeiliadaeth (De-o)'!D$109)+(E$44*(-(50-$B27)*('Rhaniad y Ddeiliadaeth (De-o)'!D$110/40)))</f>
        <v>19535.201219126786</v>
      </c>
      <c r="G27" s="278">
        <f>F27*(1+'Rhaniad y Ddeiliadaeth (De-o)'!E$109)+(F$44*(-(50-$B27)*('Rhaniad y Ddeiliadaeth (De-o)'!E$110/40)))</f>
        <v>20086.16986477251</v>
      </c>
      <c r="H27" s="278">
        <f>G27*(1+'Rhaniad y Ddeiliadaeth (De-o)'!F$109)+(G$44*(-(50-$B27)*('Rhaniad y Ddeiliadaeth (De-o)'!F$110/40)))</f>
        <v>20662.163949096324</v>
      </c>
      <c r="I27" s="279">
        <f>H27*(1+'Rhaniad y Ddeiliadaeth (De-o)'!G$109)+H$44*(-(50-$B27)*('Rhaniad y Ddeiliadaeth (De-o)'!G$110/40))</f>
        <v>21250.082942306461</v>
      </c>
      <c r="M27" s="36" t="str">
        <f t="shared" si="1"/>
        <v/>
      </c>
      <c r="N27" s="190"/>
      <c r="O27" s="13">
        <f t="shared" si="4"/>
        <v>1</v>
      </c>
      <c r="U27" s="1">
        <f t="shared" si="2"/>
        <v>33</v>
      </c>
      <c r="V27" s="4" t="str">
        <f t="shared" si="3"/>
        <v/>
      </c>
      <c r="W27" s="4" t="e">
        <f>IF($W$3=$N$3,N27,V27*(1+'Rhaniad y Ddeiliadaeth (De-o)'!C$109)+(V$44*(-(50-$U27)*('Rhaniad y Ddeiliadaeth (De-o)'!C$110/40))))</f>
        <v>#VALUE!</v>
      </c>
      <c r="X27" s="4" t="e">
        <f>W27*(1+'Rhaniad y Ddeiliadaeth (De-o)'!D$109)+(W$44*(-(50-$U27)*('Rhaniad y Ddeiliadaeth (De-o)'!D$110/40)))</f>
        <v>#VALUE!</v>
      </c>
      <c r="Y27" s="4" t="e">
        <f>X27*(1+'Rhaniad y Ddeiliadaeth (De-o)'!E$109)+(X$44*(-(50-$U27)*('Rhaniad y Ddeiliadaeth (De-o)'!E$110/40)))</f>
        <v>#VALUE!</v>
      </c>
      <c r="Z27" s="4" t="e">
        <f>Y27*(1+'Rhaniad y Ddeiliadaeth (De-o)'!F$109)+(Y$44*(-(50-$U27)*('Rhaniad y Ddeiliadaeth (De-o)'!F$110/40)))</f>
        <v>#VALUE!</v>
      </c>
      <c r="AA27" s="4" t="e">
        <f>Z27*(1+'Rhaniad y Ddeiliadaeth (De-o)'!G$109)+(Z$44*(-(50-$U27)*('Rhaniad y Ddeiliadaeth (De-o)'!G$110/40)))</f>
        <v>#VALUE!</v>
      </c>
      <c r="AC27" s="260">
        <v>33</v>
      </c>
      <c r="AD27" s="4">
        <f>IF('Rhaniad y Ddeiliadaeth (Cymru)'!$D$8="Amcangyfrifon LlC",'Incwm (De-orllewin)'!E27,'Incwm (De-orllewin)'!W27)</f>
        <v>18996.943960822875</v>
      </c>
      <c r="AE27" s="4">
        <f>IF('Rhaniad y Ddeiliadaeth (Cymru)'!$D$8="Amcangyfrifon LlC",'Incwm (De-orllewin)'!F27,'Incwm (De-orllewin)'!X27)</f>
        <v>19535.201219126786</v>
      </c>
      <c r="AF27" s="4">
        <f>IF('Rhaniad y Ddeiliadaeth (Cymru)'!$D$8="Amcangyfrifon LlC",'Incwm (De-orllewin)'!G27,'Incwm (De-orllewin)'!Y27)</f>
        <v>20086.16986477251</v>
      </c>
      <c r="AG27" s="4">
        <f>IF('Rhaniad y Ddeiliadaeth (Cymru)'!$D$8="Amcangyfrifon LlC",'Incwm (De-orllewin)'!H27,'Incwm (De-orllewin)'!Z27)</f>
        <v>20662.163949096324</v>
      </c>
      <c r="AH27" s="4">
        <f>IF('Rhaniad y Ddeiliadaeth (Cymru)'!$D$8="Amcangyfrifon LlC",'Incwm (De-orllewin)'!I27,'Incwm (De-orllewin)'!AA27)</f>
        <v>21250.082942306461</v>
      </c>
    </row>
    <row r="28" spans="2:34" x14ac:dyDescent="0.35">
      <c r="B28" s="251">
        <v>34</v>
      </c>
      <c r="C28" s="258">
        <v>18577.992440000002</v>
      </c>
      <c r="D28" s="258">
        <v>19000.795755905681</v>
      </c>
      <c r="E28" s="278">
        <f>D28*(1+'Rhaniad y Ddeiliadaeth (De-o)'!C$109)+(D$44*(-(50-$B28)*('Rhaniad y Ddeiliadaeth (De-o)'!C$110/40)))</f>
        <v>19323.417070317035</v>
      </c>
      <c r="F28" s="278">
        <f>E28*(1+'Rhaniad y Ddeiliadaeth (De-o)'!D$109)+(E$44*(-(50-$B28)*('Rhaniad y Ddeiliadaeth (De-o)'!D$110/40)))</f>
        <v>19879.501712928239</v>
      </c>
      <c r="G28" s="278">
        <f>F28*(1+'Rhaniad y Ddeiliadaeth (De-o)'!E$109)+(F$44*(-(50-$B28)*('Rhaniad y Ddeiliadaeth (De-o)'!E$110/40)))</f>
        <v>20449.10331929271</v>
      </c>
      <c r="H28" s="278">
        <f>G28*(1+'Rhaniad y Ddeiliadaeth (De-o)'!F$109)+(G$44*(-(50-$B28)*('Rhaniad y Ddeiliadaeth (De-o)'!F$110/40)))</f>
        <v>21044.78585277807</v>
      </c>
      <c r="I28" s="279">
        <f>H28*(1+'Rhaniad y Ddeiliadaeth (De-o)'!G$109)+H$44*(-(50-$B28)*('Rhaniad y Ddeiliadaeth (De-o)'!G$110/40))</f>
        <v>21653.250849181542</v>
      </c>
      <c r="M28" s="36" t="str">
        <f t="shared" si="1"/>
        <v/>
      </c>
      <c r="N28" s="190"/>
      <c r="O28" s="13">
        <f t="shared" si="4"/>
        <v>1</v>
      </c>
      <c r="U28" s="1">
        <f t="shared" si="2"/>
        <v>34</v>
      </c>
      <c r="V28" s="4" t="str">
        <f t="shared" si="3"/>
        <v/>
      </c>
      <c r="W28" s="4" t="e">
        <f>IF($W$3=$N$3,N28,V28*(1+'Rhaniad y Ddeiliadaeth (De-o)'!C$109)+(V$44*(-(50-$U28)*('Rhaniad y Ddeiliadaeth (De-o)'!C$110/40))))</f>
        <v>#VALUE!</v>
      </c>
      <c r="X28" s="4" t="e">
        <f>W28*(1+'Rhaniad y Ddeiliadaeth (De-o)'!D$109)+(W$44*(-(50-$U28)*('Rhaniad y Ddeiliadaeth (De-o)'!D$110/40)))</f>
        <v>#VALUE!</v>
      </c>
      <c r="Y28" s="4" t="e">
        <f>X28*(1+'Rhaniad y Ddeiliadaeth (De-o)'!E$109)+(X$44*(-(50-$U28)*('Rhaniad y Ddeiliadaeth (De-o)'!E$110/40)))</f>
        <v>#VALUE!</v>
      </c>
      <c r="Z28" s="4" t="e">
        <f>Y28*(1+'Rhaniad y Ddeiliadaeth (De-o)'!F$109)+(Y$44*(-(50-$U28)*('Rhaniad y Ddeiliadaeth (De-o)'!F$110/40)))</f>
        <v>#VALUE!</v>
      </c>
      <c r="AA28" s="4" t="e">
        <f>Z28*(1+'Rhaniad y Ddeiliadaeth (De-o)'!G$109)+(Z$44*(-(50-$U28)*('Rhaniad y Ddeiliadaeth (De-o)'!G$110/40)))</f>
        <v>#VALUE!</v>
      </c>
      <c r="AC28" s="260">
        <v>34</v>
      </c>
      <c r="AD28" s="4">
        <f>IF('Rhaniad y Ddeiliadaeth (Cymru)'!$D$8="Amcangyfrifon LlC",'Incwm (De-orllewin)'!E28,'Incwm (De-orllewin)'!W28)</f>
        <v>19323.417070317035</v>
      </c>
      <c r="AE28" s="4">
        <f>IF('Rhaniad y Ddeiliadaeth (Cymru)'!$D$8="Amcangyfrifon LlC",'Incwm (De-orllewin)'!F28,'Incwm (De-orllewin)'!X28)</f>
        <v>19879.501712928239</v>
      </c>
      <c r="AF28" s="4">
        <f>IF('Rhaniad y Ddeiliadaeth (Cymru)'!$D$8="Amcangyfrifon LlC",'Incwm (De-orllewin)'!G28,'Incwm (De-orllewin)'!Y28)</f>
        <v>20449.10331929271</v>
      </c>
      <c r="AG28" s="4">
        <f>IF('Rhaniad y Ddeiliadaeth (Cymru)'!$D$8="Amcangyfrifon LlC",'Incwm (De-orllewin)'!H28,'Incwm (De-orllewin)'!Z28)</f>
        <v>21044.78585277807</v>
      </c>
      <c r="AH28" s="4">
        <f>IF('Rhaniad y Ddeiliadaeth (Cymru)'!$D$8="Amcangyfrifon LlC",'Incwm (De-orllewin)'!I28,'Incwm (De-orllewin)'!AA28)</f>
        <v>21653.250849181542</v>
      </c>
    </row>
    <row r="29" spans="2:34" x14ac:dyDescent="0.35">
      <c r="B29" s="251">
        <v>35</v>
      </c>
      <c r="C29" s="258">
        <v>18996</v>
      </c>
      <c r="D29" s="258">
        <v>19428.316452645959</v>
      </c>
      <c r="E29" s="278">
        <f>D29*(1+'Rhaniad y Ddeiliadaeth (De-o)'!C$109)+(D$44*(-(50-$B29)*('Rhaniad y Ddeiliadaeth (De-o)'!C$110/40)))</f>
        <v>19767.026105892761</v>
      </c>
      <c r="F29" s="278">
        <f>E29*(1+'Rhaniad y Ddeiliadaeth (De-o)'!D$109)+(E$44*(-(50-$B29)*('Rhaniad y Ddeiliadaeth (De-o)'!D$110/40)))</f>
        <v>20344.952846512489</v>
      </c>
      <c r="G29" s="278">
        <f>F29*(1+'Rhaniad y Ddeiliadaeth (De-o)'!E$109)+(F$44*(-(50-$B29)*('Rhaniad y Ddeiliadaeth (De-o)'!E$110/40)))</f>
        <v>20937.328135149281</v>
      </c>
      <c r="H29" s="278">
        <f>G29*(1+'Rhaniad y Ddeiliadaeth (De-o)'!F$109)+(G$44*(-(50-$B29)*('Rhaniad y Ddeiliadaeth (De-o)'!F$110/40)))</f>
        <v>21557.044882170176</v>
      </c>
      <c r="I29" s="279">
        <f>H29*(1+'Rhaniad y Ddeiliadaeth (De-o)'!G$109)+H$44*(-(50-$B29)*('Rhaniad y Ddeiliadaeth (De-o)'!G$110/40))</f>
        <v>22190.528117541508</v>
      </c>
      <c r="M29" s="36" t="str">
        <f t="shared" si="1"/>
        <v/>
      </c>
      <c r="N29" s="190"/>
      <c r="O29" s="13">
        <f t="shared" si="4"/>
        <v>1</v>
      </c>
      <c r="U29" s="1">
        <f t="shared" si="2"/>
        <v>35</v>
      </c>
      <c r="V29" s="4" t="str">
        <f t="shared" si="3"/>
        <v/>
      </c>
      <c r="W29" s="4" t="e">
        <f>IF($W$3=$N$3,N29,V29*(1+'Rhaniad y Ddeiliadaeth (De-o)'!C$109)+(V$44*(-(50-$U29)*('Rhaniad y Ddeiliadaeth (De-o)'!C$110/40))))</f>
        <v>#VALUE!</v>
      </c>
      <c r="X29" s="4" t="e">
        <f>W29*(1+'Rhaniad y Ddeiliadaeth (De-o)'!D$109)+(W$44*(-(50-$U29)*('Rhaniad y Ddeiliadaeth (De-o)'!D$110/40)))</f>
        <v>#VALUE!</v>
      </c>
      <c r="Y29" s="4" t="e">
        <f>X29*(1+'Rhaniad y Ddeiliadaeth (De-o)'!E$109)+(X$44*(-(50-$U29)*('Rhaniad y Ddeiliadaeth (De-o)'!E$110/40)))</f>
        <v>#VALUE!</v>
      </c>
      <c r="Z29" s="4" t="e">
        <f>Y29*(1+'Rhaniad y Ddeiliadaeth (De-o)'!F$109)+(Y$44*(-(50-$U29)*('Rhaniad y Ddeiliadaeth (De-o)'!F$110/40)))</f>
        <v>#VALUE!</v>
      </c>
      <c r="AA29" s="4" t="e">
        <f>Z29*(1+'Rhaniad y Ddeiliadaeth (De-o)'!G$109)+(Z$44*(-(50-$U29)*('Rhaniad y Ddeiliadaeth (De-o)'!G$110/40)))</f>
        <v>#VALUE!</v>
      </c>
      <c r="AC29" s="260">
        <v>35</v>
      </c>
      <c r="AD29" s="4">
        <f>IF('Rhaniad y Ddeiliadaeth (Cymru)'!$D$8="Amcangyfrifon LlC",'Incwm (De-orllewin)'!E29,'Incwm (De-orllewin)'!W29)</f>
        <v>19767.026105892761</v>
      </c>
      <c r="AE29" s="4">
        <f>IF('Rhaniad y Ddeiliadaeth (Cymru)'!$D$8="Amcangyfrifon LlC",'Incwm (De-orllewin)'!F29,'Incwm (De-orllewin)'!X29)</f>
        <v>20344.952846512489</v>
      </c>
      <c r="AF29" s="4">
        <f>IF('Rhaniad y Ddeiliadaeth (Cymru)'!$D$8="Amcangyfrifon LlC",'Incwm (De-orllewin)'!G29,'Incwm (De-orllewin)'!Y29)</f>
        <v>20937.328135149281</v>
      </c>
      <c r="AG29" s="4">
        <f>IF('Rhaniad y Ddeiliadaeth (Cymru)'!$D$8="Amcangyfrifon LlC",'Incwm (De-orllewin)'!H29,'Incwm (De-orllewin)'!Z29)</f>
        <v>21557.044882170176</v>
      </c>
      <c r="AH29" s="4">
        <f>IF('Rhaniad y Ddeiliadaeth (Cymru)'!$D$8="Amcangyfrifon LlC",'Incwm (De-orllewin)'!I29,'Incwm (De-orllewin)'!AA29)</f>
        <v>22190.528117541508</v>
      </c>
    </row>
    <row r="30" spans="2:34" x14ac:dyDescent="0.35">
      <c r="B30" s="251">
        <v>36</v>
      </c>
      <c r="C30" s="258">
        <v>19229.599999999999</v>
      </c>
      <c r="D30" s="258">
        <v>19667.232788892437</v>
      </c>
      <c r="E30" s="278">
        <f>D30*(1+'Rhaniad y Ddeiliadaeth (De-o)'!C$109)+(D$44*(-(50-$B30)*('Rhaniad y Ddeiliadaeth (De-o)'!C$110/40)))</f>
        <v>20017.797332456244</v>
      </c>
      <c r="F30" s="278">
        <f>E30*(1+'Rhaniad y Ddeiliadaeth (De-o)'!D$109)+(E$44*(-(50-$B30)*('Rhaniad y Ddeiliadaeth (De-o)'!D$110/40)))</f>
        <v>20610.956853005449</v>
      </c>
      <c r="G30" s="278">
        <f>F30*(1+'Rhaniad y Ddeiliadaeth (De-o)'!E$109)+(F$44*(-(50-$B30)*('Rhaniad y Ddeiliadaeth (De-o)'!E$110/40)))</f>
        <v>21219.289062406533</v>
      </c>
      <c r="H30" s="278">
        <f>G30*(1+'Rhaniad y Ddeiliadaeth (De-o)'!F$109)+(G$44*(-(50-$B30)*('Rhaniad y Ddeiliadaeth (De-o)'!F$110/40)))</f>
        <v>21855.885704826782</v>
      </c>
      <c r="I30" s="279">
        <f>H30*(1+'Rhaniad y Ddeiliadaeth (De-o)'!G$109)+H$44*(-(50-$B30)*('Rhaniad y Ddeiliadaeth (De-o)'!G$110/40))</f>
        <v>22507.024654473553</v>
      </c>
      <c r="M30" s="36" t="str">
        <f t="shared" si="1"/>
        <v/>
      </c>
      <c r="N30" s="190"/>
      <c r="O30" s="13">
        <f t="shared" si="4"/>
        <v>1</v>
      </c>
      <c r="U30" s="1">
        <f t="shared" si="2"/>
        <v>36</v>
      </c>
      <c r="V30" s="4" t="str">
        <f t="shared" si="3"/>
        <v/>
      </c>
      <c r="W30" s="4" t="e">
        <f>IF($W$3=$N$3,N30,V30*(1+'Rhaniad y Ddeiliadaeth (De-o)'!C$109)+(V$44*(-(50-$U30)*('Rhaniad y Ddeiliadaeth (De-o)'!C$110/40))))</f>
        <v>#VALUE!</v>
      </c>
      <c r="X30" s="4" t="e">
        <f>W30*(1+'Rhaniad y Ddeiliadaeth (De-o)'!D$109)+(W$44*(-(50-$U30)*('Rhaniad y Ddeiliadaeth (De-o)'!D$110/40)))</f>
        <v>#VALUE!</v>
      </c>
      <c r="Y30" s="4" t="e">
        <f>X30*(1+'Rhaniad y Ddeiliadaeth (De-o)'!E$109)+(X$44*(-(50-$U30)*('Rhaniad y Ddeiliadaeth (De-o)'!E$110/40)))</f>
        <v>#VALUE!</v>
      </c>
      <c r="Z30" s="4" t="e">
        <f>Y30*(1+'Rhaniad y Ddeiliadaeth (De-o)'!F$109)+(Y$44*(-(50-$U30)*('Rhaniad y Ddeiliadaeth (De-o)'!F$110/40)))</f>
        <v>#VALUE!</v>
      </c>
      <c r="AA30" s="4" t="e">
        <f>Z30*(1+'Rhaniad y Ddeiliadaeth (De-o)'!G$109)+(Z$44*(-(50-$U30)*('Rhaniad y Ddeiliadaeth (De-o)'!G$110/40)))</f>
        <v>#VALUE!</v>
      </c>
      <c r="AC30" s="260">
        <v>36</v>
      </c>
      <c r="AD30" s="4">
        <f>IF('Rhaniad y Ddeiliadaeth (Cymru)'!$D$8="Amcangyfrifon LlC",'Incwm (De-orllewin)'!E30,'Incwm (De-orllewin)'!W30)</f>
        <v>20017.797332456244</v>
      </c>
      <c r="AE30" s="4">
        <f>IF('Rhaniad y Ddeiliadaeth (Cymru)'!$D$8="Amcangyfrifon LlC",'Incwm (De-orllewin)'!F30,'Incwm (De-orllewin)'!X30)</f>
        <v>20610.956853005449</v>
      </c>
      <c r="AF30" s="4">
        <f>IF('Rhaniad y Ddeiliadaeth (Cymru)'!$D$8="Amcangyfrifon LlC",'Incwm (De-orllewin)'!G30,'Incwm (De-orllewin)'!Y30)</f>
        <v>21219.289062406533</v>
      </c>
      <c r="AG30" s="4">
        <f>IF('Rhaniad y Ddeiliadaeth (Cymru)'!$D$8="Amcangyfrifon LlC",'Incwm (De-orllewin)'!H30,'Incwm (De-orllewin)'!Z30)</f>
        <v>21855.885704826782</v>
      </c>
      <c r="AH30" s="4">
        <f>IF('Rhaniad y Ddeiliadaeth (Cymru)'!$D$8="Amcangyfrifon LlC",'Incwm (De-orllewin)'!I30,'Incwm (De-orllewin)'!AA30)</f>
        <v>22507.024654473553</v>
      </c>
    </row>
    <row r="31" spans="2:34" x14ac:dyDescent="0.35">
      <c r="B31" s="251">
        <v>37</v>
      </c>
      <c r="C31" s="258">
        <v>19544.5</v>
      </c>
      <c r="D31" s="258">
        <v>19989.299374012367</v>
      </c>
      <c r="E31" s="278">
        <f>D31*(1+'Rhaniad y Ddeiliadaeth (De-o)'!C$109)+(D$44*(-(50-$B31)*('Rhaniad y Ddeiliadaeth (De-o)'!C$110/40)))</f>
        <v>20353.585213828759</v>
      </c>
      <c r="F31" s="278">
        <f>E31*(1+'Rhaniad y Ddeiliadaeth (De-o)'!D$109)+(E$44*(-(50-$B31)*('Rhaniad y Ddeiliadaeth (De-o)'!D$110/40)))</f>
        <v>20964.891372935719</v>
      </c>
      <c r="G31" s="278">
        <f>F31*(1+'Rhaniad y Ddeiliadaeth (De-o)'!E$109)+(F$44*(-(50-$B31)*('Rhaniad y Ddeiliadaeth (De-o)'!E$110/40)))</f>
        <v>21592.185817582795</v>
      </c>
      <c r="H31" s="278">
        <f>G31*(1+'Rhaniad y Ddeiliadaeth (De-o)'!F$109)+(G$44*(-(50-$B31)*('Rhaniad y Ddeiliadaeth (De-o)'!F$110/40)))</f>
        <v>22248.816488912282</v>
      </c>
      <c r="I31" s="279">
        <f>H31*(1+'Rhaniad y Ddeiliadaeth (De-o)'!G$109)+H$44*(-(50-$B31)*('Rhaniad y Ddeiliadaeth (De-o)'!G$110/40))</f>
        <v>22920.857078638692</v>
      </c>
      <c r="M31" s="36" t="str">
        <f t="shared" si="1"/>
        <v/>
      </c>
      <c r="N31" s="190"/>
      <c r="O31" s="13">
        <f t="shared" si="4"/>
        <v>1</v>
      </c>
      <c r="U31" s="1">
        <f t="shared" si="2"/>
        <v>37</v>
      </c>
      <c r="V31" s="4" t="str">
        <f t="shared" si="3"/>
        <v/>
      </c>
      <c r="W31" s="4" t="e">
        <f>IF($W$3=$N$3,N31,V31*(1+'Rhaniad y Ddeiliadaeth (De-o)'!C$109)+(V$44*(-(50-$U31)*('Rhaniad y Ddeiliadaeth (De-o)'!C$110/40))))</f>
        <v>#VALUE!</v>
      </c>
      <c r="X31" s="4" t="e">
        <f>W31*(1+'Rhaniad y Ddeiliadaeth (De-o)'!D$109)+(W$44*(-(50-$U31)*('Rhaniad y Ddeiliadaeth (De-o)'!D$110/40)))</f>
        <v>#VALUE!</v>
      </c>
      <c r="Y31" s="4" t="e">
        <f>X31*(1+'Rhaniad y Ddeiliadaeth (De-o)'!E$109)+(X$44*(-(50-$U31)*('Rhaniad y Ddeiliadaeth (De-o)'!E$110/40)))</f>
        <v>#VALUE!</v>
      </c>
      <c r="Z31" s="4" t="e">
        <f>Y31*(1+'Rhaniad y Ddeiliadaeth (De-o)'!F$109)+(Y$44*(-(50-$U31)*('Rhaniad y Ddeiliadaeth (De-o)'!F$110/40)))</f>
        <v>#VALUE!</v>
      </c>
      <c r="AA31" s="4" t="e">
        <f>Z31*(1+'Rhaniad y Ddeiliadaeth (De-o)'!G$109)+(Z$44*(-(50-$U31)*('Rhaniad y Ddeiliadaeth (De-o)'!G$110/40)))</f>
        <v>#VALUE!</v>
      </c>
      <c r="AC31" s="260">
        <v>37</v>
      </c>
      <c r="AD31" s="4">
        <f>IF('Rhaniad y Ddeiliadaeth (Cymru)'!$D$8="Amcangyfrifon LlC",'Incwm (De-orllewin)'!E31,'Incwm (De-orllewin)'!W31)</f>
        <v>20353.585213828759</v>
      </c>
      <c r="AE31" s="4">
        <f>IF('Rhaniad y Ddeiliadaeth (Cymru)'!$D$8="Amcangyfrifon LlC",'Incwm (De-orllewin)'!F31,'Incwm (De-orllewin)'!X31)</f>
        <v>20964.891372935719</v>
      </c>
      <c r="AF31" s="4">
        <f>IF('Rhaniad y Ddeiliadaeth (Cymru)'!$D$8="Amcangyfrifon LlC",'Incwm (De-orllewin)'!G31,'Incwm (De-orllewin)'!Y31)</f>
        <v>21592.185817582795</v>
      </c>
      <c r="AG31" s="4">
        <f>IF('Rhaniad y Ddeiliadaeth (Cymru)'!$D$8="Amcangyfrifon LlC",'Incwm (De-orllewin)'!H31,'Incwm (De-orllewin)'!Z31)</f>
        <v>22248.816488912282</v>
      </c>
      <c r="AH31" s="4">
        <f>IF('Rhaniad y Ddeiliadaeth (Cymru)'!$D$8="Amcangyfrifon LlC",'Incwm (De-orllewin)'!I31,'Incwm (De-orllewin)'!AA31)</f>
        <v>22920.857078638692</v>
      </c>
    </row>
    <row r="32" spans="2:34" x14ac:dyDescent="0.35">
      <c r="B32" s="251">
        <v>38</v>
      </c>
      <c r="C32" s="258">
        <v>19825</v>
      </c>
      <c r="D32" s="258">
        <v>20276.183074000113</v>
      </c>
      <c r="E32" s="278">
        <f>D32*(1+'Rhaniad y Ddeiliadaeth (De-o)'!C$109)+(D$44*(-(50-$B32)*('Rhaniad y Ddeiliadaeth (De-o)'!C$110/40)))</f>
        <v>20653.400488492407</v>
      </c>
      <c r="F32" s="278">
        <f>E32*(1+'Rhaniad y Ddeiliadaeth (De-o)'!D$109)+(E$44*(-(50-$B32)*('Rhaniad y Ddeiliadaeth (De-o)'!D$110/40)))</f>
        <v>21281.620361965084</v>
      </c>
      <c r="G32" s="278">
        <f>F32*(1+'Rhaniad y Ddeiliadaeth (De-o)'!E$109)+(F$44*(-(50-$B32)*('Rhaniad y Ddeiliadaeth (De-o)'!E$110/40)))</f>
        <v>21926.605420478438</v>
      </c>
      <c r="H32" s="278">
        <f>G32*(1+'Rhaniad y Ddeiliadaeth (De-o)'!F$109)+(G$44*(-(50-$B32)*('Rhaniad y Ddeiliadaeth (De-o)'!F$110/40)))</f>
        <v>22601.935530400558</v>
      </c>
      <c r="I32" s="279">
        <f>H32*(1+'Rhaniad y Ddeiliadaeth (De-o)'!G$109)+H$44*(-(50-$B32)*('Rhaniad y Ddeiliadaeth (De-o)'!G$110/40))</f>
        <v>23293.504330346037</v>
      </c>
      <c r="M32" s="36" t="str">
        <f t="shared" si="1"/>
        <v/>
      </c>
      <c r="N32" s="190"/>
      <c r="O32" s="13">
        <f t="shared" si="4"/>
        <v>1</v>
      </c>
      <c r="U32" s="1">
        <f t="shared" si="2"/>
        <v>38</v>
      </c>
      <c r="V32" s="4" t="str">
        <f t="shared" si="3"/>
        <v/>
      </c>
      <c r="W32" s="4" t="e">
        <f>IF($W$3=$N$3,N32,V32*(1+'Rhaniad y Ddeiliadaeth (De-o)'!C$109)+(V$44*(-(50-$U32)*('Rhaniad y Ddeiliadaeth (De-o)'!C$110/40))))</f>
        <v>#VALUE!</v>
      </c>
      <c r="X32" s="4" t="e">
        <f>W32*(1+'Rhaniad y Ddeiliadaeth (De-o)'!D$109)+(W$44*(-(50-$U32)*('Rhaniad y Ddeiliadaeth (De-o)'!D$110/40)))</f>
        <v>#VALUE!</v>
      </c>
      <c r="Y32" s="4" t="e">
        <f>X32*(1+'Rhaniad y Ddeiliadaeth (De-o)'!E$109)+(X$44*(-(50-$U32)*('Rhaniad y Ddeiliadaeth (De-o)'!E$110/40)))</f>
        <v>#VALUE!</v>
      </c>
      <c r="Z32" s="4" t="e">
        <f>Y32*(1+'Rhaniad y Ddeiliadaeth (De-o)'!F$109)+(Y$44*(-(50-$U32)*('Rhaniad y Ddeiliadaeth (De-o)'!F$110/40)))</f>
        <v>#VALUE!</v>
      </c>
      <c r="AA32" s="4" t="e">
        <f>Z32*(1+'Rhaniad y Ddeiliadaeth (De-o)'!G$109)+(Z$44*(-(50-$U32)*('Rhaniad y Ddeiliadaeth (De-o)'!G$110/40)))</f>
        <v>#VALUE!</v>
      </c>
      <c r="AC32" s="260">
        <v>38</v>
      </c>
      <c r="AD32" s="4">
        <f>IF('Rhaniad y Ddeiliadaeth (Cymru)'!$D$8="Amcangyfrifon LlC",'Incwm (De-orllewin)'!E32,'Incwm (De-orllewin)'!W32)</f>
        <v>20653.400488492407</v>
      </c>
      <c r="AE32" s="4">
        <f>IF('Rhaniad y Ddeiliadaeth (Cymru)'!$D$8="Amcangyfrifon LlC",'Incwm (De-orllewin)'!F32,'Incwm (De-orllewin)'!X32)</f>
        <v>21281.620361965084</v>
      </c>
      <c r="AF32" s="4">
        <f>IF('Rhaniad y Ddeiliadaeth (Cymru)'!$D$8="Amcangyfrifon LlC",'Incwm (De-orllewin)'!G32,'Incwm (De-orllewin)'!Y32)</f>
        <v>21926.605420478438</v>
      </c>
      <c r="AG32" s="4">
        <f>IF('Rhaniad y Ddeiliadaeth (Cymru)'!$D$8="Amcangyfrifon LlC",'Incwm (De-orllewin)'!H32,'Incwm (De-orllewin)'!Z32)</f>
        <v>22601.935530400558</v>
      </c>
      <c r="AH32" s="4">
        <f>IF('Rhaniad y Ddeiliadaeth (Cymru)'!$D$8="Amcangyfrifon LlC",'Incwm (De-orllewin)'!I32,'Incwm (De-orllewin)'!AA32)</f>
        <v>23293.504330346037</v>
      </c>
    </row>
    <row r="33" spans="2:34" x14ac:dyDescent="0.35">
      <c r="B33" s="251">
        <v>39</v>
      </c>
      <c r="C33" s="258">
        <v>20255.032999999999</v>
      </c>
      <c r="D33" s="258">
        <v>20716.002889175976</v>
      </c>
      <c r="E33" s="278">
        <f>D33*(1+'Rhaniad y Ddeiliadaeth (De-o)'!C$109)+(D$44*(-(50-$B33)*('Rhaniad y Ddeiliadaeth (De-o)'!C$110/40)))</f>
        <v>21109.584710801308</v>
      </c>
      <c r="F33" s="278">
        <f>E33*(1+'Rhaniad y Ddeiliadaeth (De-o)'!D$109)+(E$44*(-(50-$B33)*('Rhaniad y Ddeiliadaeth (De-o)'!D$110/40)))</f>
        <v>21760.077683907391</v>
      </c>
      <c r="G33" s="278">
        <f>F33*(1+'Rhaniad y Ddeiliadaeth (De-o)'!E$109)+(F$44*(-(50-$B33)*('Rhaniad y Ddeiliadaeth (De-o)'!E$110/40)))</f>
        <v>22428.280953954822</v>
      </c>
      <c r="H33" s="278">
        <f>G33*(1+'Rhaniad y Ddeiliadaeth (De-o)'!F$109)+(G$44*(-(50-$B33)*('Rhaniad y Ddeiliadaeth (De-o)'!F$110/40)))</f>
        <v>23128.111819150177</v>
      </c>
      <c r="I33" s="279">
        <f>H33*(1+'Rhaniad y Ddeiliadaeth (De-o)'!G$109)+H$44*(-(50-$B33)*('Rhaniad y Ddeiliadaeth (De-o)'!G$110/40))</f>
        <v>23845.178977202544</v>
      </c>
      <c r="M33" s="36" t="str">
        <f t="shared" si="1"/>
        <v/>
      </c>
      <c r="N33" s="190"/>
      <c r="O33" s="13">
        <f t="shared" si="4"/>
        <v>1</v>
      </c>
      <c r="U33" s="1">
        <f t="shared" si="2"/>
        <v>39</v>
      </c>
      <c r="V33" s="4" t="str">
        <f t="shared" si="3"/>
        <v/>
      </c>
      <c r="W33" s="4" t="e">
        <f>IF($W$3=$N$3,N33,V33*(1+'Rhaniad y Ddeiliadaeth (De-o)'!C$109)+(V$44*(-(50-$U33)*('Rhaniad y Ddeiliadaeth (De-o)'!C$110/40))))</f>
        <v>#VALUE!</v>
      </c>
      <c r="X33" s="4" t="e">
        <f>W33*(1+'Rhaniad y Ddeiliadaeth (De-o)'!D$109)+(W$44*(-(50-$U33)*('Rhaniad y Ddeiliadaeth (De-o)'!D$110/40)))</f>
        <v>#VALUE!</v>
      </c>
      <c r="Y33" s="4" t="e">
        <f>X33*(1+'Rhaniad y Ddeiliadaeth (De-o)'!E$109)+(X$44*(-(50-$U33)*('Rhaniad y Ddeiliadaeth (De-o)'!E$110/40)))</f>
        <v>#VALUE!</v>
      </c>
      <c r="Z33" s="4" t="e">
        <f>Y33*(1+'Rhaniad y Ddeiliadaeth (De-o)'!F$109)+(Y$44*(-(50-$U33)*('Rhaniad y Ddeiliadaeth (De-o)'!F$110/40)))</f>
        <v>#VALUE!</v>
      </c>
      <c r="AA33" s="4" t="e">
        <f>Z33*(1+'Rhaniad y Ddeiliadaeth (De-o)'!G$109)+(Z$44*(-(50-$U33)*('Rhaniad y Ddeiliadaeth (De-o)'!G$110/40)))</f>
        <v>#VALUE!</v>
      </c>
      <c r="AC33" s="260">
        <v>39</v>
      </c>
      <c r="AD33" s="4">
        <f>IF('Rhaniad y Ddeiliadaeth (Cymru)'!$D$8="Amcangyfrifon LlC",'Incwm (De-orllewin)'!E33,'Incwm (De-orllewin)'!W33)</f>
        <v>21109.584710801308</v>
      </c>
      <c r="AE33" s="4">
        <f>IF('Rhaniad y Ddeiliadaeth (Cymru)'!$D$8="Amcangyfrifon LlC",'Incwm (De-orllewin)'!F33,'Incwm (De-orllewin)'!X33)</f>
        <v>21760.077683907391</v>
      </c>
      <c r="AF33" s="4">
        <f>IF('Rhaniad y Ddeiliadaeth (Cymru)'!$D$8="Amcangyfrifon LlC",'Incwm (De-orllewin)'!G33,'Incwm (De-orllewin)'!Y33)</f>
        <v>22428.280953954822</v>
      </c>
      <c r="AG33" s="4">
        <f>IF('Rhaniad y Ddeiliadaeth (Cymru)'!$D$8="Amcangyfrifon LlC",'Incwm (De-orllewin)'!H33,'Incwm (De-orllewin)'!Z33)</f>
        <v>23128.111819150177</v>
      </c>
      <c r="AH33" s="4">
        <f>IF('Rhaniad y Ddeiliadaeth (Cymru)'!$D$8="Amcangyfrifon LlC",'Incwm (De-orllewin)'!I33,'Incwm (De-orllewin)'!AA33)</f>
        <v>23845.178977202544</v>
      </c>
    </row>
    <row r="34" spans="2:34" x14ac:dyDescent="0.35">
      <c r="B34" s="251">
        <v>40</v>
      </c>
      <c r="C34" s="258">
        <v>20730.2</v>
      </c>
      <c r="D34" s="258">
        <v>21235.565562171269</v>
      </c>
      <c r="E34" s="278">
        <f>D34*(1+'Rhaniad y Ddeiliadaeth (De-o)'!C$109)+(D$44*(-(50-$B34)*('Rhaniad y Ddeiliadaeth (De-o)'!C$110/40)))</f>
        <v>21647.301713932527</v>
      </c>
      <c r="F34" s="278">
        <f>E34*(1+'Rhaniad y Ddeiliadaeth (De-o)'!D$109)+(E$44*(-(50-$B34)*('Rhaniad y Ddeiliadaeth (De-o)'!D$110/40)))</f>
        <v>22322.862239093378</v>
      </c>
      <c r="G34" s="278">
        <f>F34*(1+'Rhaniad y Ddeiliadaeth (De-o)'!E$109)+(F$44*(-(50-$B34)*('Rhaniad y Ddeiliadaeth (De-o)'!E$110/40)))</f>
        <v>23017.165881205532</v>
      </c>
      <c r="H34" s="278">
        <f>G34*(1+'Rhaniad y Ddeiliadaeth (De-o)'!F$109)+(G$44*(-(50-$B34)*('Rhaniad y Ddeiliadaeth (De-o)'!F$110/40)))</f>
        <v>23744.522382819152</v>
      </c>
      <c r="I34" s="279">
        <f>H34*(1+'Rhaniad y Ddeiliadaeth (De-o)'!G$109)+H$44*(-(50-$B34)*('Rhaniad y Ddeiliadaeth (De-o)'!G$110/40))</f>
        <v>24490.200810886716</v>
      </c>
      <c r="M34" s="36" t="str">
        <f t="shared" si="1"/>
        <v/>
      </c>
      <c r="N34" s="190"/>
      <c r="O34" s="13">
        <f t="shared" si="4"/>
        <v>1</v>
      </c>
      <c r="U34" s="1">
        <f t="shared" si="2"/>
        <v>40</v>
      </c>
      <c r="V34" s="4" t="str">
        <f t="shared" si="3"/>
        <v/>
      </c>
      <c r="W34" s="4" t="e">
        <f>IF($W$3=$N$3,N34,V34*(1+'Rhaniad y Ddeiliadaeth (De-o)'!C$109)+(V$44*(-(50-$U34)*('Rhaniad y Ddeiliadaeth (De-o)'!C$110/40))))</f>
        <v>#VALUE!</v>
      </c>
      <c r="X34" s="4" t="e">
        <f>W34*(1+'Rhaniad y Ddeiliadaeth (De-o)'!D$109)+(W$44*(-(50-$U34)*('Rhaniad y Ddeiliadaeth (De-o)'!D$110/40)))</f>
        <v>#VALUE!</v>
      </c>
      <c r="Y34" s="4" t="e">
        <f>X34*(1+'Rhaniad y Ddeiliadaeth (De-o)'!E$109)+(X$44*(-(50-$U34)*('Rhaniad y Ddeiliadaeth (De-o)'!E$110/40)))</f>
        <v>#VALUE!</v>
      </c>
      <c r="Z34" s="4" t="e">
        <f>Y34*(1+'Rhaniad y Ddeiliadaeth (De-o)'!F$109)+(Y$44*(-(50-$U34)*('Rhaniad y Ddeiliadaeth (De-o)'!F$110/40)))</f>
        <v>#VALUE!</v>
      </c>
      <c r="AA34" s="4" t="e">
        <f>Z34*(1+'Rhaniad y Ddeiliadaeth (De-o)'!G$109)+(Z$44*(-(50-$U34)*('Rhaniad y Ddeiliadaeth (De-o)'!G$110/40)))</f>
        <v>#VALUE!</v>
      </c>
      <c r="AC34" s="260">
        <v>40</v>
      </c>
      <c r="AD34" s="4">
        <f>IF('Rhaniad y Ddeiliadaeth (Cymru)'!$D$8="Amcangyfrifon LlC",'Incwm (De-orllewin)'!E34,'Incwm (De-orllewin)'!W34)</f>
        <v>21647.301713932527</v>
      </c>
      <c r="AE34" s="4">
        <f>IF('Rhaniad y Ddeiliadaeth (Cymru)'!$D$8="Amcangyfrifon LlC",'Incwm (De-orllewin)'!F34,'Incwm (De-orllewin)'!X34)</f>
        <v>22322.862239093378</v>
      </c>
      <c r="AF34" s="4">
        <f>IF('Rhaniad y Ddeiliadaeth (Cymru)'!$D$8="Amcangyfrifon LlC",'Incwm (De-orllewin)'!G34,'Incwm (De-orllewin)'!Y34)</f>
        <v>23017.165881205532</v>
      </c>
      <c r="AG34" s="4">
        <f>IF('Rhaniad y Ddeiliadaeth (Cymru)'!$D$8="Amcangyfrifon LlC",'Incwm (De-orllewin)'!H34,'Incwm (De-orllewin)'!Z34)</f>
        <v>23744.522382819152</v>
      </c>
      <c r="AH34" s="4">
        <f>IF('Rhaniad y Ddeiliadaeth (Cymru)'!$D$8="Amcangyfrifon LlC",'Incwm (De-orllewin)'!I34,'Incwm (De-orllewin)'!AA34)</f>
        <v>24490.200810886716</v>
      </c>
    </row>
    <row r="35" spans="2:34" x14ac:dyDescent="0.35">
      <c r="B35" s="251">
        <v>41</v>
      </c>
      <c r="C35" s="258">
        <v>21193.75</v>
      </c>
      <c r="D35" s="258">
        <v>21710.416090209805</v>
      </c>
      <c r="E35" s="278">
        <f>D35*(1+'Rhaniad y Ddeiliadaeth (De-o)'!C$109)+(D$44*(-(50-$B35)*('Rhaniad y Ddeiliadaeth (De-o)'!C$110/40)))</f>
        <v>22139.302954993746</v>
      </c>
      <c r="F35" s="278">
        <f>E35*(1+'Rhaniad y Ddeiliadaeth (De-o)'!D$109)+(E$44*(-(50-$B35)*('Rhaniad y Ddeiliadaeth (De-o)'!D$110/40)))</f>
        <v>22838.364171362446</v>
      </c>
      <c r="G35" s="278">
        <f>F35*(1+'Rhaniad y Ddeiliadaeth (De-o)'!E$109)+(F$44*(-(50-$B35)*('Rhaniad y Ddeiliadaeth (De-o)'!E$110/40)))</f>
        <v>23557.152146398534</v>
      </c>
      <c r="H35" s="278">
        <f>G35*(1+'Rhaniad y Ddeiliadaeth (De-o)'!F$109)+(G$44*(-(50-$B35)*('Rhaniad y Ddeiliadaeth (De-o)'!F$110/40)))</f>
        <v>24310.338221260226</v>
      </c>
      <c r="I35" s="279">
        <f>H35*(1+'Rhaniad y Ddeiliadaeth (De-o)'!G$109)+H$44*(-(50-$B35)*('Rhaniad y Ddeiliadaeth (De-o)'!G$110/40))</f>
        <v>25082.882496965514</v>
      </c>
      <c r="M35" s="36" t="str">
        <f t="shared" si="1"/>
        <v/>
      </c>
      <c r="N35" s="190"/>
      <c r="O35" s="13">
        <f t="shared" si="4"/>
        <v>1</v>
      </c>
      <c r="U35" s="1">
        <f t="shared" si="2"/>
        <v>41</v>
      </c>
      <c r="V35" s="4" t="str">
        <f t="shared" si="3"/>
        <v/>
      </c>
      <c r="W35" s="4" t="e">
        <f>IF($W$3=$N$3,N35,V35*(1+'Rhaniad y Ddeiliadaeth (De-o)'!C$109)+(V$44*(-(50-$U35)*('Rhaniad y Ddeiliadaeth (De-o)'!C$110/40))))</f>
        <v>#VALUE!</v>
      </c>
      <c r="X35" s="4" t="e">
        <f>W35*(1+'Rhaniad y Ddeiliadaeth (De-o)'!D$109)+(W$44*(-(50-$U35)*('Rhaniad y Ddeiliadaeth (De-o)'!D$110/40)))</f>
        <v>#VALUE!</v>
      </c>
      <c r="Y35" s="4" t="e">
        <f>X35*(1+'Rhaniad y Ddeiliadaeth (De-o)'!E$109)+(X$44*(-(50-$U35)*('Rhaniad y Ddeiliadaeth (De-o)'!E$110/40)))</f>
        <v>#VALUE!</v>
      </c>
      <c r="Z35" s="4" t="e">
        <f>Y35*(1+'Rhaniad y Ddeiliadaeth (De-o)'!F$109)+(Y$44*(-(50-$U35)*('Rhaniad y Ddeiliadaeth (De-o)'!F$110/40)))</f>
        <v>#VALUE!</v>
      </c>
      <c r="AA35" s="4" t="e">
        <f>Z35*(1+'Rhaniad y Ddeiliadaeth (De-o)'!G$109)+(Z$44*(-(50-$U35)*('Rhaniad y Ddeiliadaeth (De-o)'!G$110/40)))</f>
        <v>#VALUE!</v>
      </c>
      <c r="AC35" s="260">
        <v>41</v>
      </c>
      <c r="AD35" s="4">
        <f>IF('Rhaniad y Ddeiliadaeth (Cymru)'!$D$8="Amcangyfrifon LlC",'Incwm (De-orllewin)'!E35,'Incwm (De-orllewin)'!W35)</f>
        <v>22139.302954993746</v>
      </c>
      <c r="AE35" s="4">
        <f>IF('Rhaniad y Ddeiliadaeth (Cymru)'!$D$8="Amcangyfrifon LlC",'Incwm (De-orllewin)'!F35,'Incwm (De-orllewin)'!X35)</f>
        <v>22838.364171362446</v>
      </c>
      <c r="AF35" s="4">
        <f>IF('Rhaniad y Ddeiliadaeth (Cymru)'!$D$8="Amcangyfrifon LlC",'Incwm (De-orllewin)'!G35,'Incwm (De-orllewin)'!Y35)</f>
        <v>23557.152146398534</v>
      </c>
      <c r="AG35" s="4">
        <f>IF('Rhaniad y Ddeiliadaeth (Cymru)'!$D$8="Amcangyfrifon LlC",'Incwm (De-orllewin)'!H35,'Incwm (De-orllewin)'!Z35)</f>
        <v>24310.338221260226</v>
      </c>
      <c r="AH35" s="4">
        <f>IF('Rhaniad y Ddeiliadaeth (Cymru)'!$D$8="Amcangyfrifon LlC",'Incwm (De-orllewin)'!I35,'Incwm (De-orllewin)'!AA35)</f>
        <v>25082.882496965514</v>
      </c>
    </row>
    <row r="36" spans="2:34" x14ac:dyDescent="0.35">
      <c r="B36" s="251">
        <v>42</v>
      </c>
      <c r="C36" s="258">
        <v>21473.5</v>
      </c>
      <c r="D36" s="258">
        <v>21996.985899763858</v>
      </c>
      <c r="E36" s="278">
        <f>D36*(1+'Rhaniad y Ddeiliadaeth (De-o)'!C$109)+(D$44*(-(50-$B36)*('Rhaniad y Ddeiliadaeth (De-o)'!C$110/40)))</f>
        <v>22438.797293580708</v>
      </c>
      <c r="F36" s="278">
        <f>E36*(1+'Rhaniad y Ddeiliadaeth (De-o)'!D$109)+(E$44*(-(50-$B36)*('Rhaniad y Ddeiliadaeth (De-o)'!D$110/40)))</f>
        <v>23154.76122456033</v>
      </c>
      <c r="G36" s="278">
        <f>F36*(1+'Rhaniad y Ddeiliadaeth (De-o)'!E$109)+(F$44*(-(50-$B36)*('Rhaniad y Ddeiliadaeth (De-o)'!E$110/40)))</f>
        <v>23891.228468463989</v>
      </c>
      <c r="H36" s="278">
        <f>G36*(1+'Rhaniad y Ddeiliadaeth (De-o)'!F$109)+(G$44*(-(50-$B36)*('Rhaniad y Ddeiliadaeth (De-o)'!F$110/40)))</f>
        <v>24663.102075130919</v>
      </c>
      <c r="I36" s="279">
        <f>H36*(1+'Rhaniad y Ddeiliadaeth (De-o)'!G$109)+H$44*(-(50-$B36)*('Rhaniad y Ddeiliadaeth (De-o)'!G$110/40))</f>
        <v>25455.162307753904</v>
      </c>
      <c r="M36" s="36" t="str">
        <f t="shared" si="1"/>
        <v/>
      </c>
      <c r="N36" s="190"/>
      <c r="O36" s="13">
        <f t="shared" si="4"/>
        <v>1</v>
      </c>
      <c r="U36" s="1">
        <f t="shared" si="2"/>
        <v>42</v>
      </c>
      <c r="V36" s="4" t="str">
        <f t="shared" si="3"/>
        <v/>
      </c>
      <c r="W36" s="4" t="e">
        <f>IF($W$3=$N$3,N36,V36*(1+'Rhaniad y Ddeiliadaeth (De-o)'!C$109)+(V$44*(-(50-$U36)*('Rhaniad y Ddeiliadaeth (De-o)'!C$110/40))))</f>
        <v>#VALUE!</v>
      </c>
      <c r="X36" s="4" t="e">
        <f>W36*(1+'Rhaniad y Ddeiliadaeth (De-o)'!D$109)+(W$44*(-(50-$U36)*('Rhaniad y Ddeiliadaeth (De-o)'!D$110/40)))</f>
        <v>#VALUE!</v>
      </c>
      <c r="Y36" s="4" t="e">
        <f>X36*(1+'Rhaniad y Ddeiliadaeth (De-o)'!E$109)+(X$44*(-(50-$U36)*('Rhaniad y Ddeiliadaeth (De-o)'!E$110/40)))</f>
        <v>#VALUE!</v>
      </c>
      <c r="Z36" s="4" t="e">
        <f>Y36*(1+'Rhaniad y Ddeiliadaeth (De-o)'!F$109)+(Y$44*(-(50-$U36)*('Rhaniad y Ddeiliadaeth (De-o)'!F$110/40)))</f>
        <v>#VALUE!</v>
      </c>
      <c r="AA36" s="4" t="e">
        <f>Z36*(1+'Rhaniad y Ddeiliadaeth (De-o)'!G$109)+(Z$44*(-(50-$U36)*('Rhaniad y Ddeiliadaeth (De-o)'!G$110/40)))</f>
        <v>#VALUE!</v>
      </c>
      <c r="AC36" s="260">
        <v>42</v>
      </c>
      <c r="AD36" s="4">
        <f>IF('Rhaniad y Ddeiliadaeth (Cymru)'!$D$8="Amcangyfrifon LlC",'Incwm (De-orllewin)'!E36,'Incwm (De-orllewin)'!W36)</f>
        <v>22438.797293580708</v>
      </c>
      <c r="AE36" s="4">
        <f>IF('Rhaniad y Ddeiliadaeth (Cymru)'!$D$8="Amcangyfrifon LlC",'Incwm (De-orllewin)'!F36,'Incwm (De-orllewin)'!X36)</f>
        <v>23154.76122456033</v>
      </c>
      <c r="AF36" s="4">
        <f>IF('Rhaniad y Ddeiliadaeth (Cymru)'!$D$8="Amcangyfrifon LlC",'Incwm (De-orllewin)'!G36,'Incwm (De-orllewin)'!Y36)</f>
        <v>23891.228468463989</v>
      </c>
      <c r="AG36" s="4">
        <f>IF('Rhaniad y Ddeiliadaeth (Cymru)'!$D$8="Amcangyfrifon LlC",'Incwm (De-orllewin)'!H36,'Incwm (De-orllewin)'!Z36)</f>
        <v>24663.102075130919</v>
      </c>
      <c r="AH36" s="4">
        <f>IF('Rhaniad y Ddeiliadaeth (Cymru)'!$D$8="Amcangyfrifon LlC",'Incwm (De-orllewin)'!I36,'Incwm (De-orllewin)'!AA36)</f>
        <v>25455.162307753904</v>
      </c>
    </row>
    <row r="37" spans="2:34" x14ac:dyDescent="0.35">
      <c r="B37" s="251">
        <v>43</v>
      </c>
      <c r="C37" s="258">
        <v>21866.6</v>
      </c>
      <c r="D37" s="258">
        <v>22399.668981571533</v>
      </c>
      <c r="E37" s="278">
        <f>D37*(1+'Rhaniad y Ddeiliadaeth (De-o)'!C$109)+(D$44*(-(50-$B37)*('Rhaniad y Ddeiliadaeth (De-o)'!C$110/40)))</f>
        <v>22857.011204504215</v>
      </c>
      <c r="F37" s="278">
        <f>E37*(1+'Rhaniad y Ddeiliadaeth (De-o)'!D$109)+(E$44*(-(50-$B37)*('Rhaniad y Ddeiliadaeth (De-o)'!D$110/40)))</f>
        <v>23593.946841646783</v>
      </c>
      <c r="G37" s="278">
        <f>F37*(1+'Rhaniad y Ddeiliadaeth (De-o)'!E$109)+(F$44*(-(50-$B37)*('Rhaniad y Ddeiliadaeth (De-o)'!E$110/40)))</f>
        <v>24352.290057414688</v>
      </c>
      <c r="H37" s="278">
        <f>G37*(1+'Rhaniad y Ddeiliadaeth (De-o)'!F$109)+(G$44*(-(50-$B37)*('Rhaniad y Ddeiliadaeth (De-o)'!F$110/40)))</f>
        <v>25147.255713827795</v>
      </c>
      <c r="I37" s="279">
        <f>H37*(1+'Rhaniad y Ddeiliadaeth (De-o)'!G$109)+H$44*(-(50-$B37)*('Rhaniad y Ddeiliadaeth (De-o)'!G$110/40))</f>
        <v>25963.36460256932</v>
      </c>
      <c r="M37" s="36" t="str">
        <f t="shared" si="1"/>
        <v/>
      </c>
      <c r="N37" s="190"/>
      <c r="O37" s="13">
        <f t="shared" si="4"/>
        <v>1</v>
      </c>
      <c r="U37" s="1">
        <f t="shared" si="2"/>
        <v>43</v>
      </c>
      <c r="V37" s="4" t="str">
        <f t="shared" si="3"/>
        <v/>
      </c>
      <c r="W37" s="4" t="e">
        <f>IF($W$3=$N$3,N37,V37*(1+'Rhaniad y Ddeiliadaeth (De-o)'!C$109)+(V$44*(-(50-$U37)*('Rhaniad y Ddeiliadaeth (De-o)'!C$110/40))))</f>
        <v>#VALUE!</v>
      </c>
      <c r="X37" s="4" t="e">
        <f>W37*(1+'Rhaniad y Ddeiliadaeth (De-o)'!D$109)+(W$44*(-(50-$U37)*('Rhaniad y Ddeiliadaeth (De-o)'!D$110/40)))</f>
        <v>#VALUE!</v>
      </c>
      <c r="Y37" s="4" t="e">
        <f>X37*(1+'Rhaniad y Ddeiliadaeth (De-o)'!E$109)+(X$44*(-(50-$U37)*('Rhaniad y Ddeiliadaeth (De-o)'!E$110/40)))</f>
        <v>#VALUE!</v>
      </c>
      <c r="Z37" s="4" t="e">
        <f>Y37*(1+'Rhaniad y Ddeiliadaeth (De-o)'!F$109)+(Y$44*(-(50-$U37)*('Rhaniad y Ddeiliadaeth (De-o)'!F$110/40)))</f>
        <v>#VALUE!</v>
      </c>
      <c r="AA37" s="4" t="e">
        <f>Z37*(1+'Rhaniad y Ddeiliadaeth (De-o)'!G$109)+(Z$44*(-(50-$U37)*('Rhaniad y Ddeiliadaeth (De-o)'!G$110/40)))</f>
        <v>#VALUE!</v>
      </c>
      <c r="AC37" s="260">
        <v>43</v>
      </c>
      <c r="AD37" s="4">
        <f>IF('Rhaniad y Ddeiliadaeth (Cymru)'!$D$8="Amcangyfrifon LlC",'Incwm (De-orllewin)'!E37,'Incwm (De-orllewin)'!W37)</f>
        <v>22857.011204504215</v>
      </c>
      <c r="AE37" s="4">
        <f>IF('Rhaniad y Ddeiliadaeth (Cymru)'!$D$8="Amcangyfrifon LlC",'Incwm (De-orllewin)'!F37,'Incwm (De-orllewin)'!X37)</f>
        <v>23593.946841646783</v>
      </c>
      <c r="AF37" s="4">
        <f>IF('Rhaniad y Ddeiliadaeth (Cymru)'!$D$8="Amcangyfrifon LlC",'Incwm (De-orllewin)'!G37,'Incwm (De-orllewin)'!Y37)</f>
        <v>24352.290057414688</v>
      </c>
      <c r="AG37" s="4">
        <f>IF('Rhaniad y Ddeiliadaeth (Cymru)'!$D$8="Amcangyfrifon LlC",'Incwm (De-orllewin)'!H37,'Incwm (De-orllewin)'!Z37)</f>
        <v>25147.255713827795</v>
      </c>
      <c r="AH37" s="4">
        <f>IF('Rhaniad y Ddeiliadaeth (Cymru)'!$D$8="Amcangyfrifon LlC",'Incwm (De-orllewin)'!I37,'Incwm (De-orllewin)'!AA37)</f>
        <v>25963.36460256932</v>
      </c>
    </row>
    <row r="38" spans="2:34" x14ac:dyDescent="0.35">
      <c r="B38" s="251">
        <v>44</v>
      </c>
      <c r="C38" s="258">
        <v>22328</v>
      </c>
      <c r="D38" s="258">
        <v>22872.317096417788</v>
      </c>
      <c r="E38" s="278">
        <f>D38*(1+'Rhaniad y Ddeiliadaeth (De-o)'!C$109)+(D$44*(-(50-$B38)*('Rhaniad y Ddeiliadaeth (De-o)'!C$110/40)))</f>
        <v>23346.760596597429</v>
      </c>
      <c r="F38" s="278">
        <f>E38*(1+'Rhaniad y Ddeiliadaeth (De-o)'!D$109)+(E$44*(-(50-$B38)*('Rhaniad y Ddeiliadaeth (De-o)'!D$110/40)))</f>
        <v>24107.119745134551</v>
      </c>
      <c r="G38" s="278">
        <f>F38*(1+'Rhaniad y Ddeiliadaeth (De-o)'!E$109)+(F$44*(-(50-$B38)*('Rhaniad y Ddeiliadaeth (De-o)'!E$110/40)))</f>
        <v>24889.867691608099</v>
      </c>
      <c r="H38" s="278">
        <f>G38*(1+'Rhaniad y Ddeiliadaeth (De-o)'!F$109)+(G$44*(-(50-$B38)*('Rhaniad y Ddeiliadaeth (De-o)'!F$110/40)))</f>
        <v>25710.579377258928</v>
      </c>
      <c r="I38" s="279">
        <f>H38*(1+'Rhaniad y Ddeiliadaeth (De-o)'!G$109)+H$44*(-(50-$B38)*('Rhaniad y Ddeiliadaeth (De-o)'!G$110/40))</f>
        <v>26553.468138311473</v>
      </c>
      <c r="M38" s="36" t="str">
        <f t="shared" si="1"/>
        <v/>
      </c>
      <c r="N38" s="190"/>
      <c r="O38" s="13">
        <f t="shared" si="4"/>
        <v>1</v>
      </c>
      <c r="U38" s="1">
        <f t="shared" si="2"/>
        <v>44</v>
      </c>
      <c r="V38" s="4" t="str">
        <f t="shared" si="3"/>
        <v/>
      </c>
      <c r="W38" s="4" t="e">
        <f>IF($W$3=$N$3,N38,V38*(1+'Rhaniad y Ddeiliadaeth (De-o)'!C$109)+(V$44*(-(50-$U38)*('Rhaniad y Ddeiliadaeth (De-o)'!C$110/40))))</f>
        <v>#VALUE!</v>
      </c>
      <c r="X38" s="4" t="e">
        <f>W38*(1+'Rhaniad y Ddeiliadaeth (De-o)'!D$109)+(W$44*(-(50-$U38)*('Rhaniad y Ddeiliadaeth (De-o)'!D$110/40)))</f>
        <v>#VALUE!</v>
      </c>
      <c r="Y38" s="4" t="e">
        <f>X38*(1+'Rhaniad y Ddeiliadaeth (De-o)'!E$109)+(X$44*(-(50-$U38)*('Rhaniad y Ddeiliadaeth (De-o)'!E$110/40)))</f>
        <v>#VALUE!</v>
      </c>
      <c r="Z38" s="4" t="e">
        <f>Y38*(1+'Rhaniad y Ddeiliadaeth (De-o)'!F$109)+(Y$44*(-(50-$U38)*('Rhaniad y Ddeiliadaeth (De-o)'!F$110/40)))</f>
        <v>#VALUE!</v>
      </c>
      <c r="AA38" s="4" t="e">
        <f>Z38*(1+'Rhaniad y Ddeiliadaeth (De-o)'!G$109)+(Z$44*(-(50-$U38)*('Rhaniad y Ddeiliadaeth (De-o)'!G$110/40)))</f>
        <v>#VALUE!</v>
      </c>
      <c r="AC38" s="260">
        <v>44</v>
      </c>
      <c r="AD38" s="4">
        <f>IF('Rhaniad y Ddeiliadaeth (Cymru)'!$D$8="Amcangyfrifon LlC",'Incwm (De-orllewin)'!E38,'Incwm (De-orllewin)'!W38)</f>
        <v>23346.760596597429</v>
      </c>
      <c r="AE38" s="4">
        <f>IF('Rhaniad y Ddeiliadaeth (Cymru)'!$D$8="Amcangyfrifon LlC",'Incwm (De-orllewin)'!F38,'Incwm (De-orllewin)'!X38)</f>
        <v>24107.119745134551</v>
      </c>
      <c r="AF38" s="4">
        <f>IF('Rhaniad y Ddeiliadaeth (Cymru)'!$D$8="Amcangyfrifon LlC",'Incwm (De-orllewin)'!G38,'Incwm (De-orllewin)'!Y38)</f>
        <v>24889.867691608099</v>
      </c>
      <c r="AG38" s="4">
        <f>IF('Rhaniad y Ddeiliadaeth (Cymru)'!$D$8="Amcangyfrifon LlC",'Incwm (De-orllewin)'!H38,'Incwm (De-orllewin)'!Z38)</f>
        <v>25710.579377258928</v>
      </c>
      <c r="AH38" s="4">
        <f>IF('Rhaniad y Ddeiliadaeth (Cymru)'!$D$8="Amcangyfrifon LlC",'Incwm (De-orllewin)'!I38,'Incwm (De-orllewin)'!AA38)</f>
        <v>26553.468138311473</v>
      </c>
    </row>
    <row r="39" spans="2:34" x14ac:dyDescent="0.35">
      <c r="B39" s="251">
        <v>45</v>
      </c>
      <c r="C39" s="258">
        <v>22767.3</v>
      </c>
      <c r="D39" s="258">
        <v>23322.326452403831</v>
      </c>
      <c r="E39" s="278">
        <f>D39*(1+'Rhaniad y Ddeiliadaeth (De-o)'!C$109)+(D$44*(-(50-$B39)*('Rhaniad y Ddeiliadaeth (De-o)'!C$110/40)))</f>
        <v>23813.363076042759</v>
      </c>
      <c r="F39" s="278">
        <f>E39*(1+'Rhaniad y Ddeiliadaeth (De-o)'!D$109)+(E$44*(-(50-$B39)*('Rhaniad y Ddeiliadaeth (De-o)'!D$110/40)))</f>
        <v>24596.352399288953</v>
      </c>
      <c r="G39" s="278">
        <f>F39*(1+'Rhaniad y Ddeiliadaeth (De-o)'!E$109)+(F$44*(-(50-$B39)*('Rhaniad y Ddeiliadaeth (De-o)'!E$110/40)))</f>
        <v>25402.686839712729</v>
      </c>
      <c r="H39" s="278">
        <f>G39*(1+'Rhaniad y Ddeiliadaeth (De-o)'!F$109)+(G$44*(-(50-$B39)*('Rhaniad y Ddeiliadaeth (De-o)'!F$110/40)))</f>
        <v>26248.285799890258</v>
      </c>
      <c r="I39" s="279">
        <f>H39*(1+'Rhaniad y Ddeiliadaeth (De-o)'!G$109)+H$44*(-(50-$B39)*('Rhaniad y Ddeiliadaeth (De-o)'!G$110/40))</f>
        <v>27117.070686872357</v>
      </c>
      <c r="M39" s="36" t="str">
        <f t="shared" si="1"/>
        <v/>
      </c>
      <c r="N39" s="190"/>
      <c r="O39" s="13">
        <f t="shared" si="4"/>
        <v>1</v>
      </c>
      <c r="U39" s="1">
        <f t="shared" si="2"/>
        <v>45</v>
      </c>
      <c r="V39" s="4" t="str">
        <f t="shared" si="3"/>
        <v/>
      </c>
      <c r="W39" s="4" t="e">
        <f>IF($W$3=$N$3,N39,V39*(1+'Rhaniad y Ddeiliadaeth (De-o)'!C$109)+(V$44*(-(50-$U39)*('Rhaniad y Ddeiliadaeth (De-o)'!C$110/40))))</f>
        <v>#VALUE!</v>
      </c>
      <c r="X39" s="4" t="e">
        <f>W39*(1+'Rhaniad y Ddeiliadaeth (De-o)'!D$109)+(W$44*(-(50-$U39)*('Rhaniad y Ddeiliadaeth (De-o)'!D$110/40)))</f>
        <v>#VALUE!</v>
      </c>
      <c r="Y39" s="4" t="e">
        <f>X39*(1+'Rhaniad y Ddeiliadaeth (De-o)'!E$109)+(X$44*(-(50-$U39)*('Rhaniad y Ddeiliadaeth (De-o)'!E$110/40)))</f>
        <v>#VALUE!</v>
      </c>
      <c r="Z39" s="4" t="e">
        <f>Y39*(1+'Rhaniad y Ddeiliadaeth (De-o)'!F$109)+(Y$44*(-(50-$U39)*('Rhaniad y Ddeiliadaeth (De-o)'!F$110/40)))</f>
        <v>#VALUE!</v>
      </c>
      <c r="AA39" s="4" t="e">
        <f>Z39*(1+'Rhaniad y Ddeiliadaeth (De-o)'!G$109)+(Z$44*(-(50-$U39)*('Rhaniad y Ddeiliadaeth (De-o)'!G$110/40)))</f>
        <v>#VALUE!</v>
      </c>
      <c r="AC39" s="260">
        <v>45</v>
      </c>
      <c r="AD39" s="4">
        <f>IF('Rhaniad y Ddeiliadaeth (Cymru)'!$D$8="Amcangyfrifon LlC",'Incwm (De-orllewin)'!E39,'Incwm (De-orllewin)'!W39)</f>
        <v>23813.363076042759</v>
      </c>
      <c r="AE39" s="4">
        <f>IF('Rhaniad y Ddeiliadaeth (Cymru)'!$D$8="Amcangyfrifon LlC",'Incwm (De-orllewin)'!F39,'Incwm (De-orllewin)'!X39)</f>
        <v>24596.352399288953</v>
      </c>
      <c r="AF39" s="4">
        <f>IF('Rhaniad y Ddeiliadaeth (Cymru)'!$D$8="Amcangyfrifon LlC",'Incwm (De-orllewin)'!G39,'Incwm (De-orllewin)'!Y39)</f>
        <v>25402.686839712729</v>
      </c>
      <c r="AG39" s="4">
        <f>IF('Rhaniad y Ddeiliadaeth (Cymru)'!$D$8="Amcangyfrifon LlC",'Incwm (De-orllewin)'!H39,'Incwm (De-orllewin)'!Z39)</f>
        <v>26248.285799890258</v>
      </c>
      <c r="AH39" s="4">
        <f>IF('Rhaniad y Ddeiliadaeth (Cymru)'!$D$8="Amcangyfrifon LlC",'Incwm (De-orllewin)'!I39,'Incwm (De-orllewin)'!AA39)</f>
        <v>27117.070686872357</v>
      </c>
    </row>
    <row r="40" spans="2:34" x14ac:dyDescent="0.35">
      <c r="B40" s="251">
        <v>46</v>
      </c>
      <c r="C40" s="258">
        <v>23460.2</v>
      </c>
      <c r="D40" s="258">
        <v>24032.118127256388</v>
      </c>
      <c r="E40" s="278">
        <f>D40*(1+'Rhaniad y Ddeiliadaeth (De-o)'!C$109)+(D$44*(-(50-$B40)*('Rhaniad y Ddeiliadaeth (De-o)'!C$110/40)))</f>
        <v>24545.578996551591</v>
      </c>
      <c r="F40" s="278">
        <f>E40*(1+'Rhaniad y Ddeiliadaeth (De-o)'!D$109)+(E$44*(-(50-$B40)*('Rhaniad y Ddeiliadaeth (De-o)'!D$110/40)))</f>
        <v>25360.302122716756</v>
      </c>
      <c r="G40" s="278">
        <f>F40*(1+'Rhaniad y Ddeiliadaeth (De-o)'!E$109)+(F$44*(-(50-$B40)*('Rhaniad y Ddeiliadaeth (De-o)'!E$110/40)))</f>
        <v>26199.612416419881</v>
      </c>
      <c r="H40" s="278">
        <f>G40*(1+'Rhaniad y Ddeiliadaeth (De-o)'!F$109)+(G$44*(-(50-$B40)*('Rhaniad y Ddeiliadaeth (De-o)'!F$110/40)))</f>
        <v>27079.952958577331</v>
      </c>
      <c r="I40" s="279">
        <f>H40*(1+'Rhaniad y Ddeiliadaeth (De-o)'!G$109)+H$44*(-(50-$B40)*('Rhaniad y Ddeiliadaeth (De-o)'!G$110/40))</f>
        <v>27984.775061187564</v>
      </c>
      <c r="M40" s="36" t="str">
        <f t="shared" si="1"/>
        <v/>
      </c>
      <c r="N40" s="190"/>
      <c r="O40" s="13">
        <f t="shared" si="4"/>
        <v>1</v>
      </c>
      <c r="U40" s="1">
        <f t="shared" si="2"/>
        <v>46</v>
      </c>
      <c r="V40" s="4" t="str">
        <f t="shared" si="3"/>
        <v/>
      </c>
      <c r="W40" s="4" t="e">
        <f>IF($W$3=$N$3,N40,V40*(1+'Rhaniad y Ddeiliadaeth (De-o)'!C$109)+(V$44*(-(50-$U40)*('Rhaniad y Ddeiliadaeth (De-o)'!C$110/40))))</f>
        <v>#VALUE!</v>
      </c>
      <c r="X40" s="4" t="e">
        <f>W40*(1+'Rhaniad y Ddeiliadaeth (De-o)'!D$109)+(W$44*(-(50-$U40)*('Rhaniad y Ddeiliadaeth (De-o)'!D$110/40)))</f>
        <v>#VALUE!</v>
      </c>
      <c r="Y40" s="4" t="e">
        <f>X40*(1+'Rhaniad y Ddeiliadaeth (De-o)'!E$109)+(X$44*(-(50-$U40)*('Rhaniad y Ddeiliadaeth (De-o)'!E$110/40)))</f>
        <v>#VALUE!</v>
      </c>
      <c r="Z40" s="4" t="e">
        <f>Y40*(1+'Rhaniad y Ddeiliadaeth (De-o)'!F$109)+(Y$44*(-(50-$U40)*('Rhaniad y Ddeiliadaeth (De-o)'!F$110/40)))</f>
        <v>#VALUE!</v>
      </c>
      <c r="AA40" s="4" t="e">
        <f>Z40*(1+'Rhaniad y Ddeiliadaeth (De-o)'!G$109)+(Z$44*(-(50-$U40)*('Rhaniad y Ddeiliadaeth (De-o)'!G$110/40)))</f>
        <v>#VALUE!</v>
      </c>
      <c r="AC40" s="260">
        <v>46</v>
      </c>
      <c r="AD40" s="4">
        <f>IF('Rhaniad y Ddeiliadaeth (Cymru)'!$D$8="Amcangyfrifon LlC",'Incwm (De-orllewin)'!E40,'Incwm (De-orllewin)'!W40)</f>
        <v>24545.578996551591</v>
      </c>
      <c r="AE40" s="4">
        <f>IF('Rhaniad y Ddeiliadaeth (Cymru)'!$D$8="Amcangyfrifon LlC",'Incwm (De-orllewin)'!F40,'Incwm (De-orllewin)'!X40)</f>
        <v>25360.302122716756</v>
      </c>
      <c r="AF40" s="4">
        <f>IF('Rhaniad y Ddeiliadaeth (Cymru)'!$D$8="Amcangyfrifon LlC",'Incwm (De-orllewin)'!G40,'Incwm (De-orllewin)'!Y40)</f>
        <v>26199.612416419881</v>
      </c>
      <c r="AG40" s="4">
        <f>IF('Rhaniad y Ddeiliadaeth (Cymru)'!$D$8="Amcangyfrifon LlC",'Incwm (De-orllewin)'!H40,'Incwm (De-orllewin)'!Z40)</f>
        <v>27079.952958577331</v>
      </c>
      <c r="AH40" s="4">
        <f>IF('Rhaniad y Ddeiliadaeth (Cymru)'!$D$8="Amcangyfrifon LlC",'Incwm (De-orllewin)'!I40,'Incwm (De-orllewin)'!AA40)</f>
        <v>27984.775061187564</v>
      </c>
    </row>
    <row r="41" spans="2:34" x14ac:dyDescent="0.35">
      <c r="B41" s="251">
        <v>47</v>
      </c>
      <c r="C41" s="258">
        <v>24087.5</v>
      </c>
      <c r="D41" s="258">
        <v>24674.710590288585</v>
      </c>
      <c r="E41" s="278">
        <f>D41*(1+'Rhaniad y Ddeiliadaeth (De-o)'!C$109)+(D$44*(-(50-$B41)*('Rhaniad y Ddeiliadaeth (De-o)'!C$110/40)))</f>
        <v>25209.087339245893</v>
      </c>
      <c r="F41" s="278">
        <f>E41*(1+'Rhaniad y Ddeiliadaeth (De-o)'!D$109)+(E$44*(-(50-$B41)*('Rhaniad y Ddeiliadaeth (De-o)'!D$110/40)))</f>
        <v>26053.189386584883</v>
      </c>
      <c r="G41" s="278">
        <f>F41*(1+'Rhaniad y Ddeiliadaeth (De-o)'!E$109)+(F$44*(-(50-$B41)*('Rhaniad y Ddeiliadaeth (De-o)'!E$110/40)))</f>
        <v>26923.046740302416</v>
      </c>
      <c r="H41" s="278">
        <f>G41*(1+'Rhaniad y Ddeiliadaeth (De-o)'!F$109)+(G$44*(-(50-$B41)*('Rhaniad y Ddeiliadaeth (De-o)'!F$110/40)))</f>
        <v>27835.579800682171</v>
      </c>
      <c r="I41" s="279">
        <f>H41*(1+'Rhaniad y Ddeiliadaeth (De-o)'!G$109)+H$44*(-(50-$B41)*('Rhaniad y Ddeiliadaeth (De-o)'!G$110/40))</f>
        <v>28773.815871742991</v>
      </c>
      <c r="M41" s="36" t="str">
        <f t="shared" si="1"/>
        <v/>
      </c>
      <c r="N41" s="190"/>
      <c r="O41" s="13">
        <f t="shared" si="4"/>
        <v>1</v>
      </c>
      <c r="U41" s="1">
        <f t="shared" si="2"/>
        <v>47</v>
      </c>
      <c r="V41" s="4" t="str">
        <f t="shared" si="3"/>
        <v/>
      </c>
      <c r="W41" s="4" t="e">
        <f>IF($W$3=$N$3,N41,V41*(1+'Rhaniad y Ddeiliadaeth (De-o)'!C$109)+(V$44*(-(50-$U41)*('Rhaniad y Ddeiliadaeth (De-o)'!C$110/40))))</f>
        <v>#VALUE!</v>
      </c>
      <c r="X41" s="4" t="e">
        <f>W41*(1+'Rhaniad y Ddeiliadaeth (De-o)'!D$109)+(W$44*(-(50-$U41)*('Rhaniad y Ddeiliadaeth (De-o)'!D$110/40)))</f>
        <v>#VALUE!</v>
      </c>
      <c r="Y41" s="4" t="e">
        <f>X41*(1+'Rhaniad y Ddeiliadaeth (De-o)'!E$109)+(X$44*(-(50-$U41)*('Rhaniad y Ddeiliadaeth (De-o)'!E$110/40)))</f>
        <v>#VALUE!</v>
      </c>
      <c r="Z41" s="4" t="e">
        <f>Y41*(1+'Rhaniad y Ddeiliadaeth (De-o)'!F$109)+(Y$44*(-(50-$U41)*('Rhaniad y Ddeiliadaeth (De-o)'!F$110/40)))</f>
        <v>#VALUE!</v>
      </c>
      <c r="AA41" s="4" t="e">
        <f>Z41*(1+'Rhaniad y Ddeiliadaeth (De-o)'!G$109)+(Z$44*(-(50-$U41)*('Rhaniad y Ddeiliadaeth (De-o)'!G$110/40)))</f>
        <v>#VALUE!</v>
      </c>
      <c r="AC41" s="260">
        <v>47</v>
      </c>
      <c r="AD41" s="4">
        <f>IF('Rhaniad y Ddeiliadaeth (Cymru)'!$D$8="Amcangyfrifon LlC",'Incwm (De-orllewin)'!E41,'Incwm (De-orllewin)'!W41)</f>
        <v>25209.087339245893</v>
      </c>
      <c r="AE41" s="4">
        <f>IF('Rhaniad y Ddeiliadaeth (Cymru)'!$D$8="Amcangyfrifon LlC",'Incwm (De-orllewin)'!F41,'Incwm (De-orllewin)'!X41)</f>
        <v>26053.189386584883</v>
      </c>
      <c r="AF41" s="4">
        <f>IF('Rhaniad y Ddeiliadaeth (Cymru)'!$D$8="Amcangyfrifon LlC",'Incwm (De-orllewin)'!G41,'Incwm (De-orllewin)'!Y41)</f>
        <v>26923.046740302416</v>
      </c>
      <c r="AG41" s="4">
        <f>IF('Rhaniad y Ddeiliadaeth (Cymru)'!$D$8="Amcangyfrifon LlC",'Incwm (De-orllewin)'!H41,'Incwm (De-orllewin)'!Z41)</f>
        <v>27835.579800682171</v>
      </c>
      <c r="AH41" s="4">
        <f>IF('Rhaniad y Ddeiliadaeth (Cymru)'!$D$8="Amcangyfrifon LlC",'Incwm (De-orllewin)'!I41,'Incwm (De-orllewin)'!AA41)</f>
        <v>28773.815871742991</v>
      </c>
    </row>
    <row r="42" spans="2:34" x14ac:dyDescent="0.35">
      <c r="B42" s="251">
        <v>48</v>
      </c>
      <c r="C42" s="258">
        <v>24492</v>
      </c>
      <c r="D42" s="258">
        <v>25089.071583906509</v>
      </c>
      <c r="E42" s="278">
        <f>D42*(1+'Rhaniad y Ddeiliadaeth (De-o)'!C$109)+(D$44*(-(50-$B42)*('Rhaniad y Ddeiliadaeth (De-o)'!C$110/40)))</f>
        <v>25639.241286557906</v>
      </c>
      <c r="F42" s="278">
        <f>E42*(1+'Rhaniad y Ddeiliadaeth (De-o)'!D$109)+(E$44*(-(50-$B42)*('Rhaniad y Ddeiliadaeth (De-o)'!D$110/40)))</f>
        <v>26504.724272558233</v>
      </c>
      <c r="G42" s="278">
        <f>F42*(1+'Rhaniad y Ddeiliadaeth (De-o)'!E$109)+(F$44*(-(50-$B42)*('Rhaniad y Ddeiliadaeth (De-o)'!E$110/40)))</f>
        <v>27396.879675018368</v>
      </c>
      <c r="H42" s="278">
        <f>G42*(1+'Rhaniad y Ddeiliadaeth (De-o)'!F$109)+(G$44*(-(50-$B42)*('Rhaniad y Ddeiliadaeth (De-o)'!F$110/40)))</f>
        <v>28332.947762687549</v>
      </c>
      <c r="I42" s="279">
        <f>H42*(1+'Rhaniad y Ddeiliadaeth (De-o)'!G$109)+H$44*(-(50-$B42)*('Rhaniad y Ddeiliadaeth (De-o)'!G$110/40))</f>
        <v>29295.688359041054</v>
      </c>
      <c r="M42" s="36" t="str">
        <f t="shared" si="1"/>
        <v/>
      </c>
      <c r="N42" s="190"/>
      <c r="O42" s="13">
        <f t="shared" si="4"/>
        <v>1</v>
      </c>
      <c r="U42" s="1">
        <f t="shared" si="2"/>
        <v>48</v>
      </c>
      <c r="V42" s="4" t="str">
        <f t="shared" si="3"/>
        <v/>
      </c>
      <c r="W42" s="4" t="e">
        <f>IF($W$3=$N$3,N42,V42*(1+'Rhaniad y Ddeiliadaeth (De-o)'!C$109)+(V$44*(-(50-$U42)*('Rhaniad y Ddeiliadaeth (De-o)'!C$110/40))))</f>
        <v>#VALUE!</v>
      </c>
      <c r="X42" s="4" t="e">
        <f>W42*(1+'Rhaniad y Ddeiliadaeth (De-o)'!D$109)+(W$44*(-(50-$U42)*('Rhaniad y Ddeiliadaeth (De-o)'!D$110/40)))</f>
        <v>#VALUE!</v>
      </c>
      <c r="Y42" s="4" t="e">
        <f>X42*(1+'Rhaniad y Ddeiliadaeth (De-o)'!E$109)+(X$44*(-(50-$U42)*('Rhaniad y Ddeiliadaeth (De-o)'!E$110/40)))</f>
        <v>#VALUE!</v>
      </c>
      <c r="Z42" s="4" t="e">
        <f>Y42*(1+'Rhaniad y Ddeiliadaeth (De-o)'!F$109)+(Y$44*(-(50-$U42)*('Rhaniad y Ddeiliadaeth (De-o)'!F$110/40)))</f>
        <v>#VALUE!</v>
      </c>
      <c r="AA42" s="4" t="e">
        <f>Z42*(1+'Rhaniad y Ddeiliadaeth (De-o)'!G$109)+(Z$44*(-(50-$U42)*('Rhaniad y Ddeiliadaeth (De-o)'!G$110/40)))</f>
        <v>#VALUE!</v>
      </c>
      <c r="AC42" s="260">
        <v>48</v>
      </c>
      <c r="AD42" s="4">
        <f>IF('Rhaniad y Ddeiliadaeth (Cymru)'!$D$8="Amcangyfrifon LlC",'Incwm (De-orllewin)'!E42,'Incwm (De-orllewin)'!W42)</f>
        <v>25639.241286557906</v>
      </c>
      <c r="AE42" s="4">
        <f>IF('Rhaniad y Ddeiliadaeth (Cymru)'!$D$8="Amcangyfrifon LlC",'Incwm (De-orllewin)'!F42,'Incwm (De-orllewin)'!X42)</f>
        <v>26504.724272558233</v>
      </c>
      <c r="AF42" s="4">
        <f>IF('Rhaniad y Ddeiliadaeth (Cymru)'!$D$8="Amcangyfrifon LlC",'Incwm (De-orllewin)'!G42,'Incwm (De-orllewin)'!Y42)</f>
        <v>27396.879675018368</v>
      </c>
      <c r="AG42" s="4">
        <f>IF('Rhaniad y Ddeiliadaeth (Cymru)'!$D$8="Amcangyfrifon LlC",'Incwm (De-orllewin)'!H42,'Incwm (De-orllewin)'!Z42)</f>
        <v>28332.947762687549</v>
      </c>
      <c r="AH42" s="4">
        <f>IF('Rhaniad y Ddeiliadaeth (Cymru)'!$D$8="Amcangyfrifon LlC",'Incwm (De-orllewin)'!I42,'Incwm (De-orllewin)'!AA42)</f>
        <v>29295.688359041054</v>
      </c>
    </row>
    <row r="43" spans="2:34" x14ac:dyDescent="0.35">
      <c r="B43" s="251">
        <v>49</v>
      </c>
      <c r="C43" s="258">
        <v>24932.5</v>
      </c>
      <c r="D43" s="258">
        <v>25540.310193767313</v>
      </c>
      <c r="E43" s="278">
        <f>D43*(1+'Rhaniad y Ddeiliadaeth (De-o)'!C$109)+(D$44*(-(50-$B43)*('Rhaniad y Ddeiliadaeth (De-o)'!C$110/40)))</f>
        <v>26107.100611938862</v>
      </c>
      <c r="F43" s="278">
        <f>E43*(1+'Rhaniad y Ddeiliadaeth (De-o)'!D$109)+(E$44*(-(50-$B43)*('Rhaniad y Ddeiliadaeth (De-o)'!D$110/40)))</f>
        <v>26995.256849753358</v>
      </c>
      <c r="G43" s="278">
        <f>F43*(1+'Rhaniad y Ddeiliadaeth (De-o)'!E$109)+(F$44*(-(50-$B43)*('Rhaniad y Ddeiliadaeth (De-o)'!E$110/40)))</f>
        <v>27911.043175308812</v>
      </c>
      <c r="H43" s="278">
        <f>G43*(1+'Rhaniad y Ddeiliadaeth (De-o)'!F$109)+(G$44*(-(50-$B43)*('Rhaniad y Ddeiliadaeth (De-o)'!F$110/40)))</f>
        <v>28872.04516671977</v>
      </c>
      <c r="I43" s="279">
        <f>H43*(1+'Rhaniad y Ddeiliadaeth (De-o)'!G$109)+H$44*(-(50-$B43)*('Rhaniad y Ddeiliadaeth (De-o)'!G$110/40))</f>
        <v>29860.729875231693</v>
      </c>
      <c r="M43" s="36" t="str">
        <f t="shared" si="1"/>
        <v/>
      </c>
      <c r="N43" s="190"/>
      <c r="O43" s="13">
        <f t="shared" si="4"/>
        <v>1</v>
      </c>
      <c r="U43" s="1">
        <f t="shared" si="2"/>
        <v>49</v>
      </c>
      <c r="V43" s="4" t="str">
        <f t="shared" si="3"/>
        <v/>
      </c>
      <c r="W43" s="4" t="e">
        <f>IF($W$3=$N$3,N43,V43*(1+'Rhaniad y Ddeiliadaeth (De-o)'!C$109)+(V$44*(-(50-$U43)*('Rhaniad y Ddeiliadaeth (De-o)'!C$110/40))))</f>
        <v>#VALUE!</v>
      </c>
      <c r="X43" s="4" t="e">
        <f>W43*(1+'Rhaniad y Ddeiliadaeth (De-o)'!D$109)+(W$44*(-(50-$U43)*('Rhaniad y Ddeiliadaeth (De-o)'!D$110/40)))</f>
        <v>#VALUE!</v>
      </c>
      <c r="Y43" s="4" t="e">
        <f>X43*(1+'Rhaniad y Ddeiliadaeth (De-o)'!E$109)+(X$44*(-(50-$U43)*('Rhaniad y Ddeiliadaeth (De-o)'!E$110/40)))</f>
        <v>#VALUE!</v>
      </c>
      <c r="Z43" s="4" t="e">
        <f>Y43*(1+'Rhaniad y Ddeiliadaeth (De-o)'!F$109)+(Y$44*(-(50-$U43)*('Rhaniad y Ddeiliadaeth (De-o)'!F$110/40)))</f>
        <v>#VALUE!</v>
      </c>
      <c r="AA43" s="4" t="e">
        <f>Z43*(1+'Rhaniad y Ddeiliadaeth (De-o)'!G$109)+(Z$44*(-(50-$U43)*('Rhaniad y Ddeiliadaeth (De-o)'!G$110/40)))</f>
        <v>#VALUE!</v>
      </c>
      <c r="AC43" s="260">
        <v>49</v>
      </c>
      <c r="AD43" s="4">
        <f>IF('Rhaniad y Ddeiliadaeth (Cymru)'!$D$8="Amcangyfrifon LlC",'Incwm (De-orllewin)'!E43,'Incwm (De-orllewin)'!W43)</f>
        <v>26107.100611938862</v>
      </c>
      <c r="AE43" s="4">
        <f>IF('Rhaniad y Ddeiliadaeth (Cymru)'!$D$8="Amcangyfrifon LlC",'Incwm (De-orllewin)'!F43,'Incwm (De-orllewin)'!X43)</f>
        <v>26995.256849753358</v>
      </c>
      <c r="AF43" s="4">
        <f>IF('Rhaniad y Ddeiliadaeth (Cymru)'!$D$8="Amcangyfrifon LlC",'Incwm (De-orllewin)'!G43,'Incwm (De-orllewin)'!Y43)</f>
        <v>27911.043175308812</v>
      </c>
      <c r="AG43" s="4">
        <f>IF('Rhaniad y Ddeiliadaeth (Cymru)'!$D$8="Amcangyfrifon LlC",'Incwm (De-orllewin)'!H43,'Incwm (De-orllewin)'!Z43)</f>
        <v>28872.04516671977</v>
      </c>
      <c r="AH43" s="4">
        <f>IF('Rhaniad y Ddeiliadaeth (Cymru)'!$D$8="Amcangyfrifon LlC",'Incwm (De-orllewin)'!I43,'Incwm (De-orllewin)'!AA43)</f>
        <v>29860.729875231693</v>
      </c>
    </row>
    <row r="44" spans="2:34" x14ac:dyDescent="0.35">
      <c r="B44" s="251">
        <v>50</v>
      </c>
      <c r="C44" s="258">
        <v>25300</v>
      </c>
      <c r="D44" s="258">
        <v>25968.519371259583</v>
      </c>
      <c r="E44" s="278">
        <f>D44*(1+'Rhaniad y Ddeiliadaeth (De-o)'!C$109)+(D$44*(-(50-$B44)*('Rhaniad y Ddeiliadaeth (De-o)'!C$110/40)))</f>
        <v>26551.413582033463</v>
      </c>
      <c r="F44" s="278">
        <f>E44*(1+'Rhaniad y Ddeiliadaeth (De-o)'!D$109)+(E$44*(-(50-$B44)*('Rhaniad y Ddeiliadaeth (De-o)'!D$110/40)))</f>
        <v>27461.436044489976</v>
      </c>
      <c r="G44" s="278">
        <f>F44*(1+'Rhaniad y Ddeiliadaeth (De-o)'!E$109)+(F$44*(-(50-$B44)*('Rhaniad y Ddeiliadaeth (De-o)'!E$110/40)))</f>
        <v>28400.020936202072</v>
      </c>
      <c r="H44" s="278">
        <f>G44*(1+'Rhaniad y Ddeiliadaeth (De-o)'!F$109)+(G$44*(-(50-$B44)*('Rhaniad y Ddeiliadaeth (De-o)'!F$110/40)))</f>
        <v>29385.083257248516</v>
      </c>
      <c r="I44" s="279">
        <f>H44*(1+'Rhaniad y Ddeiliadaeth (De-o)'!G$109)+H$44*(-(50-$B44)*('Rhaniad y Ddeiliadaeth (De-o)'!G$110/40))</f>
        <v>30398.813080864798</v>
      </c>
      <c r="M44" s="36" t="str">
        <f t="shared" si="1"/>
        <v/>
      </c>
      <c r="N44" s="190"/>
      <c r="O44" s="13">
        <f t="shared" si="4"/>
        <v>1</v>
      </c>
      <c r="U44" s="1">
        <f t="shared" si="2"/>
        <v>50</v>
      </c>
      <c r="V44" s="4" t="str">
        <f t="shared" si="3"/>
        <v/>
      </c>
      <c r="W44" s="4" t="e">
        <f>IF($W$3=$N$3,N44,V44*(1+'Rhaniad y Ddeiliadaeth (De-o)'!C$109)+(V$44*(-(50-$U44)*('Rhaniad y Ddeiliadaeth (De-o)'!C$110/40))))</f>
        <v>#VALUE!</v>
      </c>
      <c r="X44" s="4" t="e">
        <f>W44*(1+'Rhaniad y Ddeiliadaeth (De-o)'!D$109)+(W$44*(-(50-$U44)*('Rhaniad y Ddeiliadaeth (De-o)'!D$110/40)))</f>
        <v>#VALUE!</v>
      </c>
      <c r="Y44" s="4" t="e">
        <f>X44*(1+'Rhaniad y Ddeiliadaeth (De-o)'!E$109)+(X$44*(-(50-$U44)*('Rhaniad y Ddeiliadaeth (De-o)'!E$110/40)))</f>
        <v>#VALUE!</v>
      </c>
      <c r="Z44" s="4" t="e">
        <f>Y44*(1+'Rhaniad y Ddeiliadaeth (De-o)'!F$109)+(Y$44*(-(50-$U44)*('Rhaniad y Ddeiliadaeth (De-o)'!F$110/40)))</f>
        <v>#VALUE!</v>
      </c>
      <c r="AA44" s="4" t="e">
        <f>Z44*(1+'Rhaniad y Ddeiliadaeth (De-o)'!G$109)+(Z$44*(-(50-$U44)*('Rhaniad y Ddeiliadaeth (De-o)'!G$110/40)))</f>
        <v>#VALUE!</v>
      </c>
      <c r="AC44" s="260">
        <v>50</v>
      </c>
      <c r="AD44" s="4">
        <f>IF('Rhaniad y Ddeiliadaeth (Cymru)'!$D$8="Amcangyfrifon LlC",'Incwm (De-orllewin)'!E44,'Incwm (De-orllewin)'!W44)</f>
        <v>26551.413582033463</v>
      </c>
      <c r="AE44" s="4">
        <f>IF('Rhaniad y Ddeiliadaeth (Cymru)'!$D$8="Amcangyfrifon LlC",'Incwm (De-orllewin)'!F44,'Incwm (De-orllewin)'!X44)</f>
        <v>27461.436044489976</v>
      </c>
      <c r="AF44" s="4">
        <f>IF('Rhaniad y Ddeiliadaeth (Cymru)'!$D$8="Amcangyfrifon LlC",'Incwm (De-orllewin)'!G44,'Incwm (De-orllewin)'!Y44)</f>
        <v>28400.020936202072</v>
      </c>
      <c r="AG44" s="4">
        <f>IF('Rhaniad y Ddeiliadaeth (Cymru)'!$D$8="Amcangyfrifon LlC",'Incwm (De-orllewin)'!H44,'Incwm (De-orllewin)'!Z44)</f>
        <v>29385.083257248516</v>
      </c>
      <c r="AH44" s="4">
        <f>IF('Rhaniad y Ddeiliadaeth (Cymru)'!$D$8="Amcangyfrifon LlC",'Incwm (De-orllewin)'!I44,'Incwm (De-orllewin)'!AA44)</f>
        <v>30398.813080864798</v>
      </c>
    </row>
    <row r="45" spans="2:34" x14ac:dyDescent="0.35">
      <c r="B45" s="251">
        <v>51</v>
      </c>
      <c r="C45" s="258">
        <v>25646.93</v>
      </c>
      <c r="D45" s="258">
        <v>26324.61654222682</v>
      </c>
      <c r="E45" s="278">
        <f>D45*(1+'Rhaniad y Ddeiliadaeth (De-o)'!C$109)+(D$44*(-(50-$B45)*('Rhaniad y Ddeiliadaeth (De-o)'!C$110/40)))</f>
        <v>26921.99590610612</v>
      </c>
      <c r="F45" s="278">
        <f>E45*(1+'Rhaniad y Ddeiliadaeth (De-o)'!D$109)+(E$44*(-(50-$B45)*('Rhaniad y Ddeiliadaeth (De-o)'!D$110/40)))</f>
        <v>27851.357550949662</v>
      </c>
      <c r="G45" s="278">
        <f>F45*(1+'Rhaniad y Ddeiliadaeth (De-o)'!E$109)+(F$44*(-(50-$B45)*('Rhaniad y Ddeiliadaeth (De-o)'!E$110/40)))</f>
        <v>28810.134651526023</v>
      </c>
      <c r="H45" s="278">
        <f>G45*(1+'Rhaniad y Ddeiliadaeth (De-o)'!F$109)+(G$44*(-(50-$B45)*('Rhaniad y Ddeiliadaeth (De-o)'!F$110/40)))</f>
        <v>29816.521881697168</v>
      </c>
      <c r="I45" s="279">
        <f>H45*(1+'Rhaniad y Ddeiliadaeth (De-o)'!G$109)+H$44*(-(50-$B45)*('Rhaniad y Ddeiliadaeth (De-o)'!G$110/40))</f>
        <v>30852.481793091451</v>
      </c>
      <c r="M45" s="36" t="str">
        <f t="shared" si="1"/>
        <v/>
      </c>
      <c r="N45" s="190"/>
      <c r="O45" s="13">
        <f t="shared" si="4"/>
        <v>1</v>
      </c>
      <c r="U45" s="1">
        <f t="shared" si="2"/>
        <v>51</v>
      </c>
      <c r="V45" s="4" t="str">
        <f t="shared" si="3"/>
        <v/>
      </c>
      <c r="W45" s="4" t="e">
        <f>IF($W$3=$N$3,N45,V45*(1+'Rhaniad y Ddeiliadaeth (De-o)'!C$109)+(V$44*(-(50-$U45)*('Rhaniad y Ddeiliadaeth (De-o)'!C$110/40))))</f>
        <v>#VALUE!</v>
      </c>
      <c r="X45" s="4" t="e">
        <f>W45*(1+'Rhaniad y Ddeiliadaeth (De-o)'!D$109)+(W$44*(-(50-$U45)*('Rhaniad y Ddeiliadaeth (De-o)'!D$110/40)))</f>
        <v>#VALUE!</v>
      </c>
      <c r="Y45" s="4" t="e">
        <f>X45*(1+'Rhaniad y Ddeiliadaeth (De-o)'!E$109)+(X$44*(-(50-$U45)*('Rhaniad y Ddeiliadaeth (De-o)'!E$110/40)))</f>
        <v>#VALUE!</v>
      </c>
      <c r="Z45" s="4" t="e">
        <f>Y45*(1+'Rhaniad y Ddeiliadaeth (De-o)'!F$109)+(Y$44*(-(50-$U45)*('Rhaniad y Ddeiliadaeth (De-o)'!F$110/40)))</f>
        <v>#VALUE!</v>
      </c>
      <c r="AA45" s="4" t="e">
        <f>Z45*(1+'Rhaniad y Ddeiliadaeth (De-o)'!G$109)+(Z$44*(-(50-$U45)*('Rhaniad y Ddeiliadaeth (De-o)'!G$110/40)))</f>
        <v>#VALUE!</v>
      </c>
      <c r="AC45" s="260">
        <v>51</v>
      </c>
      <c r="AD45" s="4">
        <f>IF('Rhaniad y Ddeiliadaeth (Cymru)'!$D$8="Amcangyfrifon LlC",'Incwm (De-orllewin)'!E45,'Incwm (De-orllewin)'!W45)</f>
        <v>26921.99590610612</v>
      </c>
      <c r="AE45" s="4">
        <f>IF('Rhaniad y Ddeiliadaeth (Cymru)'!$D$8="Amcangyfrifon LlC",'Incwm (De-orllewin)'!F45,'Incwm (De-orllewin)'!X45)</f>
        <v>27851.357550949662</v>
      </c>
      <c r="AF45" s="4">
        <f>IF('Rhaniad y Ddeiliadaeth (Cymru)'!$D$8="Amcangyfrifon LlC",'Incwm (De-orllewin)'!G45,'Incwm (De-orllewin)'!Y45)</f>
        <v>28810.134651526023</v>
      </c>
      <c r="AG45" s="4">
        <f>IF('Rhaniad y Ddeiliadaeth (Cymru)'!$D$8="Amcangyfrifon LlC",'Incwm (De-orllewin)'!H45,'Incwm (De-orllewin)'!Z45)</f>
        <v>29816.521881697168</v>
      </c>
      <c r="AH45" s="4">
        <f>IF('Rhaniad y Ddeiliadaeth (Cymru)'!$D$8="Amcangyfrifon LlC",'Incwm (De-orllewin)'!I45,'Incwm (De-orllewin)'!AA45)</f>
        <v>30852.481793091451</v>
      </c>
    </row>
    <row r="46" spans="2:34" x14ac:dyDescent="0.35">
      <c r="B46" s="251">
        <v>52</v>
      </c>
      <c r="C46" s="258">
        <v>26111.8</v>
      </c>
      <c r="D46" s="258">
        <v>26801.770123259132</v>
      </c>
      <c r="E46" s="278">
        <f>D46*(1+'Rhaniad y Ddeiliadaeth (De-o)'!C$109)+(D$44*(-(50-$B46)*('Rhaniad y Ddeiliadaeth (De-o)'!C$110/40)))</f>
        <v>27416.351894916519</v>
      </c>
      <c r="F46" s="278">
        <f>E46*(1+'Rhaniad y Ddeiliadaeth (De-o)'!D$109)+(E$44*(-(50-$B46)*('Rhaniad y Ddeiliadaeth (De-o)'!D$110/40)))</f>
        <v>28369.294937531373</v>
      </c>
      <c r="G46" s="278">
        <f>F46*(1+'Rhaniad y Ddeiliadaeth (De-o)'!E$109)+(F$44*(-(50-$B46)*('Rhaniad y Ddeiliadaeth (De-o)'!E$110/40)))</f>
        <v>29352.639610692499</v>
      </c>
      <c r="H46" s="278">
        <f>G46*(1+'Rhaniad y Ddeiliadaeth (De-o)'!F$109)+(G$44*(-(50-$B46)*('Rhaniad y Ddeiliadaeth (De-o)'!F$110/40)))</f>
        <v>30384.943775685751</v>
      </c>
      <c r="I46" s="279">
        <f>H46*(1+'Rhaniad y Ddeiliadaeth (De-o)'!G$109)+H$44*(-(50-$B46)*('Rhaniad y Ddeiliadaeth (De-o)'!G$110/40))</f>
        <v>31447.859438707728</v>
      </c>
      <c r="M46" s="36" t="str">
        <f t="shared" si="1"/>
        <v/>
      </c>
      <c r="N46" s="190"/>
      <c r="O46" s="13">
        <f t="shared" si="4"/>
        <v>1</v>
      </c>
      <c r="U46" s="1">
        <f t="shared" si="2"/>
        <v>52</v>
      </c>
      <c r="V46" s="4" t="str">
        <f t="shared" si="3"/>
        <v/>
      </c>
      <c r="W46" s="4" t="e">
        <f>IF($W$3=$N$3,N46,V46*(1+'Rhaniad y Ddeiliadaeth (De-o)'!C$109)+(V$44*(-(50-$U46)*('Rhaniad y Ddeiliadaeth (De-o)'!C$110/40))))</f>
        <v>#VALUE!</v>
      </c>
      <c r="X46" s="4" t="e">
        <f>W46*(1+'Rhaniad y Ddeiliadaeth (De-o)'!D$109)+(W$44*(-(50-$U46)*('Rhaniad y Ddeiliadaeth (De-o)'!D$110/40)))</f>
        <v>#VALUE!</v>
      </c>
      <c r="Y46" s="4" t="e">
        <f>X46*(1+'Rhaniad y Ddeiliadaeth (De-o)'!E$109)+(X$44*(-(50-$U46)*('Rhaniad y Ddeiliadaeth (De-o)'!E$110/40)))</f>
        <v>#VALUE!</v>
      </c>
      <c r="Z46" s="4" t="e">
        <f>Y46*(1+'Rhaniad y Ddeiliadaeth (De-o)'!F$109)+(Y$44*(-(50-$U46)*('Rhaniad y Ddeiliadaeth (De-o)'!F$110/40)))</f>
        <v>#VALUE!</v>
      </c>
      <c r="AA46" s="4" t="e">
        <f>Z46*(1+'Rhaniad y Ddeiliadaeth (De-o)'!G$109)+(Z$44*(-(50-$U46)*('Rhaniad y Ddeiliadaeth (De-o)'!G$110/40)))</f>
        <v>#VALUE!</v>
      </c>
      <c r="AC46" s="260">
        <v>52</v>
      </c>
      <c r="AD46" s="4">
        <f>IF('Rhaniad y Ddeiliadaeth (Cymru)'!$D$8="Amcangyfrifon LlC",'Incwm (De-orllewin)'!E46,'Incwm (De-orllewin)'!W46)</f>
        <v>27416.351894916519</v>
      </c>
      <c r="AE46" s="4">
        <f>IF('Rhaniad y Ddeiliadaeth (Cymru)'!$D$8="Amcangyfrifon LlC",'Incwm (De-orllewin)'!F46,'Incwm (De-orllewin)'!X46)</f>
        <v>28369.294937531373</v>
      </c>
      <c r="AF46" s="4">
        <f>IF('Rhaniad y Ddeiliadaeth (Cymru)'!$D$8="Amcangyfrifon LlC",'Incwm (De-orllewin)'!G46,'Incwm (De-orllewin)'!Y46)</f>
        <v>29352.639610692499</v>
      </c>
      <c r="AG46" s="4">
        <f>IF('Rhaniad y Ddeiliadaeth (Cymru)'!$D$8="Amcangyfrifon LlC",'Incwm (De-orllewin)'!H46,'Incwm (De-orllewin)'!Z46)</f>
        <v>30384.943775685751</v>
      </c>
      <c r="AH46" s="4">
        <f>IF('Rhaniad y Ddeiliadaeth (Cymru)'!$D$8="Amcangyfrifon LlC",'Incwm (De-orllewin)'!I46,'Incwm (De-orllewin)'!AA46)</f>
        <v>31447.859438707728</v>
      </c>
    </row>
    <row r="47" spans="2:34" x14ac:dyDescent="0.35">
      <c r="B47" s="251">
        <v>53</v>
      </c>
      <c r="C47" s="258">
        <v>26474.5</v>
      </c>
      <c r="D47" s="258">
        <v>27174.053995826554</v>
      </c>
      <c r="E47" s="278">
        <f>D47*(1+'Rhaniad y Ddeiliadaeth (De-o)'!C$109)+(D$44*(-(50-$B47)*('Rhaniad y Ddeiliadaeth (De-o)'!C$110/40)))</f>
        <v>27803.484250300975</v>
      </c>
      <c r="F47" s="278">
        <f>E47*(1+'Rhaniad y Ddeiliadaeth (De-o)'!D$109)+(E$44*(-(50-$B47)*('Rhaniad y Ddeiliadaeth (De-o)'!D$110/40)))</f>
        <v>28776.333710648036</v>
      </c>
      <c r="G47" s="278">
        <f>F47*(1+'Rhaniad y Ddeiliadaeth (De-o)'!E$109)+(F$44*(-(50-$B47)*('Rhaniad y Ddeiliadaeth (De-o)'!E$110/40)))</f>
        <v>29780.455631556524</v>
      </c>
      <c r="H47" s="278">
        <f>G47*(1+'Rhaniad y Ddeiliadaeth (De-o)'!F$109)+(G$44*(-(50-$B47)*('Rhaniad y Ddeiliadaeth (De-o)'!F$110/40)))</f>
        <v>30834.698714876173</v>
      </c>
      <c r="I47" s="279">
        <f>H47*(1+'Rhaniad y Ddeiliadaeth (De-o)'!G$109)+H$44*(-(50-$B47)*('Rhaniad y Ddeiliadaeth (De-o)'!G$110/40))</f>
        <v>31920.476343910079</v>
      </c>
      <c r="M47" s="36" t="str">
        <f t="shared" si="1"/>
        <v/>
      </c>
      <c r="N47" s="190"/>
      <c r="O47" s="13">
        <f t="shared" si="4"/>
        <v>1</v>
      </c>
      <c r="U47" s="1">
        <f t="shared" si="2"/>
        <v>53</v>
      </c>
      <c r="V47" s="4" t="str">
        <f t="shared" si="3"/>
        <v/>
      </c>
      <c r="W47" s="4" t="e">
        <f>IF($W$3=$N$3,N47,V47*(1+'Rhaniad y Ddeiliadaeth (De-o)'!C$109)+(V$44*(-(50-$U47)*('Rhaniad y Ddeiliadaeth (De-o)'!C$110/40))))</f>
        <v>#VALUE!</v>
      </c>
      <c r="X47" s="4" t="e">
        <f>W47*(1+'Rhaniad y Ddeiliadaeth (De-o)'!D$109)+(W$44*(-(50-$U47)*('Rhaniad y Ddeiliadaeth (De-o)'!D$110/40)))</f>
        <v>#VALUE!</v>
      </c>
      <c r="Y47" s="4" t="e">
        <f>X47*(1+'Rhaniad y Ddeiliadaeth (De-o)'!E$109)+(X$44*(-(50-$U47)*('Rhaniad y Ddeiliadaeth (De-o)'!E$110/40)))</f>
        <v>#VALUE!</v>
      </c>
      <c r="Z47" s="4" t="e">
        <f>Y47*(1+'Rhaniad y Ddeiliadaeth (De-o)'!F$109)+(Y$44*(-(50-$U47)*('Rhaniad y Ddeiliadaeth (De-o)'!F$110/40)))</f>
        <v>#VALUE!</v>
      </c>
      <c r="AA47" s="4" t="e">
        <f>Z47*(1+'Rhaniad y Ddeiliadaeth (De-o)'!G$109)+(Z$44*(-(50-$U47)*('Rhaniad y Ddeiliadaeth (De-o)'!G$110/40)))</f>
        <v>#VALUE!</v>
      </c>
      <c r="AC47" s="260">
        <v>53</v>
      </c>
      <c r="AD47" s="4">
        <f>IF('Rhaniad y Ddeiliadaeth (Cymru)'!$D$8="Amcangyfrifon LlC",'Incwm (De-orllewin)'!E47,'Incwm (De-orllewin)'!W47)</f>
        <v>27803.484250300975</v>
      </c>
      <c r="AE47" s="4">
        <f>IF('Rhaniad y Ddeiliadaeth (Cymru)'!$D$8="Amcangyfrifon LlC",'Incwm (De-orllewin)'!F47,'Incwm (De-orllewin)'!X47)</f>
        <v>28776.333710648036</v>
      </c>
      <c r="AF47" s="4">
        <f>IF('Rhaniad y Ddeiliadaeth (Cymru)'!$D$8="Amcangyfrifon LlC",'Incwm (De-orllewin)'!G47,'Incwm (De-orllewin)'!Y47)</f>
        <v>29780.455631556524</v>
      </c>
      <c r="AG47" s="4">
        <f>IF('Rhaniad y Ddeiliadaeth (Cymru)'!$D$8="Amcangyfrifon LlC",'Incwm (De-orllewin)'!H47,'Incwm (De-orllewin)'!Z47)</f>
        <v>30834.698714876173</v>
      </c>
      <c r="AH47" s="4">
        <f>IF('Rhaniad y Ddeiliadaeth (Cymru)'!$D$8="Amcangyfrifon LlC",'Incwm (De-orllewin)'!I47,'Incwm (De-orllewin)'!AA47)</f>
        <v>31920.476343910079</v>
      </c>
    </row>
    <row r="48" spans="2:34" x14ac:dyDescent="0.35">
      <c r="B48" s="251">
        <v>54</v>
      </c>
      <c r="C48" s="258">
        <v>27140.89</v>
      </c>
      <c r="D48" s="258">
        <v>27858.052478981244</v>
      </c>
      <c r="E48" s="278">
        <f>D48*(1+'Rhaniad y Ddeiliadaeth (De-o)'!C$109)+(D$44*(-(50-$B48)*('Rhaniad y Ddeiliadaeth (De-o)'!C$110/40)))</f>
        <v>28509.3280203387</v>
      </c>
      <c r="F48" s="278">
        <f>E48*(1+'Rhaniad y Ddeiliadaeth (De-o)'!D$109)+(E$44*(-(50-$B48)*('Rhaniad y Ddeiliadaeth (De-o)'!D$110/40)))</f>
        <v>29513.007405201504</v>
      </c>
      <c r="G48" s="278">
        <f>F48*(1+'Rhaniad y Ddeiliadaeth (De-o)'!E$109)+(F$44*(-(50-$B48)*('Rhaniad y Ddeiliadaeth (De-o)'!E$110/40)))</f>
        <v>30549.172931397439</v>
      </c>
      <c r="H48" s="278">
        <f>G48*(1+'Rhaniad y Ddeiliadaeth (De-o)'!F$109)+(G$44*(-(50-$B48)*('Rhaniad y Ddeiliadaeth (De-o)'!F$110/40)))</f>
        <v>31637.179185070308</v>
      </c>
      <c r="I48" s="279">
        <f>H48*(1+'Rhaniad y Ddeiliadaeth (De-o)'!G$109)+H$44*(-(50-$B48)*('Rhaniad y Ddeiliadaeth (De-o)'!G$110/40))</f>
        <v>32757.987144153063</v>
      </c>
      <c r="M48" s="36" t="str">
        <f t="shared" si="1"/>
        <v/>
      </c>
      <c r="N48" s="190"/>
      <c r="O48" s="13">
        <f t="shared" si="4"/>
        <v>1</v>
      </c>
      <c r="U48" s="1">
        <f t="shared" si="2"/>
        <v>54</v>
      </c>
      <c r="V48" s="4" t="str">
        <f t="shared" si="3"/>
        <v/>
      </c>
      <c r="W48" s="4" t="e">
        <f>IF($W$3=$N$3,N48,V48*(1+'Rhaniad y Ddeiliadaeth (De-o)'!C$109)+(V$44*(-(50-$U48)*('Rhaniad y Ddeiliadaeth (De-o)'!C$110/40))))</f>
        <v>#VALUE!</v>
      </c>
      <c r="X48" s="4" t="e">
        <f>W48*(1+'Rhaniad y Ddeiliadaeth (De-o)'!D$109)+(W$44*(-(50-$U48)*('Rhaniad y Ddeiliadaeth (De-o)'!D$110/40)))</f>
        <v>#VALUE!</v>
      </c>
      <c r="Y48" s="4" t="e">
        <f>X48*(1+'Rhaniad y Ddeiliadaeth (De-o)'!E$109)+(X$44*(-(50-$U48)*('Rhaniad y Ddeiliadaeth (De-o)'!E$110/40)))</f>
        <v>#VALUE!</v>
      </c>
      <c r="Z48" s="4" t="e">
        <f>Y48*(1+'Rhaniad y Ddeiliadaeth (De-o)'!F$109)+(Y$44*(-(50-$U48)*('Rhaniad y Ddeiliadaeth (De-o)'!F$110/40)))</f>
        <v>#VALUE!</v>
      </c>
      <c r="AA48" s="4" t="e">
        <f>Z48*(1+'Rhaniad y Ddeiliadaeth (De-o)'!G$109)+(Z$44*(-(50-$U48)*('Rhaniad y Ddeiliadaeth (De-o)'!G$110/40)))</f>
        <v>#VALUE!</v>
      </c>
      <c r="AC48" s="260">
        <v>54</v>
      </c>
      <c r="AD48" s="4">
        <f>IF('Rhaniad y Ddeiliadaeth (Cymru)'!$D$8="Amcangyfrifon LlC",'Incwm (De-orllewin)'!E48,'Incwm (De-orllewin)'!W48)</f>
        <v>28509.3280203387</v>
      </c>
      <c r="AE48" s="4">
        <f>IF('Rhaniad y Ddeiliadaeth (Cymru)'!$D$8="Amcangyfrifon LlC",'Incwm (De-orllewin)'!F48,'Incwm (De-orllewin)'!X48)</f>
        <v>29513.007405201504</v>
      </c>
      <c r="AF48" s="4">
        <f>IF('Rhaniad y Ddeiliadaeth (Cymru)'!$D$8="Amcangyfrifon LlC",'Incwm (De-orllewin)'!G48,'Incwm (De-orllewin)'!Y48)</f>
        <v>30549.172931397439</v>
      </c>
      <c r="AG48" s="4">
        <f>IF('Rhaniad y Ddeiliadaeth (Cymru)'!$D$8="Amcangyfrifon LlC",'Incwm (De-orllewin)'!H48,'Incwm (De-orllewin)'!Z48)</f>
        <v>31637.179185070308</v>
      </c>
      <c r="AH48" s="4">
        <f>IF('Rhaniad y Ddeiliadaeth (Cymru)'!$D$8="Amcangyfrifon LlC",'Incwm (De-orllewin)'!I48,'Incwm (De-orllewin)'!AA48)</f>
        <v>32757.987144153063</v>
      </c>
    </row>
    <row r="49" spans="2:34" x14ac:dyDescent="0.35">
      <c r="B49" s="251">
        <v>55</v>
      </c>
      <c r="C49" s="258">
        <v>27659.5</v>
      </c>
      <c r="D49" s="258">
        <v>28390.366069144446</v>
      </c>
      <c r="E49" s="278">
        <f>D49*(1+'Rhaniad y Ddeiliadaeth (De-o)'!C$109)+(D$44*(-(50-$B49)*('Rhaniad y Ddeiliadaeth (De-o)'!C$110/40)))</f>
        <v>29060.082150093705</v>
      </c>
      <c r="F49" s="278">
        <f>E49*(1+'Rhaniad y Ddeiliadaeth (De-o)'!D$109)+(E$44*(-(50-$B49)*('Rhaniad y Ddeiliadaeth (De-o)'!D$110/40)))</f>
        <v>30089.275921152021</v>
      </c>
      <c r="G49" s="278">
        <f>F49*(1+'Rhaniad y Ddeiliadaeth (De-o)'!E$109)+(F$44*(-(50-$B49)*('Rhaniad y Ddeiliadaeth (De-o)'!E$110/40)))</f>
        <v>31152.002678117718</v>
      </c>
      <c r="H49" s="278">
        <f>G49*(1+'Rhaniad y Ddeiliadaeth (De-o)'!F$109)+(G$44*(-(50-$B49)*('Rhaniad y Ddeiliadaeth (De-o)'!F$110/40)))</f>
        <v>32268.018248001346</v>
      </c>
      <c r="I49" s="279">
        <f>H49*(1+'Rhaniad y Ddeiliadaeth (De-o)'!G$109)+H$44*(-(50-$B49)*('Rhaniad y Ddeiliadaeth (De-o)'!G$110/40))</f>
        <v>33417.9352330486</v>
      </c>
      <c r="M49" s="36" t="str">
        <f t="shared" si="1"/>
        <v/>
      </c>
      <c r="N49" s="190"/>
      <c r="O49" s="13">
        <f t="shared" si="4"/>
        <v>1</v>
      </c>
      <c r="U49" s="1">
        <f t="shared" si="2"/>
        <v>55</v>
      </c>
      <c r="V49" s="4" t="str">
        <f t="shared" si="3"/>
        <v/>
      </c>
      <c r="W49" s="4" t="e">
        <f>IF($W$3=$N$3,N49,V49*(1+'Rhaniad y Ddeiliadaeth (De-o)'!C$109)+(V$44*(-(50-$U49)*('Rhaniad y Ddeiliadaeth (De-o)'!C$110/40))))</f>
        <v>#VALUE!</v>
      </c>
      <c r="X49" s="4" t="e">
        <f>W49*(1+'Rhaniad y Ddeiliadaeth (De-o)'!D$109)+(W$44*(-(50-$U49)*('Rhaniad y Ddeiliadaeth (De-o)'!D$110/40)))</f>
        <v>#VALUE!</v>
      </c>
      <c r="Y49" s="4" t="e">
        <f>X49*(1+'Rhaniad y Ddeiliadaeth (De-o)'!E$109)+(X$44*(-(50-$U49)*('Rhaniad y Ddeiliadaeth (De-o)'!E$110/40)))</f>
        <v>#VALUE!</v>
      </c>
      <c r="Z49" s="4" t="e">
        <f>Y49*(1+'Rhaniad y Ddeiliadaeth (De-o)'!F$109)+(Y$44*(-(50-$U49)*('Rhaniad y Ddeiliadaeth (De-o)'!F$110/40)))</f>
        <v>#VALUE!</v>
      </c>
      <c r="AA49" s="4" t="e">
        <f>Z49*(1+'Rhaniad y Ddeiliadaeth (De-o)'!G$109)+(Z$44*(-(50-$U49)*('Rhaniad y Ddeiliadaeth (De-o)'!G$110/40)))</f>
        <v>#VALUE!</v>
      </c>
      <c r="AC49" s="260">
        <v>55</v>
      </c>
      <c r="AD49" s="4">
        <f>IF('Rhaniad y Ddeiliadaeth (Cymru)'!$D$8="Amcangyfrifon LlC",'Incwm (De-orllewin)'!E49,'Incwm (De-orllewin)'!W49)</f>
        <v>29060.082150093705</v>
      </c>
      <c r="AE49" s="4">
        <f>IF('Rhaniad y Ddeiliadaeth (Cymru)'!$D$8="Amcangyfrifon LlC",'Incwm (De-orllewin)'!F49,'Incwm (De-orllewin)'!X49)</f>
        <v>30089.275921152021</v>
      </c>
      <c r="AF49" s="4">
        <f>IF('Rhaniad y Ddeiliadaeth (Cymru)'!$D$8="Amcangyfrifon LlC",'Incwm (De-orllewin)'!G49,'Incwm (De-orllewin)'!Y49)</f>
        <v>31152.002678117718</v>
      </c>
      <c r="AG49" s="4">
        <f>IF('Rhaniad y Ddeiliadaeth (Cymru)'!$D$8="Amcangyfrifon LlC",'Incwm (De-orllewin)'!H49,'Incwm (De-orllewin)'!Z49)</f>
        <v>32268.018248001346</v>
      </c>
      <c r="AH49" s="4">
        <f>IF('Rhaniad y Ddeiliadaeth (Cymru)'!$D$8="Amcangyfrifon LlC",'Incwm (De-orllewin)'!I49,'Incwm (De-orllewin)'!AA49)</f>
        <v>33417.9352330486</v>
      </c>
    </row>
    <row r="50" spans="2:34" x14ac:dyDescent="0.35">
      <c r="B50" s="251">
        <v>56</v>
      </c>
      <c r="C50" s="258">
        <v>27974.799999999999</v>
      </c>
      <c r="D50" s="258">
        <v>28713.997458779155</v>
      </c>
      <c r="E50" s="278">
        <f>D50*(1+'Rhaniad y Ddeiliadaeth (De-o)'!C$109)+(D$44*(-(50-$B50)*('Rhaniad y Ddeiliadaeth (De-o)'!C$110/40)))</f>
        <v>29397.469959873877</v>
      </c>
      <c r="F50" s="278">
        <f>E50*(1+'Rhaniad y Ddeiliadaeth (De-o)'!D$109)+(E$44*(-(50-$B50)*('Rhaniad y Ddeiliadaeth (De-o)'!D$110/40)))</f>
        <v>30444.865205394821</v>
      </c>
      <c r="G50" s="278">
        <f>F50*(1+'Rhaniad y Ddeiliadaeth (De-o)'!E$109)+(F$44*(-(50-$B50)*('Rhaniad y Ddeiliadaeth (De-o)'!E$110/40)))</f>
        <v>31526.610754619065</v>
      </c>
      <c r="H50" s="278">
        <f>G50*(1+'Rhaniad y Ddeiliadaeth (De-o)'!F$109)+(G$44*(-(50-$B50)*('Rhaniad y Ddeiliadaeth (De-o)'!F$110/40)))</f>
        <v>32662.719711049744</v>
      </c>
      <c r="I50" s="279">
        <f>H50*(1+'Rhaniad y Ddeiliadaeth (De-o)'!G$109)+H$44*(-(50-$B50)*('Rhaniad y Ddeiliadaeth (De-o)'!G$110/40))</f>
        <v>33833.599421253617</v>
      </c>
      <c r="M50" s="36" t="str">
        <f t="shared" si="1"/>
        <v/>
      </c>
      <c r="N50" s="190"/>
      <c r="O50" s="13">
        <f t="shared" si="4"/>
        <v>1</v>
      </c>
      <c r="U50" s="1">
        <f t="shared" si="2"/>
        <v>56</v>
      </c>
      <c r="V50" s="4" t="str">
        <f t="shared" si="3"/>
        <v/>
      </c>
      <c r="W50" s="4" t="e">
        <f>IF($W$3=$N$3,N50,V50*(1+'Rhaniad y Ddeiliadaeth (De-o)'!C$109)+(V$44*(-(50-$U50)*('Rhaniad y Ddeiliadaeth (De-o)'!C$110/40))))</f>
        <v>#VALUE!</v>
      </c>
      <c r="X50" s="4" t="e">
        <f>W50*(1+'Rhaniad y Ddeiliadaeth (De-o)'!D$109)+(W$44*(-(50-$U50)*('Rhaniad y Ddeiliadaeth (De-o)'!D$110/40)))</f>
        <v>#VALUE!</v>
      </c>
      <c r="Y50" s="4" t="e">
        <f>X50*(1+'Rhaniad y Ddeiliadaeth (De-o)'!E$109)+(X$44*(-(50-$U50)*('Rhaniad y Ddeiliadaeth (De-o)'!E$110/40)))</f>
        <v>#VALUE!</v>
      </c>
      <c r="Z50" s="4" t="e">
        <f>Y50*(1+'Rhaniad y Ddeiliadaeth (De-o)'!F$109)+(Y$44*(-(50-$U50)*('Rhaniad y Ddeiliadaeth (De-o)'!F$110/40)))</f>
        <v>#VALUE!</v>
      </c>
      <c r="AA50" s="4" t="e">
        <f>Z50*(1+'Rhaniad y Ddeiliadaeth (De-o)'!G$109)+(Z$44*(-(50-$U50)*('Rhaniad y Ddeiliadaeth (De-o)'!G$110/40)))</f>
        <v>#VALUE!</v>
      </c>
      <c r="AC50" s="260">
        <v>56</v>
      </c>
      <c r="AD50" s="4">
        <f>IF('Rhaniad y Ddeiliadaeth (Cymru)'!$D$8="Amcangyfrifon LlC",'Incwm (De-orllewin)'!E50,'Incwm (De-orllewin)'!W50)</f>
        <v>29397.469959873877</v>
      </c>
      <c r="AE50" s="4">
        <f>IF('Rhaniad y Ddeiliadaeth (Cymru)'!$D$8="Amcangyfrifon LlC",'Incwm (De-orllewin)'!F50,'Incwm (De-orllewin)'!X50)</f>
        <v>30444.865205394821</v>
      </c>
      <c r="AF50" s="4">
        <f>IF('Rhaniad y Ddeiliadaeth (Cymru)'!$D$8="Amcangyfrifon LlC",'Incwm (De-orllewin)'!G50,'Incwm (De-orllewin)'!Y50)</f>
        <v>31526.610754619065</v>
      </c>
      <c r="AG50" s="4">
        <f>IF('Rhaniad y Ddeiliadaeth (Cymru)'!$D$8="Amcangyfrifon LlC",'Incwm (De-orllewin)'!H50,'Incwm (De-orllewin)'!Z50)</f>
        <v>32662.719711049744</v>
      </c>
      <c r="AH50" s="4">
        <f>IF('Rhaniad y Ddeiliadaeth (Cymru)'!$D$8="Amcangyfrifon LlC",'Incwm (De-orllewin)'!I50,'Incwm (De-orllewin)'!AA50)</f>
        <v>33833.599421253617</v>
      </c>
    </row>
    <row r="51" spans="2:34" x14ac:dyDescent="0.35">
      <c r="B51" s="251">
        <v>57</v>
      </c>
      <c r="C51" s="258">
        <v>28553.200000000001</v>
      </c>
      <c r="D51" s="258">
        <v>29307.680921401152</v>
      </c>
      <c r="E51" s="278">
        <f>D51*(1+'Rhaniad y Ddeiliadaeth (De-o)'!C$109)+(D$44*(-(50-$B51)*('Rhaniad y Ddeiliadaeth (De-o)'!C$110/40)))</f>
        <v>30010.971481647448</v>
      </c>
      <c r="F51" s="278">
        <f>E51*(1+'Rhaniad y Ddeiliadaeth (De-o)'!D$109)+(E$44*(-(50-$B51)*('Rhaniad y Ddeiliadaeth (De-o)'!D$110/40)))</f>
        <v>31086.031715855217</v>
      </c>
      <c r="G51" s="278">
        <f>F51*(1+'Rhaniad y Ddeiliadaeth (De-o)'!E$109)+(F$44*(-(50-$B51)*('Rhaniad y Ddeiliadaeth (De-o)'!E$110/40)))</f>
        <v>32196.556598247465</v>
      </c>
      <c r="H51" s="278">
        <f>G51*(1+'Rhaniad y Ddeiliadaeth (De-o)'!F$109)+(G$44*(-(50-$B51)*('Rhaniad y Ddeiliadaeth (De-o)'!F$110/40)))</f>
        <v>33363.002810658676</v>
      </c>
      <c r="I51" s="279">
        <f>H51*(1+'Rhaniad y Ddeiliadaeth (De-o)'!G$109)+H$44*(-(50-$B51)*('Rhaniad y Ddeiliadaeth (De-o)'!G$110/40))</f>
        <v>34565.387234817324</v>
      </c>
      <c r="M51" s="36" t="str">
        <f t="shared" si="1"/>
        <v/>
      </c>
      <c r="N51" s="190"/>
      <c r="O51" s="13">
        <f t="shared" si="4"/>
        <v>1</v>
      </c>
      <c r="U51" s="1">
        <f t="shared" si="2"/>
        <v>57</v>
      </c>
      <c r="V51" s="4" t="str">
        <f t="shared" si="3"/>
        <v/>
      </c>
      <c r="W51" s="4" t="e">
        <f>IF($W$3=$N$3,N51,V51*(1+'Rhaniad y Ddeiliadaeth (De-o)'!C$109)+(V$44*(-(50-$U51)*('Rhaniad y Ddeiliadaeth (De-o)'!C$110/40))))</f>
        <v>#VALUE!</v>
      </c>
      <c r="X51" s="4" t="e">
        <f>W51*(1+'Rhaniad y Ddeiliadaeth (De-o)'!D$109)+(W$44*(-(50-$U51)*('Rhaniad y Ddeiliadaeth (De-o)'!D$110/40)))</f>
        <v>#VALUE!</v>
      </c>
      <c r="Y51" s="4" t="e">
        <f>X51*(1+'Rhaniad y Ddeiliadaeth (De-o)'!E$109)+(X$44*(-(50-$U51)*('Rhaniad y Ddeiliadaeth (De-o)'!E$110/40)))</f>
        <v>#VALUE!</v>
      </c>
      <c r="Z51" s="4" t="e">
        <f>Y51*(1+'Rhaniad y Ddeiliadaeth (De-o)'!F$109)+(Y$44*(-(50-$U51)*('Rhaniad y Ddeiliadaeth (De-o)'!F$110/40)))</f>
        <v>#VALUE!</v>
      </c>
      <c r="AA51" s="4" t="e">
        <f>Z51*(1+'Rhaniad y Ddeiliadaeth (De-o)'!G$109)+(Z$44*(-(50-$U51)*('Rhaniad y Ddeiliadaeth (De-o)'!G$110/40)))</f>
        <v>#VALUE!</v>
      </c>
      <c r="AC51" s="260">
        <v>57</v>
      </c>
      <c r="AD51" s="4">
        <f>IF('Rhaniad y Ddeiliadaeth (Cymru)'!$D$8="Amcangyfrifon LlC",'Incwm (De-orllewin)'!E51,'Incwm (De-orllewin)'!W51)</f>
        <v>30010.971481647448</v>
      </c>
      <c r="AE51" s="4">
        <f>IF('Rhaniad y Ddeiliadaeth (Cymru)'!$D$8="Amcangyfrifon LlC",'Incwm (De-orllewin)'!F51,'Incwm (De-orllewin)'!X51)</f>
        <v>31086.031715855217</v>
      </c>
      <c r="AF51" s="4">
        <f>IF('Rhaniad y Ddeiliadaeth (Cymru)'!$D$8="Amcangyfrifon LlC",'Incwm (De-orllewin)'!G51,'Incwm (De-orllewin)'!Y51)</f>
        <v>32196.556598247465</v>
      </c>
      <c r="AG51" s="4">
        <f>IF('Rhaniad y Ddeiliadaeth (Cymru)'!$D$8="Amcangyfrifon LlC",'Incwm (De-orllewin)'!H51,'Incwm (De-orllewin)'!Z51)</f>
        <v>33363.002810658676</v>
      </c>
      <c r="AH51" s="4">
        <f>IF('Rhaniad y Ddeiliadaeth (Cymru)'!$D$8="Amcangyfrifon LlC",'Incwm (De-orllewin)'!I51,'Incwm (De-orllewin)'!AA51)</f>
        <v>34565.387234817324</v>
      </c>
    </row>
    <row r="52" spans="2:34" x14ac:dyDescent="0.35">
      <c r="B52" s="251">
        <v>58</v>
      </c>
      <c r="C52" s="258">
        <v>29136</v>
      </c>
      <c r="D52" s="258">
        <v>29905.880648261631</v>
      </c>
      <c r="E52" s="278">
        <f>D52*(1+'Rhaniad y Ddeiliadaeth (De-o)'!C$109)+(D$44*(-(50-$B52)*('Rhaniad y Ddeiliadaeth (De-o)'!C$110/40)))</f>
        <v>30629.090640565722</v>
      </c>
      <c r="F52" s="278">
        <f>E52*(1+'Rhaniad y Ddeiliadaeth (De-o)'!D$109)+(E$44*(-(50-$B52)*('Rhaniad y Ddeiliadaeth (De-o)'!D$110/40)))</f>
        <v>31731.974128236401</v>
      </c>
      <c r="G52" s="278">
        <f>F52*(1+'Rhaniad y Ddeiliadaeth (De-o)'!E$109)+(F$44*(-(50-$B52)*('Rhaniad y Ddeiliadaeth (De-o)'!E$110/40)))</f>
        <v>32871.441575951743</v>
      </c>
      <c r="H52" s="278">
        <f>G52*(1+'Rhaniad y Ddeiliadaeth (De-o)'!F$109)+(G$44*(-(50-$B52)*('Rhaniad y Ddeiliadaeth (De-o)'!F$110/40)))</f>
        <v>34068.396359529761</v>
      </c>
      <c r="I52" s="279">
        <f>H52*(1+'Rhaniad y Ddeiliadaeth (De-o)'!G$109)+H$44*(-(50-$B52)*('Rhaniad y Ddeiliadaeth (De-o)'!G$110/40))</f>
        <v>35302.461798482072</v>
      </c>
      <c r="M52" s="36" t="str">
        <f t="shared" si="1"/>
        <v/>
      </c>
      <c r="N52" s="190"/>
      <c r="O52" s="13">
        <f t="shared" si="4"/>
        <v>1</v>
      </c>
      <c r="U52" s="1">
        <f t="shared" si="2"/>
        <v>58</v>
      </c>
      <c r="V52" s="4" t="str">
        <f t="shared" si="3"/>
        <v/>
      </c>
      <c r="W52" s="4" t="e">
        <f>IF($W$3=$N$3,N52,V52*(1+'Rhaniad y Ddeiliadaeth (De-o)'!C$109)+(V$44*(-(50-$U52)*('Rhaniad y Ddeiliadaeth (De-o)'!C$110/40))))</f>
        <v>#VALUE!</v>
      </c>
      <c r="X52" s="4" t="e">
        <f>W52*(1+'Rhaniad y Ddeiliadaeth (De-o)'!D$109)+(W$44*(-(50-$U52)*('Rhaniad y Ddeiliadaeth (De-o)'!D$110/40)))</f>
        <v>#VALUE!</v>
      </c>
      <c r="Y52" s="4" t="e">
        <f>X52*(1+'Rhaniad y Ddeiliadaeth (De-o)'!E$109)+(X$44*(-(50-$U52)*('Rhaniad y Ddeiliadaeth (De-o)'!E$110/40)))</f>
        <v>#VALUE!</v>
      </c>
      <c r="Z52" s="4" t="e">
        <f>Y52*(1+'Rhaniad y Ddeiliadaeth (De-o)'!F$109)+(Y$44*(-(50-$U52)*('Rhaniad y Ddeiliadaeth (De-o)'!F$110/40)))</f>
        <v>#VALUE!</v>
      </c>
      <c r="AA52" s="4" t="e">
        <f>Z52*(1+'Rhaniad y Ddeiliadaeth (De-o)'!G$109)+(Z$44*(-(50-$U52)*('Rhaniad y Ddeiliadaeth (De-o)'!G$110/40)))</f>
        <v>#VALUE!</v>
      </c>
      <c r="AC52" s="260">
        <v>58</v>
      </c>
      <c r="AD52" s="4">
        <f>IF('Rhaniad y Ddeiliadaeth (Cymru)'!$D$8="Amcangyfrifon LlC",'Incwm (De-orllewin)'!E52,'Incwm (De-orllewin)'!W52)</f>
        <v>30629.090640565722</v>
      </c>
      <c r="AE52" s="4">
        <f>IF('Rhaniad y Ddeiliadaeth (Cymru)'!$D$8="Amcangyfrifon LlC",'Incwm (De-orllewin)'!F52,'Incwm (De-orllewin)'!X52)</f>
        <v>31731.974128236401</v>
      </c>
      <c r="AF52" s="4">
        <f>IF('Rhaniad y Ddeiliadaeth (Cymru)'!$D$8="Amcangyfrifon LlC",'Incwm (De-orllewin)'!G52,'Incwm (De-orllewin)'!Y52)</f>
        <v>32871.441575951743</v>
      </c>
      <c r="AG52" s="4">
        <f>IF('Rhaniad y Ddeiliadaeth (Cymru)'!$D$8="Amcangyfrifon LlC",'Incwm (De-orllewin)'!H52,'Incwm (De-orllewin)'!Z52)</f>
        <v>34068.396359529761</v>
      </c>
      <c r="AH52" s="4">
        <f>IF('Rhaniad y Ddeiliadaeth (Cymru)'!$D$8="Amcangyfrifon LlC",'Incwm (De-orllewin)'!I52,'Incwm (De-orllewin)'!AA52)</f>
        <v>35302.461798482072</v>
      </c>
    </row>
    <row r="53" spans="2:34" x14ac:dyDescent="0.35">
      <c r="B53" s="251">
        <v>59</v>
      </c>
      <c r="C53" s="258">
        <v>29843.5</v>
      </c>
      <c r="D53" s="258">
        <v>30632.07540933539</v>
      </c>
      <c r="E53" s="278">
        <f>D53*(1+'Rhaniad y Ddeiliadaeth (De-o)'!C$109)+(D$44*(-(50-$B53)*('Rhaniad y Ddeiliadaeth (De-o)'!C$110/40)))</f>
        <v>31378.077834016785</v>
      </c>
      <c r="F53" s="278">
        <f>E53*(1+'Rhaniad y Ddeiliadaeth (De-o)'!D$109)+(E$44*(-(50-$B53)*('Rhaniad y Ddeiliadaeth (De-o)'!D$110/40)))</f>
        <v>32513.269942781531</v>
      </c>
      <c r="G53" s="278">
        <f>F53*(1+'Rhaniad y Ddeiliadaeth (De-o)'!E$109)+(F$44*(-(50-$B53)*('Rhaniad y Ddeiliadaeth (De-o)'!E$110/40)))</f>
        <v>33686.306103487805</v>
      </c>
      <c r="H53" s="278">
        <f>G53*(1+'Rhaniad y Ddeiliadaeth (De-o)'!F$109)+(G$44*(-(50-$B53)*('Rhaniad y Ddeiliadaeth (De-o)'!F$110/40)))</f>
        <v>34918.624686352574</v>
      </c>
      <c r="I53" s="279">
        <f>H53*(1+'Rhaniad y Ddeiliadaeth (De-o)'!G$109)+H$44*(-(50-$B53)*('Rhaniad y Ddeiliadaeth (De-o)'!G$110/40))</f>
        <v>36189.36766614618</v>
      </c>
      <c r="M53" s="36" t="str">
        <f t="shared" si="1"/>
        <v/>
      </c>
      <c r="N53" s="190"/>
      <c r="O53" s="13">
        <f t="shared" si="4"/>
        <v>1</v>
      </c>
      <c r="U53" s="1">
        <f t="shared" si="2"/>
        <v>59</v>
      </c>
      <c r="V53" s="4" t="str">
        <f t="shared" si="3"/>
        <v/>
      </c>
      <c r="W53" s="4" t="e">
        <f>IF($W$3=$N$3,N53,V53*(1+'Rhaniad y Ddeiliadaeth (De-o)'!C$109)+(V$44*(-(50-$U53)*('Rhaniad y Ddeiliadaeth (De-o)'!C$110/40))))</f>
        <v>#VALUE!</v>
      </c>
      <c r="X53" s="4" t="e">
        <f>W53*(1+'Rhaniad y Ddeiliadaeth (De-o)'!D$109)+(W$44*(-(50-$U53)*('Rhaniad y Ddeiliadaeth (De-o)'!D$110/40)))</f>
        <v>#VALUE!</v>
      </c>
      <c r="Y53" s="4" t="e">
        <f>X53*(1+'Rhaniad y Ddeiliadaeth (De-o)'!E$109)+(X$44*(-(50-$U53)*('Rhaniad y Ddeiliadaeth (De-o)'!E$110/40)))</f>
        <v>#VALUE!</v>
      </c>
      <c r="Z53" s="4" t="e">
        <f>Y53*(1+'Rhaniad y Ddeiliadaeth (De-o)'!F$109)+(Y$44*(-(50-$U53)*('Rhaniad y Ddeiliadaeth (De-o)'!F$110/40)))</f>
        <v>#VALUE!</v>
      </c>
      <c r="AA53" s="4" t="e">
        <f>Z53*(1+'Rhaniad y Ddeiliadaeth (De-o)'!G$109)+(Z$44*(-(50-$U53)*('Rhaniad y Ddeiliadaeth (De-o)'!G$110/40)))</f>
        <v>#VALUE!</v>
      </c>
      <c r="AC53" s="260">
        <v>59</v>
      </c>
      <c r="AD53" s="4">
        <f>IF('Rhaniad y Ddeiliadaeth (Cymru)'!$D$8="Amcangyfrifon LlC",'Incwm (De-orllewin)'!E53,'Incwm (De-orllewin)'!W53)</f>
        <v>31378.077834016785</v>
      </c>
      <c r="AE53" s="4">
        <f>IF('Rhaniad y Ddeiliadaeth (Cymru)'!$D$8="Amcangyfrifon LlC",'Incwm (De-orllewin)'!F53,'Incwm (De-orllewin)'!X53)</f>
        <v>32513.269942781531</v>
      </c>
      <c r="AF53" s="4">
        <f>IF('Rhaniad y Ddeiliadaeth (Cymru)'!$D$8="Amcangyfrifon LlC",'Incwm (De-orllewin)'!G53,'Incwm (De-orllewin)'!Y53)</f>
        <v>33686.306103487805</v>
      </c>
      <c r="AG53" s="4">
        <f>IF('Rhaniad y Ddeiliadaeth (Cymru)'!$D$8="Amcangyfrifon LlC",'Incwm (De-orllewin)'!H53,'Incwm (De-orllewin)'!Z53)</f>
        <v>34918.624686352574</v>
      </c>
      <c r="AH53" s="4">
        <f>IF('Rhaniad y Ddeiliadaeth (Cymru)'!$D$8="Amcangyfrifon LlC",'Incwm (De-orllewin)'!I53,'Incwm (De-orllewin)'!AA53)</f>
        <v>36189.36766614618</v>
      </c>
    </row>
    <row r="54" spans="2:34" x14ac:dyDescent="0.35">
      <c r="B54" s="251">
        <v>60</v>
      </c>
      <c r="C54" s="258">
        <v>30139.599999999999</v>
      </c>
      <c r="D54" s="258">
        <v>31075.335656516996</v>
      </c>
      <c r="E54" s="278">
        <f>D54*(1+'Rhaniad y Ddeiliadaeth (De-o)'!C$109)+(D$44*(-(50-$B54)*('Rhaniad y Ddeiliadaeth (De-o)'!C$110/40)))</f>
        <v>31837.779712907464</v>
      </c>
      <c r="F54" s="278">
        <f>E54*(1+'Rhaniad y Ddeiliadaeth (De-o)'!D$109)+(E$44*(-(50-$B54)*('Rhaniad y Ddeiliadaeth (De-o)'!D$110/40)))</f>
        <v>32995.365485376329</v>
      </c>
      <c r="G54" s="278">
        <f>F54*(1+'Rhaniad y Ddeiliadaeth (De-o)'!E$109)+(F$44*(-(50-$B54)*('Rhaniad y Ddeiliadaeth (De-o)'!E$110/40)))</f>
        <v>34191.744205772819</v>
      </c>
      <c r="H54" s="278">
        <f>G54*(1+'Rhaniad y Ddeiliadaeth (De-o)'!F$109)+(G$44*(-(50-$B54)*('Rhaniad y Ddeiliadaeth (De-o)'!F$110/40)))</f>
        <v>35448.694049616155</v>
      </c>
      <c r="I54" s="279">
        <f>H54*(1+'Rhaniad y Ddeiliadaeth (De-o)'!G$109)+H$44*(-(50-$B54)*('Rhaniad y Ddeiliadaeth (De-o)'!G$110/40))</f>
        <v>36745.069691228018</v>
      </c>
      <c r="M54" s="36" t="str">
        <f t="shared" si="1"/>
        <v/>
      </c>
      <c r="N54" s="190"/>
      <c r="O54" s="13">
        <f t="shared" si="4"/>
        <v>1</v>
      </c>
      <c r="U54" s="1">
        <f t="shared" si="2"/>
        <v>60</v>
      </c>
      <c r="V54" s="4" t="str">
        <f t="shared" si="3"/>
        <v/>
      </c>
      <c r="W54" s="4" t="e">
        <f>IF($W$3=$N$3,N54,V54*(1+'Rhaniad y Ddeiliadaeth (De-o)'!C$109)+(V$44*(-(50-$U54)*('Rhaniad y Ddeiliadaeth (De-o)'!C$110/40))))</f>
        <v>#VALUE!</v>
      </c>
      <c r="X54" s="4" t="e">
        <f>W54*(1+'Rhaniad y Ddeiliadaeth (De-o)'!D$109)+(W$44*(-(50-$U54)*('Rhaniad y Ddeiliadaeth (De-o)'!D$110/40)))</f>
        <v>#VALUE!</v>
      </c>
      <c r="Y54" s="4" t="e">
        <f>X54*(1+'Rhaniad y Ddeiliadaeth (De-o)'!E$109)+(X$44*(-(50-$U54)*('Rhaniad y Ddeiliadaeth (De-o)'!E$110/40)))</f>
        <v>#VALUE!</v>
      </c>
      <c r="Z54" s="4" t="e">
        <f>Y54*(1+'Rhaniad y Ddeiliadaeth (De-o)'!F$109)+(Y$44*(-(50-$U54)*('Rhaniad y Ddeiliadaeth (De-o)'!F$110/40)))</f>
        <v>#VALUE!</v>
      </c>
      <c r="AA54" s="4" t="e">
        <f>Z54*(1+'Rhaniad y Ddeiliadaeth (De-o)'!G$109)+(Z$44*(-(50-$U54)*('Rhaniad y Ddeiliadaeth (De-o)'!G$110/40)))</f>
        <v>#VALUE!</v>
      </c>
      <c r="AC54" s="260">
        <v>60</v>
      </c>
      <c r="AD54" s="4">
        <f>IF('Rhaniad y Ddeiliadaeth (Cymru)'!$D$8="Amcangyfrifon LlC",'Incwm (De-orllewin)'!E54,'Incwm (De-orllewin)'!W54)</f>
        <v>31837.779712907464</v>
      </c>
      <c r="AE54" s="4">
        <f>IF('Rhaniad y Ddeiliadaeth (Cymru)'!$D$8="Amcangyfrifon LlC",'Incwm (De-orllewin)'!F54,'Incwm (De-orllewin)'!X54)</f>
        <v>32995.365485376329</v>
      </c>
      <c r="AF54" s="4">
        <f>IF('Rhaniad y Ddeiliadaeth (Cymru)'!$D$8="Amcangyfrifon LlC",'Incwm (De-orllewin)'!G54,'Incwm (De-orllewin)'!Y54)</f>
        <v>34191.744205772819</v>
      </c>
      <c r="AG54" s="4">
        <f>IF('Rhaniad y Ddeiliadaeth (Cymru)'!$D$8="Amcangyfrifon LlC",'Incwm (De-orllewin)'!H54,'Incwm (De-orllewin)'!Z54)</f>
        <v>35448.694049616155</v>
      </c>
      <c r="AH54" s="4">
        <f>IF('Rhaniad y Ddeiliadaeth (Cymru)'!$D$8="Amcangyfrifon LlC",'Incwm (De-orllewin)'!I54,'Incwm (De-orllewin)'!AA54)</f>
        <v>36745.069691228018</v>
      </c>
    </row>
    <row r="55" spans="2:34" x14ac:dyDescent="0.35">
      <c r="B55" s="251">
        <v>61</v>
      </c>
      <c r="C55" s="258">
        <v>30685</v>
      </c>
      <c r="D55" s="258">
        <v>31637.668536418005</v>
      </c>
      <c r="E55" s="278">
        <f>D55*(1+'Rhaniad y Ddeiliadaeth (De-o)'!C$109)+(D$44*(-(50-$B55)*('Rhaniad y Ddeiliadaeth (De-o)'!C$110/40)))</f>
        <v>32419.226950955337</v>
      </c>
      <c r="F55" s="278">
        <f>E55*(1+'Rhaniad y Ddeiliadaeth (De-o)'!D$109)+(E$44*(-(50-$B55)*('Rhaniad y Ddeiliadaeth (De-o)'!D$110/40)))</f>
        <v>33603.379084419583</v>
      </c>
      <c r="G55" s="278">
        <f>F55*(1+'Rhaniad y Ddeiliadaeth (De-o)'!E$109)+(F$44*(-(50-$B55)*('Rhaniad y Ddeiliadaeth (De-o)'!E$110/40)))</f>
        <v>34827.40402820344</v>
      </c>
      <c r="H55" s="278">
        <f>G55*(1+'Rhaniad y Ddeiliadaeth (De-o)'!F$109)+(G$44*(-(50-$B55)*('Rhaniad y Ddeiliadaeth (De-o)'!F$110/40)))</f>
        <v>36113.501908213133</v>
      </c>
      <c r="I55" s="279">
        <f>H55*(1+'Rhaniad y Ddeiliadaeth (De-o)'!G$109)+H$44*(-(50-$B55)*('Rhaniad y Ddeiliadaeth (De-o)'!G$110/40))</f>
        <v>37440.158435026286</v>
      </c>
      <c r="M55" s="36" t="str">
        <f t="shared" si="1"/>
        <v/>
      </c>
      <c r="N55" s="190"/>
      <c r="O55" s="13">
        <f t="shared" si="4"/>
        <v>1</v>
      </c>
      <c r="U55" s="1">
        <f t="shared" si="2"/>
        <v>61</v>
      </c>
      <c r="V55" s="4" t="str">
        <f t="shared" si="3"/>
        <v/>
      </c>
      <c r="W55" s="4" t="e">
        <f>IF($W$3=$N$3,N55,V55*(1+'Rhaniad y Ddeiliadaeth (De-o)'!C$109)+(V$44*(-(50-$U55)*('Rhaniad y Ddeiliadaeth (De-o)'!C$110/40))))</f>
        <v>#VALUE!</v>
      </c>
      <c r="X55" s="4" t="e">
        <f>W55*(1+'Rhaniad y Ddeiliadaeth (De-o)'!D$109)+(W$44*(-(50-$U55)*('Rhaniad y Ddeiliadaeth (De-o)'!D$110/40)))</f>
        <v>#VALUE!</v>
      </c>
      <c r="Y55" s="4" t="e">
        <f>X55*(1+'Rhaniad y Ddeiliadaeth (De-o)'!E$109)+(X$44*(-(50-$U55)*('Rhaniad y Ddeiliadaeth (De-o)'!E$110/40)))</f>
        <v>#VALUE!</v>
      </c>
      <c r="Z55" s="4" t="e">
        <f>Y55*(1+'Rhaniad y Ddeiliadaeth (De-o)'!F$109)+(Y$44*(-(50-$U55)*('Rhaniad y Ddeiliadaeth (De-o)'!F$110/40)))</f>
        <v>#VALUE!</v>
      </c>
      <c r="AA55" s="4" t="e">
        <f>Z55*(1+'Rhaniad y Ddeiliadaeth (De-o)'!G$109)+(Z$44*(-(50-$U55)*('Rhaniad y Ddeiliadaeth (De-o)'!G$110/40)))</f>
        <v>#VALUE!</v>
      </c>
      <c r="AC55" s="260">
        <v>61</v>
      </c>
      <c r="AD55" s="4">
        <f>IF('Rhaniad y Ddeiliadaeth (Cymru)'!$D$8="Amcangyfrifon LlC",'Incwm (De-orllewin)'!E55,'Incwm (De-orllewin)'!W55)</f>
        <v>32419.226950955337</v>
      </c>
      <c r="AE55" s="4">
        <f>IF('Rhaniad y Ddeiliadaeth (Cymru)'!$D$8="Amcangyfrifon LlC",'Incwm (De-orllewin)'!F55,'Incwm (De-orllewin)'!X55)</f>
        <v>33603.379084419583</v>
      </c>
      <c r="AF55" s="4">
        <f>IF('Rhaniad y Ddeiliadaeth (Cymru)'!$D$8="Amcangyfrifon LlC",'Incwm (De-orllewin)'!G55,'Incwm (De-orllewin)'!Y55)</f>
        <v>34827.40402820344</v>
      </c>
      <c r="AG55" s="4">
        <f>IF('Rhaniad y Ddeiliadaeth (Cymru)'!$D$8="Amcangyfrifon LlC",'Incwm (De-orllewin)'!H55,'Incwm (De-orllewin)'!Z55)</f>
        <v>36113.501908213133</v>
      </c>
      <c r="AH55" s="4">
        <f>IF('Rhaniad y Ddeiliadaeth (Cymru)'!$D$8="Amcangyfrifon LlC",'Incwm (De-orllewin)'!I55,'Incwm (De-orllewin)'!AA55)</f>
        <v>37440.158435026286</v>
      </c>
    </row>
    <row r="56" spans="2:34" x14ac:dyDescent="0.35">
      <c r="B56" s="251">
        <v>62</v>
      </c>
      <c r="C56" s="258">
        <v>31455.360000000001</v>
      </c>
      <c r="D56" s="258">
        <v>32431.945685960614</v>
      </c>
      <c r="E56" s="278">
        <f>D56*(1+'Rhaniad y Ddeiliadaeth (De-o)'!C$109)+(D$44*(-(50-$B56)*('Rhaniad y Ddeiliadaeth (De-o)'!C$110/40)))</f>
        <v>33237.824722816571</v>
      </c>
      <c r="F56" s="278">
        <f>E56*(1+'Rhaniad y Ddeiliadaeth (De-o)'!D$109)+(E$44*(-(50-$B56)*('Rhaniad y Ddeiliadaeth (De-o)'!D$110/40)))</f>
        <v>34456.671308539095</v>
      </c>
      <c r="G56" s="278">
        <f>F56*(1+'Rhaniad y Ddeiliadaeth (De-o)'!E$109)+(F$44*(-(50-$B56)*('Rhaniad y Ddeiliadaeth (De-o)'!E$110/40)))</f>
        <v>35716.725679392155</v>
      </c>
      <c r="H56" s="278">
        <f>G56*(1+'Rhaniad y Ddeiliadaeth (De-o)'!F$109)+(G$44*(-(50-$B56)*('Rhaniad y Ddeiliadaeth (De-o)'!F$110/40)))</f>
        <v>37040.769923934182</v>
      </c>
      <c r="I56" s="279">
        <f>H56*(1+'Rhaniad y Ddeiliadaeth (De-o)'!G$109)+H$44*(-(50-$B56)*('Rhaniad y Ddeiliadaeth (De-o)'!G$110/40))</f>
        <v>38406.761715221888</v>
      </c>
      <c r="M56" s="36" t="str">
        <f t="shared" si="1"/>
        <v/>
      </c>
      <c r="N56" s="190"/>
      <c r="O56" s="13">
        <f t="shared" si="4"/>
        <v>1</v>
      </c>
      <c r="U56" s="1">
        <f t="shared" si="2"/>
        <v>62</v>
      </c>
      <c r="V56" s="4" t="str">
        <f t="shared" si="3"/>
        <v/>
      </c>
      <c r="W56" s="4" t="e">
        <f>IF($W$3=$N$3,N56,V56*(1+'Rhaniad y Ddeiliadaeth (De-o)'!C$109)+(V$44*(-(50-$U56)*('Rhaniad y Ddeiliadaeth (De-o)'!C$110/40))))</f>
        <v>#VALUE!</v>
      </c>
      <c r="X56" s="4" t="e">
        <f>W56*(1+'Rhaniad y Ddeiliadaeth (De-o)'!D$109)+(W$44*(-(50-$U56)*('Rhaniad y Ddeiliadaeth (De-o)'!D$110/40)))</f>
        <v>#VALUE!</v>
      </c>
      <c r="Y56" s="4" t="e">
        <f>X56*(1+'Rhaniad y Ddeiliadaeth (De-o)'!E$109)+(X$44*(-(50-$U56)*('Rhaniad y Ddeiliadaeth (De-o)'!E$110/40)))</f>
        <v>#VALUE!</v>
      </c>
      <c r="Z56" s="4" t="e">
        <f>Y56*(1+'Rhaniad y Ddeiliadaeth (De-o)'!F$109)+(Y$44*(-(50-$U56)*('Rhaniad y Ddeiliadaeth (De-o)'!F$110/40)))</f>
        <v>#VALUE!</v>
      </c>
      <c r="AA56" s="4" t="e">
        <f>Z56*(1+'Rhaniad y Ddeiliadaeth (De-o)'!G$109)+(Z$44*(-(50-$U56)*('Rhaniad y Ddeiliadaeth (De-o)'!G$110/40)))</f>
        <v>#VALUE!</v>
      </c>
      <c r="AC56" s="260">
        <v>62</v>
      </c>
      <c r="AD56" s="4">
        <f>IF('Rhaniad y Ddeiliadaeth (Cymru)'!$D$8="Amcangyfrifon LlC",'Incwm (De-orllewin)'!E56,'Incwm (De-orllewin)'!W56)</f>
        <v>33237.824722816571</v>
      </c>
      <c r="AE56" s="4">
        <f>IF('Rhaniad y Ddeiliadaeth (Cymru)'!$D$8="Amcangyfrifon LlC",'Incwm (De-orllewin)'!F56,'Incwm (De-orllewin)'!X56)</f>
        <v>34456.671308539095</v>
      </c>
      <c r="AF56" s="4">
        <f>IF('Rhaniad y Ddeiliadaeth (Cymru)'!$D$8="Amcangyfrifon LlC",'Incwm (De-orllewin)'!G56,'Incwm (De-orllewin)'!Y56)</f>
        <v>35716.725679392155</v>
      </c>
      <c r="AG56" s="4">
        <f>IF('Rhaniad y Ddeiliadaeth (Cymru)'!$D$8="Amcangyfrifon LlC",'Incwm (De-orllewin)'!H56,'Incwm (De-orllewin)'!Z56)</f>
        <v>37040.769923934182</v>
      </c>
      <c r="AH56" s="4">
        <f>IF('Rhaniad y Ddeiliadaeth (Cymru)'!$D$8="Amcangyfrifon LlC",'Incwm (De-orllewin)'!I56,'Incwm (De-orllewin)'!AA56)</f>
        <v>38406.761715221888</v>
      </c>
    </row>
    <row r="57" spans="2:34" x14ac:dyDescent="0.35">
      <c r="B57" s="251">
        <v>63</v>
      </c>
      <c r="C57" s="258">
        <v>31870</v>
      </c>
      <c r="D57" s="258">
        <v>32859.458897039003</v>
      </c>
      <c r="E57" s="278">
        <f>D57*(1+'Rhaniad y Ddeiliadaeth (De-o)'!C$109)+(D$44*(-(50-$B57)*('Rhaniad y Ddeiliadaeth (De-o)'!C$110/40)))</f>
        <v>33681.426104705854</v>
      </c>
      <c r="F57" s="278">
        <f>E57*(1+'Rhaniad y Ddeiliadaeth (De-o)'!D$109)+(E$44*(-(50-$B57)*('Rhaniad y Ddeiliadaeth (De-o)'!D$110/40)))</f>
        <v>34922.114526114645</v>
      </c>
      <c r="G57" s="278">
        <f>F57*(1+'Rhaniad y Ddeiliadaeth (De-o)'!E$109)+(F$44*(-(50-$B57)*('Rhaniad y Ddeiliadaeth (De-o)'!E$110/40)))</f>
        <v>36204.942308684389</v>
      </c>
      <c r="H57" s="278">
        <f>G57*(1+'Rhaniad y Ddeiliadaeth (De-o)'!F$109)+(G$44*(-(50-$B57)*('Rhaniad y Ddeiliadaeth (De-o)'!F$110/40)))</f>
        <v>37553.020482808774</v>
      </c>
      <c r="I57" s="279">
        <f>H57*(1+'Rhaniad y Ddeiliadaeth (De-o)'!G$109)+H$44*(-(50-$B57)*('Rhaniad y Ddeiliadaeth (De-o)'!G$110/40))</f>
        <v>38944.030220847504</v>
      </c>
      <c r="M57" s="36" t="str">
        <f t="shared" si="1"/>
        <v/>
      </c>
      <c r="N57" s="190"/>
      <c r="O57" s="13">
        <f t="shared" si="4"/>
        <v>1</v>
      </c>
      <c r="U57" s="1">
        <f t="shared" si="2"/>
        <v>63</v>
      </c>
      <c r="V57" s="4" t="str">
        <f t="shared" si="3"/>
        <v/>
      </c>
      <c r="W57" s="4" t="e">
        <f>IF($W$3=$N$3,N57,V57*(1+'Rhaniad y Ddeiliadaeth (De-o)'!C$109)+(V$44*(-(50-$U57)*('Rhaniad y Ddeiliadaeth (De-o)'!C$110/40))))</f>
        <v>#VALUE!</v>
      </c>
      <c r="X57" s="4" t="e">
        <f>W57*(1+'Rhaniad y Ddeiliadaeth (De-o)'!D$109)+(W$44*(-(50-$U57)*('Rhaniad y Ddeiliadaeth (De-o)'!D$110/40)))</f>
        <v>#VALUE!</v>
      </c>
      <c r="Y57" s="4" t="e">
        <f>X57*(1+'Rhaniad y Ddeiliadaeth (De-o)'!E$109)+(X$44*(-(50-$U57)*('Rhaniad y Ddeiliadaeth (De-o)'!E$110/40)))</f>
        <v>#VALUE!</v>
      </c>
      <c r="Z57" s="4" t="e">
        <f>Y57*(1+'Rhaniad y Ddeiliadaeth (De-o)'!F$109)+(Y$44*(-(50-$U57)*('Rhaniad y Ddeiliadaeth (De-o)'!F$110/40)))</f>
        <v>#VALUE!</v>
      </c>
      <c r="AA57" s="4" t="e">
        <f>Z57*(1+'Rhaniad y Ddeiliadaeth (De-o)'!G$109)+(Z$44*(-(50-$U57)*('Rhaniad y Ddeiliadaeth (De-o)'!G$110/40)))</f>
        <v>#VALUE!</v>
      </c>
      <c r="AC57" s="260">
        <v>63</v>
      </c>
      <c r="AD57" s="4">
        <f>IF('Rhaniad y Ddeiliadaeth (Cymru)'!$D$8="Amcangyfrifon LlC",'Incwm (De-orllewin)'!E57,'Incwm (De-orllewin)'!W57)</f>
        <v>33681.426104705854</v>
      </c>
      <c r="AE57" s="4">
        <f>IF('Rhaniad y Ddeiliadaeth (Cymru)'!$D$8="Amcangyfrifon LlC",'Incwm (De-orllewin)'!F57,'Incwm (De-orllewin)'!X57)</f>
        <v>34922.114526114645</v>
      </c>
      <c r="AF57" s="4">
        <f>IF('Rhaniad y Ddeiliadaeth (Cymru)'!$D$8="Amcangyfrifon LlC",'Incwm (De-orllewin)'!G57,'Incwm (De-orllewin)'!Y57)</f>
        <v>36204.942308684389</v>
      </c>
      <c r="AG57" s="4">
        <f>IF('Rhaniad y Ddeiliadaeth (Cymru)'!$D$8="Amcangyfrifon LlC",'Incwm (De-orllewin)'!H57,'Incwm (De-orllewin)'!Z57)</f>
        <v>37553.020482808774</v>
      </c>
      <c r="AH57" s="4">
        <f>IF('Rhaniad y Ddeiliadaeth (Cymru)'!$D$8="Amcangyfrifon LlC",'Incwm (De-orllewin)'!I57,'Incwm (De-orllewin)'!AA57)</f>
        <v>38944.030220847504</v>
      </c>
    </row>
    <row r="58" spans="2:34" x14ac:dyDescent="0.35">
      <c r="B58" s="251">
        <v>64</v>
      </c>
      <c r="C58" s="258">
        <v>32192.5</v>
      </c>
      <c r="D58" s="258">
        <v>33191.97146353712</v>
      </c>
      <c r="E58" s="278">
        <f>D58*(1+'Rhaniad y Ddeiliadaeth (De-o)'!C$109)+(D$44*(-(50-$B58)*('Rhaniad y Ddeiliadaeth (De-o)'!C$110/40)))</f>
        <v>34027.894439895434</v>
      </c>
      <c r="F58" s="278">
        <f>E58*(1+'Rhaniad y Ddeiliadaeth (De-o)'!D$109)+(E$44*(-(50-$B58)*('Rhaniad y Ddeiliadaeth (De-o)'!D$110/40)))</f>
        <v>35287.095561459901</v>
      </c>
      <c r="G58" s="278">
        <f>F58*(1+'Rhaniad y Ddeiliadaeth (De-o)'!E$109)+(F$44*(-(50-$B58)*('Rhaniad y Ddeiliadaeth (De-o)'!E$110/40)))</f>
        <v>36589.26313026961</v>
      </c>
      <c r="H58" s="278">
        <f>G58*(1+'Rhaniad y Ddeiliadaeth (De-o)'!F$109)+(G$44*(-(50-$B58)*('Rhaniad y Ddeiliadaeth (De-o)'!F$110/40)))</f>
        <v>37957.771580101704</v>
      </c>
      <c r="I58" s="279">
        <f>H58*(1+'Rhaniad y Ddeiliadaeth (De-o)'!G$109)+H$44*(-(50-$B58)*('Rhaniad y Ddeiliadaeth (De-o)'!G$110/40))</f>
        <v>39370.090736680933</v>
      </c>
      <c r="M58" s="36" t="str">
        <f t="shared" si="1"/>
        <v/>
      </c>
      <c r="N58" s="190"/>
      <c r="O58" s="13">
        <f t="shared" si="4"/>
        <v>1</v>
      </c>
      <c r="U58" s="1">
        <f t="shared" si="2"/>
        <v>64</v>
      </c>
      <c r="V58" s="4" t="str">
        <f t="shared" si="3"/>
        <v/>
      </c>
      <c r="W58" s="4" t="e">
        <f>IF($W$3=$N$3,N58,V58*(1+'Rhaniad y Ddeiliadaeth (De-o)'!C$109)+(V$44*(-(50-$U58)*('Rhaniad y Ddeiliadaeth (De-o)'!C$110/40))))</f>
        <v>#VALUE!</v>
      </c>
      <c r="X58" s="4" t="e">
        <f>W58*(1+'Rhaniad y Ddeiliadaeth (De-o)'!D$109)+(W$44*(-(50-$U58)*('Rhaniad y Ddeiliadaeth (De-o)'!D$110/40)))</f>
        <v>#VALUE!</v>
      </c>
      <c r="Y58" s="4" t="e">
        <f>X58*(1+'Rhaniad y Ddeiliadaeth (De-o)'!E$109)+(X$44*(-(50-$U58)*('Rhaniad y Ddeiliadaeth (De-o)'!E$110/40)))</f>
        <v>#VALUE!</v>
      </c>
      <c r="Z58" s="4" t="e">
        <f>Y58*(1+'Rhaniad y Ddeiliadaeth (De-o)'!F$109)+(Y$44*(-(50-$U58)*('Rhaniad y Ddeiliadaeth (De-o)'!F$110/40)))</f>
        <v>#VALUE!</v>
      </c>
      <c r="AA58" s="4" t="e">
        <f>Z58*(1+'Rhaniad y Ddeiliadaeth (De-o)'!G$109)+(Z$44*(-(50-$U58)*('Rhaniad y Ddeiliadaeth (De-o)'!G$110/40)))</f>
        <v>#VALUE!</v>
      </c>
      <c r="AC58" s="260">
        <v>64</v>
      </c>
      <c r="AD58" s="4">
        <f>IF('Rhaniad y Ddeiliadaeth (Cymru)'!$D$8="Amcangyfrifon LlC",'Incwm (De-orllewin)'!E58,'Incwm (De-orllewin)'!W58)</f>
        <v>34027.894439895434</v>
      </c>
      <c r="AE58" s="4">
        <f>IF('Rhaniad y Ddeiliadaeth (Cymru)'!$D$8="Amcangyfrifon LlC",'Incwm (De-orllewin)'!F58,'Incwm (De-orllewin)'!X58)</f>
        <v>35287.095561459901</v>
      </c>
      <c r="AF58" s="4">
        <f>IF('Rhaniad y Ddeiliadaeth (Cymru)'!$D$8="Amcangyfrifon LlC",'Incwm (De-orllewin)'!G58,'Incwm (De-orllewin)'!Y58)</f>
        <v>36589.26313026961</v>
      </c>
      <c r="AG58" s="4">
        <f>IF('Rhaniad y Ddeiliadaeth (Cymru)'!$D$8="Amcangyfrifon LlC",'Incwm (De-orllewin)'!H58,'Incwm (De-orllewin)'!Z58)</f>
        <v>37957.771580101704</v>
      </c>
      <c r="AH58" s="4">
        <f>IF('Rhaniad y Ddeiliadaeth (Cymru)'!$D$8="Amcangyfrifon LlC",'Incwm (De-orllewin)'!I58,'Incwm (De-orllewin)'!AA58)</f>
        <v>39370.090736680933</v>
      </c>
    </row>
    <row r="59" spans="2:34" x14ac:dyDescent="0.35">
      <c r="B59" s="251">
        <v>65</v>
      </c>
      <c r="C59" s="258">
        <v>32867</v>
      </c>
      <c r="D59" s="258">
        <v>33887.412474709163</v>
      </c>
      <c r="E59" s="278">
        <f>D59*(1+'Rhaniad y Ddeiliadaeth (De-o)'!C$109)+(D$44*(-(50-$B59)*('Rhaniad y Ddeiliadaeth (De-o)'!C$110/40)))</f>
        <v>34745.437579060417</v>
      </c>
      <c r="F59" s="278">
        <f>E59*(1+'Rhaniad y Ddeiliadaeth (De-o)'!D$109)+(E$44*(-(50-$B59)*('Rhaniad y Ddeiliadaeth (De-o)'!D$110/40)))</f>
        <v>36035.869609015528</v>
      </c>
      <c r="G59" s="278">
        <f>F59*(1+'Rhaniad y Ddeiliadaeth (De-o)'!E$109)+(F$44*(-(50-$B59)*('Rhaniad y Ddeiliadaeth (De-o)'!E$110/40)))</f>
        <v>37370.494352472051</v>
      </c>
      <c r="H59" s="278">
        <f>G59*(1+'Rhaniad y Ddeiliadaeth (De-o)'!F$109)+(G$44*(-(50-$B59)*('Rhaniad y Ddeiliadaeth (De-o)'!F$110/40)))</f>
        <v>38773.200021401011</v>
      </c>
      <c r="I59" s="279">
        <f>H59*(1+'Rhaniad y Ddeiliadaeth (De-o)'!G$109)+H$44*(-(50-$B59)*('Rhaniad y Ddeiliadaeth (De-o)'!G$110/40))</f>
        <v>40220.99618855572</v>
      </c>
      <c r="M59" s="36" t="str">
        <f t="shared" si="1"/>
        <v/>
      </c>
      <c r="N59" s="190"/>
      <c r="O59" s="13">
        <f t="shared" si="4"/>
        <v>1</v>
      </c>
      <c r="U59" s="1">
        <f t="shared" si="2"/>
        <v>65</v>
      </c>
      <c r="V59" s="4" t="str">
        <f t="shared" si="3"/>
        <v/>
      </c>
      <c r="W59" s="4" t="e">
        <f>IF($W$3=$N$3,N59,V59*(1+'Rhaniad y Ddeiliadaeth (De-o)'!C$109)+(V$44*(-(50-$U59)*('Rhaniad y Ddeiliadaeth (De-o)'!C$110/40))))</f>
        <v>#VALUE!</v>
      </c>
      <c r="X59" s="4" t="e">
        <f>W59*(1+'Rhaniad y Ddeiliadaeth (De-o)'!D$109)+(W$44*(-(50-$U59)*('Rhaniad y Ddeiliadaeth (De-o)'!D$110/40)))</f>
        <v>#VALUE!</v>
      </c>
      <c r="Y59" s="4" t="e">
        <f>X59*(1+'Rhaniad y Ddeiliadaeth (De-o)'!E$109)+(X$44*(-(50-$U59)*('Rhaniad y Ddeiliadaeth (De-o)'!E$110/40)))</f>
        <v>#VALUE!</v>
      </c>
      <c r="Z59" s="4" t="e">
        <f>Y59*(1+'Rhaniad y Ddeiliadaeth (De-o)'!F$109)+(Y$44*(-(50-$U59)*('Rhaniad y Ddeiliadaeth (De-o)'!F$110/40)))</f>
        <v>#VALUE!</v>
      </c>
      <c r="AA59" s="4" t="e">
        <f>Z59*(1+'Rhaniad y Ddeiliadaeth (De-o)'!G$109)+(Z$44*(-(50-$U59)*('Rhaniad y Ddeiliadaeth (De-o)'!G$110/40)))</f>
        <v>#VALUE!</v>
      </c>
      <c r="AC59" s="260">
        <v>65</v>
      </c>
      <c r="AD59" s="4">
        <f>IF('Rhaniad y Ddeiliadaeth (Cymru)'!$D$8="Amcangyfrifon LlC",'Incwm (De-orllewin)'!E59,'Incwm (De-orllewin)'!W59)</f>
        <v>34745.437579060417</v>
      </c>
      <c r="AE59" s="4">
        <f>IF('Rhaniad y Ddeiliadaeth (Cymru)'!$D$8="Amcangyfrifon LlC",'Incwm (De-orllewin)'!F59,'Incwm (De-orllewin)'!X59)</f>
        <v>36035.869609015528</v>
      </c>
      <c r="AF59" s="4">
        <f>IF('Rhaniad y Ddeiliadaeth (Cymru)'!$D$8="Amcangyfrifon LlC",'Incwm (De-orllewin)'!G59,'Incwm (De-orllewin)'!Y59)</f>
        <v>37370.494352472051</v>
      </c>
      <c r="AG59" s="4">
        <f>IF('Rhaniad y Ddeiliadaeth (Cymru)'!$D$8="Amcangyfrifon LlC",'Incwm (De-orllewin)'!H59,'Incwm (De-orllewin)'!Z59)</f>
        <v>38773.200021401011</v>
      </c>
      <c r="AH59" s="4">
        <f>IF('Rhaniad y Ddeiliadaeth (Cymru)'!$D$8="Amcangyfrifon LlC",'Incwm (De-orllewin)'!I59,'Incwm (De-orllewin)'!AA59)</f>
        <v>40220.99618855572</v>
      </c>
    </row>
    <row r="60" spans="2:34" x14ac:dyDescent="0.35">
      <c r="B60" s="251">
        <v>66</v>
      </c>
      <c r="C60" s="258">
        <v>33584</v>
      </c>
      <c r="D60" s="258">
        <v>34626.672971388703</v>
      </c>
      <c r="E60" s="278">
        <f>D60*(1+'Rhaniad y Ddeiliadaeth (De-o)'!C$109)+(D$44*(-(50-$B60)*('Rhaniad y Ddeiliadaeth (De-o)'!C$110/40)))</f>
        <v>35507.783784046289</v>
      </c>
      <c r="F60" s="278">
        <f>E60*(1+'Rhaniad y Ddeiliadaeth (De-o)'!D$109)+(E$44*(-(50-$B60)*('Rhaniad y Ddeiliadaeth (De-o)'!D$110/40)))</f>
        <v>36830.982301511336</v>
      </c>
      <c r="G60" s="278">
        <f>F60*(1+'Rhaniad y Ddeiliadaeth (De-o)'!E$109)+(F$44*(-(50-$B60)*('Rhaniad y Ddeiliadaeth (De-o)'!E$110/40)))</f>
        <v>38199.647995203566</v>
      </c>
      <c r="H60" s="278">
        <f>G60*(1+'Rhaniad y Ddeiliadaeth (De-o)'!F$109)+(G$44*(-(50-$B60)*('Rhaniad y Ddeiliadaeth (De-o)'!F$110/40)))</f>
        <v>39638.213085201096</v>
      </c>
      <c r="I60" s="279">
        <f>H60*(1+'Rhaniad y Ddeiliadaeth (De-o)'!G$109)+H$44*(-(50-$B60)*('Rhaniad y Ddeiliadaeth (De-o)'!G$110/40))</f>
        <v>41123.19683867415</v>
      </c>
      <c r="M60" s="36" t="str">
        <f t="shared" si="1"/>
        <v/>
      </c>
      <c r="N60" s="190"/>
      <c r="O60" s="13">
        <f t="shared" si="4"/>
        <v>1</v>
      </c>
      <c r="U60" s="1">
        <f t="shared" si="2"/>
        <v>66</v>
      </c>
      <c r="V60" s="4" t="str">
        <f t="shared" si="3"/>
        <v/>
      </c>
      <c r="W60" s="4" t="e">
        <f>IF($W$3=$N$3,N60,V60*(1+'Rhaniad y Ddeiliadaeth (De-o)'!C$109)+(V$44*(-(50-$U60)*('Rhaniad y Ddeiliadaeth (De-o)'!C$110/40))))</f>
        <v>#VALUE!</v>
      </c>
      <c r="X60" s="4" t="e">
        <f>W60*(1+'Rhaniad y Ddeiliadaeth (De-o)'!D$109)+(W$44*(-(50-$U60)*('Rhaniad y Ddeiliadaeth (De-o)'!D$110/40)))</f>
        <v>#VALUE!</v>
      </c>
      <c r="Y60" s="4" t="e">
        <f>X60*(1+'Rhaniad y Ddeiliadaeth (De-o)'!E$109)+(X$44*(-(50-$U60)*('Rhaniad y Ddeiliadaeth (De-o)'!E$110/40)))</f>
        <v>#VALUE!</v>
      </c>
      <c r="Z60" s="4" t="e">
        <f>Y60*(1+'Rhaniad y Ddeiliadaeth (De-o)'!F$109)+(Y$44*(-(50-$U60)*('Rhaniad y Ddeiliadaeth (De-o)'!F$110/40)))</f>
        <v>#VALUE!</v>
      </c>
      <c r="AA60" s="4" t="e">
        <f>Z60*(1+'Rhaniad y Ddeiliadaeth (De-o)'!G$109)+(Z$44*(-(50-$U60)*('Rhaniad y Ddeiliadaeth (De-o)'!G$110/40)))</f>
        <v>#VALUE!</v>
      </c>
      <c r="AC60" s="260">
        <v>66</v>
      </c>
      <c r="AD60" s="4">
        <f>IF('Rhaniad y Ddeiliadaeth (Cymru)'!$D$8="Amcangyfrifon LlC",'Incwm (De-orllewin)'!E60,'Incwm (De-orllewin)'!W60)</f>
        <v>35507.783784046289</v>
      </c>
      <c r="AE60" s="4">
        <f>IF('Rhaniad y Ddeiliadaeth (Cymru)'!$D$8="Amcangyfrifon LlC",'Incwm (De-orllewin)'!F60,'Incwm (De-orllewin)'!X60)</f>
        <v>36830.982301511336</v>
      </c>
      <c r="AF60" s="4">
        <f>IF('Rhaniad y Ddeiliadaeth (Cymru)'!$D$8="Amcangyfrifon LlC",'Incwm (De-orllewin)'!G60,'Incwm (De-orllewin)'!Y60)</f>
        <v>38199.647995203566</v>
      </c>
      <c r="AG60" s="4">
        <f>IF('Rhaniad y Ddeiliadaeth (Cymru)'!$D$8="Amcangyfrifon LlC",'Incwm (De-orllewin)'!H60,'Incwm (De-orllewin)'!Z60)</f>
        <v>39638.213085201096</v>
      </c>
      <c r="AH60" s="4">
        <f>IF('Rhaniad y Ddeiliadaeth (Cymru)'!$D$8="Amcangyfrifon LlC",'Incwm (De-orllewin)'!I60,'Incwm (De-orllewin)'!AA60)</f>
        <v>41123.19683867415</v>
      </c>
    </row>
    <row r="61" spans="2:34" x14ac:dyDescent="0.35">
      <c r="B61" s="251">
        <v>67</v>
      </c>
      <c r="C61" s="258">
        <v>34061.25</v>
      </c>
      <c r="D61" s="258">
        <v>35118.740017470023</v>
      </c>
      <c r="E61" s="278">
        <f>D61*(1+'Rhaniad y Ddeiliadaeth (De-o)'!C$109)+(D$44*(-(50-$B61)*('Rhaniad y Ddeiliadaeth (De-o)'!C$110/40)))</f>
        <v>36017.387988313123</v>
      </c>
      <c r="F61" s="278">
        <f>E61*(1+'Rhaniad y Ddeiliadaeth (De-o)'!D$109)+(E$44*(-(50-$B61)*('Rhaniad y Ddeiliadaeth (De-o)'!D$110/40)))</f>
        <v>37364.690520491691</v>
      </c>
      <c r="G61" s="278">
        <f>F61*(1+'Rhaniad y Ddeiliadaeth (De-o)'!E$109)+(F$44*(-(50-$B61)*('Rhaniad y Ddeiliadaeth (De-o)'!E$110/40)))</f>
        <v>38758.462806832853</v>
      </c>
      <c r="H61" s="278">
        <f>G61*(1+'Rhaniad y Ddeiliadaeth (De-o)'!F$109)+(G$44*(-(50-$B61)*('Rhaniad y Ddeiliadaeth (De-o)'!F$110/40)))</f>
        <v>40223.510543246819</v>
      </c>
      <c r="I61" s="279">
        <f>H61*(1+'Rhaniad y Ddeiliadaeth (De-o)'!G$109)+H$44*(-(50-$B61)*('Rhaniad y Ddeiliadaeth (De-o)'!G$110/40))</f>
        <v>41736.032223406437</v>
      </c>
      <c r="M61" s="36" t="str">
        <f t="shared" si="1"/>
        <v/>
      </c>
      <c r="N61" s="190"/>
      <c r="O61" s="13">
        <f t="shared" si="4"/>
        <v>1</v>
      </c>
      <c r="U61" s="1">
        <f t="shared" si="2"/>
        <v>67</v>
      </c>
      <c r="V61" s="4" t="str">
        <f t="shared" si="3"/>
        <v/>
      </c>
      <c r="W61" s="4" t="e">
        <f>IF($W$3=$N$3,N61,V61*(1+'Rhaniad y Ddeiliadaeth (De-o)'!C$109)+(V$44*(-(50-$U61)*('Rhaniad y Ddeiliadaeth (De-o)'!C$110/40))))</f>
        <v>#VALUE!</v>
      </c>
      <c r="X61" s="4" t="e">
        <f>W61*(1+'Rhaniad y Ddeiliadaeth (De-o)'!D$109)+(W$44*(-(50-$U61)*('Rhaniad y Ddeiliadaeth (De-o)'!D$110/40)))</f>
        <v>#VALUE!</v>
      </c>
      <c r="Y61" s="4" t="e">
        <f>X61*(1+'Rhaniad y Ddeiliadaeth (De-o)'!E$109)+(X$44*(-(50-$U61)*('Rhaniad y Ddeiliadaeth (De-o)'!E$110/40)))</f>
        <v>#VALUE!</v>
      </c>
      <c r="Z61" s="4" t="e">
        <f>Y61*(1+'Rhaniad y Ddeiliadaeth (De-o)'!F$109)+(Y$44*(-(50-$U61)*('Rhaniad y Ddeiliadaeth (De-o)'!F$110/40)))</f>
        <v>#VALUE!</v>
      </c>
      <c r="AA61" s="4" t="e">
        <f>Z61*(1+'Rhaniad y Ddeiliadaeth (De-o)'!G$109)+(Z$44*(-(50-$U61)*('Rhaniad y Ddeiliadaeth (De-o)'!G$110/40)))</f>
        <v>#VALUE!</v>
      </c>
      <c r="AC61" s="260">
        <v>67</v>
      </c>
      <c r="AD61" s="4">
        <f>IF('Rhaniad y Ddeiliadaeth (Cymru)'!$D$8="Amcangyfrifon LlC",'Incwm (De-orllewin)'!E61,'Incwm (De-orllewin)'!W61)</f>
        <v>36017.387988313123</v>
      </c>
      <c r="AE61" s="4">
        <f>IF('Rhaniad y Ddeiliadaeth (Cymru)'!$D$8="Amcangyfrifon LlC",'Incwm (De-orllewin)'!F61,'Incwm (De-orllewin)'!X61)</f>
        <v>37364.690520491691</v>
      </c>
      <c r="AF61" s="4">
        <f>IF('Rhaniad y Ddeiliadaeth (Cymru)'!$D$8="Amcangyfrifon LlC",'Incwm (De-orllewin)'!G61,'Incwm (De-orllewin)'!Y61)</f>
        <v>38758.462806832853</v>
      </c>
      <c r="AG61" s="4">
        <f>IF('Rhaniad y Ddeiliadaeth (Cymru)'!$D$8="Amcangyfrifon LlC",'Incwm (De-orllewin)'!H61,'Incwm (De-orllewin)'!Z61)</f>
        <v>40223.510543246819</v>
      </c>
      <c r="AH61" s="4">
        <f>IF('Rhaniad y Ddeiliadaeth (Cymru)'!$D$8="Amcangyfrifon LlC",'Incwm (De-orllewin)'!I61,'Incwm (De-orllewin)'!AA61)</f>
        <v>41736.032223406437</v>
      </c>
    </row>
    <row r="62" spans="2:34" x14ac:dyDescent="0.35">
      <c r="B62" s="251">
        <v>68</v>
      </c>
      <c r="C62" s="258">
        <v>34856.699999999997</v>
      </c>
      <c r="D62" s="258">
        <v>35938.886129162827</v>
      </c>
      <c r="E62" s="278">
        <f>D62*(1+'Rhaniad y Ddeiliadaeth (De-o)'!C$109)+(D$44*(-(50-$B62)*('Rhaniad y Ddeiliadaeth (De-o)'!C$110/40)))</f>
        <v>36862.435381855445</v>
      </c>
      <c r="F62" s="278">
        <f>E62*(1+'Rhaniad y Ddeiliadaeth (De-o)'!D$109)+(E$44*(-(50-$B62)*('Rhaniad y Ddeiliadaeth (De-o)'!D$110/40)))</f>
        <v>38245.338899941766</v>
      </c>
      <c r="G62" s="278">
        <f>F62*(1+'Rhaniad y Ddeiliadaeth (De-o)'!E$109)+(F$44*(-(50-$B62)*('Rhaniad y Ddeiliadaeth (De-o)'!E$110/40)))</f>
        <v>39676.075599929194</v>
      </c>
      <c r="H62" s="278">
        <f>G62*(1+'Rhaniad y Ddeiliadaeth (De-o)'!F$109)+(G$44*(-(50-$B62)*('Rhaniad y Ddeiliadaeth (De-o)'!F$110/40)))</f>
        <v>41180.050986698312</v>
      </c>
      <c r="I62" s="279">
        <f>H62*(1+'Rhaniad y Ddeiliadaeth (De-o)'!G$109)+H$44*(-(50-$B62)*('Rhaniad y Ddeiliadaeth (De-o)'!G$110/40))</f>
        <v>42732.91777475339</v>
      </c>
      <c r="M62" s="36" t="str">
        <f t="shared" si="1"/>
        <v/>
      </c>
      <c r="N62" s="190"/>
      <c r="O62" s="13">
        <f t="shared" si="4"/>
        <v>1</v>
      </c>
      <c r="U62" s="1">
        <f t="shared" si="2"/>
        <v>68</v>
      </c>
      <c r="V62" s="4" t="str">
        <f t="shared" si="3"/>
        <v/>
      </c>
      <c r="W62" s="4" t="e">
        <f>IF($W$3=$N$3,N62,V62*(1+'Rhaniad y Ddeiliadaeth (De-o)'!C$109)+(V$44*(-(50-$U62)*('Rhaniad y Ddeiliadaeth (De-o)'!C$110/40))))</f>
        <v>#VALUE!</v>
      </c>
      <c r="X62" s="4" t="e">
        <f>W62*(1+'Rhaniad y Ddeiliadaeth (De-o)'!D$109)+(W$44*(-(50-$U62)*('Rhaniad y Ddeiliadaeth (De-o)'!D$110/40)))</f>
        <v>#VALUE!</v>
      </c>
      <c r="Y62" s="4" t="e">
        <f>X62*(1+'Rhaniad y Ddeiliadaeth (De-o)'!E$109)+(X$44*(-(50-$U62)*('Rhaniad y Ddeiliadaeth (De-o)'!E$110/40)))</f>
        <v>#VALUE!</v>
      </c>
      <c r="Z62" s="4" t="e">
        <f>Y62*(1+'Rhaniad y Ddeiliadaeth (De-o)'!F$109)+(Y$44*(-(50-$U62)*('Rhaniad y Ddeiliadaeth (De-o)'!F$110/40)))</f>
        <v>#VALUE!</v>
      </c>
      <c r="AA62" s="4" t="e">
        <f>Z62*(1+'Rhaniad y Ddeiliadaeth (De-o)'!G$109)+(Z$44*(-(50-$U62)*('Rhaniad y Ddeiliadaeth (De-o)'!G$110/40)))</f>
        <v>#VALUE!</v>
      </c>
      <c r="AC62" s="260">
        <v>68</v>
      </c>
      <c r="AD62" s="4">
        <f>IF('Rhaniad y Ddeiliadaeth (Cymru)'!$D$8="Amcangyfrifon LlC",'Incwm (De-orllewin)'!E62,'Incwm (De-orllewin)'!W62)</f>
        <v>36862.435381855445</v>
      </c>
      <c r="AE62" s="4">
        <f>IF('Rhaniad y Ddeiliadaeth (Cymru)'!$D$8="Amcangyfrifon LlC",'Incwm (De-orllewin)'!F62,'Incwm (De-orllewin)'!X62)</f>
        <v>38245.338899941766</v>
      </c>
      <c r="AF62" s="4">
        <f>IF('Rhaniad y Ddeiliadaeth (Cymru)'!$D$8="Amcangyfrifon LlC",'Incwm (De-orllewin)'!G62,'Incwm (De-orllewin)'!Y62)</f>
        <v>39676.075599929194</v>
      </c>
      <c r="AG62" s="4">
        <f>IF('Rhaniad y Ddeiliadaeth (Cymru)'!$D$8="Amcangyfrifon LlC",'Incwm (De-orllewin)'!H62,'Incwm (De-orllewin)'!Z62)</f>
        <v>41180.050986698312</v>
      </c>
      <c r="AH62" s="4">
        <f>IF('Rhaniad y Ddeiliadaeth (Cymru)'!$D$8="Amcangyfrifon LlC",'Incwm (De-orllewin)'!I62,'Incwm (De-orllewin)'!AA62)</f>
        <v>42732.91777475339</v>
      </c>
    </row>
    <row r="63" spans="2:34" x14ac:dyDescent="0.35">
      <c r="B63" s="251">
        <v>69</v>
      </c>
      <c r="C63" s="258">
        <v>35580</v>
      </c>
      <c r="D63" s="258">
        <v>36684.642220164664</v>
      </c>
      <c r="E63" s="278">
        <f>D63*(1+'Rhaniad y Ddeiliadaeth (De-o)'!C$109)+(D$44*(-(50-$B63)*('Rhaniad y Ddeiliadaeth (De-o)'!C$110/40)))</f>
        <v>37631.422982480653</v>
      </c>
      <c r="F63" s="278">
        <f>E63*(1+'Rhaniad y Ddeiliadaeth (De-o)'!D$109)+(E$44*(-(50-$B63)*('Rhaniad y Ddeiliadaeth (De-o)'!D$110/40)))</f>
        <v>39047.320615099285</v>
      </c>
      <c r="G63" s="278">
        <f>F63*(1+'Rhaniad y Ddeiliadaeth (De-o)'!E$109)+(F$44*(-(50-$B63)*('Rhaniad y Ddeiliadaeth (De-o)'!E$110/40)))</f>
        <v>40512.333036762662</v>
      </c>
      <c r="H63" s="278">
        <f>G63*(1+'Rhaniad y Ddeiliadaeth (De-o)'!F$109)+(G$44*(-(50-$B63)*('Rhaniad y Ddeiliadaeth (De-o)'!F$110/40)))</f>
        <v>42052.414241598512</v>
      </c>
      <c r="I63" s="279">
        <f>H63*(1+'Rhaniad y Ddeiliadaeth (De-o)'!G$109)+H$44*(-(50-$B63)*('Rhaniad y Ddeiliadaeth (De-o)'!G$110/40))</f>
        <v>43642.722183670288</v>
      </c>
      <c r="M63" s="36" t="str">
        <f t="shared" si="1"/>
        <v/>
      </c>
      <c r="N63" s="190"/>
      <c r="O63" s="13">
        <f t="shared" si="4"/>
        <v>1</v>
      </c>
      <c r="U63" s="1">
        <f t="shared" si="2"/>
        <v>69</v>
      </c>
      <c r="V63" s="4" t="str">
        <f t="shared" si="3"/>
        <v/>
      </c>
      <c r="W63" s="4" t="e">
        <f>IF($W$3=$N$3,N63,V63*(1+'Rhaniad y Ddeiliadaeth (De-o)'!C$109)+(V$44*(-(50-$U63)*('Rhaniad y Ddeiliadaeth (De-o)'!C$110/40))))</f>
        <v>#VALUE!</v>
      </c>
      <c r="X63" s="4" t="e">
        <f>W63*(1+'Rhaniad y Ddeiliadaeth (De-o)'!D$109)+(W$44*(-(50-$U63)*('Rhaniad y Ddeiliadaeth (De-o)'!D$110/40)))</f>
        <v>#VALUE!</v>
      </c>
      <c r="Y63" s="4" t="e">
        <f>X63*(1+'Rhaniad y Ddeiliadaeth (De-o)'!E$109)+(X$44*(-(50-$U63)*('Rhaniad y Ddeiliadaeth (De-o)'!E$110/40)))</f>
        <v>#VALUE!</v>
      </c>
      <c r="Z63" s="4" t="e">
        <f>Y63*(1+'Rhaniad y Ddeiliadaeth (De-o)'!F$109)+(Y$44*(-(50-$U63)*('Rhaniad y Ddeiliadaeth (De-o)'!F$110/40)))</f>
        <v>#VALUE!</v>
      </c>
      <c r="AA63" s="4" t="e">
        <f>Z63*(1+'Rhaniad y Ddeiliadaeth (De-o)'!G$109)+(Z$44*(-(50-$U63)*('Rhaniad y Ddeiliadaeth (De-o)'!G$110/40)))</f>
        <v>#VALUE!</v>
      </c>
      <c r="AC63" s="260">
        <v>69</v>
      </c>
      <c r="AD63" s="4">
        <f>IF('Rhaniad y Ddeiliadaeth (Cymru)'!$D$8="Amcangyfrifon LlC",'Incwm (De-orllewin)'!E63,'Incwm (De-orllewin)'!W63)</f>
        <v>37631.422982480653</v>
      </c>
      <c r="AE63" s="4">
        <f>IF('Rhaniad y Ddeiliadaeth (Cymru)'!$D$8="Amcangyfrifon LlC",'Incwm (De-orllewin)'!F63,'Incwm (De-orllewin)'!X63)</f>
        <v>39047.320615099285</v>
      </c>
      <c r="AF63" s="4">
        <f>IF('Rhaniad y Ddeiliadaeth (Cymru)'!$D$8="Amcangyfrifon LlC",'Incwm (De-orllewin)'!G63,'Incwm (De-orllewin)'!Y63)</f>
        <v>40512.333036762662</v>
      </c>
      <c r="AG63" s="4">
        <f>IF('Rhaniad y Ddeiliadaeth (Cymru)'!$D$8="Amcangyfrifon LlC",'Incwm (De-orllewin)'!H63,'Incwm (De-orllewin)'!Z63)</f>
        <v>42052.414241598512</v>
      </c>
      <c r="AH63" s="4">
        <f>IF('Rhaniad y Ddeiliadaeth (Cymru)'!$D$8="Amcangyfrifon LlC",'Incwm (De-orllewin)'!I63,'Incwm (De-orllewin)'!AA63)</f>
        <v>43642.722183670288</v>
      </c>
    </row>
    <row r="64" spans="2:34" x14ac:dyDescent="0.35">
      <c r="B64" s="251">
        <v>70</v>
      </c>
      <c r="C64" s="258">
        <v>36523</v>
      </c>
      <c r="D64" s="258">
        <v>37755.471275127078</v>
      </c>
      <c r="E64" s="278">
        <f>D64*(1+'Rhaniad y Ddeiliadaeth (De-o)'!C$109)+(D$44*(-(50-$B64)*('Rhaniad y Ddeiliadaeth (De-o)'!C$110/40)))</f>
        <v>38732.780195214247</v>
      </c>
      <c r="F64" s="278">
        <f>E64*(1+'Rhaniad y Ddeiliadaeth (De-o)'!D$109)+(E$44*(-(50-$B64)*('Rhaniad y Ddeiliadaeth (De-o)'!D$110/40)))</f>
        <v>40193.063569855098</v>
      </c>
      <c r="G64" s="278">
        <f>F64*(1+'Rhaniad y Ddeiliadaeth (De-o)'!E$109)+(F$44*(-(50-$B64)*('Rhaniad y Ddeiliadaeth (De-o)'!E$110/40)))</f>
        <v>41704.100884116153</v>
      </c>
      <c r="H64" s="278">
        <f>G64*(1+'Rhaniad y Ddeiliadaeth (De-o)'!F$109)+(G$44*(-(50-$B64)*('Rhaniad y Ddeiliadaeth (De-o)'!F$110/40)))</f>
        <v>43292.618880679969</v>
      </c>
      <c r="I64" s="279">
        <f>H64*(1+'Rhaniad y Ddeiliadaeth (De-o)'!G$109)+H$44*(-(50-$B64)*('Rhaniad y Ddeiliadaeth (De-o)'!G$110/40))</f>
        <v>44933.057809165395</v>
      </c>
      <c r="M64" s="36" t="str">
        <f t="shared" si="1"/>
        <v/>
      </c>
      <c r="N64" s="190"/>
      <c r="O64" s="13">
        <f t="shared" si="4"/>
        <v>1</v>
      </c>
      <c r="U64" s="1">
        <f t="shared" si="2"/>
        <v>70</v>
      </c>
      <c r="V64" s="4" t="str">
        <f t="shared" si="3"/>
        <v/>
      </c>
      <c r="W64" s="4" t="e">
        <f>IF($W$3=$N$3,N64,V64*(1+'Rhaniad y Ddeiliadaeth (De-o)'!C$109)+(V$44*(-(50-$U64)*('Rhaniad y Ddeiliadaeth (De-o)'!C$110/40))))</f>
        <v>#VALUE!</v>
      </c>
      <c r="X64" s="4" t="e">
        <f>W64*(1+'Rhaniad y Ddeiliadaeth (De-o)'!D$109)+(W$44*(-(50-$U64)*('Rhaniad y Ddeiliadaeth (De-o)'!D$110/40)))</f>
        <v>#VALUE!</v>
      </c>
      <c r="Y64" s="4" t="e">
        <f>X64*(1+'Rhaniad y Ddeiliadaeth (De-o)'!E$109)+(X$44*(-(50-$U64)*('Rhaniad y Ddeiliadaeth (De-o)'!E$110/40)))</f>
        <v>#VALUE!</v>
      </c>
      <c r="Z64" s="4" t="e">
        <f>Y64*(1+'Rhaniad y Ddeiliadaeth (De-o)'!F$109)+(Y$44*(-(50-$U64)*('Rhaniad y Ddeiliadaeth (De-o)'!F$110/40)))</f>
        <v>#VALUE!</v>
      </c>
      <c r="AA64" s="4" t="e">
        <f>Z64*(1+'Rhaniad y Ddeiliadaeth (De-o)'!G$109)+(Z$44*(-(50-$U64)*('Rhaniad y Ddeiliadaeth (De-o)'!G$110/40)))</f>
        <v>#VALUE!</v>
      </c>
      <c r="AC64" s="260">
        <v>70</v>
      </c>
      <c r="AD64" s="4">
        <f>IF('Rhaniad y Ddeiliadaeth (Cymru)'!$D$8="Amcangyfrifon LlC",'Incwm (De-orllewin)'!E64,'Incwm (De-orllewin)'!W64)</f>
        <v>38732.780195214247</v>
      </c>
      <c r="AE64" s="4">
        <f>IF('Rhaniad y Ddeiliadaeth (Cymru)'!$D$8="Amcangyfrifon LlC",'Incwm (De-orllewin)'!F64,'Incwm (De-orllewin)'!X64)</f>
        <v>40193.063569855098</v>
      </c>
      <c r="AF64" s="4">
        <f>IF('Rhaniad y Ddeiliadaeth (Cymru)'!$D$8="Amcangyfrifon LlC",'Incwm (De-orllewin)'!G64,'Incwm (De-orllewin)'!Y64)</f>
        <v>41704.100884116153</v>
      </c>
      <c r="AG64" s="4">
        <f>IF('Rhaniad y Ddeiliadaeth (Cymru)'!$D$8="Amcangyfrifon LlC",'Incwm (De-orllewin)'!H64,'Incwm (De-orllewin)'!Z64)</f>
        <v>43292.618880679969</v>
      </c>
      <c r="AH64" s="4">
        <f>IF('Rhaniad y Ddeiliadaeth (Cymru)'!$D$8="Amcangyfrifon LlC",'Incwm (De-orllewin)'!I64,'Incwm (De-orllewin)'!AA64)</f>
        <v>44933.057809165395</v>
      </c>
    </row>
    <row r="65" spans="2:34" x14ac:dyDescent="0.35">
      <c r="B65" s="251">
        <v>71</v>
      </c>
      <c r="C65" s="258">
        <v>36818</v>
      </c>
      <c r="D65" s="258">
        <v>38060.426071451649</v>
      </c>
      <c r="E65" s="278">
        <f>D65*(1+'Rhaniad y Ddeiliadaeth (De-o)'!C$109)+(D$44*(-(50-$B65)*('Rhaniad y Ddeiliadaeth (De-o)'!C$110/40)))</f>
        <v>39051.072193400723</v>
      </c>
      <c r="F65" s="278">
        <f>E65*(1+'Rhaniad y Ddeiliadaeth (De-o)'!D$109)+(E$44*(-(50-$B65)*('Rhaniad y Ddeiliadaeth (De-o)'!D$110/40)))</f>
        <v>40528.902553151478</v>
      </c>
      <c r="G65" s="278">
        <f>F65*(1+'Rhaniad y Ddeiliadaeth (De-o)'!E$109)+(F$44*(-(50-$B65)*('Rhaniad y Ddeiliadaeth (De-o)'!E$110/40)))</f>
        <v>42058.283628181642</v>
      </c>
      <c r="H65" s="278">
        <f>G65*(1+'Rhaniad y Ddeiliadaeth (De-o)'!F$109)+(G$44*(-(50-$B65)*('Rhaniad y Ddeiliadaeth (De-o)'!F$110/40)))</f>
        <v>43666.186553174717</v>
      </c>
      <c r="I65" s="279">
        <f>H65*(1+'Rhaniad y Ddeiliadaeth (De-o)'!G$109)+H$44*(-(50-$B65)*('Rhaniad y Ddeiliadaeth (De-o)'!G$110/40))</f>
        <v>45326.859130993398</v>
      </c>
      <c r="M65" s="36" t="str">
        <f t="shared" si="1"/>
        <v/>
      </c>
      <c r="N65" s="190"/>
      <c r="O65" s="13">
        <f t="shared" si="4"/>
        <v>1</v>
      </c>
      <c r="U65" s="1">
        <f t="shared" si="2"/>
        <v>71</v>
      </c>
      <c r="V65" s="4" t="str">
        <f t="shared" si="3"/>
        <v/>
      </c>
      <c r="W65" s="4" t="e">
        <f>IF($W$3=$N$3,N65,V65*(1+'Rhaniad y Ddeiliadaeth (De-o)'!C$109)+(V$44*(-(50-$U65)*('Rhaniad y Ddeiliadaeth (De-o)'!C$110/40))))</f>
        <v>#VALUE!</v>
      </c>
      <c r="X65" s="4" t="e">
        <f>W65*(1+'Rhaniad y Ddeiliadaeth (De-o)'!D$109)+(W$44*(-(50-$U65)*('Rhaniad y Ddeiliadaeth (De-o)'!D$110/40)))</f>
        <v>#VALUE!</v>
      </c>
      <c r="Y65" s="4" t="e">
        <f>X65*(1+'Rhaniad y Ddeiliadaeth (De-o)'!E$109)+(X$44*(-(50-$U65)*('Rhaniad y Ddeiliadaeth (De-o)'!E$110/40)))</f>
        <v>#VALUE!</v>
      </c>
      <c r="Z65" s="4" t="e">
        <f>Y65*(1+'Rhaniad y Ddeiliadaeth (De-o)'!F$109)+(Y$44*(-(50-$U65)*('Rhaniad y Ddeiliadaeth (De-o)'!F$110/40)))</f>
        <v>#VALUE!</v>
      </c>
      <c r="AA65" s="4" t="e">
        <f>Z65*(1+'Rhaniad y Ddeiliadaeth (De-o)'!G$109)+(Z$44*(-(50-$U65)*('Rhaniad y Ddeiliadaeth (De-o)'!G$110/40)))</f>
        <v>#VALUE!</v>
      </c>
      <c r="AC65" s="260">
        <v>71</v>
      </c>
      <c r="AD65" s="4">
        <f>IF('Rhaniad y Ddeiliadaeth (Cymru)'!$D$8="Amcangyfrifon LlC",'Incwm (De-orllewin)'!E65,'Incwm (De-orllewin)'!W65)</f>
        <v>39051.072193400723</v>
      </c>
      <c r="AE65" s="4">
        <f>IF('Rhaniad y Ddeiliadaeth (Cymru)'!$D$8="Amcangyfrifon LlC",'Incwm (De-orllewin)'!F65,'Incwm (De-orllewin)'!X65)</f>
        <v>40528.902553151478</v>
      </c>
      <c r="AF65" s="4">
        <f>IF('Rhaniad y Ddeiliadaeth (Cymru)'!$D$8="Amcangyfrifon LlC",'Incwm (De-orllewin)'!G65,'Incwm (De-orllewin)'!Y65)</f>
        <v>42058.283628181642</v>
      </c>
      <c r="AG65" s="4">
        <f>IF('Rhaniad y Ddeiliadaeth (Cymru)'!$D$8="Amcangyfrifon LlC",'Incwm (De-orllewin)'!H65,'Incwm (De-orllewin)'!Z65)</f>
        <v>43666.186553174717</v>
      </c>
      <c r="AH65" s="4">
        <f>IF('Rhaniad y Ddeiliadaeth (Cymru)'!$D$8="Amcangyfrifon LlC",'Incwm (De-orllewin)'!I65,'Incwm (De-orllewin)'!AA65)</f>
        <v>45326.859130993398</v>
      </c>
    </row>
    <row r="66" spans="2:34" x14ac:dyDescent="0.35">
      <c r="B66" s="251">
        <v>72</v>
      </c>
      <c r="C66" s="258">
        <v>37965</v>
      </c>
      <c r="D66" s="258">
        <v>39246.131669364491</v>
      </c>
      <c r="E66" s="278">
        <f>D66*(1+'Rhaniad y Ddeiliadaeth (De-o)'!C$109)+(D$44*(-(50-$B66)*('Rhaniad y Ddeiliadaeth (De-o)'!C$110/40)))</f>
        <v>40269.884489311953</v>
      </c>
      <c r="F66" s="278">
        <f>E66*(1+'Rhaniad y Ddeiliadaeth (De-o)'!D$109)+(E$44*(-(50-$B66)*('Rhaniad y Ddeiliadaeth (De-o)'!D$110/40)))</f>
        <v>41796.1262435682</v>
      </c>
      <c r="G66" s="278">
        <f>F66*(1+'Rhaniad y Ddeiliadaeth (De-o)'!E$109)+(F$44*(-(50-$B66)*('Rhaniad y Ddeiliadaeth (De-o)'!E$110/40)))</f>
        <v>43375.684214861867</v>
      </c>
      <c r="H66" s="278">
        <f>G66*(1+'Rhaniad y Ddeiliadaeth (De-o)'!F$109)+(G$44*(-(50-$B66)*('Rhaniad y Ddeiliadaeth (De-o)'!F$110/40)))</f>
        <v>45036.381536743793</v>
      </c>
      <c r="I66" s="279">
        <f>H66*(1+'Rhaniad y Ddeiliadaeth (De-o)'!G$109)+H$44*(-(50-$B66)*('Rhaniad y Ddeiliadaeth (De-o)'!G$110/40))</f>
        <v>46751.669522130745</v>
      </c>
      <c r="M66" s="36" t="str">
        <f t="shared" si="1"/>
        <v/>
      </c>
      <c r="N66" s="190"/>
      <c r="O66" s="13">
        <f t="shared" si="4"/>
        <v>1</v>
      </c>
      <c r="U66" s="1">
        <f t="shared" si="2"/>
        <v>72</v>
      </c>
      <c r="V66" s="4" t="str">
        <f t="shared" si="3"/>
        <v/>
      </c>
      <c r="W66" s="4" t="e">
        <f>IF($W$3=$N$3,N66,V66*(1+'Rhaniad y Ddeiliadaeth (De-o)'!C$109)+(V$44*(-(50-$U66)*('Rhaniad y Ddeiliadaeth (De-o)'!C$110/40))))</f>
        <v>#VALUE!</v>
      </c>
      <c r="X66" s="4" t="e">
        <f>W66*(1+'Rhaniad y Ddeiliadaeth (De-o)'!D$109)+(W$44*(-(50-$U66)*('Rhaniad y Ddeiliadaeth (De-o)'!D$110/40)))</f>
        <v>#VALUE!</v>
      </c>
      <c r="Y66" s="4" t="e">
        <f>X66*(1+'Rhaniad y Ddeiliadaeth (De-o)'!E$109)+(X$44*(-(50-$U66)*('Rhaniad y Ddeiliadaeth (De-o)'!E$110/40)))</f>
        <v>#VALUE!</v>
      </c>
      <c r="Z66" s="4" t="e">
        <f>Y66*(1+'Rhaniad y Ddeiliadaeth (De-o)'!F$109)+(Y$44*(-(50-$U66)*('Rhaniad y Ddeiliadaeth (De-o)'!F$110/40)))</f>
        <v>#VALUE!</v>
      </c>
      <c r="AA66" s="4" t="e">
        <f>Z66*(1+'Rhaniad y Ddeiliadaeth (De-o)'!G$109)+(Z$44*(-(50-$U66)*('Rhaniad y Ddeiliadaeth (De-o)'!G$110/40)))</f>
        <v>#VALUE!</v>
      </c>
      <c r="AC66" s="260">
        <v>72</v>
      </c>
      <c r="AD66" s="4">
        <f>IF('Rhaniad y Ddeiliadaeth (Cymru)'!$D$8="Amcangyfrifon LlC",'Incwm (De-orllewin)'!E66,'Incwm (De-orllewin)'!W66)</f>
        <v>40269.884489311953</v>
      </c>
      <c r="AE66" s="4">
        <f>IF('Rhaniad y Ddeiliadaeth (Cymru)'!$D$8="Amcangyfrifon LlC",'Incwm (De-orllewin)'!F66,'Incwm (De-orllewin)'!X66)</f>
        <v>41796.1262435682</v>
      </c>
      <c r="AF66" s="4">
        <f>IF('Rhaniad y Ddeiliadaeth (Cymru)'!$D$8="Amcangyfrifon LlC",'Incwm (De-orllewin)'!G66,'Incwm (De-orllewin)'!Y66)</f>
        <v>43375.684214861867</v>
      </c>
      <c r="AG66" s="4">
        <f>IF('Rhaniad y Ddeiliadaeth (Cymru)'!$D$8="Amcangyfrifon LlC",'Incwm (De-orllewin)'!H66,'Incwm (De-orllewin)'!Z66)</f>
        <v>45036.381536743793</v>
      </c>
      <c r="AH66" s="4">
        <f>IF('Rhaniad y Ddeiliadaeth (Cymru)'!$D$8="Amcangyfrifon LlC",'Incwm (De-orllewin)'!I66,'Incwm (De-orllewin)'!AA66)</f>
        <v>46751.669522130745</v>
      </c>
    </row>
    <row r="67" spans="2:34" x14ac:dyDescent="0.35">
      <c r="B67" s="251">
        <v>73</v>
      </c>
      <c r="C67" s="258">
        <v>38944</v>
      </c>
      <c r="D67" s="258">
        <v>40258.168095133173</v>
      </c>
      <c r="E67" s="278">
        <f>D67*(1+'Rhaniad y Ddeiliadaeth (De-o)'!C$109)+(D$44*(-(50-$B67)*('Rhaniad y Ddeiliadaeth (De-o)'!C$110/40)))</f>
        <v>41311.129402573235</v>
      </c>
      <c r="F67" s="278">
        <f>E67*(1+'Rhaniad y Ddeiliadaeth (De-o)'!D$109)+(E$44*(-(50-$B67)*('Rhaniad y Ddeiliadaeth (De-o)'!D$110/40)))</f>
        <v>42879.696611454157</v>
      </c>
      <c r="G67" s="278">
        <f>F67*(1+'Rhaniad y Ddeiliadaeth (De-o)'!E$109)+(F$44*(-(50-$B67)*('Rhaniad y Ddeiliadaeth (De-o)'!E$110/40)))</f>
        <v>44503.154522716664</v>
      </c>
      <c r="H67" s="278">
        <f>G67*(1+'Rhaniad y Ddeiliadaeth (De-o)'!F$109)+(G$44*(-(50-$B67)*('Rhaniad y Ddeiliadaeth (De-o)'!F$110/40)))</f>
        <v>46210.058458974272</v>
      </c>
      <c r="I67" s="279">
        <f>H67*(1+'Rhaniad y Ddeiliadaeth (De-o)'!G$109)+H$44*(-(50-$B67)*('Rhaniad y Ddeiliadaeth (De-o)'!G$110/40))</f>
        <v>47973.182350305695</v>
      </c>
      <c r="M67" s="36" t="str">
        <f t="shared" si="1"/>
        <v/>
      </c>
      <c r="N67" s="190"/>
      <c r="O67" s="13">
        <f t="shared" si="4"/>
        <v>1</v>
      </c>
      <c r="U67" s="1">
        <f t="shared" si="2"/>
        <v>73</v>
      </c>
      <c r="V67" s="4" t="str">
        <f t="shared" si="3"/>
        <v/>
      </c>
      <c r="W67" s="4" t="e">
        <f>IF($W$3=$N$3,N67,V67*(1+'Rhaniad y Ddeiliadaeth (De-o)'!C$109)+(V$44*(-(50-$U67)*('Rhaniad y Ddeiliadaeth (De-o)'!C$110/40))))</f>
        <v>#VALUE!</v>
      </c>
      <c r="X67" s="4" t="e">
        <f>W67*(1+'Rhaniad y Ddeiliadaeth (De-o)'!D$109)+(W$44*(-(50-$U67)*('Rhaniad y Ddeiliadaeth (De-o)'!D$110/40)))</f>
        <v>#VALUE!</v>
      </c>
      <c r="Y67" s="4" t="e">
        <f>X67*(1+'Rhaniad y Ddeiliadaeth (De-o)'!E$109)+(X$44*(-(50-$U67)*('Rhaniad y Ddeiliadaeth (De-o)'!E$110/40)))</f>
        <v>#VALUE!</v>
      </c>
      <c r="Z67" s="4" t="e">
        <f>Y67*(1+'Rhaniad y Ddeiliadaeth (De-o)'!F$109)+(Y$44*(-(50-$U67)*('Rhaniad y Ddeiliadaeth (De-o)'!F$110/40)))</f>
        <v>#VALUE!</v>
      </c>
      <c r="AA67" s="4" t="e">
        <f>Z67*(1+'Rhaniad y Ddeiliadaeth (De-o)'!G$109)+(Z$44*(-(50-$U67)*('Rhaniad y Ddeiliadaeth (De-o)'!G$110/40)))</f>
        <v>#VALUE!</v>
      </c>
      <c r="AC67" s="260">
        <v>73</v>
      </c>
      <c r="AD67" s="4">
        <f>IF('Rhaniad y Ddeiliadaeth (Cymru)'!$D$8="Amcangyfrifon LlC",'Incwm (De-orllewin)'!E67,'Incwm (De-orllewin)'!W67)</f>
        <v>41311.129402573235</v>
      </c>
      <c r="AE67" s="4">
        <f>IF('Rhaniad y Ddeiliadaeth (Cymru)'!$D$8="Amcangyfrifon LlC",'Incwm (De-orllewin)'!F67,'Incwm (De-orllewin)'!X67)</f>
        <v>42879.696611454157</v>
      </c>
      <c r="AF67" s="4">
        <f>IF('Rhaniad y Ddeiliadaeth (Cymru)'!$D$8="Amcangyfrifon LlC",'Incwm (De-orllewin)'!G67,'Incwm (De-orllewin)'!Y67)</f>
        <v>44503.154522716664</v>
      </c>
      <c r="AG67" s="4">
        <f>IF('Rhaniad y Ddeiliadaeth (Cymru)'!$D$8="Amcangyfrifon LlC",'Incwm (De-orllewin)'!H67,'Incwm (De-orllewin)'!Z67)</f>
        <v>46210.058458974272</v>
      </c>
      <c r="AH67" s="4">
        <f>IF('Rhaniad y Ddeiliadaeth (Cymru)'!$D$8="Amcangyfrifon LlC",'Incwm (De-orllewin)'!I67,'Incwm (De-orllewin)'!AA67)</f>
        <v>47973.182350305695</v>
      </c>
    </row>
    <row r="68" spans="2:34" x14ac:dyDescent="0.35">
      <c r="B68" s="251">
        <v>74</v>
      </c>
      <c r="C68" s="258">
        <v>39743.5</v>
      </c>
      <c r="D68" s="258">
        <v>41084.647280426383</v>
      </c>
      <c r="E68" s="278">
        <f>D68*(1+'Rhaniad y Ddeiliadaeth (De-o)'!C$109)+(D$44*(-(50-$B68)*('Rhaniad y Ddeiliadaeth (De-o)'!C$110/40)))</f>
        <v>42162.652023062685</v>
      </c>
      <c r="F68" s="278">
        <f>E68*(1+'Rhaniad y Ddeiliadaeth (De-o)'!D$109)+(E$44*(-(50-$B68)*('Rhaniad y Ddeiliadaeth (De-o)'!D$110/40)))</f>
        <v>43767.042149612294</v>
      </c>
      <c r="G68" s="278">
        <f>F68*(1+'Rhaniad y Ddeiliadaeth (De-o)'!E$109)+(F$44*(-(50-$B68)*('Rhaniad y Ddeiliadaeth (De-o)'!E$110/40)))</f>
        <v>45427.693371945461</v>
      </c>
      <c r="H68" s="278">
        <f>G68*(1+'Rhaniad y Ddeiliadaeth (De-o)'!F$109)+(G$44*(-(50-$B68)*('Rhaniad y Ddeiliadaeth (De-o)'!F$110/40)))</f>
        <v>47173.765190667385</v>
      </c>
      <c r="I68" s="279">
        <f>H68*(1+'Rhaniad y Ddeiliadaeth (De-o)'!G$109)+H$44*(-(50-$B68)*('Rhaniad y Ddeiliadaeth (De-o)'!G$110/40))</f>
        <v>48977.481413291651</v>
      </c>
      <c r="M68" s="36" t="str">
        <f t="shared" ref="M68:M84" si="5">IF(ISBLANK($L$4),"",B68)</f>
        <v/>
      </c>
      <c r="N68" s="190"/>
      <c r="O68" s="13">
        <f t="shared" si="4"/>
        <v>1</v>
      </c>
      <c r="U68" s="1">
        <f t="shared" ref="U68:U84" si="6">B68</f>
        <v>74</v>
      </c>
      <c r="V68" s="4" t="str">
        <f t="shared" ref="V68:V84" si="7">IF($N$3=$V$3,N68,"")</f>
        <v/>
      </c>
      <c r="W68" s="4" t="e">
        <f>IF($W$3=$N$3,N68,V68*(1+'Rhaniad y Ddeiliadaeth (De-o)'!C$109)+(V$44*(-(50-$U68)*('Rhaniad y Ddeiliadaeth (De-o)'!C$110/40))))</f>
        <v>#VALUE!</v>
      </c>
      <c r="X68" s="4" t="e">
        <f>W68*(1+'Rhaniad y Ddeiliadaeth (De-o)'!D$109)+(W$44*(-(50-$U68)*('Rhaniad y Ddeiliadaeth (De-o)'!D$110/40)))</f>
        <v>#VALUE!</v>
      </c>
      <c r="Y68" s="4" t="e">
        <f>X68*(1+'Rhaniad y Ddeiliadaeth (De-o)'!E$109)+(X$44*(-(50-$U68)*('Rhaniad y Ddeiliadaeth (De-o)'!E$110/40)))</f>
        <v>#VALUE!</v>
      </c>
      <c r="Z68" s="4" t="e">
        <f>Y68*(1+'Rhaniad y Ddeiliadaeth (De-o)'!F$109)+(Y$44*(-(50-$U68)*('Rhaniad y Ddeiliadaeth (De-o)'!F$110/40)))</f>
        <v>#VALUE!</v>
      </c>
      <c r="AA68" s="4" t="e">
        <f>Z68*(1+'Rhaniad y Ddeiliadaeth (De-o)'!G$109)+(Z$44*(-(50-$U68)*('Rhaniad y Ddeiliadaeth (De-o)'!G$110/40)))</f>
        <v>#VALUE!</v>
      </c>
      <c r="AC68" s="260">
        <v>74</v>
      </c>
      <c r="AD68" s="4">
        <f>IF('Rhaniad y Ddeiliadaeth (Cymru)'!$D$8="Amcangyfrifon LlC",'Incwm (De-orllewin)'!E68,'Incwm (De-orllewin)'!W68)</f>
        <v>42162.652023062685</v>
      </c>
      <c r="AE68" s="4">
        <f>IF('Rhaniad y Ddeiliadaeth (Cymru)'!$D$8="Amcangyfrifon LlC",'Incwm (De-orllewin)'!F68,'Incwm (De-orllewin)'!X68)</f>
        <v>43767.042149612294</v>
      </c>
      <c r="AF68" s="4">
        <f>IF('Rhaniad y Ddeiliadaeth (Cymru)'!$D$8="Amcangyfrifon LlC",'Incwm (De-orllewin)'!G68,'Incwm (De-orllewin)'!Y68)</f>
        <v>45427.693371945461</v>
      </c>
      <c r="AG68" s="4">
        <f>IF('Rhaniad y Ddeiliadaeth (Cymru)'!$D$8="Amcangyfrifon LlC",'Incwm (De-orllewin)'!H68,'Incwm (De-orllewin)'!Z68)</f>
        <v>47173.765190667385</v>
      </c>
      <c r="AH68" s="4">
        <f>IF('Rhaniad y Ddeiliadaeth (Cymru)'!$D$8="Amcangyfrifon LlC",'Incwm (De-orllewin)'!I68,'Incwm (De-orllewin)'!AA68)</f>
        <v>48977.481413291651</v>
      </c>
    </row>
    <row r="69" spans="2:34" x14ac:dyDescent="0.35">
      <c r="B69" s="251">
        <v>75</v>
      </c>
      <c r="C69" s="258">
        <v>40535</v>
      </c>
      <c r="D69" s="258">
        <v>41902.85650514131</v>
      </c>
      <c r="E69" s="278">
        <f>D69*(1+'Rhaniad y Ddeiliadaeth (De-o)'!C$109)+(D$44*(-(50-$B69)*('Rhaniad y Ddeiliadaeth (De-o)'!C$110/40)))</f>
        <v>43005.719053902139</v>
      </c>
      <c r="F69" s="278">
        <f>E69*(1+'Rhaniad y Ddeiliadaeth (De-o)'!D$109)+(E$44*(-(50-$B69)*('Rhaniad y Ddeiliadaeth (De-o)'!D$110/40)))</f>
        <v>44645.642291459437</v>
      </c>
      <c r="G69" s="278">
        <f>F69*(1+'Rhaniad y Ddeiliadaeth (De-o)'!E$109)+(F$44*(-(50-$B69)*('Rhaniad y Ddeiliadaeth (De-o)'!E$110/40)))</f>
        <v>46343.187922182558</v>
      </c>
      <c r="H69" s="278">
        <f>G69*(1+'Rhaniad y Ddeiliadaeth (De-o)'!F$109)+(G$44*(-(50-$B69)*('Rhaniad y Ddeiliadaeth (De-o)'!F$110/40)))</f>
        <v>48128.113919439595</v>
      </c>
      <c r="I69" s="279">
        <f>H69*(1+'Rhaniad y Ddeiliadaeth (De-o)'!G$109)+H$44*(-(50-$B69)*('Rhaniad y Ddeiliadaeth (De-o)'!G$110/40))</f>
        <v>49972.099639946042</v>
      </c>
      <c r="M69" s="36" t="str">
        <f t="shared" si="5"/>
        <v/>
      </c>
      <c r="N69" s="190"/>
      <c r="O69" s="13">
        <f t="shared" ref="O69:O84" si="8">IF(ISBLANK(N69),1,0)</f>
        <v>1</v>
      </c>
      <c r="U69" s="1">
        <f t="shared" si="6"/>
        <v>75</v>
      </c>
      <c r="V69" s="4" t="str">
        <f t="shared" si="7"/>
        <v/>
      </c>
      <c r="W69" s="4" t="e">
        <f>IF($W$3=$N$3,N69,V69*(1+'Rhaniad y Ddeiliadaeth (De-o)'!C$109)+(V$44*(-(50-$U69)*('Rhaniad y Ddeiliadaeth (De-o)'!C$110/40))))</f>
        <v>#VALUE!</v>
      </c>
      <c r="X69" s="4" t="e">
        <f>W69*(1+'Rhaniad y Ddeiliadaeth (De-o)'!D$109)+(W$44*(-(50-$U69)*('Rhaniad y Ddeiliadaeth (De-o)'!D$110/40)))</f>
        <v>#VALUE!</v>
      </c>
      <c r="Y69" s="4" t="e">
        <f>X69*(1+'Rhaniad y Ddeiliadaeth (De-o)'!E$109)+(X$44*(-(50-$U69)*('Rhaniad y Ddeiliadaeth (De-o)'!E$110/40)))</f>
        <v>#VALUE!</v>
      </c>
      <c r="Z69" s="4" t="e">
        <f>Y69*(1+'Rhaniad y Ddeiliadaeth (De-o)'!F$109)+(Y$44*(-(50-$U69)*('Rhaniad y Ddeiliadaeth (De-o)'!F$110/40)))</f>
        <v>#VALUE!</v>
      </c>
      <c r="AA69" s="4" t="e">
        <f>Z69*(1+'Rhaniad y Ddeiliadaeth (De-o)'!G$109)+(Z$44*(-(50-$U69)*('Rhaniad y Ddeiliadaeth (De-o)'!G$110/40)))</f>
        <v>#VALUE!</v>
      </c>
      <c r="AC69" s="260">
        <v>75</v>
      </c>
      <c r="AD69" s="4">
        <f>IF('Rhaniad y Ddeiliadaeth (Cymru)'!$D$8="Amcangyfrifon LlC",'Incwm (De-orllewin)'!E69,'Incwm (De-orllewin)'!W69)</f>
        <v>43005.719053902139</v>
      </c>
      <c r="AE69" s="4">
        <f>IF('Rhaniad y Ddeiliadaeth (Cymru)'!$D$8="Amcangyfrifon LlC",'Incwm (De-orllewin)'!F69,'Incwm (De-orllewin)'!X69)</f>
        <v>44645.642291459437</v>
      </c>
      <c r="AF69" s="4">
        <f>IF('Rhaniad y Ddeiliadaeth (Cymru)'!$D$8="Amcangyfrifon LlC",'Incwm (De-orllewin)'!G69,'Incwm (De-orllewin)'!Y69)</f>
        <v>46343.187922182558</v>
      </c>
      <c r="AG69" s="4">
        <f>IF('Rhaniad y Ddeiliadaeth (Cymru)'!$D$8="Amcangyfrifon LlC",'Incwm (De-orllewin)'!H69,'Incwm (De-orllewin)'!Z69)</f>
        <v>48128.113919439595</v>
      </c>
      <c r="AH69" s="4">
        <f>IF('Rhaniad y Ddeiliadaeth (Cymru)'!$D$8="Amcangyfrifon LlC",'Incwm (De-orllewin)'!I69,'Incwm (De-orllewin)'!AA69)</f>
        <v>49972.099639946042</v>
      </c>
    </row>
    <row r="70" spans="2:34" x14ac:dyDescent="0.35">
      <c r="B70" s="251">
        <v>76</v>
      </c>
      <c r="C70" s="258">
        <v>41735.199999999997</v>
      </c>
      <c r="D70" s="258">
        <v>43143.557340899803</v>
      </c>
      <c r="E70" s="278">
        <f>D70*(1+'Rhaniad y Ddeiliadaeth (De-o)'!C$109)+(D$44*(-(50-$B70)*('Rhaniad y Ddeiliadaeth (De-o)'!C$110/40)))</f>
        <v>44280.761020985847</v>
      </c>
      <c r="F70" s="278">
        <f>E70*(1+'Rhaniad y Ddeiliadaeth (De-o)'!D$109)+(E$44*(-(50-$B70)*('Rhaniad y Ddeiliadaeth (De-o)'!D$110/40)))</f>
        <v>45971.022867344233</v>
      </c>
      <c r="G70" s="278">
        <f>F70*(1+'Rhaniad y Ddeiliadaeth (De-o)'!E$109)+(F$44*(-(50-$B70)*('Rhaniad y Ddeiliadaeth (De-o)'!E$110/40)))</f>
        <v>47720.733097157499</v>
      </c>
      <c r="H70" s="278">
        <f>G70*(1+'Rhaniad y Ddeiliadaeth (De-o)'!F$109)+(G$44*(-(50-$B70)*('Rhaniad y Ddeiliadaeth (De-o)'!F$110/40)))</f>
        <v>49560.539622432545</v>
      </c>
      <c r="I70" s="279">
        <f>H70*(1+'Rhaniad y Ddeiliadaeth (De-o)'!G$109)+H$44*(-(50-$B70)*('Rhaniad y Ddeiliadaeth (De-o)'!G$110/40))</f>
        <v>51461.287592688139</v>
      </c>
      <c r="M70" s="36" t="str">
        <f t="shared" si="5"/>
        <v/>
      </c>
      <c r="N70" s="190"/>
      <c r="O70" s="13">
        <f t="shared" si="8"/>
        <v>1</v>
      </c>
      <c r="U70" s="1">
        <f t="shared" si="6"/>
        <v>76</v>
      </c>
      <c r="V70" s="4" t="str">
        <f t="shared" si="7"/>
        <v/>
      </c>
      <c r="W70" s="4" t="e">
        <f>IF($W$3=$N$3,N70,V70*(1+'Rhaniad y Ddeiliadaeth (De-o)'!C$109)+(V$44*(-(50-$U70)*('Rhaniad y Ddeiliadaeth (De-o)'!C$110/40))))</f>
        <v>#VALUE!</v>
      </c>
      <c r="X70" s="4" t="e">
        <f>W70*(1+'Rhaniad y Ddeiliadaeth (De-o)'!D$109)+(W$44*(-(50-$U70)*('Rhaniad y Ddeiliadaeth (De-o)'!D$110/40)))</f>
        <v>#VALUE!</v>
      </c>
      <c r="Y70" s="4" t="e">
        <f>X70*(1+'Rhaniad y Ddeiliadaeth (De-o)'!E$109)+(X$44*(-(50-$U70)*('Rhaniad y Ddeiliadaeth (De-o)'!E$110/40)))</f>
        <v>#VALUE!</v>
      </c>
      <c r="Z70" s="4" t="e">
        <f>Y70*(1+'Rhaniad y Ddeiliadaeth (De-o)'!F$109)+(Y$44*(-(50-$U70)*('Rhaniad y Ddeiliadaeth (De-o)'!F$110/40)))</f>
        <v>#VALUE!</v>
      </c>
      <c r="AA70" s="4" t="e">
        <f>Z70*(1+'Rhaniad y Ddeiliadaeth (De-o)'!G$109)+(Z$44*(-(50-$U70)*('Rhaniad y Ddeiliadaeth (De-o)'!G$110/40)))</f>
        <v>#VALUE!</v>
      </c>
      <c r="AC70" s="260">
        <v>76</v>
      </c>
      <c r="AD70" s="4">
        <f>IF('Rhaniad y Ddeiliadaeth (Cymru)'!$D$8="Amcangyfrifon LlC",'Incwm (De-orllewin)'!E70,'Incwm (De-orllewin)'!W70)</f>
        <v>44280.761020985847</v>
      </c>
      <c r="AE70" s="4">
        <f>IF('Rhaniad y Ddeiliadaeth (Cymru)'!$D$8="Amcangyfrifon LlC",'Incwm (De-orllewin)'!F70,'Incwm (De-orllewin)'!X70)</f>
        <v>45971.022867344233</v>
      </c>
      <c r="AF70" s="4">
        <f>IF('Rhaniad y Ddeiliadaeth (Cymru)'!$D$8="Amcangyfrifon LlC",'Incwm (De-orllewin)'!G70,'Incwm (De-orllewin)'!Y70)</f>
        <v>47720.733097157499</v>
      </c>
      <c r="AG70" s="4">
        <f>IF('Rhaniad y Ddeiliadaeth (Cymru)'!$D$8="Amcangyfrifon LlC",'Incwm (De-orllewin)'!H70,'Incwm (De-orllewin)'!Z70)</f>
        <v>49560.539622432545</v>
      </c>
      <c r="AH70" s="4">
        <f>IF('Rhaniad y Ddeiliadaeth (Cymru)'!$D$8="Amcangyfrifon LlC",'Incwm (De-orllewin)'!I70,'Incwm (De-orllewin)'!AA70)</f>
        <v>51461.287592688139</v>
      </c>
    </row>
    <row r="71" spans="2:34" x14ac:dyDescent="0.35">
      <c r="B71" s="251">
        <v>77</v>
      </c>
      <c r="C71" s="258">
        <v>42782.2</v>
      </c>
      <c r="D71" s="258">
        <v>44225.888431583975</v>
      </c>
      <c r="E71" s="278">
        <f>D71*(1+'Rhaniad y Ddeiliadaeth (De-o)'!C$109)+(D$44*(-(50-$B71)*('Rhaniad y Ddeiliadaeth (De-o)'!C$110/40)))</f>
        <v>45393.878446272101</v>
      </c>
      <c r="F71" s="278">
        <f>E71*(1+'Rhaniad y Ddeiliadaeth (De-o)'!D$109)+(E$44*(-(50-$B71)*('Rhaniad y Ddeiliadaeth (De-o)'!D$110/40)))</f>
        <v>47128.92910387359</v>
      </c>
      <c r="G71" s="278">
        <f>F71*(1+'Rhaniad y Ddeiliadaeth (De-o)'!E$109)+(F$44*(-(50-$B71)*('Rhaniad y Ddeiliadaeth (De-o)'!E$110/40)))</f>
        <v>48925.079946441627</v>
      </c>
      <c r="H71" s="278">
        <f>G71*(1+'Rhaniad y Ddeiliadaeth (De-o)'!F$109)+(G$44*(-(50-$B71)*('Rhaniad y Ddeiliadaeth (De-o)'!F$110/40)))</f>
        <v>50813.759569490539</v>
      </c>
      <c r="I71" s="279">
        <f>H71*(1+'Rhaniad y Ddeiliadaeth (De-o)'!G$109)+H$44*(-(50-$B71)*('Rhaniad y Ddeiliadaeth (De-o)'!G$110/40))</f>
        <v>52765.087529681186</v>
      </c>
      <c r="M71" s="36" t="str">
        <f t="shared" si="5"/>
        <v/>
      </c>
      <c r="N71" s="190"/>
      <c r="O71" s="13">
        <f t="shared" si="8"/>
        <v>1</v>
      </c>
      <c r="U71" s="1">
        <f t="shared" si="6"/>
        <v>77</v>
      </c>
      <c r="V71" s="4" t="str">
        <f t="shared" si="7"/>
        <v/>
      </c>
      <c r="W71" s="4" t="e">
        <f>IF($W$3=$N$3,N71,V71*(1+'Rhaniad y Ddeiliadaeth (De-o)'!C$109)+(V$44*(-(50-$U71)*('Rhaniad y Ddeiliadaeth (De-o)'!C$110/40))))</f>
        <v>#VALUE!</v>
      </c>
      <c r="X71" s="4" t="e">
        <f>W71*(1+'Rhaniad y Ddeiliadaeth (De-o)'!D$109)+(W$44*(-(50-$U71)*('Rhaniad y Ddeiliadaeth (De-o)'!D$110/40)))</f>
        <v>#VALUE!</v>
      </c>
      <c r="Y71" s="4" t="e">
        <f>X71*(1+'Rhaniad y Ddeiliadaeth (De-o)'!E$109)+(X$44*(-(50-$U71)*('Rhaniad y Ddeiliadaeth (De-o)'!E$110/40)))</f>
        <v>#VALUE!</v>
      </c>
      <c r="Z71" s="4" t="e">
        <f>Y71*(1+'Rhaniad y Ddeiliadaeth (De-o)'!F$109)+(Y$44*(-(50-$U71)*('Rhaniad y Ddeiliadaeth (De-o)'!F$110/40)))</f>
        <v>#VALUE!</v>
      </c>
      <c r="AA71" s="4" t="e">
        <f>Z71*(1+'Rhaniad y Ddeiliadaeth (De-o)'!G$109)+(Z$44*(-(50-$U71)*('Rhaniad y Ddeiliadaeth (De-o)'!G$110/40)))</f>
        <v>#VALUE!</v>
      </c>
      <c r="AC71" s="260">
        <v>77</v>
      </c>
      <c r="AD71" s="4">
        <f>IF('Rhaniad y Ddeiliadaeth (Cymru)'!$D$8="Amcangyfrifon LlC",'Incwm (De-orllewin)'!E71,'Incwm (De-orllewin)'!W71)</f>
        <v>45393.878446272101</v>
      </c>
      <c r="AE71" s="4">
        <f>IF('Rhaniad y Ddeiliadaeth (Cymru)'!$D$8="Amcangyfrifon LlC",'Incwm (De-orllewin)'!F71,'Incwm (De-orllewin)'!X71)</f>
        <v>47128.92910387359</v>
      </c>
      <c r="AF71" s="4">
        <f>IF('Rhaniad y Ddeiliadaeth (Cymru)'!$D$8="Amcangyfrifon LlC",'Incwm (De-orllewin)'!G71,'Incwm (De-orllewin)'!Y71)</f>
        <v>48925.079946441627</v>
      </c>
      <c r="AG71" s="4">
        <f>IF('Rhaniad y Ddeiliadaeth (Cymru)'!$D$8="Amcangyfrifon LlC",'Incwm (De-orllewin)'!H71,'Incwm (De-orllewin)'!Z71)</f>
        <v>50813.759569490539</v>
      </c>
      <c r="AH71" s="4">
        <f>IF('Rhaniad y Ddeiliadaeth (Cymru)'!$D$8="Amcangyfrifon LlC",'Incwm (De-orllewin)'!I71,'Incwm (De-orllewin)'!AA71)</f>
        <v>52765.087529681186</v>
      </c>
    </row>
    <row r="72" spans="2:34" x14ac:dyDescent="0.35">
      <c r="B72" s="251">
        <v>78</v>
      </c>
      <c r="C72" s="258">
        <v>44620.25</v>
      </c>
      <c r="D72" s="258">
        <v>46125.963561700541</v>
      </c>
      <c r="E72" s="278">
        <f>D72*(1+'Rhaniad y Ddeiliadaeth (De-o)'!C$109)+(D$44*(-(50-$B72)*('Rhaniad y Ddeiliadaeth (De-o)'!C$110/40)))</f>
        <v>47343.095145637184</v>
      </c>
      <c r="F72" s="278">
        <f>E72*(1+'Rhaniad y Ddeiliadaeth (De-o)'!D$109)+(E$44*(-(50-$B72)*('Rhaniad y Ddeiliadaeth (De-o)'!D$110/40)))</f>
        <v>49151.591059378938</v>
      </c>
      <c r="G72" s="278">
        <f>F72*(1+'Rhaniad y Ddeiliadaeth (De-o)'!E$109)+(F$44*(-(50-$B72)*('Rhaniad y Ddeiliadaeth (De-o)'!E$110/40)))</f>
        <v>51023.738385397577</v>
      </c>
      <c r="H72" s="278">
        <f>G72*(1+'Rhaniad y Ddeiliadaeth (De-o)'!F$109)+(G$44*(-(50-$B72)*('Rhaniad y Ddeiliadaeth (De-o)'!F$110/40)))</f>
        <v>52992.310542869367</v>
      </c>
      <c r="I72" s="279">
        <f>H72*(1+'Rhaniad y Ddeiliadaeth (De-o)'!G$109)+H$44*(-(50-$B72)*('Rhaniad y Ddeiliadaeth (De-o)'!G$110/40))</f>
        <v>55026.14066418264</v>
      </c>
      <c r="M72" s="36" t="str">
        <f t="shared" si="5"/>
        <v/>
      </c>
      <c r="N72" s="190"/>
      <c r="O72" s="13">
        <f t="shared" si="8"/>
        <v>1</v>
      </c>
      <c r="U72" s="1">
        <f t="shared" si="6"/>
        <v>78</v>
      </c>
      <c r="V72" s="4" t="str">
        <f t="shared" si="7"/>
        <v/>
      </c>
      <c r="W72" s="4" t="e">
        <f>IF($W$3=$N$3,N72,V72*(1+'Rhaniad y Ddeiliadaeth (De-o)'!C$109)+(V$44*(-(50-$U72)*('Rhaniad y Ddeiliadaeth (De-o)'!C$110/40))))</f>
        <v>#VALUE!</v>
      </c>
      <c r="X72" s="4" t="e">
        <f>W72*(1+'Rhaniad y Ddeiliadaeth (De-o)'!D$109)+(W$44*(-(50-$U72)*('Rhaniad y Ddeiliadaeth (De-o)'!D$110/40)))</f>
        <v>#VALUE!</v>
      </c>
      <c r="Y72" s="4" t="e">
        <f>X72*(1+'Rhaniad y Ddeiliadaeth (De-o)'!E$109)+(X$44*(-(50-$U72)*('Rhaniad y Ddeiliadaeth (De-o)'!E$110/40)))</f>
        <v>#VALUE!</v>
      </c>
      <c r="Z72" s="4" t="e">
        <f>Y72*(1+'Rhaniad y Ddeiliadaeth (De-o)'!F$109)+(Y$44*(-(50-$U72)*('Rhaniad y Ddeiliadaeth (De-o)'!F$110/40)))</f>
        <v>#VALUE!</v>
      </c>
      <c r="AA72" s="4" t="e">
        <f>Z72*(1+'Rhaniad y Ddeiliadaeth (De-o)'!G$109)+(Z$44*(-(50-$U72)*('Rhaniad y Ddeiliadaeth (De-o)'!G$110/40)))</f>
        <v>#VALUE!</v>
      </c>
      <c r="AC72" s="260">
        <v>78</v>
      </c>
      <c r="AD72" s="4">
        <f>IF('Rhaniad y Ddeiliadaeth (Cymru)'!$D$8="Amcangyfrifon LlC",'Incwm (De-orllewin)'!E72,'Incwm (De-orllewin)'!W72)</f>
        <v>47343.095145637184</v>
      </c>
      <c r="AE72" s="4">
        <f>IF('Rhaniad y Ddeiliadaeth (Cymru)'!$D$8="Amcangyfrifon LlC",'Incwm (De-orllewin)'!F72,'Incwm (De-orllewin)'!X72)</f>
        <v>49151.591059378938</v>
      </c>
      <c r="AF72" s="4">
        <f>IF('Rhaniad y Ddeiliadaeth (Cymru)'!$D$8="Amcangyfrifon LlC",'Incwm (De-orllewin)'!G72,'Incwm (De-orllewin)'!Y72)</f>
        <v>51023.738385397577</v>
      </c>
      <c r="AG72" s="4">
        <f>IF('Rhaniad y Ddeiliadaeth (Cymru)'!$D$8="Amcangyfrifon LlC",'Incwm (De-orllewin)'!H72,'Incwm (De-orllewin)'!Z72)</f>
        <v>52992.310542869367</v>
      </c>
      <c r="AH72" s="4">
        <f>IF('Rhaniad y Ddeiliadaeth (Cymru)'!$D$8="Amcangyfrifon LlC",'Incwm (De-orllewin)'!I72,'Incwm (De-orllewin)'!AA72)</f>
        <v>55026.14066418264</v>
      </c>
    </row>
    <row r="73" spans="2:34" x14ac:dyDescent="0.35">
      <c r="B73" s="251">
        <v>79</v>
      </c>
      <c r="C73" s="258">
        <v>45622</v>
      </c>
      <c r="D73" s="258">
        <v>47161.517687863743</v>
      </c>
      <c r="E73" s="278">
        <f>D73*(1+'Rhaniad y Ddeiliadaeth (De-o)'!C$109)+(D$44*(-(50-$B73)*('Rhaniad y Ddeiliadaeth (De-o)'!C$110/40)))</f>
        <v>48408.385641965651</v>
      </c>
      <c r="F73" s="278">
        <f>E73*(1+'Rhaniad y Ddeiliadaeth (De-o)'!D$109)+(E$44*(-(50-$B73)*('Rhaniad y Ddeiliadaeth (De-o)'!D$110/40)))</f>
        <v>50260.031148024289</v>
      </c>
      <c r="G73" s="278">
        <f>F73*(1+'Rhaniad y Ddeiliadaeth (De-o)'!E$109)+(F$44*(-(50-$B73)*('Rhaniad y Ddeiliadaeth (De-o)'!E$110/40)))</f>
        <v>52176.928418509997</v>
      </c>
      <c r="H73" s="278">
        <f>G73*(1+'Rhaniad y Ddeiliadaeth (De-o)'!F$109)+(G$44*(-(50-$B73)*('Rhaniad y Ddeiliadaeth (De-o)'!F$110/40)))</f>
        <v>54192.59928590613</v>
      </c>
      <c r="I73" s="279">
        <f>H73*(1+'Rhaniad y Ddeiliadaeth (De-o)'!G$109)+H$44*(-(50-$B73)*('Rhaniad y Ddeiliadaeth (De-o)'!G$110/40))</f>
        <v>56275.183370675426</v>
      </c>
      <c r="M73" s="36" t="str">
        <f t="shared" si="5"/>
        <v/>
      </c>
      <c r="N73" s="190"/>
      <c r="O73" s="13">
        <f t="shared" si="8"/>
        <v>1</v>
      </c>
      <c r="U73" s="1">
        <f t="shared" si="6"/>
        <v>79</v>
      </c>
      <c r="V73" s="4" t="str">
        <f t="shared" si="7"/>
        <v/>
      </c>
      <c r="W73" s="4" t="e">
        <f>IF($W$3=$N$3,N73,V73*(1+'Rhaniad y Ddeiliadaeth (De-o)'!C$109)+(V$44*(-(50-$U73)*('Rhaniad y Ddeiliadaeth (De-o)'!C$110/40))))</f>
        <v>#VALUE!</v>
      </c>
      <c r="X73" s="4" t="e">
        <f>W73*(1+'Rhaniad y Ddeiliadaeth (De-o)'!D$109)+(W$44*(-(50-$U73)*('Rhaniad y Ddeiliadaeth (De-o)'!D$110/40)))</f>
        <v>#VALUE!</v>
      </c>
      <c r="Y73" s="4" t="e">
        <f>X73*(1+'Rhaniad y Ddeiliadaeth (De-o)'!E$109)+(X$44*(-(50-$U73)*('Rhaniad y Ddeiliadaeth (De-o)'!E$110/40)))</f>
        <v>#VALUE!</v>
      </c>
      <c r="Z73" s="4" t="e">
        <f>Y73*(1+'Rhaniad y Ddeiliadaeth (De-o)'!F$109)+(Y$44*(-(50-$U73)*('Rhaniad y Ddeiliadaeth (De-o)'!F$110/40)))</f>
        <v>#VALUE!</v>
      </c>
      <c r="AA73" s="4" t="e">
        <f>Z73*(1+'Rhaniad y Ddeiliadaeth (De-o)'!G$109)+(Z$44*(-(50-$U73)*('Rhaniad y Ddeiliadaeth (De-o)'!G$110/40)))</f>
        <v>#VALUE!</v>
      </c>
      <c r="AC73" s="260">
        <v>79</v>
      </c>
      <c r="AD73" s="4">
        <f>IF('Rhaniad y Ddeiliadaeth (Cymru)'!$D$8="Amcangyfrifon LlC",'Incwm (De-orllewin)'!E73,'Incwm (De-orllewin)'!W73)</f>
        <v>48408.385641965651</v>
      </c>
      <c r="AE73" s="4">
        <f>IF('Rhaniad y Ddeiliadaeth (Cymru)'!$D$8="Amcangyfrifon LlC",'Incwm (De-orllewin)'!F73,'Incwm (De-orllewin)'!X73)</f>
        <v>50260.031148024289</v>
      </c>
      <c r="AF73" s="4">
        <f>IF('Rhaniad y Ddeiliadaeth (Cymru)'!$D$8="Amcangyfrifon LlC",'Incwm (De-orllewin)'!G73,'Incwm (De-orllewin)'!Y73)</f>
        <v>52176.928418509997</v>
      </c>
      <c r="AG73" s="4">
        <f>IF('Rhaniad y Ddeiliadaeth (Cymru)'!$D$8="Amcangyfrifon LlC",'Incwm (De-orllewin)'!H73,'Incwm (De-orllewin)'!Z73)</f>
        <v>54192.59928590613</v>
      </c>
      <c r="AH73" s="4">
        <f>IF('Rhaniad y Ddeiliadaeth (Cymru)'!$D$8="Amcangyfrifon LlC",'Incwm (De-orllewin)'!I73,'Incwm (De-orllewin)'!AA73)</f>
        <v>56275.183370675426</v>
      </c>
    </row>
    <row r="74" spans="2:34" x14ac:dyDescent="0.35">
      <c r="B74" s="251">
        <v>80</v>
      </c>
      <c r="C74" s="258">
        <v>46604.75</v>
      </c>
      <c r="D74" s="258">
        <v>48139.166430496516</v>
      </c>
      <c r="E74" s="278">
        <f>D74*(1+'Rhaniad y Ddeiliadaeth (De-o)'!C$109)+(D$44*(-(50-$B74)*('Rhaniad y Ddeiliadaeth (De-o)'!C$110/40)))</f>
        <v>49414.470999766098</v>
      </c>
      <c r="F74" s="278">
        <f>E74*(1+'Rhaniad y Ddeiliadaeth (De-o)'!D$109)+(E$44*(-(50-$B74)*('Rhaniad y Ddeiliadaeth (De-o)'!D$110/40)))</f>
        <v>51307.236902754812</v>
      </c>
      <c r="G74" s="278">
        <f>F74*(1+'Rhaniad y Ddeiliadaeth (De-o)'!E$109)+(F$44*(-(50-$B74)*('Rhaniad y Ddeiliadaeth (De-o)'!E$110/40)))</f>
        <v>53266.791232959193</v>
      </c>
      <c r="H74" s="278">
        <f>G74*(1+'Rhaniad y Ddeiliadaeth (De-o)'!F$109)+(G$44*(-(50-$B74)*('Rhaniad y Ddeiliadaeth (De-o)'!F$110/40)))</f>
        <v>55327.364288765064</v>
      </c>
      <c r="I74" s="279">
        <f>H74*(1+'Rhaniad y Ddeiliadaeth (De-o)'!G$109)+H$44*(-(50-$B74)*('Rhaniad y Ddeiliadaeth (De-o)'!G$110/40))</f>
        <v>57456.44189181854</v>
      </c>
      <c r="M74" s="36" t="str">
        <f t="shared" si="5"/>
        <v/>
      </c>
      <c r="N74" s="190"/>
      <c r="O74" s="13">
        <f t="shared" si="8"/>
        <v>1</v>
      </c>
      <c r="U74" s="1">
        <f t="shared" si="6"/>
        <v>80</v>
      </c>
      <c r="V74" s="4" t="str">
        <f t="shared" si="7"/>
        <v/>
      </c>
      <c r="W74" s="4" t="e">
        <f>IF($W$3=$N$3,N74,V74*(1+'Rhaniad y Ddeiliadaeth (De-o)'!C$109)+(V$44*(-(50-$U74)*('Rhaniad y Ddeiliadaeth (De-o)'!C$110/40))))</f>
        <v>#VALUE!</v>
      </c>
      <c r="X74" s="4" t="e">
        <f>W74*(1+'Rhaniad y Ddeiliadaeth (De-o)'!D$109)+(W$44*(-(50-$U74)*('Rhaniad y Ddeiliadaeth (De-o)'!D$110/40)))</f>
        <v>#VALUE!</v>
      </c>
      <c r="Y74" s="4" t="e">
        <f>X74*(1+'Rhaniad y Ddeiliadaeth (De-o)'!E$109)+(X$44*(-(50-$U74)*('Rhaniad y Ddeiliadaeth (De-o)'!E$110/40)))</f>
        <v>#VALUE!</v>
      </c>
      <c r="Z74" s="4" t="e">
        <f>Y74*(1+'Rhaniad y Ddeiliadaeth (De-o)'!F$109)+(Y$44*(-(50-$U74)*('Rhaniad y Ddeiliadaeth (De-o)'!F$110/40)))</f>
        <v>#VALUE!</v>
      </c>
      <c r="AA74" s="4" t="e">
        <f>Z74*(1+'Rhaniad y Ddeiliadaeth (De-o)'!G$109)+(Z$44*(-(50-$U74)*('Rhaniad y Ddeiliadaeth (De-o)'!G$110/40)))</f>
        <v>#VALUE!</v>
      </c>
      <c r="AC74" s="260">
        <v>80</v>
      </c>
      <c r="AD74" s="4">
        <f>IF('Rhaniad y Ddeiliadaeth (Cymru)'!$D$8="Amcangyfrifon LlC",'Incwm (De-orllewin)'!E74,'Incwm (De-orllewin)'!W74)</f>
        <v>49414.470999766098</v>
      </c>
      <c r="AE74" s="4">
        <f>IF('Rhaniad y Ddeiliadaeth (Cymru)'!$D$8="Amcangyfrifon LlC",'Incwm (De-orllewin)'!F74,'Incwm (De-orllewin)'!X74)</f>
        <v>51307.236902754812</v>
      </c>
      <c r="AF74" s="4">
        <f>IF('Rhaniad y Ddeiliadaeth (Cymru)'!$D$8="Amcangyfrifon LlC",'Incwm (De-orllewin)'!G74,'Incwm (De-orllewin)'!Y74)</f>
        <v>53266.791232959193</v>
      </c>
      <c r="AG74" s="4">
        <f>IF('Rhaniad y Ddeiliadaeth (Cymru)'!$D$8="Amcangyfrifon LlC",'Incwm (De-orllewin)'!H74,'Incwm (De-orllewin)'!Z74)</f>
        <v>55327.364288765064</v>
      </c>
      <c r="AH74" s="4">
        <f>IF('Rhaniad y Ddeiliadaeth (Cymru)'!$D$8="Amcangyfrifon LlC",'Incwm (De-orllewin)'!I74,'Incwm (De-orllewin)'!AA74)</f>
        <v>57456.44189181854</v>
      </c>
    </row>
    <row r="75" spans="2:34" x14ac:dyDescent="0.35">
      <c r="B75" s="251">
        <v>81</v>
      </c>
      <c r="C75" s="258">
        <v>48258.6</v>
      </c>
      <c r="D75" s="258">
        <v>49847.467846147847</v>
      </c>
      <c r="E75" s="278">
        <f>D75*(1+'Rhaniad y Ddeiliadaeth (De-o)'!C$109)+(D$44*(-(50-$B75)*('Rhaniad y Ddeiliadaeth (De-o)'!C$110/40)))</f>
        <v>51167.609396239386</v>
      </c>
      <c r="F75" s="278">
        <f>E75*(1+'Rhaniad y Ddeiliadaeth (De-o)'!D$109)+(E$44*(-(50-$B75)*('Rhaniad y Ddeiliadaeth (De-o)'!D$110/40)))</f>
        <v>53127.100172685896</v>
      </c>
      <c r="G75" s="278">
        <f>F75*(1+'Rhaniad y Ddeiliadaeth (De-o)'!E$109)+(F$44*(-(50-$B75)*('Rhaniad y Ddeiliadaeth (De-o)'!E$110/40)))</f>
        <v>55155.719674299107</v>
      </c>
      <c r="H75" s="278">
        <f>G75*(1+'Rhaniad y Ddeiliadaeth (De-o)'!F$109)+(G$44*(-(50-$B75)*('Rhaniad y Ddeiliadaeth (De-o)'!F$110/40)))</f>
        <v>57288.910723473498</v>
      </c>
      <c r="I75" s="279">
        <f>H75*(1+'Rhaniad y Ddeiliadaeth (De-o)'!G$109)+H$44*(-(50-$B75)*('Rhaniad y Ddeiliadaeth (De-o)'!G$110/40))</f>
        <v>59493.004241284922</v>
      </c>
      <c r="M75" s="36" t="str">
        <f t="shared" si="5"/>
        <v/>
      </c>
      <c r="N75" s="190"/>
      <c r="O75" s="13">
        <f t="shared" si="8"/>
        <v>1</v>
      </c>
      <c r="U75" s="1">
        <f t="shared" si="6"/>
        <v>81</v>
      </c>
      <c r="V75" s="4" t="str">
        <f t="shared" si="7"/>
        <v/>
      </c>
      <c r="W75" s="4" t="e">
        <f>IF($W$3=$N$3,N75,V75*(1+'Rhaniad y Ddeiliadaeth (De-o)'!C$109)+(V$44*(-(50-$U75)*('Rhaniad y Ddeiliadaeth (De-o)'!C$110/40))))</f>
        <v>#VALUE!</v>
      </c>
      <c r="X75" s="4" t="e">
        <f>W75*(1+'Rhaniad y Ddeiliadaeth (De-o)'!D$109)+(W$44*(-(50-$U75)*('Rhaniad y Ddeiliadaeth (De-o)'!D$110/40)))</f>
        <v>#VALUE!</v>
      </c>
      <c r="Y75" s="4" t="e">
        <f>X75*(1+'Rhaniad y Ddeiliadaeth (De-o)'!E$109)+(X$44*(-(50-$U75)*('Rhaniad y Ddeiliadaeth (De-o)'!E$110/40)))</f>
        <v>#VALUE!</v>
      </c>
      <c r="Z75" s="4" t="e">
        <f>Y75*(1+'Rhaniad y Ddeiliadaeth (De-o)'!F$109)+(Y$44*(-(50-$U75)*('Rhaniad y Ddeiliadaeth (De-o)'!F$110/40)))</f>
        <v>#VALUE!</v>
      </c>
      <c r="AA75" s="4" t="e">
        <f>Z75*(1+'Rhaniad y Ddeiliadaeth (De-o)'!G$109)+(Z$44*(-(50-$U75)*('Rhaniad y Ddeiliadaeth (De-o)'!G$110/40)))</f>
        <v>#VALUE!</v>
      </c>
      <c r="AC75" s="260">
        <v>81</v>
      </c>
      <c r="AD75" s="4">
        <f>IF('Rhaniad y Ddeiliadaeth (Cymru)'!$D$8="Amcangyfrifon LlC",'Incwm (De-orllewin)'!E75,'Incwm (De-orllewin)'!W75)</f>
        <v>51167.609396239386</v>
      </c>
      <c r="AE75" s="4">
        <f>IF('Rhaniad y Ddeiliadaeth (Cymru)'!$D$8="Amcangyfrifon LlC",'Incwm (De-orllewin)'!F75,'Incwm (De-orllewin)'!X75)</f>
        <v>53127.100172685896</v>
      </c>
      <c r="AF75" s="4">
        <f>IF('Rhaniad y Ddeiliadaeth (Cymru)'!$D$8="Amcangyfrifon LlC",'Incwm (De-orllewin)'!G75,'Incwm (De-orllewin)'!Y75)</f>
        <v>55155.719674299107</v>
      </c>
      <c r="AG75" s="4">
        <f>IF('Rhaniad y Ddeiliadaeth (Cymru)'!$D$8="Amcangyfrifon LlC",'Incwm (De-orllewin)'!H75,'Incwm (De-orllewin)'!Z75)</f>
        <v>57288.910723473498</v>
      </c>
      <c r="AH75" s="4">
        <f>IF('Rhaniad y Ddeiliadaeth (Cymru)'!$D$8="Amcangyfrifon LlC",'Incwm (De-orllewin)'!I75,'Incwm (De-orllewin)'!AA75)</f>
        <v>59493.004241284922</v>
      </c>
    </row>
    <row r="76" spans="2:34" x14ac:dyDescent="0.35">
      <c r="B76" s="251">
        <v>82</v>
      </c>
      <c r="C76" s="258">
        <v>49519.119999999995</v>
      </c>
      <c r="D76" s="258">
        <v>51149.48925102545</v>
      </c>
      <c r="E76" s="278">
        <f>D76*(1+'Rhaniad y Ddeiliadaeth (De-o)'!C$109)+(D$44*(-(50-$B76)*('Rhaniad y Ddeiliadaeth (De-o)'!C$110/40)))</f>
        <v>52505.348345330051</v>
      </c>
      <c r="F76" s="278">
        <f>E76*(1+'Rhaniad y Ddeiliadaeth (De-o)'!D$109)+(E$44*(-(50-$B76)*('Rhaniad y Ddeiliadaeth (De-o)'!D$110/40)))</f>
        <v>54517.326605317532</v>
      </c>
      <c r="G76" s="278">
        <f>F76*(1+'Rhaniad y Ddeiliadaeth (De-o)'!E$109)+(F$44*(-(50-$B76)*('Rhaniad y Ddeiliadaeth (De-o)'!E$110/40)))</f>
        <v>56600.32702643962</v>
      </c>
      <c r="H76" s="278">
        <f>G76*(1+'Rhaniad y Ddeiliadaeth (De-o)'!F$109)+(G$44*(-(50-$B76)*('Rhaniad y Ddeiliadaeth (De-o)'!F$110/40)))</f>
        <v>58790.72467318111</v>
      </c>
      <c r="I76" s="279">
        <f>H76*(1+'Rhaniad y Ddeiliadaeth (De-o)'!G$109)+H$44*(-(50-$B76)*('Rhaniad y Ddeiliadaeth (De-o)'!G$110/40))</f>
        <v>61053.974204083686</v>
      </c>
      <c r="M76" s="36" t="str">
        <f t="shared" si="5"/>
        <v/>
      </c>
      <c r="N76" s="190"/>
      <c r="O76" s="13">
        <f t="shared" si="8"/>
        <v>1</v>
      </c>
      <c r="U76" s="1">
        <f t="shared" si="6"/>
        <v>82</v>
      </c>
      <c r="V76" s="4" t="str">
        <f t="shared" si="7"/>
        <v/>
      </c>
      <c r="W76" s="4" t="e">
        <f>IF($W$3=$N$3,N76,V76*(1+'Rhaniad y Ddeiliadaeth (De-o)'!C$109)+(V$44*(-(50-$U76)*('Rhaniad y Ddeiliadaeth (De-o)'!C$110/40))))</f>
        <v>#VALUE!</v>
      </c>
      <c r="X76" s="4" t="e">
        <f>W76*(1+'Rhaniad y Ddeiliadaeth (De-o)'!D$109)+(W$44*(-(50-$U76)*('Rhaniad y Ddeiliadaeth (De-o)'!D$110/40)))</f>
        <v>#VALUE!</v>
      </c>
      <c r="Y76" s="4" t="e">
        <f>X76*(1+'Rhaniad y Ddeiliadaeth (De-o)'!E$109)+(X$44*(-(50-$U76)*('Rhaniad y Ddeiliadaeth (De-o)'!E$110/40)))</f>
        <v>#VALUE!</v>
      </c>
      <c r="Z76" s="4" t="e">
        <f>Y76*(1+'Rhaniad y Ddeiliadaeth (De-o)'!F$109)+(Y$44*(-(50-$U76)*('Rhaniad y Ddeiliadaeth (De-o)'!F$110/40)))</f>
        <v>#VALUE!</v>
      </c>
      <c r="AA76" s="4" t="e">
        <f>Z76*(1+'Rhaniad y Ddeiliadaeth (De-o)'!G$109)+(Z$44*(-(50-$U76)*('Rhaniad y Ddeiliadaeth (De-o)'!G$110/40)))</f>
        <v>#VALUE!</v>
      </c>
      <c r="AC76" s="260">
        <v>82</v>
      </c>
      <c r="AD76" s="4">
        <f>IF('Rhaniad y Ddeiliadaeth (Cymru)'!$D$8="Amcangyfrifon LlC",'Incwm (De-orllewin)'!E76,'Incwm (De-orllewin)'!W76)</f>
        <v>52505.348345330051</v>
      </c>
      <c r="AE76" s="4">
        <f>IF('Rhaniad y Ddeiliadaeth (Cymru)'!$D$8="Amcangyfrifon LlC",'Incwm (De-orllewin)'!F76,'Incwm (De-orllewin)'!X76)</f>
        <v>54517.326605317532</v>
      </c>
      <c r="AF76" s="4">
        <f>IF('Rhaniad y Ddeiliadaeth (Cymru)'!$D$8="Amcangyfrifon LlC",'Incwm (De-orllewin)'!G76,'Incwm (De-orllewin)'!Y76)</f>
        <v>56600.32702643962</v>
      </c>
      <c r="AG76" s="4">
        <f>IF('Rhaniad y Ddeiliadaeth (Cymru)'!$D$8="Amcangyfrifon LlC",'Incwm (De-orllewin)'!H76,'Incwm (De-orllewin)'!Z76)</f>
        <v>58790.72467318111</v>
      </c>
      <c r="AH76" s="4">
        <f>IF('Rhaniad y Ddeiliadaeth (Cymru)'!$D$8="Amcangyfrifon LlC",'Incwm (De-orllewin)'!I76,'Incwm (De-orllewin)'!AA76)</f>
        <v>61053.974204083686</v>
      </c>
    </row>
    <row r="77" spans="2:34" x14ac:dyDescent="0.35">
      <c r="B77" s="251">
        <v>83</v>
      </c>
      <c r="C77" s="258">
        <v>50795.8</v>
      </c>
      <c r="D77" s="258">
        <v>52468.202708312245</v>
      </c>
      <c r="E77" s="278">
        <f>D77*(1+'Rhaniad y Ddeiliadaeth (De-o)'!C$109)+(D$44*(-(50-$B77)*('Rhaniad y Ddeiliadaeth (De-o)'!C$110/40)))</f>
        <v>53860.154019739675</v>
      </c>
      <c r="F77" s="278">
        <f>E77*(1+'Rhaniad y Ddeiliadaeth (De-o)'!D$109)+(E$44*(-(50-$B77)*('Rhaniad y Ddeiliadaeth (De-o)'!D$110/40)))</f>
        <v>55925.204707770346</v>
      </c>
      <c r="G77" s="278">
        <f>F77*(1+'Rhaniad y Ddeiliadaeth (De-o)'!E$109)+(F$44*(-(50-$B77)*('Rhaniad y Ddeiliadaeth (De-o)'!E$110/40)))</f>
        <v>58063.189352270063</v>
      </c>
      <c r="H77" s="278">
        <f>G77*(1+'Rhaniad y Ddeiliadaeth (De-o)'!F$109)+(G$44*(-(50-$B77)*('Rhaniad y Ddeiliadaeth (De-o)'!F$110/40)))</f>
        <v>60311.426775222928</v>
      </c>
      <c r="I77" s="279">
        <f>H77*(1+'Rhaniad y Ddeiliadaeth (De-o)'!G$109)+H$44*(-(50-$B77)*('Rhaniad y Ddeiliadaeth (De-o)'!G$110/40))</f>
        <v>62634.483924766544</v>
      </c>
      <c r="M77" s="36" t="str">
        <f t="shared" si="5"/>
        <v/>
      </c>
      <c r="N77" s="190"/>
      <c r="O77" s="13">
        <f t="shared" si="8"/>
        <v>1</v>
      </c>
      <c r="U77" s="1">
        <f t="shared" si="6"/>
        <v>83</v>
      </c>
      <c r="V77" s="4" t="str">
        <f t="shared" si="7"/>
        <v/>
      </c>
      <c r="W77" s="4" t="e">
        <f>IF($W$3=$N$3,N77,V77*(1+'Rhaniad y Ddeiliadaeth (De-o)'!C$109)+(V$44*(-(50-$U77)*('Rhaniad y Ddeiliadaeth (De-o)'!C$110/40))))</f>
        <v>#VALUE!</v>
      </c>
      <c r="X77" s="4" t="e">
        <f>W77*(1+'Rhaniad y Ddeiliadaeth (De-o)'!D$109)+(W$44*(-(50-$U77)*('Rhaniad y Ddeiliadaeth (De-o)'!D$110/40)))</f>
        <v>#VALUE!</v>
      </c>
      <c r="Y77" s="4" t="e">
        <f>X77*(1+'Rhaniad y Ddeiliadaeth (De-o)'!E$109)+(X$44*(-(50-$U77)*('Rhaniad y Ddeiliadaeth (De-o)'!E$110/40)))</f>
        <v>#VALUE!</v>
      </c>
      <c r="Z77" s="4" t="e">
        <f>Y77*(1+'Rhaniad y Ddeiliadaeth (De-o)'!F$109)+(Y$44*(-(50-$U77)*('Rhaniad y Ddeiliadaeth (De-o)'!F$110/40)))</f>
        <v>#VALUE!</v>
      </c>
      <c r="AA77" s="4" t="e">
        <f>Z77*(1+'Rhaniad y Ddeiliadaeth (De-o)'!G$109)+(Z$44*(-(50-$U77)*('Rhaniad y Ddeiliadaeth (De-o)'!G$110/40)))</f>
        <v>#VALUE!</v>
      </c>
      <c r="AC77" s="260">
        <v>83</v>
      </c>
      <c r="AD77" s="4">
        <f>IF('Rhaniad y Ddeiliadaeth (Cymru)'!$D$8="Amcangyfrifon LlC",'Incwm (De-orllewin)'!E77,'Incwm (De-orllewin)'!W77)</f>
        <v>53860.154019739675</v>
      </c>
      <c r="AE77" s="4">
        <f>IF('Rhaniad y Ddeiliadaeth (Cymru)'!$D$8="Amcangyfrifon LlC",'Incwm (De-orllewin)'!F77,'Incwm (De-orllewin)'!X77)</f>
        <v>55925.204707770346</v>
      </c>
      <c r="AF77" s="4">
        <f>IF('Rhaniad y Ddeiliadaeth (Cymru)'!$D$8="Amcangyfrifon LlC",'Incwm (De-orllewin)'!G77,'Incwm (De-orllewin)'!Y77)</f>
        <v>58063.189352270063</v>
      </c>
      <c r="AG77" s="4">
        <f>IF('Rhaniad y Ddeiliadaeth (Cymru)'!$D$8="Amcangyfrifon LlC",'Incwm (De-orllewin)'!H77,'Incwm (De-orllewin)'!Z77)</f>
        <v>60311.426775222928</v>
      </c>
      <c r="AH77" s="4">
        <f>IF('Rhaniad y Ddeiliadaeth (Cymru)'!$D$8="Amcangyfrifon LlC",'Incwm (De-orllewin)'!I77,'Incwm (De-orllewin)'!AA77)</f>
        <v>62634.483924766544</v>
      </c>
    </row>
    <row r="78" spans="2:34" x14ac:dyDescent="0.35">
      <c r="B78" s="251">
        <v>84</v>
      </c>
      <c r="C78" s="258">
        <v>52399</v>
      </c>
      <c r="D78" s="258">
        <v>54124.186521579599</v>
      </c>
      <c r="E78" s="278">
        <f>D78*(1+'Rhaniad y Ddeiliadaeth (De-o)'!C$109)+(D$44*(-(50-$B78)*('Rhaniad y Ddeiliadaeth (De-o)'!C$110/40)))</f>
        <v>55559.800483205239</v>
      </c>
      <c r="F78" s="278">
        <f>E78*(1+'Rhaniad y Ddeiliadaeth (De-o)'!D$109)+(E$44*(-(50-$B78)*('Rhaniad y Ddeiliadaeth (De-o)'!D$110/40)))</f>
        <v>57689.742663565165</v>
      </c>
      <c r="G78" s="278">
        <f>F78*(1+'Rhaniad y Ddeiliadaeth (De-o)'!E$109)+(F$44*(-(50-$B78)*('Rhaniad y Ddeiliadaeth (De-o)'!E$110/40)))</f>
        <v>59894.901554909782</v>
      </c>
      <c r="H78" s="278">
        <f>G78*(1+'Rhaniad y Ddeiliadaeth (De-o)'!F$109)+(G$44*(-(50-$B78)*('Rhaniad y Ddeiliadaeth (De-o)'!F$110/40)))</f>
        <v>62213.772410690799</v>
      </c>
      <c r="I78" s="279">
        <f>H78*(1+'Rhaniad y Ddeiliadaeth (De-o)'!G$109)+H$44*(-(50-$B78)*('Rhaniad y Ddeiliadaeth (De-o)'!G$110/40))</f>
        <v>64609.803159330135</v>
      </c>
      <c r="M78" s="36" t="str">
        <f t="shared" si="5"/>
        <v/>
      </c>
      <c r="N78" s="190"/>
      <c r="O78" s="13">
        <f t="shared" si="8"/>
        <v>1</v>
      </c>
      <c r="U78" s="1">
        <f t="shared" si="6"/>
        <v>84</v>
      </c>
      <c r="V78" s="4" t="str">
        <f t="shared" si="7"/>
        <v/>
      </c>
      <c r="W78" s="4" t="e">
        <f>IF($W$3=$N$3,N78,V78*(1+'Rhaniad y Ddeiliadaeth (De-o)'!C$109)+(V$44*(-(50-$U78)*('Rhaniad y Ddeiliadaeth (De-o)'!C$110/40))))</f>
        <v>#VALUE!</v>
      </c>
      <c r="X78" s="4" t="e">
        <f>W78*(1+'Rhaniad y Ddeiliadaeth (De-o)'!D$109)+(W$44*(-(50-$U78)*('Rhaniad y Ddeiliadaeth (De-o)'!D$110/40)))</f>
        <v>#VALUE!</v>
      </c>
      <c r="Y78" s="4" t="e">
        <f>X78*(1+'Rhaniad y Ddeiliadaeth (De-o)'!E$109)+(X$44*(-(50-$U78)*('Rhaniad y Ddeiliadaeth (De-o)'!E$110/40)))</f>
        <v>#VALUE!</v>
      </c>
      <c r="Z78" s="4" t="e">
        <f>Y78*(1+'Rhaniad y Ddeiliadaeth (De-o)'!F$109)+(Y$44*(-(50-$U78)*('Rhaniad y Ddeiliadaeth (De-o)'!F$110/40)))</f>
        <v>#VALUE!</v>
      </c>
      <c r="AA78" s="4" t="e">
        <f>Z78*(1+'Rhaniad y Ddeiliadaeth (De-o)'!G$109)+(Z$44*(-(50-$U78)*('Rhaniad y Ddeiliadaeth (De-o)'!G$110/40)))</f>
        <v>#VALUE!</v>
      </c>
      <c r="AC78" s="260">
        <v>84</v>
      </c>
      <c r="AD78" s="4">
        <f>IF('Rhaniad y Ddeiliadaeth (Cymru)'!$D$8="Amcangyfrifon LlC",'Incwm (De-orllewin)'!E78,'Incwm (De-orllewin)'!W78)</f>
        <v>55559.800483205239</v>
      </c>
      <c r="AE78" s="4">
        <f>IF('Rhaniad y Ddeiliadaeth (Cymru)'!$D$8="Amcangyfrifon LlC",'Incwm (De-orllewin)'!F78,'Incwm (De-orllewin)'!X78)</f>
        <v>57689.742663565165</v>
      </c>
      <c r="AF78" s="4">
        <f>IF('Rhaniad y Ddeiliadaeth (Cymru)'!$D$8="Amcangyfrifon LlC",'Incwm (De-orllewin)'!G78,'Incwm (De-orllewin)'!Y78)</f>
        <v>59894.901554909782</v>
      </c>
      <c r="AG78" s="4">
        <f>IF('Rhaniad y Ddeiliadaeth (Cymru)'!$D$8="Amcangyfrifon LlC",'Incwm (De-orllewin)'!H78,'Incwm (De-orllewin)'!Z78)</f>
        <v>62213.772410690799</v>
      </c>
      <c r="AH78" s="4">
        <f>IF('Rhaniad y Ddeiliadaeth (Cymru)'!$D$8="Amcangyfrifon LlC",'Incwm (De-orllewin)'!I78,'Incwm (De-orllewin)'!AA78)</f>
        <v>64609.803159330135</v>
      </c>
    </row>
    <row r="79" spans="2:34" x14ac:dyDescent="0.35">
      <c r="B79" s="251">
        <v>85</v>
      </c>
      <c r="C79" s="258">
        <v>53734</v>
      </c>
      <c r="D79" s="258">
        <v>55503.140108600513</v>
      </c>
      <c r="E79" s="278">
        <f>D79*(1+'Rhaniad y Ddeiliadaeth (De-o)'!C$109)+(D$44*(-(50-$B79)*('Rhaniad y Ddeiliadaeth (De-o)'!C$110/40)))</f>
        <v>56976.198448493655</v>
      </c>
      <c r="F79" s="278">
        <f>E79*(1+'Rhaniad y Ddeiliadaeth (De-o)'!D$109)+(E$44*(-(50-$B79)*('Rhaniad y Ddeiliadaeth (De-o)'!D$110/40)))</f>
        <v>59161.324069481489</v>
      </c>
      <c r="G79" s="278">
        <f>F79*(1+'Rhaniad y Ddeiliadaeth (De-o)'!E$109)+(F$44*(-(50-$B79)*('Rhaniad y Ddeiliadaeth (De-o)'!E$110/40)))</f>
        <v>61423.644454106383</v>
      </c>
      <c r="H79" s="278">
        <f>G79*(1+'Rhaniad y Ddeiliadaeth (De-o)'!F$109)+(G$44*(-(50-$B79)*('Rhaniad y Ddeiliadaeth (De-o)'!F$110/40)))</f>
        <v>63802.640171404084</v>
      </c>
      <c r="I79" s="279">
        <f>H79*(1+'Rhaniad y Ddeiliadaeth (De-o)'!G$109)+H$44*(-(50-$B79)*('Rhaniad y Ddeiliadaeth (De-o)'!G$110/40))</f>
        <v>66260.830125050124</v>
      </c>
      <c r="M79" s="36" t="str">
        <f t="shared" si="5"/>
        <v/>
      </c>
      <c r="N79" s="190"/>
      <c r="O79" s="13">
        <f t="shared" si="8"/>
        <v>1</v>
      </c>
      <c r="U79" s="1">
        <f t="shared" si="6"/>
        <v>85</v>
      </c>
      <c r="V79" s="4" t="str">
        <f t="shared" si="7"/>
        <v/>
      </c>
      <c r="W79" s="4" t="e">
        <f>IF($W$3=$N$3,N79,V79*(1+'Rhaniad y Ddeiliadaeth (De-o)'!C$109)+(V$44*(-(50-$U79)*('Rhaniad y Ddeiliadaeth (De-o)'!C$110/40))))</f>
        <v>#VALUE!</v>
      </c>
      <c r="X79" s="4" t="e">
        <f>W79*(1+'Rhaniad y Ddeiliadaeth (De-o)'!D$109)+(W$44*(-(50-$U79)*('Rhaniad y Ddeiliadaeth (De-o)'!D$110/40)))</f>
        <v>#VALUE!</v>
      </c>
      <c r="Y79" s="4" t="e">
        <f>X79*(1+'Rhaniad y Ddeiliadaeth (De-o)'!E$109)+(X$44*(-(50-$U79)*('Rhaniad y Ddeiliadaeth (De-o)'!E$110/40)))</f>
        <v>#VALUE!</v>
      </c>
      <c r="Z79" s="4" t="e">
        <f>Y79*(1+'Rhaniad y Ddeiliadaeth (De-o)'!F$109)+(Y$44*(-(50-$U79)*('Rhaniad y Ddeiliadaeth (De-o)'!F$110/40)))</f>
        <v>#VALUE!</v>
      </c>
      <c r="AA79" s="4" t="e">
        <f>Z79*(1+'Rhaniad y Ddeiliadaeth (De-o)'!G$109)+(Z$44*(-(50-$U79)*('Rhaniad y Ddeiliadaeth (De-o)'!G$110/40)))</f>
        <v>#VALUE!</v>
      </c>
      <c r="AC79" s="260">
        <v>85</v>
      </c>
      <c r="AD79" s="4">
        <f>IF('Rhaniad y Ddeiliadaeth (Cymru)'!$D$8="Amcangyfrifon LlC",'Incwm (De-orllewin)'!E79,'Incwm (De-orllewin)'!W79)</f>
        <v>56976.198448493655</v>
      </c>
      <c r="AE79" s="4">
        <f>IF('Rhaniad y Ddeiliadaeth (Cymru)'!$D$8="Amcangyfrifon LlC",'Incwm (De-orllewin)'!F79,'Incwm (De-orllewin)'!X79)</f>
        <v>59161.324069481489</v>
      </c>
      <c r="AF79" s="4">
        <f>IF('Rhaniad y Ddeiliadaeth (Cymru)'!$D$8="Amcangyfrifon LlC",'Incwm (De-orllewin)'!G79,'Incwm (De-orllewin)'!Y79)</f>
        <v>61423.644454106383</v>
      </c>
      <c r="AG79" s="4">
        <f>IF('Rhaniad y Ddeiliadaeth (Cymru)'!$D$8="Amcangyfrifon LlC",'Incwm (De-orllewin)'!H79,'Incwm (De-orllewin)'!Z79)</f>
        <v>63802.640171404084</v>
      </c>
      <c r="AH79" s="4">
        <f>IF('Rhaniad y Ddeiliadaeth (Cymru)'!$D$8="Amcangyfrifon LlC",'Incwm (De-orllewin)'!I79,'Incwm (De-orllewin)'!AA79)</f>
        <v>66260.830125050124</v>
      </c>
    </row>
    <row r="80" spans="2:34" x14ac:dyDescent="0.35">
      <c r="B80" s="251">
        <v>86</v>
      </c>
      <c r="C80" s="258">
        <v>55329.25</v>
      </c>
      <c r="D80" s="258">
        <v>57150.91217578786</v>
      </c>
      <c r="E80" s="278">
        <f>D80*(1+'Rhaniad y Ddeiliadaeth (De-o)'!C$109)+(D$44*(-(50-$B80)*('Rhaniad y Ddeiliadaeth (De-o)'!C$110/40)))</f>
        <v>58667.448843500941</v>
      </c>
      <c r="F80" s="278">
        <f>E80*(1+'Rhaniad y Ddeiliadaeth (De-o)'!D$109)+(E$44*(-(50-$B80)*('Rhaniad y Ddeiliadaeth (De-o)'!D$110/40)))</f>
        <v>60917.17819018483</v>
      </c>
      <c r="G80" s="278">
        <f>F80*(1+'Rhaniad y Ddeiliadaeth (De-o)'!E$109)+(F$44*(-(50-$B80)*('Rhaniad y Ddeiliadaeth (De-o)'!E$110/40)))</f>
        <v>63246.376023031065</v>
      </c>
      <c r="H80" s="278">
        <f>G80*(1+'Rhaniad y Ddeiliadaeth (De-o)'!F$109)+(G$44*(-(50-$B80)*('Rhaniad y Ddeiliadaeth (De-o)'!F$110/40)))</f>
        <v>65695.693677474876</v>
      </c>
      <c r="I80" s="279">
        <f>H80*(1+'Rhaniad y Ddeiliadaeth (De-o)'!G$109)+H$44*(-(50-$B80)*('Rhaniad y Ddeiliadaeth (De-o)'!G$110/40))</f>
        <v>68226.536669318026</v>
      </c>
      <c r="M80" s="36" t="str">
        <f t="shared" si="5"/>
        <v/>
      </c>
      <c r="N80" s="190"/>
      <c r="O80" s="13">
        <f t="shared" si="8"/>
        <v>1</v>
      </c>
      <c r="U80" s="1">
        <f t="shared" si="6"/>
        <v>86</v>
      </c>
      <c r="V80" s="4" t="str">
        <f t="shared" si="7"/>
        <v/>
      </c>
      <c r="W80" s="4" t="e">
        <f>IF($W$3=$N$3,N80,V80*(1+'Rhaniad y Ddeiliadaeth (De-o)'!C$109)+(V$44*(-(50-$U80)*('Rhaniad y Ddeiliadaeth (De-o)'!C$110/40))))</f>
        <v>#VALUE!</v>
      </c>
      <c r="X80" s="4" t="e">
        <f>W80*(1+'Rhaniad y Ddeiliadaeth (De-o)'!D$109)+(W$44*(-(50-$U80)*('Rhaniad y Ddeiliadaeth (De-o)'!D$110/40)))</f>
        <v>#VALUE!</v>
      </c>
      <c r="Y80" s="4" t="e">
        <f>X80*(1+'Rhaniad y Ddeiliadaeth (De-o)'!E$109)+(X$44*(-(50-$U80)*('Rhaniad y Ddeiliadaeth (De-o)'!E$110/40)))</f>
        <v>#VALUE!</v>
      </c>
      <c r="Z80" s="4" t="e">
        <f>Y80*(1+'Rhaniad y Ddeiliadaeth (De-o)'!F$109)+(Y$44*(-(50-$U80)*('Rhaniad y Ddeiliadaeth (De-o)'!F$110/40)))</f>
        <v>#VALUE!</v>
      </c>
      <c r="AA80" s="4" t="e">
        <f>Z80*(1+'Rhaniad y Ddeiliadaeth (De-o)'!G$109)+(Z$44*(-(50-$U80)*('Rhaniad y Ddeiliadaeth (De-o)'!G$110/40)))</f>
        <v>#VALUE!</v>
      </c>
      <c r="AC80" s="260">
        <v>86</v>
      </c>
      <c r="AD80" s="4">
        <f>IF('Rhaniad y Ddeiliadaeth (Cymru)'!$D$8="Amcangyfrifon LlC",'Incwm (De-orllewin)'!E80,'Incwm (De-orllewin)'!W80)</f>
        <v>58667.448843500941</v>
      </c>
      <c r="AE80" s="4">
        <f>IF('Rhaniad y Ddeiliadaeth (Cymru)'!$D$8="Amcangyfrifon LlC",'Incwm (De-orllewin)'!F80,'Incwm (De-orllewin)'!X80)</f>
        <v>60917.17819018483</v>
      </c>
      <c r="AF80" s="4">
        <f>IF('Rhaniad y Ddeiliadaeth (Cymru)'!$D$8="Amcangyfrifon LlC",'Incwm (De-orllewin)'!G80,'Incwm (De-orllewin)'!Y80)</f>
        <v>63246.376023031065</v>
      </c>
      <c r="AG80" s="4">
        <f>IF('Rhaniad y Ddeiliadaeth (Cymru)'!$D$8="Amcangyfrifon LlC",'Incwm (De-orllewin)'!H80,'Incwm (De-orllewin)'!Z80)</f>
        <v>65695.693677474876</v>
      </c>
      <c r="AH80" s="4">
        <f>IF('Rhaniad y Ddeiliadaeth (Cymru)'!$D$8="Amcangyfrifon LlC",'Incwm (De-orllewin)'!I80,'Incwm (De-orllewin)'!AA80)</f>
        <v>68226.536669318026</v>
      </c>
    </row>
    <row r="81" spans="2:34" x14ac:dyDescent="0.35">
      <c r="B81" s="251">
        <v>87</v>
      </c>
      <c r="C81" s="258">
        <v>56707.07</v>
      </c>
      <c r="D81" s="258">
        <v>58574.095569996964</v>
      </c>
      <c r="E81" s="278">
        <f>D81*(1+'Rhaniad y Ddeiliadaeth (De-o)'!C$109)+(D$44*(-(50-$B81)*('Rhaniad y Ddeiliadaeth (De-o)'!C$110/40)))</f>
        <v>60129.069406447612</v>
      </c>
      <c r="F81" s="278">
        <f>E81*(1+'Rhaniad y Ddeiliadaeth (De-o)'!D$109)+(E$44*(-(50-$B81)*('Rhaniad y Ddeiliadaeth (De-o)'!D$110/40)))</f>
        <v>62435.532151902036</v>
      </c>
      <c r="G81" s="278">
        <f>F81*(1+'Rhaniad y Ddeiliadaeth (De-o)'!E$109)+(F$44*(-(50-$B81)*('Rhaniad y Ddeiliadaeth (De-o)'!E$110/40)))</f>
        <v>64823.490083948149</v>
      </c>
      <c r="H81" s="278">
        <f>G81*(1+'Rhaniad y Ddeiliadaeth (De-o)'!F$109)+(G$44*(-(50-$B81)*('Rhaniad y Ddeiliadaeth (De-o)'!F$110/40)))</f>
        <v>67334.610366588575</v>
      </c>
      <c r="I81" s="279">
        <f>H81*(1+'Rhaniad y Ddeiliadaeth (De-o)'!G$109)+H$44*(-(50-$B81)*('Rhaniad y Ddeiliadaeth (De-o)'!G$110/40))</f>
        <v>69929.339156857124</v>
      </c>
      <c r="M81" s="36" t="str">
        <f t="shared" si="5"/>
        <v/>
      </c>
      <c r="N81" s="190"/>
      <c r="O81" s="13">
        <f t="shared" si="8"/>
        <v>1</v>
      </c>
      <c r="U81" s="1">
        <f t="shared" si="6"/>
        <v>87</v>
      </c>
      <c r="V81" s="4" t="str">
        <f t="shared" si="7"/>
        <v/>
      </c>
      <c r="W81" s="4" t="e">
        <f>IF($W$3=$N$3,N81,V81*(1+'Rhaniad y Ddeiliadaeth (De-o)'!C$109)+(V$44*(-(50-$U81)*('Rhaniad y Ddeiliadaeth (De-o)'!C$110/40))))</f>
        <v>#VALUE!</v>
      </c>
      <c r="X81" s="4" t="e">
        <f>W81*(1+'Rhaniad y Ddeiliadaeth (De-o)'!D$109)+(W$44*(-(50-$U81)*('Rhaniad y Ddeiliadaeth (De-o)'!D$110/40)))</f>
        <v>#VALUE!</v>
      </c>
      <c r="Y81" s="4" t="e">
        <f>X81*(1+'Rhaniad y Ddeiliadaeth (De-o)'!E$109)+(X$44*(-(50-$U81)*('Rhaniad y Ddeiliadaeth (De-o)'!E$110/40)))</f>
        <v>#VALUE!</v>
      </c>
      <c r="Z81" s="4" t="e">
        <f>Y81*(1+'Rhaniad y Ddeiliadaeth (De-o)'!F$109)+(Y$44*(-(50-$U81)*('Rhaniad y Ddeiliadaeth (De-o)'!F$110/40)))</f>
        <v>#VALUE!</v>
      </c>
      <c r="AA81" s="4" t="e">
        <f>Z81*(1+'Rhaniad y Ddeiliadaeth (De-o)'!G$109)+(Z$44*(-(50-$U81)*('Rhaniad y Ddeiliadaeth (De-o)'!G$110/40)))</f>
        <v>#VALUE!</v>
      </c>
      <c r="AC81" s="260">
        <v>87</v>
      </c>
      <c r="AD81" s="4">
        <f>IF('Rhaniad y Ddeiliadaeth (Cymru)'!$D$8="Amcangyfrifon LlC",'Incwm (De-orllewin)'!E81,'Incwm (De-orllewin)'!W81)</f>
        <v>60129.069406447612</v>
      </c>
      <c r="AE81" s="4">
        <f>IF('Rhaniad y Ddeiliadaeth (Cymru)'!$D$8="Amcangyfrifon LlC",'Incwm (De-orllewin)'!F81,'Incwm (De-orllewin)'!X81)</f>
        <v>62435.532151902036</v>
      </c>
      <c r="AF81" s="4">
        <f>IF('Rhaniad y Ddeiliadaeth (Cymru)'!$D$8="Amcangyfrifon LlC",'Incwm (De-orllewin)'!G81,'Incwm (De-orllewin)'!Y81)</f>
        <v>64823.490083948149</v>
      </c>
      <c r="AG81" s="4">
        <f>IF('Rhaniad y Ddeiliadaeth (Cymru)'!$D$8="Amcangyfrifon LlC",'Incwm (De-orllewin)'!H81,'Incwm (De-orllewin)'!Z81)</f>
        <v>67334.610366588575</v>
      </c>
      <c r="AH81" s="4">
        <f>IF('Rhaniad y Ddeiliadaeth (Cymru)'!$D$8="Amcangyfrifon LlC",'Incwm (De-orllewin)'!I81,'Incwm (De-orllewin)'!AA81)</f>
        <v>69929.339156857124</v>
      </c>
    </row>
    <row r="82" spans="2:34" x14ac:dyDescent="0.35">
      <c r="B82" s="251">
        <v>88</v>
      </c>
      <c r="C82" s="258">
        <v>58636.7</v>
      </c>
      <c r="D82" s="258">
        <v>60567.256776081726</v>
      </c>
      <c r="E82" s="278">
        <f>D82*(1+'Rhaniad y Ddeiliadaeth (De-o)'!C$109)+(D$44*(-(50-$B82)*('Rhaniad y Ddeiliadaeth (De-o)'!C$110/40)))</f>
        <v>62173.461609137528</v>
      </c>
      <c r="F82" s="278">
        <f>E82*(1+'Rhaniad y Ddeiliadaeth (De-o)'!D$109)+(E$44*(-(50-$B82)*('Rhaniad y Ddeiliadaeth (De-o)'!D$110/40)))</f>
        <v>64556.631653471813</v>
      </c>
      <c r="G82" s="278">
        <f>F82*(1+'Rhaniad y Ddeiliadaeth (De-o)'!E$109)+(F$44*(-(50-$B82)*('Rhaniad y Ddeiliadaeth (De-o)'!E$110/40)))</f>
        <v>67023.950495845682</v>
      </c>
      <c r="H82" s="278">
        <f>G82*(1+'Rhaniad y Ddeiliadaeth (De-o)'!F$109)+(G$44*(-(50-$B82)*('Rhaniad y Ddeiliadaeth (De-o)'!F$110/40)))</f>
        <v>69618.494341564845</v>
      </c>
      <c r="I82" s="279">
        <f>H82*(1+'Rhaniad y Ddeiliadaeth (De-o)'!G$109)+H$44*(-(50-$B82)*('Rhaniad y Ddeiliadaeth (De-o)'!G$110/40))</f>
        <v>72299.35908239249</v>
      </c>
      <c r="M82" s="36" t="str">
        <f t="shared" si="5"/>
        <v/>
      </c>
      <c r="N82" s="190"/>
      <c r="O82" s="13">
        <f t="shared" si="8"/>
        <v>1</v>
      </c>
      <c r="U82" s="1">
        <f t="shared" si="6"/>
        <v>88</v>
      </c>
      <c r="V82" s="4" t="str">
        <f t="shared" si="7"/>
        <v/>
      </c>
      <c r="W82" s="4" t="e">
        <f>IF($W$3=$N$3,N82,V82*(1+'Rhaniad y Ddeiliadaeth (De-o)'!C$109)+(V$44*(-(50-$U82)*('Rhaniad y Ddeiliadaeth (De-o)'!C$110/40))))</f>
        <v>#VALUE!</v>
      </c>
      <c r="X82" s="4" t="e">
        <f>W82*(1+'Rhaniad y Ddeiliadaeth (De-o)'!D$109)+(W$44*(-(50-$U82)*('Rhaniad y Ddeiliadaeth (De-o)'!D$110/40)))</f>
        <v>#VALUE!</v>
      </c>
      <c r="Y82" s="4" t="e">
        <f>X82*(1+'Rhaniad y Ddeiliadaeth (De-o)'!E$109)+(X$44*(-(50-$U82)*('Rhaniad y Ddeiliadaeth (De-o)'!E$110/40)))</f>
        <v>#VALUE!</v>
      </c>
      <c r="Z82" s="4" t="e">
        <f>Y82*(1+'Rhaniad y Ddeiliadaeth (De-o)'!F$109)+(Y$44*(-(50-$U82)*('Rhaniad y Ddeiliadaeth (De-o)'!F$110/40)))</f>
        <v>#VALUE!</v>
      </c>
      <c r="AA82" s="4" t="e">
        <f>Z82*(1+'Rhaniad y Ddeiliadaeth (De-o)'!G$109)+(Z$44*(-(50-$U82)*('Rhaniad y Ddeiliadaeth (De-o)'!G$110/40)))</f>
        <v>#VALUE!</v>
      </c>
      <c r="AC82" s="260">
        <v>88</v>
      </c>
      <c r="AD82" s="4">
        <f>IF('Rhaniad y Ddeiliadaeth (Cymru)'!$D$8="Amcangyfrifon LlC",'Incwm (De-orllewin)'!E82,'Incwm (De-orllewin)'!W82)</f>
        <v>62173.461609137528</v>
      </c>
      <c r="AE82" s="4">
        <f>IF('Rhaniad y Ddeiliadaeth (Cymru)'!$D$8="Amcangyfrifon LlC",'Incwm (De-orllewin)'!F82,'Incwm (De-orllewin)'!X82)</f>
        <v>64556.631653471813</v>
      </c>
      <c r="AF82" s="4">
        <f>IF('Rhaniad y Ddeiliadaeth (Cymru)'!$D$8="Amcangyfrifon LlC",'Incwm (De-orllewin)'!G82,'Incwm (De-orllewin)'!Y82)</f>
        <v>67023.950495845682</v>
      </c>
      <c r="AG82" s="4">
        <f>IF('Rhaniad y Ddeiliadaeth (Cymru)'!$D$8="Amcangyfrifon LlC",'Incwm (De-orllewin)'!H82,'Incwm (De-orllewin)'!Z82)</f>
        <v>69618.494341564845</v>
      </c>
      <c r="AH82" s="4">
        <f>IF('Rhaniad y Ddeiliadaeth (Cymru)'!$D$8="Amcangyfrifon LlC",'Incwm (De-orllewin)'!I82,'Incwm (De-orllewin)'!AA82)</f>
        <v>72299.35908239249</v>
      </c>
    </row>
    <row r="83" spans="2:34" x14ac:dyDescent="0.35">
      <c r="B83" s="251">
        <v>89</v>
      </c>
      <c r="C83" s="258">
        <v>61191</v>
      </c>
      <c r="D83" s="258">
        <v>63205.654639248409</v>
      </c>
      <c r="E83" s="278">
        <f>D83*(1+'Rhaniad y Ddeiliadaeth (De-o)'!C$109)+(D$44*(-(50-$B83)*('Rhaniad y Ddeiliadaeth (De-o)'!C$110/40)))</f>
        <v>64877.573570799577</v>
      </c>
      <c r="F83" s="278">
        <f>E83*(1+'Rhaniad y Ddeiliadaeth (De-o)'!D$109)+(E$44*(-(50-$B83)*('Rhaniad y Ddeiliadaeth (De-o)'!D$110/40)))</f>
        <v>67360.062131971514</v>
      </c>
      <c r="G83" s="278">
        <f>F83*(1+'Rhaniad y Ddeiliadaeth (De-o)'!E$109)+(F$44*(-(50-$B83)*('Rhaniad y Ddeiliadaeth (De-o)'!E$110/40)))</f>
        <v>69930.062789852876</v>
      </c>
      <c r="H83" s="278">
        <f>G83*(1+'Rhaniad y Ddeiliadaeth (De-o)'!F$109)+(G$44*(-(50-$B83)*('Rhaniad y Ddeiliadaeth (De-o)'!F$110/40)))</f>
        <v>72632.505922890676</v>
      </c>
      <c r="I83" s="279">
        <f>H83*(1+'Rhaniad y Ddeiliadaeth (De-o)'!G$109)+H$44*(-(50-$B83)*('Rhaniad y Ddeiliadaeth (De-o)'!G$110/40))</f>
        <v>75424.694636483211</v>
      </c>
      <c r="M83" s="36" t="str">
        <f t="shared" si="5"/>
        <v/>
      </c>
      <c r="N83" s="190"/>
      <c r="O83" s="13">
        <f t="shared" si="8"/>
        <v>1</v>
      </c>
      <c r="U83" s="1">
        <f t="shared" si="6"/>
        <v>89</v>
      </c>
      <c r="V83" s="4" t="str">
        <f t="shared" si="7"/>
        <v/>
      </c>
      <c r="W83" s="4" t="e">
        <f>IF($W$3=$N$3,N83,V83*(1+'Rhaniad y Ddeiliadaeth (De-o)'!C$109)+(V$44*(-(50-$U83)*('Rhaniad y Ddeiliadaeth (De-o)'!C$110/40))))</f>
        <v>#VALUE!</v>
      </c>
      <c r="X83" s="4" t="e">
        <f>W83*(1+'Rhaniad y Ddeiliadaeth (De-o)'!D$109)+(W$44*(-(50-$U83)*('Rhaniad y Ddeiliadaeth (De-o)'!D$110/40)))</f>
        <v>#VALUE!</v>
      </c>
      <c r="Y83" s="4" t="e">
        <f>X83*(1+'Rhaniad y Ddeiliadaeth (De-o)'!E$109)+(X$44*(-(50-$U83)*('Rhaniad y Ddeiliadaeth (De-o)'!E$110/40)))</f>
        <v>#VALUE!</v>
      </c>
      <c r="Z83" s="4" t="e">
        <f>Y83*(1+'Rhaniad y Ddeiliadaeth (De-o)'!F$109)+(Y$44*(-(50-$U83)*('Rhaniad y Ddeiliadaeth (De-o)'!F$110/40)))</f>
        <v>#VALUE!</v>
      </c>
      <c r="AA83" s="4" t="e">
        <f>Z83*(1+'Rhaniad y Ddeiliadaeth (De-o)'!G$109)+(Z$44*(-(50-$U83)*('Rhaniad y Ddeiliadaeth (De-o)'!G$110/40)))</f>
        <v>#VALUE!</v>
      </c>
      <c r="AC83" s="260">
        <v>89</v>
      </c>
      <c r="AD83" s="4">
        <f>IF('Rhaniad y Ddeiliadaeth (Cymru)'!$D$8="Amcangyfrifon LlC",'Incwm (De-orllewin)'!E83,'Incwm (De-orllewin)'!W83)</f>
        <v>64877.573570799577</v>
      </c>
      <c r="AE83" s="4">
        <f>IF('Rhaniad y Ddeiliadaeth (Cymru)'!$D$8="Amcangyfrifon LlC",'Incwm (De-orllewin)'!F83,'Incwm (De-orllewin)'!X83)</f>
        <v>67360.062131971514</v>
      </c>
      <c r="AF83" s="4">
        <f>IF('Rhaniad y Ddeiliadaeth (Cymru)'!$D$8="Amcangyfrifon LlC",'Incwm (De-orllewin)'!G83,'Incwm (De-orllewin)'!Y83)</f>
        <v>69930.062789852876</v>
      </c>
      <c r="AG83" s="4">
        <f>IF('Rhaniad y Ddeiliadaeth (Cymru)'!$D$8="Amcangyfrifon LlC",'Incwm (De-orllewin)'!H83,'Incwm (De-orllewin)'!Z83)</f>
        <v>72632.505922890676</v>
      </c>
      <c r="AH83" s="4">
        <f>IF('Rhaniad y Ddeiliadaeth (Cymru)'!$D$8="Amcangyfrifon LlC",'Incwm (De-orllewin)'!I83,'Incwm (De-orllewin)'!AA83)</f>
        <v>75424.694636483211</v>
      </c>
    </row>
    <row r="84" spans="2:34" x14ac:dyDescent="0.35">
      <c r="B84" s="253">
        <v>90</v>
      </c>
      <c r="C84" s="259">
        <v>62918</v>
      </c>
      <c r="D84" s="259">
        <v>64822.607759740589</v>
      </c>
      <c r="E84" s="286">
        <f>D84*(1+'Rhaniad y Ddeiliadaeth (De-o)'!C$109)+(D$44*(-(50-$B84)*('Rhaniad y Ddeiliadaeth (De-o)'!C$110/40)))</f>
        <v>66537.313251308005</v>
      </c>
      <c r="F84" s="286">
        <f>E84*(1+'Rhaniad y Ddeiliadaeth (De-o)'!D$109)+(E$44*(-(50-$B84)*('Rhaniad y Ddeiliadaeth (De-o)'!D$110/40)))</f>
        <v>69083.325540762176</v>
      </c>
      <c r="G84" s="286">
        <f>F84*(1+'Rhaniad y Ddeiliadaeth (De-o)'!E$109)+(F$44*(-(50-$B84)*('Rhaniad y Ddeiliadaeth (De-o)'!E$110/40)))</f>
        <v>71719.089752101267</v>
      </c>
      <c r="H84" s="286">
        <f>G84*(1+'Rhaniad y Ddeiliadaeth (De-o)'!F$109)+(G$44*(-(50-$B84)*('Rhaniad y Ddeiliadaeth (De-o)'!F$110/40)))</f>
        <v>74490.685768989162</v>
      </c>
      <c r="I84" s="287">
        <f>H84*(1+'Rhaniad y Ddeiliadaeth (De-o)'!G$109)+H$44*(-(50-$B84)*('Rhaniad y Ddeiliadaeth (De-o)'!G$110/40))</f>
        <v>77354.324445433973</v>
      </c>
      <c r="M84" s="37" t="str">
        <f t="shared" si="5"/>
        <v/>
      </c>
      <c r="N84" s="192"/>
      <c r="O84" s="13">
        <f t="shared" si="8"/>
        <v>1</v>
      </c>
      <c r="U84" s="1">
        <f t="shared" si="6"/>
        <v>90</v>
      </c>
      <c r="V84" s="4" t="str">
        <f t="shared" si="7"/>
        <v/>
      </c>
      <c r="W84" s="4" t="e">
        <f>IF($W$3=$N$3,N84,V84*(1+'Rhaniad y Ddeiliadaeth (De-o)'!C$109)+(V$44*(-(50-$U84)*('Rhaniad y Ddeiliadaeth (De-o)'!C$110/40))))</f>
        <v>#VALUE!</v>
      </c>
      <c r="X84" s="4" t="e">
        <f>W84*(1+'Rhaniad y Ddeiliadaeth (De-o)'!D$109)+(W$44*(-(50-$U84)*('Rhaniad y Ddeiliadaeth (De-o)'!D$110/40)))</f>
        <v>#VALUE!</v>
      </c>
      <c r="Y84" s="4" t="e">
        <f>X84*(1+'Rhaniad y Ddeiliadaeth (De-o)'!E$109)+(X$44*(-(50-$U84)*('Rhaniad y Ddeiliadaeth (De-o)'!E$110/40)))</f>
        <v>#VALUE!</v>
      </c>
      <c r="Z84" s="4" t="e">
        <f>Y84*(1+'Rhaniad y Ddeiliadaeth (De-o)'!F$109)+(Y$44*(-(50-$U84)*('Rhaniad y Ddeiliadaeth (De-o)'!F$110/40)))</f>
        <v>#VALUE!</v>
      </c>
      <c r="AA84" s="4" t="e">
        <f>Z84*(1+'Rhaniad y Ddeiliadaeth (De-o)'!G$109)+(Z$44*(-(50-$U84)*('Rhaniad y Ddeiliadaeth (De-o)'!G$110/40)))</f>
        <v>#VALUE!</v>
      </c>
      <c r="AC84" s="260">
        <v>90</v>
      </c>
      <c r="AD84" s="4">
        <f>IF('Rhaniad y Ddeiliadaeth (Cymru)'!$D$8="Amcangyfrifon LlC",'Incwm (De-orllewin)'!E84,'Incwm (De-orllewin)'!W84)</f>
        <v>66537.313251308005</v>
      </c>
      <c r="AE84" s="4">
        <f>IF('Rhaniad y Ddeiliadaeth (Cymru)'!$D$8="Amcangyfrifon LlC",'Incwm (De-orllewin)'!F84,'Incwm (De-orllewin)'!X84)</f>
        <v>69083.325540762176</v>
      </c>
      <c r="AF84" s="4">
        <f>IF('Rhaniad y Ddeiliadaeth (Cymru)'!$D$8="Amcangyfrifon LlC",'Incwm (De-orllewin)'!G84,'Incwm (De-orllewin)'!Y84)</f>
        <v>71719.089752101267</v>
      </c>
      <c r="AG84" s="4">
        <f>IF('Rhaniad y Ddeiliadaeth (Cymru)'!$D$8="Amcangyfrifon LlC",'Incwm (De-orllewin)'!H84,'Incwm (De-orllewin)'!Z84)</f>
        <v>74490.685768989162</v>
      </c>
      <c r="AH84" s="4">
        <f>IF('Rhaniad y Ddeiliadaeth (Cymru)'!$D$8="Amcangyfrifon LlC",'Incwm (De-orllewin)'!I84,'Incwm (De-orllewin)'!AA84)</f>
        <v>77354.324445433973</v>
      </c>
    </row>
    <row r="85" spans="2:34" x14ac:dyDescent="0.35">
      <c r="O85" s="13">
        <f>IF(SUM(O4:O84)&gt;0,1,0)</f>
        <v>1</v>
      </c>
    </row>
  </sheetData>
  <mergeCells count="3">
    <mergeCell ref="B2:I2"/>
    <mergeCell ref="K2:N2"/>
    <mergeCell ref="K9:K10"/>
  </mergeCells>
  <dataValidations count="2">
    <dataValidation type="decimal" operator="greaterThan" allowBlank="1" showInputMessage="1" showErrorMessage="1" sqref="N4:N84">
      <formula1>0</formula1>
    </dataValidation>
    <dataValidation type="list" allowBlank="1" showInputMessage="1" showErrorMessage="1" sqref="L4">
      <formula1>"2017,2018"</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1:AH85"/>
  <sheetViews>
    <sheetView showGridLines="0" zoomScale="79" zoomScaleNormal="79" workbookViewId="0"/>
  </sheetViews>
  <sheetFormatPr defaultColWidth="9.1796875" defaultRowHeight="14.5" x14ac:dyDescent="0.35"/>
  <cols>
    <col min="1" max="1" width="2.1796875" style="1" customWidth="1"/>
    <col min="2" max="2" width="10.1796875" style="1" bestFit="1" customWidth="1"/>
    <col min="3" max="4" width="9.1796875" style="1"/>
    <col min="5" max="9" width="10.1796875" style="1" bestFit="1" customWidth="1"/>
    <col min="10" max="10" width="9.1796875" style="1"/>
    <col min="11" max="11" width="53.81640625" style="1" customWidth="1"/>
    <col min="12" max="12" width="9.1796875" style="1"/>
    <col min="13" max="13" width="10.1796875" style="1" customWidth="1"/>
    <col min="14" max="14" width="9.1796875" style="1"/>
    <col min="15" max="15" width="9.1796875" style="1" hidden="1" customWidth="1"/>
    <col min="16" max="19" width="9.1796875" style="1"/>
    <col min="20" max="20" width="0" style="1" hidden="1" customWidth="1"/>
    <col min="21" max="21" width="9.1796875" style="1" hidden="1" customWidth="1"/>
    <col min="22" max="27" width="10.1796875" style="1" hidden="1" customWidth="1"/>
    <col min="28" max="28" width="9.1796875" style="1" hidden="1" customWidth="1"/>
    <col min="29" max="29" width="9.1796875" style="1" customWidth="1"/>
    <col min="30" max="30" width="10.1796875" style="1" customWidth="1"/>
    <col min="31" max="34" width="9.1796875" style="1" customWidth="1"/>
    <col min="35" max="16384" width="9.1796875" style="1"/>
  </cols>
  <sheetData>
    <row r="1" spans="2:34" ht="9.75" customHeight="1" x14ac:dyDescent="0.35"/>
    <row r="2" spans="2:34" ht="26.25" customHeight="1" x14ac:dyDescent="0.35">
      <c r="B2" s="568" t="s">
        <v>135</v>
      </c>
      <c r="C2" s="569"/>
      <c r="D2" s="569"/>
      <c r="E2" s="569"/>
      <c r="F2" s="569"/>
      <c r="G2" s="569"/>
      <c r="H2" s="569"/>
      <c r="I2" s="570"/>
      <c r="K2" s="564" t="s">
        <v>138</v>
      </c>
      <c r="L2" s="565"/>
      <c r="M2" s="565"/>
      <c r="N2" s="566"/>
      <c r="O2" s="39"/>
      <c r="V2" s="1" t="s">
        <v>4</v>
      </c>
      <c r="AC2" s="260" t="s">
        <v>128</v>
      </c>
    </row>
    <row r="3" spans="2:34" x14ac:dyDescent="0.35">
      <c r="B3" s="257" t="s">
        <v>122</v>
      </c>
      <c r="C3" s="325" t="s">
        <v>22</v>
      </c>
      <c r="D3" s="325" t="s">
        <v>21</v>
      </c>
      <c r="E3" s="326" t="s">
        <v>0</v>
      </c>
      <c r="F3" s="326" t="s">
        <v>1</v>
      </c>
      <c r="G3" s="326" t="s">
        <v>2</v>
      </c>
      <c r="H3" s="326" t="s">
        <v>3</v>
      </c>
      <c r="I3" s="38" t="s">
        <v>20</v>
      </c>
      <c r="M3" s="23" t="s">
        <v>122</v>
      </c>
      <c r="N3" s="38">
        <f>L4</f>
        <v>0</v>
      </c>
      <c r="O3" s="40" t="s">
        <v>5</v>
      </c>
      <c r="V3" s="1">
        <v>2017</v>
      </c>
      <c r="W3" s="1">
        <v>2018</v>
      </c>
      <c r="X3" s="1">
        <v>2019</v>
      </c>
      <c r="Y3" s="1">
        <v>2020</v>
      </c>
      <c r="Z3" s="1">
        <v>2021</v>
      </c>
      <c r="AA3" s="1">
        <v>2022</v>
      </c>
      <c r="AD3" s="324" t="str">
        <f>E3</f>
        <v>2019/20</v>
      </c>
      <c r="AE3" s="324" t="str">
        <f t="shared" ref="AE3:AH3" si="0">F3</f>
        <v>2020/21</v>
      </c>
      <c r="AF3" s="324" t="str">
        <f t="shared" si="0"/>
        <v>2021/22</v>
      </c>
      <c r="AG3" s="324" t="str">
        <f t="shared" si="0"/>
        <v>2022/23</v>
      </c>
      <c r="AH3" s="324" t="str">
        <f t="shared" si="0"/>
        <v>2023/24</v>
      </c>
    </row>
    <row r="4" spans="2:34" x14ac:dyDescent="0.35">
      <c r="B4" s="251">
        <v>10</v>
      </c>
      <c r="C4" s="261">
        <v>11681</v>
      </c>
      <c r="D4" s="261">
        <v>11964.956535408677</v>
      </c>
      <c r="E4" s="278">
        <f>D4*(1+'Rhaniad y Ddeiliadaeth (De-ddn)'!C$109)+(D$44*(-(50-$B4)*('Rhaniad y Ddeiliadaeth (De-ddn)'!C$110/40)))</f>
        <v>11963.782079865874</v>
      </c>
      <c r="F4" s="278">
        <f>E4*(1+'Rhaniad y Ddeiliadaeth (De-ddn)'!D$109)+(E$44*(-(50-$B4)*('Rhaniad y Ddeiliadaeth (De-ddn)'!D$110/40)))</f>
        <v>12098.031663301032</v>
      </c>
      <c r="G4" s="278">
        <f>F4*(1+'Rhaniad y Ddeiliadaeth (De-ddn)'!E$109)+(F$44*(-(50-$B4)*('Rhaniad y Ddeiliadaeth (De-ddn)'!E$110/40)))</f>
        <v>12226.272257601197</v>
      </c>
      <c r="H4" s="278">
        <f>G4*(1+'Rhaniad y Ddeiliadaeth (De-ddn)'!F$109)+(G$44*(-(50-$B4)*('Rhaniad y Ddeiliadaeth (De-ddn)'!F$110/40)))</f>
        <v>12355.345017541797</v>
      </c>
      <c r="I4" s="279">
        <f>H4*(1+'Rhaniad y Ddeiliadaeth (De-ddn)'!G$109)+(H$44*(-(50-$B4)*('Rhaniad y Ddeiliadaeth (De-ddn)'!G$110/40)))</f>
        <v>12476.350190533574</v>
      </c>
      <c r="J4" s="4"/>
      <c r="K4" s="41" t="str">
        <f>IF('Rhaniad y Ddeiliadaeth (De-ddn)'!D8="Arall","Dewiswch data ar gyfer pa flwyddyn:","")</f>
        <v/>
      </c>
      <c r="L4" s="201"/>
      <c r="M4" s="36" t="str">
        <f t="shared" ref="M4:M67" si="1">IF(ISBLANK($L$4),"",B4)</f>
        <v/>
      </c>
      <c r="N4" s="190"/>
      <c r="O4" s="13">
        <f>IF(ISBLANK(N4),1,0)</f>
        <v>1</v>
      </c>
      <c r="P4" s="10" t="str">
        <f>IF(K4="","","&lt;&lt; Rhowch y gwerthoedd yma.")</f>
        <v/>
      </c>
      <c r="U4" s="1">
        <f t="shared" ref="U4:U67" si="2">B4</f>
        <v>10</v>
      </c>
      <c r="V4" s="4" t="str">
        <f t="shared" ref="V4:V67" si="3">IF($N$3=$V$3,N4,"")</f>
        <v/>
      </c>
      <c r="W4" s="35" t="e">
        <f>IF($L$4=$W$3,N4,V4*(1+'Rhaniad y Ddeiliadaeth (De-ddn)'!C$109)+(V$44*(-(50-$B4)*('Rhaniad y Ddeiliadaeth (De-ddn)'!C$110/40))))</f>
        <v>#VALUE!</v>
      </c>
      <c r="X4" s="35" t="e">
        <f>W4*(1+'Rhaniad y Ddeiliadaeth (De-ddn)'!D$109)+(W$44*(-(50-$B4)*('Rhaniad y Ddeiliadaeth (De-ddn)'!D$110/40)))</f>
        <v>#VALUE!</v>
      </c>
      <c r="Y4" s="35" t="e">
        <f>X4*(1+'Rhaniad y Ddeiliadaeth (De-ddn)'!E$109)+(X$44*(-(50-$B4)*('Rhaniad y Ddeiliadaeth (De-ddn)'!E$110/40)))</f>
        <v>#VALUE!</v>
      </c>
      <c r="Z4" s="35" t="e">
        <f>Y4*(1+'Rhaniad y Ddeiliadaeth (De-ddn)'!F$109)+(Y$44*(-(50-$B4)*('Rhaniad y Ddeiliadaeth (De-ddn)'!F$110/40)))</f>
        <v>#VALUE!</v>
      </c>
      <c r="AA4" s="35" t="e">
        <f>Z4*(1+'Rhaniad y Ddeiliadaeth (De-ddn)'!G$109)+(Z$44*(-(50-$B4)*('Rhaniad y Ddeiliadaeth (De-ddn)'!G$110/40)))</f>
        <v>#VALUE!</v>
      </c>
      <c r="AC4" s="260">
        <v>10</v>
      </c>
      <c r="AD4" s="4">
        <f>IF('Rhaniad y Ddeiliadaeth (Cymru)'!$D$8="Amcangyfrifon LlC",'Incwm (De-ddwyrain)'!E4,'Incwm (De-ddwyrain)'!W4)</f>
        <v>11963.782079865874</v>
      </c>
      <c r="AE4" s="4">
        <f>IF('Rhaniad y Ddeiliadaeth (Cymru)'!$D$8="Amcangyfrifon LlC",'Incwm (De-ddwyrain)'!F4,'Incwm (De-ddwyrain)'!X4)</f>
        <v>12098.031663301032</v>
      </c>
      <c r="AF4" s="4">
        <f>IF('Rhaniad y Ddeiliadaeth (Cymru)'!$D$8="Amcangyfrifon LlC",'Incwm (De-ddwyrain)'!G4,'Incwm (De-ddwyrain)'!Y4)</f>
        <v>12226.272257601197</v>
      </c>
      <c r="AG4" s="4">
        <f>IF('Rhaniad y Ddeiliadaeth (Cymru)'!$D$8="Amcangyfrifon LlC",'Incwm (De-ddwyrain)'!H4,'Incwm (De-ddwyrain)'!Z4)</f>
        <v>12355.345017541797</v>
      </c>
      <c r="AH4" s="4">
        <f>IF('Rhaniad y Ddeiliadaeth (Cymru)'!$D$8="Amcangyfrifon LlC",'Incwm (De-ddwyrain)'!I4,'Incwm (De-ddwyrain)'!AA4)</f>
        <v>12476.350190533574</v>
      </c>
    </row>
    <row r="5" spans="2:34" x14ac:dyDescent="0.35">
      <c r="B5" s="251">
        <v>11</v>
      </c>
      <c r="C5" s="261">
        <v>12315.5</v>
      </c>
      <c r="D5" s="261">
        <v>12614.880764645626</v>
      </c>
      <c r="E5" s="278">
        <f>D5*(1+'Rhaniad y Ddeiliadaeth (De-ddn)'!C$109)+(D$44*(-(50-$B5)*('Rhaniad y Ddeiliadaeth (De-ddn)'!C$110/40)))</f>
        <v>12635.038181434411</v>
      </c>
      <c r="F5" s="278">
        <f>E5*(1+'Rhaniad y Ddeiliadaeth (De-ddn)'!D$109)+(E$44*(-(50-$B5)*('Rhaniad y Ddeiliadaeth (De-ddn)'!D$110/40)))</f>
        <v>12799.189298489451</v>
      </c>
      <c r="G5" s="278">
        <f>F5*(1+'Rhaniad y Ddeiliadaeth (De-ddn)'!E$109)+(F$44*(-(50-$B5)*('Rhaniad y Ddeiliadaeth (De-ddn)'!E$110/40)))</f>
        <v>12958.525496574199</v>
      </c>
      <c r="H5" s="278">
        <f>G5*(1+'Rhaniad y Ddeiliadaeth (De-ddn)'!F$109)+(G$44*(-(50-$B5)*('Rhaniad y Ddeiliadaeth (De-ddn)'!F$110/40)))</f>
        <v>13120.37162500448</v>
      </c>
      <c r="I5" s="279">
        <f>H5*(1+'Rhaniad y Ddeiliadaeth (De-ddn)'!G$109)+(H$44*(-(50-$B5)*('Rhaniad y Ddeiliadaeth (De-ddn)'!G$110/40)))</f>
        <v>13275.399541615983</v>
      </c>
      <c r="K5" s="42" t="str">
        <f>IF(K4="","","Dim ond data ar gyfer un blwyddyn sydd angen (naill ai 2017 neu 2018)")</f>
        <v/>
      </c>
      <c r="M5" s="36" t="str">
        <f t="shared" si="1"/>
        <v/>
      </c>
      <c r="N5" s="190"/>
      <c r="O5" s="13">
        <f t="shared" ref="O5:O68" si="4">IF(ISBLANK(N5),1,0)</f>
        <v>1</v>
      </c>
      <c r="U5" s="1">
        <f t="shared" si="2"/>
        <v>11</v>
      </c>
      <c r="V5" s="4" t="str">
        <f t="shared" si="3"/>
        <v/>
      </c>
      <c r="W5" s="35" t="e">
        <f>IF($L$4=$W$3,N5,V5*(1+'Rhaniad y Ddeiliadaeth (De-ddn)'!C$109)+(V$44*(-(50-$B5)*('Rhaniad y Ddeiliadaeth (De-ddn)'!C$110/40))))</f>
        <v>#VALUE!</v>
      </c>
      <c r="X5" s="35" t="e">
        <f>W5*(1+'Rhaniad y Ddeiliadaeth (De-ddn)'!D$109)+(W$44*(-(50-$B5)*('Rhaniad y Ddeiliadaeth (De-ddn)'!D$110/40)))</f>
        <v>#VALUE!</v>
      </c>
      <c r="Y5" s="35" t="e">
        <f>X5*(1+'Rhaniad y Ddeiliadaeth (De-ddn)'!E$109)+(X$44*(-(50-$B5)*('Rhaniad y Ddeiliadaeth (De-ddn)'!E$110/40)))</f>
        <v>#VALUE!</v>
      </c>
      <c r="Z5" s="35" t="e">
        <f>Y5*(1+'Rhaniad y Ddeiliadaeth (De-ddn)'!F$109)+(Y$44*(-(50-$B5)*('Rhaniad y Ddeiliadaeth (De-ddn)'!F$110/40)))</f>
        <v>#VALUE!</v>
      </c>
      <c r="AA5" s="35" t="e">
        <f>Z5*(1+'Rhaniad y Ddeiliadaeth (De-ddn)'!G$109)+(Z$44*(-(50-$B5)*('Rhaniad y Ddeiliadaeth (De-ddn)'!G$110/40)))</f>
        <v>#VALUE!</v>
      </c>
      <c r="AC5" s="260">
        <v>11</v>
      </c>
      <c r="AD5" s="4">
        <f>IF('Rhaniad y Ddeiliadaeth (Cymru)'!$D$8="Amcangyfrifon LlC",'Incwm (De-ddwyrain)'!E5,'Incwm (De-ddwyrain)'!W5)</f>
        <v>12635.038181434411</v>
      </c>
      <c r="AE5" s="4">
        <f>IF('Rhaniad y Ddeiliadaeth (Cymru)'!$D$8="Amcangyfrifon LlC",'Incwm (De-ddwyrain)'!F5,'Incwm (De-ddwyrain)'!X5)</f>
        <v>12799.189298489451</v>
      </c>
      <c r="AF5" s="4">
        <f>IF('Rhaniad y Ddeiliadaeth (Cymru)'!$D$8="Amcangyfrifon LlC",'Incwm (De-ddwyrain)'!G5,'Incwm (De-ddwyrain)'!Y5)</f>
        <v>12958.525496574199</v>
      </c>
      <c r="AG5" s="4">
        <f>IF('Rhaniad y Ddeiliadaeth (Cymru)'!$D$8="Amcangyfrifon LlC",'Incwm (De-ddwyrain)'!H5,'Incwm (De-ddwyrain)'!Z5)</f>
        <v>13120.37162500448</v>
      </c>
      <c r="AH5" s="4">
        <f>IF('Rhaniad y Ddeiliadaeth (Cymru)'!$D$8="Amcangyfrifon LlC",'Incwm (De-ddwyrain)'!I5,'Incwm (De-ddwyrain)'!AA5)</f>
        <v>13275.399541615983</v>
      </c>
    </row>
    <row r="6" spans="2:34" x14ac:dyDescent="0.35">
      <c r="B6" s="251">
        <v>12</v>
      </c>
      <c r="C6" s="261">
        <v>12740</v>
      </c>
      <c r="D6" s="261">
        <v>13049.700048035831</v>
      </c>
      <c r="E6" s="278">
        <f>D6*(1+'Rhaniad y Ddeiliadaeth (De-ddn)'!C$109)+(D$44*(-(50-$B6)*('Rhaniad y Ddeiliadaeth (De-ddn)'!C$110/40)))</f>
        <v>13086.361051575097</v>
      </c>
      <c r="F6" s="278">
        <f>E6*(1+'Rhaniad y Ddeiliadaeth (De-ddn)'!D$109)+(E$44*(-(50-$B6)*('Rhaniad y Ddeiliadaeth (De-ddn)'!D$110/40)))</f>
        <v>13272.875716363822</v>
      </c>
      <c r="G6" s="278">
        <f>F6*(1+'Rhaniad y Ddeiliadaeth (De-ddn)'!E$109)+(F$44*(-(50-$B6)*('Rhaniad y Ddeiliadaeth (De-ddn)'!E$110/40)))</f>
        <v>13455.532941276419</v>
      </c>
      <c r="H6" s="278">
        <f>G6*(1+'Rhaniad y Ddeiliadaeth (De-ddn)'!F$109)+(G$44*(-(50-$B6)*('Rhaniad y Ddeiliadaeth (De-ddn)'!F$110/40)))</f>
        <v>13641.992874911504</v>
      </c>
      <c r="I6" s="279">
        <f>H6*(1+'Rhaniad y Ddeiliadaeth (De-ddn)'!G$109)+(H$44*(-(50-$B6)*('Rhaniad y Ddeiliadaeth (De-ddn)'!G$110/40)))</f>
        <v>13822.646510433904</v>
      </c>
      <c r="M6" s="36" t="str">
        <f t="shared" si="1"/>
        <v/>
      </c>
      <c r="N6" s="190"/>
      <c r="O6" s="13">
        <f t="shared" si="4"/>
        <v>1</v>
      </c>
      <c r="U6" s="1">
        <f t="shared" si="2"/>
        <v>12</v>
      </c>
      <c r="V6" s="4" t="str">
        <f t="shared" si="3"/>
        <v/>
      </c>
      <c r="W6" s="35" t="e">
        <f>IF($L$4=$W$3,N6,V6*(1+'Rhaniad y Ddeiliadaeth (De-ddn)'!C$109)+(V$44*(-(50-$B6)*('Rhaniad y Ddeiliadaeth (De-ddn)'!C$110/40))))</f>
        <v>#VALUE!</v>
      </c>
      <c r="X6" s="35" t="e">
        <f>W6*(1+'Rhaniad y Ddeiliadaeth (De-ddn)'!D$109)+(W$44*(-(50-$B6)*('Rhaniad y Ddeiliadaeth (De-ddn)'!D$110/40)))</f>
        <v>#VALUE!</v>
      </c>
      <c r="Y6" s="35" t="e">
        <f>X6*(1+'Rhaniad y Ddeiliadaeth (De-ddn)'!E$109)+(X$44*(-(50-$B6)*('Rhaniad y Ddeiliadaeth (De-ddn)'!E$110/40)))</f>
        <v>#VALUE!</v>
      </c>
      <c r="Z6" s="35" t="e">
        <f>Y6*(1+'Rhaniad y Ddeiliadaeth (De-ddn)'!F$109)+(Y$44*(-(50-$B6)*('Rhaniad y Ddeiliadaeth (De-ddn)'!F$110/40)))</f>
        <v>#VALUE!</v>
      </c>
      <c r="AA6" s="35" t="e">
        <f>Z6*(1+'Rhaniad y Ddeiliadaeth (De-ddn)'!G$109)+(Z$44*(-(50-$B6)*('Rhaniad y Ddeiliadaeth (De-ddn)'!G$110/40)))</f>
        <v>#VALUE!</v>
      </c>
      <c r="AC6" s="260">
        <v>12</v>
      </c>
      <c r="AD6" s="4">
        <f>IF('Rhaniad y Ddeiliadaeth (Cymru)'!$D$8="Amcangyfrifon LlC",'Incwm (De-ddwyrain)'!E6,'Incwm (De-ddwyrain)'!W6)</f>
        <v>13086.361051575097</v>
      </c>
      <c r="AE6" s="4">
        <f>IF('Rhaniad y Ddeiliadaeth (Cymru)'!$D$8="Amcangyfrifon LlC",'Incwm (De-ddwyrain)'!F6,'Incwm (De-ddwyrain)'!X6)</f>
        <v>13272.875716363822</v>
      </c>
      <c r="AF6" s="4">
        <f>IF('Rhaniad y Ddeiliadaeth (Cymru)'!$D$8="Amcangyfrifon LlC",'Incwm (De-ddwyrain)'!G6,'Incwm (De-ddwyrain)'!Y6)</f>
        <v>13455.532941276419</v>
      </c>
      <c r="AG6" s="4">
        <f>IF('Rhaniad y Ddeiliadaeth (Cymru)'!$D$8="Amcangyfrifon LlC",'Incwm (De-ddwyrain)'!H6,'Incwm (De-ddwyrain)'!Z6)</f>
        <v>13641.992874911504</v>
      </c>
      <c r="AH6" s="4">
        <f>IF('Rhaniad y Ddeiliadaeth (Cymru)'!$D$8="Amcangyfrifon LlC",'Incwm (De-ddwyrain)'!I6,'Incwm (De-ddwyrain)'!AA6)</f>
        <v>13822.646510433904</v>
      </c>
    </row>
    <row r="7" spans="2:34" x14ac:dyDescent="0.35">
      <c r="B7" s="251">
        <v>13</v>
      </c>
      <c r="C7" s="261">
        <v>12919.2</v>
      </c>
      <c r="D7" s="261">
        <v>13233.256268491721</v>
      </c>
      <c r="E7" s="278">
        <f>D7*(1+'Rhaniad y Ddeiliadaeth (De-ddn)'!C$109)+(D$44*(-(50-$B7)*('Rhaniad y Ddeiliadaeth (De-ddn)'!C$110/40)))</f>
        <v>13280.780961386014</v>
      </c>
      <c r="F7" s="278">
        <f>E7*(1+'Rhaniad y Ddeiliadaeth (De-ddn)'!D$109)+(E$44*(-(50-$B7)*('Rhaniad y Ddeiliadaeth (De-ddn)'!D$110/40)))</f>
        <v>13480.854088489927</v>
      </c>
      <c r="G7" s="278">
        <f>F7*(1+'Rhaniad y Ddeiliadaeth (De-ddn)'!E$109)+(F$44*(-(50-$B7)*('Rhaniad y Ddeiliadaeth (De-ddn)'!E$110/40)))</f>
        <v>13677.750893909006</v>
      </c>
      <c r="H7" s="278">
        <f>G7*(1+'Rhaniad y Ddeiliadaeth (De-ddn)'!F$109)+(G$44*(-(50-$B7)*('Rhaniad y Ddeiliadaeth (De-ddn)'!F$110/40)))</f>
        <v>13879.293485730892</v>
      </c>
      <c r="I7" s="279">
        <f>H7*(1+'Rhaniad y Ddeiliadaeth (De-ddn)'!G$109)+(H$44*(-(50-$B7)*('Rhaniad y Ddeiliadaeth (De-ddn)'!G$110/40)))</f>
        <v>14075.764315587632</v>
      </c>
      <c r="K7" s="10" t="str">
        <f>IF(K4="","",IF(O85=1,"Dewis defnyddiwr anghyflawn",IF(O85=0,"Dewis defnyddiwr yn gyflawn","")))</f>
        <v/>
      </c>
      <c r="M7" s="36" t="str">
        <f t="shared" si="1"/>
        <v/>
      </c>
      <c r="N7" s="190"/>
      <c r="O7" s="13">
        <f t="shared" si="4"/>
        <v>1</v>
      </c>
      <c r="U7" s="1">
        <f t="shared" si="2"/>
        <v>13</v>
      </c>
      <c r="V7" s="4" t="str">
        <f t="shared" si="3"/>
        <v/>
      </c>
      <c r="W7" s="35" t="e">
        <f>IF($L$4=$W$3,N7,V7*(1+'Rhaniad y Ddeiliadaeth (De-ddn)'!C$109)+(V$44*(-(50-$B7)*('Rhaniad y Ddeiliadaeth (De-ddn)'!C$110/40))))</f>
        <v>#VALUE!</v>
      </c>
      <c r="X7" s="35" t="e">
        <f>W7*(1+'Rhaniad y Ddeiliadaeth (De-ddn)'!D$109)+(W$44*(-(50-$B7)*('Rhaniad y Ddeiliadaeth (De-ddn)'!D$110/40)))</f>
        <v>#VALUE!</v>
      </c>
      <c r="Y7" s="35" t="e">
        <f>X7*(1+'Rhaniad y Ddeiliadaeth (De-ddn)'!E$109)+(X$44*(-(50-$B7)*('Rhaniad y Ddeiliadaeth (De-ddn)'!E$110/40)))</f>
        <v>#VALUE!</v>
      </c>
      <c r="Z7" s="35" t="e">
        <f>Y7*(1+'Rhaniad y Ddeiliadaeth (De-ddn)'!F$109)+(Y$44*(-(50-$B7)*('Rhaniad y Ddeiliadaeth (De-ddn)'!F$110/40)))</f>
        <v>#VALUE!</v>
      </c>
      <c r="AA7" s="35" t="e">
        <f>Z7*(1+'Rhaniad y Ddeiliadaeth (De-ddn)'!G$109)+(Z$44*(-(50-$B7)*('Rhaniad y Ddeiliadaeth (De-ddn)'!G$110/40)))</f>
        <v>#VALUE!</v>
      </c>
      <c r="AC7" s="260">
        <v>13</v>
      </c>
      <c r="AD7" s="4">
        <f>IF('Rhaniad y Ddeiliadaeth (Cymru)'!$D$8="Amcangyfrifon LlC",'Incwm (De-ddwyrain)'!E7,'Incwm (De-ddwyrain)'!W7)</f>
        <v>13280.780961386014</v>
      </c>
      <c r="AE7" s="4">
        <f>IF('Rhaniad y Ddeiliadaeth (Cymru)'!$D$8="Amcangyfrifon LlC",'Incwm (De-ddwyrain)'!F7,'Incwm (De-ddwyrain)'!X7)</f>
        <v>13480.854088489927</v>
      </c>
      <c r="AF7" s="4">
        <f>IF('Rhaniad y Ddeiliadaeth (Cymru)'!$D$8="Amcangyfrifon LlC",'Incwm (De-ddwyrain)'!G7,'Incwm (De-ddwyrain)'!Y7)</f>
        <v>13677.750893909006</v>
      </c>
      <c r="AG7" s="4">
        <f>IF('Rhaniad y Ddeiliadaeth (Cymru)'!$D$8="Amcangyfrifon LlC",'Incwm (De-ddwyrain)'!H7,'Incwm (De-ddwyrain)'!Z7)</f>
        <v>13879.293485730892</v>
      </c>
      <c r="AH7" s="4">
        <f>IF('Rhaniad y Ddeiliadaeth (Cymru)'!$D$8="Amcangyfrifon LlC",'Incwm (De-ddwyrain)'!I7,'Incwm (De-ddwyrain)'!AA7)</f>
        <v>14075.764315587632</v>
      </c>
    </row>
    <row r="8" spans="2:34" x14ac:dyDescent="0.35">
      <c r="B8" s="251">
        <v>14</v>
      </c>
      <c r="C8" s="261">
        <v>13019.2</v>
      </c>
      <c r="D8" s="261">
        <v>13335.687195085409</v>
      </c>
      <c r="E8" s="278">
        <f>D8*(1+'Rhaniad y Ddeiliadaeth (De-ddn)'!C$109)+(D$44*(-(50-$B8)*('Rhaniad y Ddeiliadaeth (De-ddn)'!C$110/40)))</f>
        <v>13392.254623915571</v>
      </c>
      <c r="F8" s="278">
        <f>E8*(1+'Rhaniad y Ddeiliadaeth (De-ddn)'!D$109)+(E$44*(-(50-$B8)*('Rhaniad y Ddeiliadaeth (De-ddn)'!D$110/40)))</f>
        <v>13603.043315800447</v>
      </c>
      <c r="G8" s="278">
        <f>F8*(1+'Rhaniad y Ddeiliadaeth (De-ddn)'!E$109)+(F$44*(-(50-$B8)*('Rhaniad y Ddeiliadaeth (De-ddn)'!E$110/40)))</f>
        <v>13811.247575559468</v>
      </c>
      <c r="H8" s="278">
        <f>G8*(1+'Rhaniad y Ddeiliadaeth (De-ddn)'!F$109)+(G$44*(-(50-$B8)*('Rhaniad y Ddeiliadaeth (De-ddn)'!F$110/40)))</f>
        <v>14024.79550455786</v>
      </c>
      <c r="I8" s="279">
        <f>H8*(1+'Rhaniad y Ddeiliadaeth (De-ddn)'!G$109)+(H$44*(-(50-$B8)*('Rhaniad y Ddeiliadaeth (De-ddn)'!G$110/40)))</f>
        <v>14233.916650858755</v>
      </c>
      <c r="M8" s="36" t="str">
        <f t="shared" si="1"/>
        <v/>
      </c>
      <c r="N8" s="190"/>
      <c r="O8" s="13">
        <f t="shared" si="4"/>
        <v>1</v>
      </c>
      <c r="U8" s="1">
        <f t="shared" si="2"/>
        <v>14</v>
      </c>
      <c r="V8" s="4" t="str">
        <f t="shared" si="3"/>
        <v/>
      </c>
      <c r="W8" s="35" t="e">
        <f>IF($L$4=$W$3,N8,V8*(1+'Rhaniad y Ddeiliadaeth (De-ddn)'!C$109)+(V$44*(-(50-$B8)*('Rhaniad y Ddeiliadaeth (De-ddn)'!C$110/40))))</f>
        <v>#VALUE!</v>
      </c>
      <c r="X8" s="35" t="e">
        <f>W8*(1+'Rhaniad y Ddeiliadaeth (De-ddn)'!D$109)+(W$44*(-(50-$B8)*('Rhaniad y Ddeiliadaeth (De-ddn)'!D$110/40)))</f>
        <v>#VALUE!</v>
      </c>
      <c r="Y8" s="35" t="e">
        <f>X8*(1+'Rhaniad y Ddeiliadaeth (De-ddn)'!E$109)+(X$44*(-(50-$B8)*('Rhaniad y Ddeiliadaeth (De-ddn)'!E$110/40)))</f>
        <v>#VALUE!</v>
      </c>
      <c r="Z8" s="35" t="e">
        <f>Y8*(1+'Rhaniad y Ddeiliadaeth (De-ddn)'!F$109)+(Y$44*(-(50-$B8)*('Rhaniad y Ddeiliadaeth (De-ddn)'!F$110/40)))</f>
        <v>#VALUE!</v>
      </c>
      <c r="AA8" s="35" t="e">
        <f>Z8*(1+'Rhaniad y Ddeiliadaeth (De-ddn)'!G$109)+(Z$44*(-(50-$B8)*('Rhaniad y Ddeiliadaeth (De-ddn)'!G$110/40)))</f>
        <v>#VALUE!</v>
      </c>
      <c r="AC8" s="260">
        <v>14</v>
      </c>
      <c r="AD8" s="4">
        <f>IF('Rhaniad y Ddeiliadaeth (Cymru)'!$D$8="Amcangyfrifon LlC",'Incwm (De-ddwyrain)'!E8,'Incwm (De-ddwyrain)'!W8)</f>
        <v>13392.254623915571</v>
      </c>
      <c r="AE8" s="4">
        <f>IF('Rhaniad y Ddeiliadaeth (Cymru)'!$D$8="Amcangyfrifon LlC",'Incwm (De-ddwyrain)'!F8,'Incwm (De-ddwyrain)'!X8)</f>
        <v>13603.043315800447</v>
      </c>
      <c r="AF8" s="4">
        <f>IF('Rhaniad y Ddeiliadaeth (Cymru)'!$D$8="Amcangyfrifon LlC",'Incwm (De-ddwyrain)'!G8,'Incwm (De-ddwyrain)'!Y8)</f>
        <v>13811.247575559468</v>
      </c>
      <c r="AG8" s="4">
        <f>IF('Rhaniad y Ddeiliadaeth (Cymru)'!$D$8="Amcangyfrifon LlC",'Incwm (De-ddwyrain)'!H8,'Incwm (De-ddwyrain)'!Z8)</f>
        <v>14024.79550455786</v>
      </c>
      <c r="AH8" s="4">
        <f>IF('Rhaniad y Ddeiliadaeth (Cymru)'!$D$8="Amcangyfrifon LlC",'Incwm (De-ddwyrain)'!I8,'Incwm (De-ddwyrain)'!AA8)</f>
        <v>14233.916650858755</v>
      </c>
    </row>
    <row r="9" spans="2:34" ht="14.5" customHeight="1" x14ac:dyDescent="0.35">
      <c r="B9" s="251">
        <v>15</v>
      </c>
      <c r="C9" s="261">
        <v>13258</v>
      </c>
      <c r="D9" s="261">
        <v>13580.292247791134</v>
      </c>
      <c r="E9" s="278">
        <f>D9*(1+'Rhaniad y Ddeiliadaeth (De-ddn)'!C$109)+(D$44*(-(50-$B9)*('Rhaniad y Ddeiliadaeth (De-ddn)'!C$110/40)))</f>
        <v>13649.093679407913</v>
      </c>
      <c r="F9" s="278">
        <f>E9*(1+'Rhaniad y Ddeiliadaeth (De-ddn)'!D$109)+(E$44*(-(50-$B9)*('Rhaniad y Ddeiliadaeth (De-ddn)'!D$110/40)))</f>
        <v>13875.580185792822</v>
      </c>
      <c r="G9" s="278">
        <f>F9*(1+'Rhaniad y Ddeiliadaeth (De-ddn)'!E$109)+(F$44*(-(50-$B9)*('Rhaniad y Ddeiliadaeth (De-ddn)'!E$110/40)))</f>
        <v>14100.230525042238</v>
      </c>
      <c r="H9" s="278">
        <f>G9*(1+'Rhaniad y Ddeiliadaeth (De-ddn)'!F$109)+(G$44*(-(50-$B9)*('Rhaniad y Ddeiliadaeth (De-ddn)'!F$110/40)))</f>
        <v>14331.176873997805</v>
      </c>
      <c r="I9" s="279">
        <f>H9*(1+'Rhaniad y Ddeiliadaeth (De-ddn)'!G$109)+(H$44*(-(50-$B9)*('Rhaniad y Ddeiliadaeth (De-ddn)'!G$110/40)))</f>
        <v>14558.498370217072</v>
      </c>
      <c r="K9" s="567" t="str">
        <f>IF(K4="","Os ydych am ddefnyddio eich dosraniad data incwm eich hunan, newidiwch y dewis yn y blwch","")</f>
        <v>Os ydych am ddefnyddio eich dosraniad data incwm eich hunan, newidiwch y dewis yn y blwch</v>
      </c>
      <c r="M9" s="36" t="str">
        <f t="shared" si="1"/>
        <v/>
      </c>
      <c r="N9" s="190"/>
      <c r="O9" s="13">
        <f t="shared" si="4"/>
        <v>1</v>
      </c>
      <c r="U9" s="1">
        <f t="shared" si="2"/>
        <v>15</v>
      </c>
      <c r="V9" s="4" t="str">
        <f t="shared" si="3"/>
        <v/>
      </c>
      <c r="W9" s="35" t="e">
        <f>IF($L$4=$W$3,N9,V9*(1+'Rhaniad y Ddeiliadaeth (De-ddn)'!C$109)+(V$44*(-(50-$B9)*('Rhaniad y Ddeiliadaeth (De-ddn)'!C$110/40))))</f>
        <v>#VALUE!</v>
      </c>
      <c r="X9" s="35" t="e">
        <f>W9*(1+'Rhaniad y Ddeiliadaeth (De-ddn)'!D$109)+(W$44*(-(50-$B9)*('Rhaniad y Ddeiliadaeth (De-ddn)'!D$110/40)))</f>
        <v>#VALUE!</v>
      </c>
      <c r="Y9" s="35" t="e">
        <f>X9*(1+'Rhaniad y Ddeiliadaeth (De-ddn)'!E$109)+(X$44*(-(50-$B9)*('Rhaniad y Ddeiliadaeth (De-ddn)'!E$110/40)))</f>
        <v>#VALUE!</v>
      </c>
      <c r="Z9" s="35" t="e">
        <f>Y9*(1+'Rhaniad y Ddeiliadaeth (De-ddn)'!F$109)+(Y$44*(-(50-$B9)*('Rhaniad y Ddeiliadaeth (De-ddn)'!F$110/40)))</f>
        <v>#VALUE!</v>
      </c>
      <c r="AA9" s="35" t="e">
        <f>Z9*(1+'Rhaniad y Ddeiliadaeth (De-ddn)'!G$109)+(Z$44*(-(50-$B9)*('Rhaniad y Ddeiliadaeth (De-ddn)'!G$110/40)))</f>
        <v>#VALUE!</v>
      </c>
      <c r="AC9" s="260">
        <v>15</v>
      </c>
      <c r="AD9" s="4">
        <f>IF('Rhaniad y Ddeiliadaeth (Cymru)'!$D$8="Amcangyfrifon LlC",'Incwm (De-ddwyrain)'!E9,'Incwm (De-ddwyrain)'!W9)</f>
        <v>13649.093679407913</v>
      </c>
      <c r="AE9" s="4">
        <f>IF('Rhaniad y Ddeiliadaeth (Cymru)'!$D$8="Amcangyfrifon LlC",'Incwm (De-ddwyrain)'!F9,'Incwm (De-ddwyrain)'!X9)</f>
        <v>13875.580185792822</v>
      </c>
      <c r="AF9" s="4">
        <f>IF('Rhaniad y Ddeiliadaeth (Cymru)'!$D$8="Amcangyfrifon LlC",'Incwm (De-ddwyrain)'!G9,'Incwm (De-ddwyrain)'!Y9)</f>
        <v>14100.230525042238</v>
      </c>
      <c r="AG9" s="4">
        <f>IF('Rhaniad y Ddeiliadaeth (Cymru)'!$D$8="Amcangyfrifon LlC",'Incwm (De-ddwyrain)'!H9,'Incwm (De-ddwyrain)'!Z9)</f>
        <v>14331.176873997805</v>
      </c>
      <c r="AH9" s="4">
        <f>IF('Rhaniad y Ddeiliadaeth (Cymru)'!$D$8="Amcangyfrifon LlC",'Incwm (De-ddwyrain)'!I9,'Incwm (De-ddwyrain)'!AA9)</f>
        <v>14558.498370217072</v>
      </c>
    </row>
    <row r="10" spans="2:34" x14ac:dyDescent="0.35">
      <c r="B10" s="251">
        <v>16</v>
      </c>
      <c r="C10" s="261">
        <v>13646.2</v>
      </c>
      <c r="D10" s="261">
        <v>13977.929104827832</v>
      </c>
      <c r="E10" s="278">
        <f>D10*(1+'Rhaniad y Ddeiliadaeth (De-ddn)'!C$109)+(D$44*(-(50-$B10)*('Rhaniad y Ddeiliadaeth (De-ddn)'!C$110/40)))</f>
        <v>14062.399519544642</v>
      </c>
      <c r="F10" s="278">
        <f>E10*(1+'Rhaniad y Ddeiliadaeth (De-ddn)'!D$109)+(E$44*(-(50-$B10)*('Rhaniad y Ddeiliadaeth (De-ddn)'!D$110/40)))</f>
        <v>14309.946578960049</v>
      </c>
      <c r="G10" s="278">
        <f>F10*(1+'Rhaniad y Ddeiliadaeth (De-ddn)'!E$109)+(F$44*(-(50-$B10)*('Rhaniad y Ddeiliadaeth (De-ddn)'!E$110/40)))</f>
        <v>14556.574053877648</v>
      </c>
      <c r="H10" s="278">
        <f>G10*(1+'Rhaniad y Ddeiliadaeth (De-ddn)'!F$109)+(G$44*(-(50-$B10)*('Rhaniad y Ddeiliadaeth (De-ddn)'!F$110/40)))</f>
        <v>14810.723769241635</v>
      </c>
      <c r="I10" s="279">
        <f>H10*(1+'Rhaniad y Ddeiliadaeth (De-ddn)'!G$109)+(H$44*(-(50-$B10)*('Rhaniad y Ddeiliadaeth (De-ddn)'!G$110/40)))</f>
        <v>15062.219498672128</v>
      </c>
      <c r="K10" s="567"/>
      <c r="M10" s="36" t="str">
        <f t="shared" si="1"/>
        <v/>
      </c>
      <c r="N10" s="190"/>
      <c r="O10" s="13">
        <f t="shared" si="4"/>
        <v>1</v>
      </c>
      <c r="U10" s="1">
        <f t="shared" si="2"/>
        <v>16</v>
      </c>
      <c r="V10" s="4" t="str">
        <f t="shared" si="3"/>
        <v/>
      </c>
      <c r="W10" s="35" t="e">
        <f>IF($L$4=$W$3,N10,V10*(1+'Rhaniad y Ddeiliadaeth (De-ddn)'!C$109)+(V$44*(-(50-$B10)*('Rhaniad y Ddeiliadaeth (De-ddn)'!C$110/40))))</f>
        <v>#VALUE!</v>
      </c>
      <c r="X10" s="35" t="e">
        <f>W10*(1+'Rhaniad y Ddeiliadaeth (De-ddn)'!D$109)+(W$44*(-(50-$B10)*('Rhaniad y Ddeiliadaeth (De-ddn)'!D$110/40)))</f>
        <v>#VALUE!</v>
      </c>
      <c r="Y10" s="35" t="e">
        <f>X10*(1+'Rhaniad y Ddeiliadaeth (De-ddn)'!E$109)+(X$44*(-(50-$B10)*('Rhaniad y Ddeiliadaeth (De-ddn)'!E$110/40)))</f>
        <v>#VALUE!</v>
      </c>
      <c r="Z10" s="35" t="e">
        <f>Y10*(1+'Rhaniad y Ddeiliadaeth (De-ddn)'!F$109)+(Y$44*(-(50-$B10)*('Rhaniad y Ddeiliadaeth (De-ddn)'!F$110/40)))</f>
        <v>#VALUE!</v>
      </c>
      <c r="AA10" s="35" t="e">
        <f>Z10*(1+'Rhaniad y Ddeiliadaeth (De-ddn)'!G$109)+(Z$44*(-(50-$B10)*('Rhaniad y Ddeiliadaeth (De-ddn)'!G$110/40)))</f>
        <v>#VALUE!</v>
      </c>
      <c r="AC10" s="260">
        <v>16</v>
      </c>
      <c r="AD10" s="4">
        <f>IF('Rhaniad y Ddeiliadaeth (Cymru)'!$D$8="Amcangyfrifon LlC",'Incwm (De-ddwyrain)'!E10,'Incwm (De-ddwyrain)'!W10)</f>
        <v>14062.399519544642</v>
      </c>
      <c r="AE10" s="4">
        <f>IF('Rhaniad y Ddeiliadaeth (Cymru)'!$D$8="Amcangyfrifon LlC",'Incwm (De-ddwyrain)'!F10,'Incwm (De-ddwyrain)'!X10)</f>
        <v>14309.946578960049</v>
      </c>
      <c r="AF10" s="4">
        <f>IF('Rhaniad y Ddeiliadaeth (Cymru)'!$D$8="Amcangyfrifon LlC",'Incwm (De-ddwyrain)'!G10,'Incwm (De-ddwyrain)'!Y10)</f>
        <v>14556.574053877648</v>
      </c>
      <c r="AG10" s="4">
        <f>IF('Rhaniad y Ddeiliadaeth (Cymru)'!$D$8="Amcangyfrifon LlC",'Incwm (De-ddwyrain)'!H10,'Incwm (De-ddwyrain)'!Z10)</f>
        <v>14810.723769241635</v>
      </c>
      <c r="AH10" s="4">
        <f>IF('Rhaniad y Ddeiliadaeth (Cymru)'!$D$8="Amcangyfrifon LlC",'Incwm (De-ddwyrain)'!I10,'Incwm (De-ddwyrain)'!AA10)</f>
        <v>15062.219498672128</v>
      </c>
    </row>
    <row r="11" spans="2:34" x14ac:dyDescent="0.35">
      <c r="B11" s="251">
        <v>17</v>
      </c>
      <c r="C11" s="261">
        <v>13977.5</v>
      </c>
      <c r="D11" s="261">
        <v>14317.282764632719</v>
      </c>
      <c r="E11" s="278">
        <f>D11*(1+'Rhaniad y Ddeiliadaeth (De-ddn)'!C$109)+(D$44*(-(50-$B11)*('Rhaniad y Ddeiliadaeth (De-ddn)'!C$110/40)))</f>
        <v>14416.113926975444</v>
      </c>
      <c r="F11" s="278">
        <f>E11*(1+'Rhaniad y Ddeiliadaeth (De-ddn)'!D$109)+(E$44*(-(50-$B11)*('Rhaniad y Ddeiliadaeth (De-ddn)'!D$110/40)))</f>
        <v>14682.679104197901</v>
      </c>
      <c r="G11" s="278">
        <f>F11*(1+'Rhaniad y Ddeiliadaeth (De-ddn)'!E$109)+(F$44*(-(50-$B11)*('Rhaniad y Ddeiliadaeth (De-ddn)'!E$110/40)))</f>
        <v>14949.17717464636</v>
      </c>
      <c r="H11" s="278">
        <f>G11*(1+'Rhaniad y Ddeiliadaeth (De-ddn)'!F$109)+(G$44*(-(50-$B11)*('Rhaniad y Ddeiliadaeth (De-ddn)'!F$110/40)))</f>
        <v>15224.319403319194</v>
      </c>
      <c r="I11" s="279">
        <f>H11*(1+'Rhaniad y Ddeiliadaeth (De-ddn)'!G$109)+(H$44*(-(50-$B11)*('Rhaniad y Ddeiliadaeth (De-ddn)'!G$110/40)))</f>
        <v>15497.714172123138</v>
      </c>
      <c r="K11" s="246"/>
      <c r="M11" s="36" t="str">
        <f t="shared" si="1"/>
        <v/>
      </c>
      <c r="N11" s="190"/>
      <c r="O11" s="13">
        <f t="shared" si="4"/>
        <v>1</v>
      </c>
      <c r="U11" s="1">
        <f t="shared" si="2"/>
        <v>17</v>
      </c>
      <c r="V11" s="4" t="str">
        <f t="shared" si="3"/>
        <v/>
      </c>
      <c r="W11" s="35" t="e">
        <f>IF($L$4=$W$3,N11,V11*(1+'Rhaniad y Ddeiliadaeth (De-ddn)'!C$109)+(V$44*(-(50-$B11)*('Rhaniad y Ddeiliadaeth (De-ddn)'!C$110/40))))</f>
        <v>#VALUE!</v>
      </c>
      <c r="X11" s="35" t="e">
        <f>W11*(1+'Rhaniad y Ddeiliadaeth (De-ddn)'!D$109)+(W$44*(-(50-$B11)*('Rhaniad y Ddeiliadaeth (De-ddn)'!D$110/40)))</f>
        <v>#VALUE!</v>
      </c>
      <c r="Y11" s="35" t="e">
        <f>X11*(1+'Rhaniad y Ddeiliadaeth (De-ddn)'!E$109)+(X$44*(-(50-$B11)*('Rhaniad y Ddeiliadaeth (De-ddn)'!E$110/40)))</f>
        <v>#VALUE!</v>
      </c>
      <c r="Z11" s="35" t="e">
        <f>Y11*(1+'Rhaniad y Ddeiliadaeth (De-ddn)'!F$109)+(Y$44*(-(50-$B11)*('Rhaniad y Ddeiliadaeth (De-ddn)'!F$110/40)))</f>
        <v>#VALUE!</v>
      </c>
      <c r="AA11" s="35" t="e">
        <f>Z11*(1+'Rhaniad y Ddeiliadaeth (De-ddn)'!G$109)+(Z$44*(-(50-$B11)*('Rhaniad y Ddeiliadaeth (De-ddn)'!G$110/40)))</f>
        <v>#VALUE!</v>
      </c>
      <c r="AC11" s="260">
        <v>17</v>
      </c>
      <c r="AD11" s="4">
        <f>IF('Rhaniad y Ddeiliadaeth (Cymru)'!$D$8="Amcangyfrifon LlC",'Incwm (De-ddwyrain)'!E11,'Incwm (De-ddwyrain)'!W11)</f>
        <v>14416.113926975444</v>
      </c>
      <c r="AE11" s="4">
        <f>IF('Rhaniad y Ddeiliadaeth (Cymru)'!$D$8="Amcangyfrifon LlC",'Incwm (De-ddwyrain)'!F11,'Incwm (De-ddwyrain)'!X11)</f>
        <v>14682.679104197901</v>
      </c>
      <c r="AF11" s="4">
        <f>IF('Rhaniad y Ddeiliadaeth (Cymru)'!$D$8="Amcangyfrifon LlC",'Incwm (De-ddwyrain)'!G11,'Incwm (De-ddwyrain)'!Y11)</f>
        <v>14949.17717464636</v>
      </c>
      <c r="AG11" s="4">
        <f>IF('Rhaniad y Ddeiliadaeth (Cymru)'!$D$8="Amcangyfrifon LlC",'Incwm (De-ddwyrain)'!H11,'Incwm (De-ddwyrain)'!Z11)</f>
        <v>15224.319403319194</v>
      </c>
      <c r="AH11" s="4">
        <f>IF('Rhaniad y Ddeiliadaeth (Cymru)'!$D$8="Amcangyfrifon LlC",'Incwm (De-ddwyrain)'!I11,'Incwm (De-ddwyrain)'!AA11)</f>
        <v>15497.714172123138</v>
      </c>
    </row>
    <row r="12" spans="2:34" x14ac:dyDescent="0.35">
      <c r="B12" s="251">
        <v>18</v>
      </c>
      <c r="C12" s="261">
        <v>14243</v>
      </c>
      <c r="D12" s="261">
        <v>14589.236874738959</v>
      </c>
      <c r="E12" s="278">
        <f>D12*(1+'Rhaniad y Ddeiliadaeth (De-ddn)'!C$109)+(D$44*(-(50-$B12)*('Rhaniad y Ddeiliadaeth (De-ddn)'!C$110/40)))</f>
        <v>14700.915921892187</v>
      </c>
      <c r="F12" s="278">
        <f>E12*(1+'Rhaniad y Ddeiliadaeth (De-ddn)'!D$109)+(E$44*(-(50-$B12)*('Rhaniad y Ddeiliadaeth (De-ddn)'!D$110/40)))</f>
        <v>14984.137314677349</v>
      </c>
      <c r="G12" s="278">
        <f>F12*(1+'Rhaniad y Ddeiliadaeth (De-ddn)'!E$109)+(F$44*(-(50-$B12)*('Rhaniad y Ddeiliadaeth (De-ddn)'!E$110/40)))</f>
        <v>15268.069946543557</v>
      </c>
      <c r="H12" s="278">
        <f>G12*(1+'Rhaniad y Ddeiliadaeth (De-ddn)'!F$109)+(G$44*(-(50-$B12)*('Rhaniad y Ddeiliadaeth (De-ddn)'!F$110/40)))</f>
        <v>15561.648025362645</v>
      </c>
      <c r="I12" s="279">
        <f>H12*(1+'Rhaniad y Ddeiliadaeth (De-ddn)'!G$109)+(H$44*(-(50-$B12)*('Rhaniad y Ddeiliadaeth (De-ddn)'!G$110/40)))</f>
        <v>15854.310765797942</v>
      </c>
      <c r="M12" s="36" t="str">
        <f t="shared" si="1"/>
        <v/>
      </c>
      <c r="N12" s="190"/>
      <c r="O12" s="13">
        <f t="shared" si="4"/>
        <v>1</v>
      </c>
      <c r="U12" s="1">
        <f t="shared" si="2"/>
        <v>18</v>
      </c>
      <c r="V12" s="4" t="str">
        <f t="shared" si="3"/>
        <v/>
      </c>
      <c r="W12" s="35" t="e">
        <f>IF($L$4=$W$3,N12,V12*(1+'Rhaniad y Ddeiliadaeth (De-ddn)'!C$109)+(V$44*(-(50-$B12)*('Rhaniad y Ddeiliadaeth (De-ddn)'!C$110/40))))</f>
        <v>#VALUE!</v>
      </c>
      <c r="X12" s="35" t="e">
        <f>W12*(1+'Rhaniad y Ddeiliadaeth (De-ddn)'!D$109)+(W$44*(-(50-$B12)*('Rhaniad y Ddeiliadaeth (De-ddn)'!D$110/40)))</f>
        <v>#VALUE!</v>
      </c>
      <c r="Y12" s="35" t="e">
        <f>X12*(1+'Rhaniad y Ddeiliadaeth (De-ddn)'!E$109)+(X$44*(-(50-$B12)*('Rhaniad y Ddeiliadaeth (De-ddn)'!E$110/40)))</f>
        <v>#VALUE!</v>
      </c>
      <c r="Z12" s="35" t="e">
        <f>Y12*(1+'Rhaniad y Ddeiliadaeth (De-ddn)'!F$109)+(Y$44*(-(50-$B12)*('Rhaniad y Ddeiliadaeth (De-ddn)'!F$110/40)))</f>
        <v>#VALUE!</v>
      </c>
      <c r="AA12" s="35" t="e">
        <f>Z12*(1+'Rhaniad y Ddeiliadaeth (De-ddn)'!G$109)+(Z$44*(-(50-$B12)*('Rhaniad y Ddeiliadaeth (De-ddn)'!G$110/40)))</f>
        <v>#VALUE!</v>
      </c>
      <c r="AC12" s="260">
        <v>18</v>
      </c>
      <c r="AD12" s="4">
        <f>IF('Rhaniad y Ddeiliadaeth (Cymru)'!$D$8="Amcangyfrifon LlC",'Incwm (De-ddwyrain)'!E12,'Incwm (De-ddwyrain)'!W12)</f>
        <v>14700.915921892187</v>
      </c>
      <c r="AE12" s="4">
        <f>IF('Rhaniad y Ddeiliadaeth (Cymru)'!$D$8="Amcangyfrifon LlC",'Incwm (De-ddwyrain)'!F12,'Incwm (De-ddwyrain)'!X12)</f>
        <v>14984.137314677349</v>
      </c>
      <c r="AF12" s="4">
        <f>IF('Rhaniad y Ddeiliadaeth (Cymru)'!$D$8="Amcangyfrifon LlC",'Incwm (De-ddwyrain)'!G12,'Incwm (De-ddwyrain)'!Y12)</f>
        <v>15268.069946543557</v>
      </c>
      <c r="AG12" s="4">
        <f>IF('Rhaniad y Ddeiliadaeth (Cymru)'!$D$8="Amcangyfrifon LlC",'Incwm (De-ddwyrain)'!H12,'Incwm (De-ddwyrain)'!Z12)</f>
        <v>15561.648025362645</v>
      </c>
      <c r="AH12" s="4">
        <f>IF('Rhaniad y Ddeiliadaeth (Cymru)'!$D$8="Amcangyfrifon LlC",'Incwm (De-ddwyrain)'!I12,'Incwm (De-ddwyrain)'!AA12)</f>
        <v>15854.310765797942</v>
      </c>
    </row>
    <row r="13" spans="2:34" x14ac:dyDescent="0.35">
      <c r="B13" s="251">
        <v>19</v>
      </c>
      <c r="C13" s="261">
        <v>14720</v>
      </c>
      <c r="D13" s="261">
        <v>15077.832394590851</v>
      </c>
      <c r="E13" s="278">
        <f>D13*(1+'Rhaniad y Ddeiliadaeth (De-ddn)'!C$109)+(D$44*(-(50-$B13)*('Rhaniad y Ddeiliadaeth (De-ddn)'!C$110/40)))</f>
        <v>15207.222099889834</v>
      </c>
      <c r="F13" s="278">
        <f>E13*(1+'Rhaniad y Ddeiliadaeth (De-ddn)'!D$109)+(E$44*(-(50-$B13)*('Rhaniad y Ddeiliadaeth (De-ddn)'!D$110/40)))</f>
        <v>15514.691536880231</v>
      </c>
      <c r="G13" s="278">
        <f>F13*(1+'Rhaniad y Ddeiliadaeth (De-ddn)'!E$109)+(F$44*(-(50-$B13)*('Rhaniad y Ddeiliadaeth (De-ddn)'!E$110/40)))</f>
        <v>15823.888839813471</v>
      </c>
      <c r="H13" s="278">
        <f>G13*(1+'Rhaniad y Ddeiliadaeth (De-ddn)'!F$109)+(G$44*(-(50-$B13)*('Rhaniad y Ddeiliadaeth (De-ddn)'!F$110/40)))</f>
        <v>16144.120614658583</v>
      </c>
      <c r="I13" s="279">
        <f>H13*(1+'Rhaniad y Ddeiliadaeth (De-ddn)'!G$109)+(H$44*(-(50-$B13)*('Rhaniad y Ddeiliadaeth (De-ddn)'!G$110/40)))</f>
        <v>16464.508330181983</v>
      </c>
      <c r="M13" s="36" t="str">
        <f t="shared" si="1"/>
        <v/>
      </c>
      <c r="N13" s="190"/>
      <c r="O13" s="13">
        <f t="shared" si="4"/>
        <v>1</v>
      </c>
      <c r="U13" s="1">
        <f t="shared" si="2"/>
        <v>19</v>
      </c>
      <c r="V13" s="4" t="str">
        <f t="shared" si="3"/>
        <v/>
      </c>
      <c r="W13" s="35" t="e">
        <f>IF($L$4=$W$3,N13,V13*(1+'Rhaniad y Ddeiliadaeth (De-ddn)'!C$109)+(V$44*(-(50-$B13)*('Rhaniad y Ddeiliadaeth (De-ddn)'!C$110/40))))</f>
        <v>#VALUE!</v>
      </c>
      <c r="X13" s="35" t="e">
        <f>W13*(1+'Rhaniad y Ddeiliadaeth (De-ddn)'!D$109)+(W$44*(-(50-$B13)*('Rhaniad y Ddeiliadaeth (De-ddn)'!D$110/40)))</f>
        <v>#VALUE!</v>
      </c>
      <c r="Y13" s="35" t="e">
        <f>X13*(1+'Rhaniad y Ddeiliadaeth (De-ddn)'!E$109)+(X$44*(-(50-$B13)*('Rhaniad y Ddeiliadaeth (De-ddn)'!E$110/40)))</f>
        <v>#VALUE!</v>
      </c>
      <c r="Z13" s="35" t="e">
        <f>Y13*(1+'Rhaniad y Ddeiliadaeth (De-ddn)'!F$109)+(Y$44*(-(50-$B13)*('Rhaniad y Ddeiliadaeth (De-ddn)'!F$110/40)))</f>
        <v>#VALUE!</v>
      </c>
      <c r="AA13" s="35" t="e">
        <f>Z13*(1+'Rhaniad y Ddeiliadaeth (De-ddn)'!G$109)+(Z$44*(-(50-$B13)*('Rhaniad y Ddeiliadaeth (De-ddn)'!G$110/40)))</f>
        <v>#VALUE!</v>
      </c>
      <c r="AC13" s="260">
        <v>19</v>
      </c>
      <c r="AD13" s="4">
        <f>IF('Rhaniad y Ddeiliadaeth (Cymru)'!$D$8="Amcangyfrifon LlC",'Incwm (De-ddwyrain)'!E13,'Incwm (De-ddwyrain)'!W13)</f>
        <v>15207.222099889834</v>
      </c>
      <c r="AE13" s="4">
        <f>IF('Rhaniad y Ddeiliadaeth (Cymru)'!$D$8="Amcangyfrifon LlC",'Incwm (De-ddwyrain)'!F13,'Incwm (De-ddwyrain)'!X13)</f>
        <v>15514.691536880231</v>
      </c>
      <c r="AF13" s="4">
        <f>IF('Rhaniad y Ddeiliadaeth (Cymru)'!$D$8="Amcangyfrifon LlC",'Incwm (De-ddwyrain)'!G13,'Incwm (De-ddwyrain)'!Y13)</f>
        <v>15823.888839813471</v>
      </c>
      <c r="AG13" s="4">
        <f>IF('Rhaniad y Ddeiliadaeth (Cymru)'!$D$8="Amcangyfrifon LlC",'Incwm (De-ddwyrain)'!H13,'Incwm (De-ddwyrain)'!Z13)</f>
        <v>16144.120614658583</v>
      </c>
      <c r="AH13" s="4">
        <f>IF('Rhaniad y Ddeiliadaeth (Cymru)'!$D$8="Amcangyfrifon LlC",'Incwm (De-ddwyrain)'!I13,'Incwm (De-ddwyrain)'!AA13)</f>
        <v>16464.508330181983</v>
      </c>
    </row>
    <row r="14" spans="2:34" x14ac:dyDescent="0.35">
      <c r="B14" s="251">
        <v>20</v>
      </c>
      <c r="C14" s="261">
        <v>14970.1</v>
      </c>
      <c r="D14" s="261">
        <v>15353.423016166229</v>
      </c>
      <c r="E14" s="278">
        <f>D14*(1+'Rhaniad y Ddeiliadaeth (De-ddn)'!C$109)+(D$44*(-(50-$B14)*('Rhaniad y Ddeiliadaeth (De-ddn)'!C$110/40)))</f>
        <v>15495.742232087816</v>
      </c>
      <c r="F14" s="278">
        <f>E14*(1+'Rhaniad y Ddeiliadaeth (De-ddn)'!D$109)+(E$44*(-(50-$B14)*('Rhaniad y Ddeiliadaeth (De-ddn)'!D$110/40)))</f>
        <v>15819.995319981939</v>
      </c>
      <c r="G14" s="278">
        <f>F14*(1+'Rhaniad y Ddeiliadaeth (De-ddn)'!E$109)+(F$44*(-(50-$B14)*('Rhaniad y Ddeiliadaeth (De-ddn)'!E$110/40)))</f>
        <v>16146.758619424574</v>
      </c>
      <c r="H14" s="278">
        <f>G14*(1+'Rhaniad y Ddeiliadaeth (De-ddn)'!F$109)+(G$44*(-(50-$B14)*('Rhaniad y Ddeiliadaeth (De-ddn)'!F$110/40)))</f>
        <v>16485.564187992044</v>
      </c>
      <c r="I14" s="279">
        <f>H14*(1+'Rhaniad y Ddeiliadaeth (De-ddn)'!G$109)+(H$44*(-(50-$B14)*('Rhaniad y Ddeiliadaeth (De-ddn)'!G$110/40)))</f>
        <v>16825.361833187511</v>
      </c>
      <c r="M14" s="36" t="str">
        <f t="shared" si="1"/>
        <v/>
      </c>
      <c r="N14" s="190"/>
      <c r="O14" s="13">
        <f t="shared" si="4"/>
        <v>1</v>
      </c>
      <c r="U14" s="1">
        <f t="shared" si="2"/>
        <v>20</v>
      </c>
      <c r="V14" s="4" t="str">
        <f t="shared" si="3"/>
        <v/>
      </c>
      <c r="W14" s="35" t="e">
        <f>IF($L$4=$W$3,N14,V14*(1+'Rhaniad y Ddeiliadaeth (De-ddn)'!C$109)+(V$44*(-(50-$B14)*('Rhaniad y Ddeiliadaeth (De-ddn)'!C$110/40))))</f>
        <v>#VALUE!</v>
      </c>
      <c r="X14" s="35" t="e">
        <f>W14*(1+'Rhaniad y Ddeiliadaeth (De-ddn)'!D$109)+(W$44*(-(50-$B14)*('Rhaniad y Ddeiliadaeth (De-ddn)'!D$110/40)))</f>
        <v>#VALUE!</v>
      </c>
      <c r="Y14" s="35" t="e">
        <f>X14*(1+'Rhaniad y Ddeiliadaeth (De-ddn)'!E$109)+(X$44*(-(50-$B14)*('Rhaniad y Ddeiliadaeth (De-ddn)'!E$110/40)))</f>
        <v>#VALUE!</v>
      </c>
      <c r="Z14" s="35" t="e">
        <f>Y14*(1+'Rhaniad y Ddeiliadaeth (De-ddn)'!F$109)+(Y$44*(-(50-$B14)*('Rhaniad y Ddeiliadaeth (De-ddn)'!F$110/40)))</f>
        <v>#VALUE!</v>
      </c>
      <c r="AA14" s="35" t="e">
        <f>Z14*(1+'Rhaniad y Ddeiliadaeth (De-ddn)'!G$109)+(Z$44*(-(50-$B14)*('Rhaniad y Ddeiliadaeth (De-ddn)'!G$110/40)))</f>
        <v>#VALUE!</v>
      </c>
      <c r="AC14" s="260">
        <v>20</v>
      </c>
      <c r="AD14" s="4">
        <f>IF('Rhaniad y Ddeiliadaeth (Cymru)'!$D$8="Amcangyfrifon LlC",'Incwm (De-ddwyrain)'!E14,'Incwm (De-ddwyrain)'!W14)</f>
        <v>15495.742232087816</v>
      </c>
      <c r="AE14" s="4">
        <f>IF('Rhaniad y Ddeiliadaeth (Cymru)'!$D$8="Amcangyfrifon LlC",'Incwm (De-ddwyrain)'!F14,'Incwm (De-ddwyrain)'!X14)</f>
        <v>15819.995319981939</v>
      </c>
      <c r="AF14" s="4">
        <f>IF('Rhaniad y Ddeiliadaeth (Cymru)'!$D$8="Amcangyfrifon LlC",'Incwm (De-ddwyrain)'!G14,'Incwm (De-ddwyrain)'!Y14)</f>
        <v>16146.758619424574</v>
      </c>
      <c r="AG14" s="4">
        <f>IF('Rhaniad y Ddeiliadaeth (Cymru)'!$D$8="Amcangyfrifon LlC",'Incwm (De-ddwyrain)'!H14,'Incwm (De-ddwyrain)'!Z14)</f>
        <v>16485.564187992044</v>
      </c>
      <c r="AH14" s="4">
        <f>IF('Rhaniad y Ddeiliadaeth (Cymru)'!$D$8="Amcangyfrifon LlC",'Incwm (De-ddwyrain)'!I14,'Incwm (De-ddwyrain)'!AA14)</f>
        <v>16825.361833187511</v>
      </c>
    </row>
    <row r="15" spans="2:34" x14ac:dyDescent="0.35">
      <c r="B15" s="251">
        <v>21</v>
      </c>
      <c r="C15" s="261">
        <v>15043</v>
      </c>
      <c r="D15" s="261">
        <v>15428.189686921834</v>
      </c>
      <c r="E15" s="278">
        <f>D15*(1+'Rhaniad y Ddeiliadaeth (De-ddn)'!C$109)+(D$44*(-(50-$B15)*('Rhaniad y Ddeiliadaeth (De-ddn)'!C$110/40)))</f>
        <v>15578.930681752712</v>
      </c>
      <c r="F15" s="278">
        <f>E15*(1+'Rhaniad y Ddeiliadaeth (De-ddn)'!D$109)+(E$44*(-(50-$B15)*('Rhaniad y Ddeiliadaeth (De-ddn)'!D$110/40)))</f>
        <v>15912.929887773571</v>
      </c>
      <c r="G15" s="278">
        <f>F15*(1+'Rhaniad y Ddeiliadaeth (De-ddn)'!E$109)+(F$44*(-(50-$B15)*('Rhaniad y Ddeiliadaeth (De-ddn)'!E$110/40)))</f>
        <v>16250.000767354662</v>
      </c>
      <c r="H15" s="278">
        <f>G15*(1+'Rhaniad y Ddeiliadaeth (De-ddn)'!F$109)+(G$44*(-(50-$B15)*('Rhaniad y Ddeiliadaeth (De-ddn)'!F$110/40)))</f>
        <v>16599.762286505731</v>
      </c>
      <c r="I15" s="279">
        <f>H15*(1+'Rhaniad y Ddeiliadaeth (De-ddn)'!G$109)+(H$44*(-(50-$B15)*('Rhaniad y Ddeiliadaeth (De-ddn)'!G$110/40)))</f>
        <v>16951.130322070621</v>
      </c>
      <c r="M15" s="36" t="str">
        <f t="shared" si="1"/>
        <v/>
      </c>
      <c r="N15" s="190"/>
      <c r="O15" s="13">
        <f t="shared" si="4"/>
        <v>1</v>
      </c>
      <c r="U15" s="1">
        <f t="shared" si="2"/>
        <v>21</v>
      </c>
      <c r="V15" s="4" t="str">
        <f t="shared" si="3"/>
        <v/>
      </c>
      <c r="W15" s="35" t="e">
        <f>IF($L$4=$W$3,N15,V15*(1+'Rhaniad y Ddeiliadaeth (De-ddn)'!C$109)+(V$44*(-(50-$B15)*('Rhaniad y Ddeiliadaeth (De-ddn)'!C$110/40))))</f>
        <v>#VALUE!</v>
      </c>
      <c r="X15" s="35" t="e">
        <f>W15*(1+'Rhaniad y Ddeiliadaeth (De-ddn)'!D$109)+(W$44*(-(50-$B15)*('Rhaniad y Ddeiliadaeth (De-ddn)'!D$110/40)))</f>
        <v>#VALUE!</v>
      </c>
      <c r="Y15" s="35" t="e">
        <f>X15*(1+'Rhaniad y Ddeiliadaeth (De-ddn)'!E$109)+(X$44*(-(50-$B15)*('Rhaniad y Ddeiliadaeth (De-ddn)'!E$110/40)))</f>
        <v>#VALUE!</v>
      </c>
      <c r="Z15" s="35" t="e">
        <f>Y15*(1+'Rhaniad y Ddeiliadaeth (De-ddn)'!F$109)+(Y$44*(-(50-$B15)*('Rhaniad y Ddeiliadaeth (De-ddn)'!F$110/40)))</f>
        <v>#VALUE!</v>
      </c>
      <c r="AA15" s="35" t="e">
        <f>Z15*(1+'Rhaniad y Ddeiliadaeth (De-ddn)'!G$109)+(Z$44*(-(50-$B15)*('Rhaniad y Ddeiliadaeth (De-ddn)'!G$110/40)))</f>
        <v>#VALUE!</v>
      </c>
      <c r="AC15" s="260">
        <v>21</v>
      </c>
      <c r="AD15" s="4">
        <f>IF('Rhaniad y Ddeiliadaeth (Cymru)'!$D$8="Amcangyfrifon LlC",'Incwm (De-ddwyrain)'!E15,'Incwm (De-ddwyrain)'!W15)</f>
        <v>15578.930681752712</v>
      </c>
      <c r="AE15" s="4">
        <f>IF('Rhaniad y Ddeiliadaeth (Cymru)'!$D$8="Amcangyfrifon LlC",'Incwm (De-ddwyrain)'!F15,'Incwm (De-ddwyrain)'!X15)</f>
        <v>15912.929887773571</v>
      </c>
      <c r="AF15" s="4">
        <f>IF('Rhaniad y Ddeiliadaeth (Cymru)'!$D$8="Amcangyfrifon LlC",'Incwm (De-ddwyrain)'!G15,'Incwm (De-ddwyrain)'!Y15)</f>
        <v>16250.000767354662</v>
      </c>
      <c r="AG15" s="4">
        <f>IF('Rhaniad y Ddeiliadaeth (Cymru)'!$D$8="Amcangyfrifon LlC",'Incwm (De-ddwyrain)'!H15,'Incwm (De-ddwyrain)'!Z15)</f>
        <v>16599.762286505731</v>
      </c>
      <c r="AH15" s="4">
        <f>IF('Rhaniad y Ddeiliadaeth (Cymru)'!$D$8="Amcangyfrifon LlC",'Incwm (De-ddwyrain)'!I15,'Incwm (De-ddwyrain)'!AA15)</f>
        <v>16951.130322070621</v>
      </c>
    </row>
    <row r="16" spans="2:34" x14ac:dyDescent="0.35">
      <c r="B16" s="251">
        <v>22</v>
      </c>
      <c r="C16" s="261">
        <v>15142</v>
      </c>
      <c r="D16" s="261">
        <v>15529.724671898586</v>
      </c>
      <c r="E16" s="278">
        <f>D16*(1+'Rhaniad y Ddeiliadaeth (De-ddn)'!C$109)+(D$44*(-(50-$B16)*('Rhaniad y Ddeiliadaeth (De-ddn)'!C$110/40)))</f>
        <v>15689.488292193331</v>
      </c>
      <c r="F16" s="278">
        <f>E16*(1+'Rhaniad y Ddeiliadaeth (De-ddn)'!D$109)+(E$44*(-(50-$B16)*('Rhaniad y Ddeiliadaeth (De-ddn)'!D$110/40)))</f>
        <v>16034.171666249547</v>
      </c>
      <c r="G16" s="278">
        <f>F16*(1+'Rhaniad y Ddeiliadaeth (De-ddn)'!E$109)+(F$44*(-(50-$B16)*('Rhaniad y Ddeiliadaeth (De-ddn)'!E$110/40)))</f>
        <v>16382.517617990703</v>
      </c>
      <c r="H16" s="278">
        <f>G16*(1+'Rhaniad y Ddeiliadaeth (De-ddn)'!F$109)+(G$44*(-(50-$B16)*('Rhaniad y Ddeiliadaeth (De-ddn)'!F$110/40)))</f>
        <v>16744.250488617508</v>
      </c>
      <c r="I16" s="279">
        <f>H16*(1+'Rhaniad y Ddeiliadaeth (De-ddn)'!G$109)+(H$44*(-(50-$B16)*('Rhaniad y Ddeiliadaeth (De-ddn)'!G$110/40)))</f>
        <v>17108.233865866368</v>
      </c>
      <c r="M16" s="36" t="str">
        <f t="shared" si="1"/>
        <v/>
      </c>
      <c r="N16" s="190"/>
      <c r="O16" s="13">
        <f t="shared" si="4"/>
        <v>1</v>
      </c>
      <c r="U16" s="1">
        <f t="shared" si="2"/>
        <v>22</v>
      </c>
      <c r="V16" s="4" t="str">
        <f t="shared" si="3"/>
        <v/>
      </c>
      <c r="W16" s="35" t="e">
        <f>IF($L$4=$W$3,N16,V16*(1+'Rhaniad y Ddeiliadaeth (De-ddn)'!C$109)+(V$44*(-(50-$B16)*('Rhaniad y Ddeiliadaeth (De-ddn)'!C$110/40))))</f>
        <v>#VALUE!</v>
      </c>
      <c r="X16" s="35" t="e">
        <f>W16*(1+'Rhaniad y Ddeiliadaeth (De-ddn)'!D$109)+(W$44*(-(50-$B16)*('Rhaniad y Ddeiliadaeth (De-ddn)'!D$110/40)))</f>
        <v>#VALUE!</v>
      </c>
      <c r="Y16" s="35" t="e">
        <f>X16*(1+'Rhaniad y Ddeiliadaeth (De-ddn)'!E$109)+(X$44*(-(50-$B16)*('Rhaniad y Ddeiliadaeth (De-ddn)'!E$110/40)))</f>
        <v>#VALUE!</v>
      </c>
      <c r="Z16" s="35" t="e">
        <f>Y16*(1+'Rhaniad y Ddeiliadaeth (De-ddn)'!F$109)+(Y$44*(-(50-$B16)*('Rhaniad y Ddeiliadaeth (De-ddn)'!F$110/40)))</f>
        <v>#VALUE!</v>
      </c>
      <c r="AA16" s="35" t="e">
        <f>Z16*(1+'Rhaniad y Ddeiliadaeth (De-ddn)'!G$109)+(Z$44*(-(50-$B16)*('Rhaniad y Ddeiliadaeth (De-ddn)'!G$110/40)))</f>
        <v>#VALUE!</v>
      </c>
      <c r="AC16" s="260">
        <v>22</v>
      </c>
      <c r="AD16" s="4">
        <f>IF('Rhaniad y Ddeiliadaeth (Cymru)'!$D$8="Amcangyfrifon LlC",'Incwm (De-ddwyrain)'!E16,'Incwm (De-ddwyrain)'!W16)</f>
        <v>15689.488292193331</v>
      </c>
      <c r="AE16" s="4">
        <f>IF('Rhaniad y Ddeiliadaeth (Cymru)'!$D$8="Amcangyfrifon LlC",'Incwm (De-ddwyrain)'!F16,'Incwm (De-ddwyrain)'!X16)</f>
        <v>16034.171666249547</v>
      </c>
      <c r="AF16" s="4">
        <f>IF('Rhaniad y Ddeiliadaeth (Cymru)'!$D$8="Amcangyfrifon LlC",'Incwm (De-ddwyrain)'!G16,'Incwm (De-ddwyrain)'!Y16)</f>
        <v>16382.517617990703</v>
      </c>
      <c r="AG16" s="4">
        <f>IF('Rhaniad y Ddeiliadaeth (Cymru)'!$D$8="Amcangyfrifon LlC",'Incwm (De-ddwyrain)'!H16,'Incwm (De-ddwyrain)'!Z16)</f>
        <v>16744.250488617508</v>
      </c>
      <c r="AH16" s="4">
        <f>IF('Rhaniad y Ddeiliadaeth (Cymru)'!$D$8="Amcangyfrifon LlC",'Incwm (De-ddwyrain)'!I16,'Incwm (De-ddwyrain)'!AA16)</f>
        <v>17108.233865866368</v>
      </c>
    </row>
    <row r="17" spans="2:34" x14ac:dyDescent="0.35">
      <c r="B17" s="251">
        <v>23</v>
      </c>
      <c r="C17" s="261">
        <v>15480.88</v>
      </c>
      <c r="D17" s="261">
        <v>15877.282002291729</v>
      </c>
      <c r="E17" s="278">
        <f>D17*(1+'Rhaniad y Ddeiliadaeth (De-ddn)'!C$109)+(D$44*(-(50-$B17)*('Rhaniad y Ddeiliadaeth (De-ddn)'!C$110/40)))</f>
        <v>16051.590511326662</v>
      </c>
      <c r="F17" s="278">
        <f>E17*(1+'Rhaniad y Ddeiliadaeth (De-ddn)'!D$109)+(E$44*(-(50-$B17)*('Rhaniad y Ddeiliadaeth (De-ddn)'!D$110/40)))</f>
        <v>16415.579486831299</v>
      </c>
      <c r="G17" s="278">
        <f>F17*(1+'Rhaniad y Ddeiliadaeth (De-ddn)'!E$109)+(F$44*(-(50-$B17)*('Rhaniad y Ddeiliadaeth (De-ddn)'!E$110/40)))</f>
        <v>16784.092540852915</v>
      </c>
      <c r="H17" s="278">
        <f>G17*(1+'Rhaniad y Ddeiliadaeth (De-ddn)'!F$109)+(G$44*(-(50-$B17)*('Rhaniad y Ddeiliadaeth (De-ddn)'!F$110/40)))</f>
        <v>17167.129114143467</v>
      </c>
      <c r="I17" s="279">
        <f>H17*(1+'Rhaniad y Ddeiliadaeth (De-ddn)'!G$109)+(H$44*(-(50-$B17)*('Rhaniad y Ddeiliadaeth (De-ddn)'!G$110/40)))</f>
        <v>17553.331776422434</v>
      </c>
      <c r="M17" s="36" t="str">
        <f t="shared" si="1"/>
        <v/>
      </c>
      <c r="N17" s="190"/>
      <c r="O17" s="13">
        <f t="shared" si="4"/>
        <v>1</v>
      </c>
      <c r="U17" s="1">
        <f t="shared" si="2"/>
        <v>23</v>
      </c>
      <c r="V17" s="4" t="str">
        <f t="shared" si="3"/>
        <v/>
      </c>
      <c r="W17" s="35" t="e">
        <f>IF($L$4=$W$3,N17,V17*(1+'Rhaniad y Ddeiliadaeth (De-ddn)'!C$109)+(V$44*(-(50-$B17)*('Rhaniad y Ddeiliadaeth (De-ddn)'!C$110/40))))</f>
        <v>#VALUE!</v>
      </c>
      <c r="X17" s="35" t="e">
        <f>W17*(1+'Rhaniad y Ddeiliadaeth (De-ddn)'!D$109)+(W$44*(-(50-$B17)*('Rhaniad y Ddeiliadaeth (De-ddn)'!D$110/40)))</f>
        <v>#VALUE!</v>
      </c>
      <c r="Y17" s="35" t="e">
        <f>X17*(1+'Rhaniad y Ddeiliadaeth (De-ddn)'!E$109)+(X$44*(-(50-$B17)*('Rhaniad y Ddeiliadaeth (De-ddn)'!E$110/40)))</f>
        <v>#VALUE!</v>
      </c>
      <c r="Z17" s="35" t="e">
        <f>Y17*(1+'Rhaniad y Ddeiliadaeth (De-ddn)'!F$109)+(Y$44*(-(50-$B17)*('Rhaniad y Ddeiliadaeth (De-ddn)'!F$110/40)))</f>
        <v>#VALUE!</v>
      </c>
      <c r="AA17" s="35" t="e">
        <f>Z17*(1+'Rhaniad y Ddeiliadaeth (De-ddn)'!G$109)+(Z$44*(-(50-$B17)*('Rhaniad y Ddeiliadaeth (De-ddn)'!G$110/40)))</f>
        <v>#VALUE!</v>
      </c>
      <c r="AC17" s="260">
        <v>23</v>
      </c>
      <c r="AD17" s="4">
        <f>IF('Rhaniad y Ddeiliadaeth (Cymru)'!$D$8="Amcangyfrifon LlC",'Incwm (De-ddwyrain)'!E17,'Incwm (De-ddwyrain)'!W17)</f>
        <v>16051.590511326662</v>
      </c>
      <c r="AE17" s="4">
        <f>IF('Rhaniad y Ddeiliadaeth (Cymru)'!$D$8="Amcangyfrifon LlC",'Incwm (De-ddwyrain)'!F17,'Incwm (De-ddwyrain)'!X17)</f>
        <v>16415.579486831299</v>
      </c>
      <c r="AF17" s="4">
        <f>IF('Rhaniad y Ddeiliadaeth (Cymru)'!$D$8="Amcangyfrifon LlC",'Incwm (De-ddwyrain)'!G17,'Incwm (De-ddwyrain)'!Y17)</f>
        <v>16784.092540852915</v>
      </c>
      <c r="AG17" s="4">
        <f>IF('Rhaniad y Ddeiliadaeth (Cymru)'!$D$8="Amcangyfrifon LlC",'Incwm (De-ddwyrain)'!H17,'Incwm (De-ddwyrain)'!Z17)</f>
        <v>17167.129114143467</v>
      </c>
      <c r="AH17" s="4">
        <f>IF('Rhaniad y Ddeiliadaeth (Cymru)'!$D$8="Amcangyfrifon LlC",'Incwm (De-ddwyrain)'!I17,'Incwm (De-ddwyrain)'!AA17)</f>
        <v>17553.331776422434</v>
      </c>
    </row>
    <row r="18" spans="2:34" x14ac:dyDescent="0.35">
      <c r="B18" s="251">
        <v>24</v>
      </c>
      <c r="C18" s="261">
        <v>15710.1</v>
      </c>
      <c r="D18" s="261">
        <v>16112.371388719719</v>
      </c>
      <c r="E18" s="278">
        <f>D18*(1+'Rhaniad y Ddeiliadaeth (De-ddn)'!C$109)+(D$44*(-(50-$B18)*('Rhaniad y Ddeiliadaeth (De-ddn)'!C$110/40)))</f>
        <v>16298.700310127979</v>
      </c>
      <c r="F18" s="278">
        <f>E18*(1+'Rhaniad y Ddeiliadaeth (De-ddn)'!D$109)+(E$44*(-(50-$B18)*('Rhaniad y Ddeiliadaeth (De-ddn)'!D$110/40)))</f>
        <v>16678.053639840433</v>
      </c>
      <c r="G18" s="278">
        <f>F18*(1+'Rhaniad y Ddeiliadaeth (De-ddn)'!E$109)+(F$44*(-(50-$B18)*('Rhaniad y Ddeiliadaeth (De-ddn)'!E$110/40)))</f>
        <v>17062.668846905377</v>
      </c>
      <c r="H18" s="278">
        <f>G18*(1+'Rhaniad y Ddeiliadaeth (De-ddn)'!F$109)+(G$44*(-(50-$B18)*('Rhaniad y Ddeiliadaeth (De-ddn)'!F$110/40)))</f>
        <v>17462.74288294273</v>
      </c>
      <c r="I18" s="279">
        <f>H18*(1+'Rhaniad y Ddeiliadaeth (De-ddn)'!G$109)+(H$44*(-(50-$B18)*('Rhaniad y Ddeiliadaeth (De-ddn)'!G$110/40)))</f>
        <v>17866.774433272745</v>
      </c>
      <c r="M18" s="36" t="str">
        <f t="shared" si="1"/>
        <v/>
      </c>
      <c r="N18" s="190"/>
      <c r="O18" s="13">
        <f t="shared" si="4"/>
        <v>1</v>
      </c>
      <c r="U18" s="1">
        <f t="shared" si="2"/>
        <v>24</v>
      </c>
      <c r="V18" s="4" t="str">
        <f t="shared" si="3"/>
        <v/>
      </c>
      <c r="W18" s="35" t="e">
        <f>IF($L$4=$W$3,N18,V18*(1+'Rhaniad y Ddeiliadaeth (De-ddn)'!C$109)+(V$44*(-(50-$B18)*('Rhaniad y Ddeiliadaeth (De-ddn)'!C$110/40))))</f>
        <v>#VALUE!</v>
      </c>
      <c r="X18" s="35" t="e">
        <f>W18*(1+'Rhaniad y Ddeiliadaeth (De-ddn)'!D$109)+(W$44*(-(50-$B18)*('Rhaniad y Ddeiliadaeth (De-ddn)'!D$110/40)))</f>
        <v>#VALUE!</v>
      </c>
      <c r="Y18" s="35" t="e">
        <f>X18*(1+'Rhaniad y Ddeiliadaeth (De-ddn)'!E$109)+(X$44*(-(50-$B18)*('Rhaniad y Ddeiliadaeth (De-ddn)'!E$110/40)))</f>
        <v>#VALUE!</v>
      </c>
      <c r="Z18" s="35" t="e">
        <f>Y18*(1+'Rhaniad y Ddeiliadaeth (De-ddn)'!F$109)+(Y$44*(-(50-$B18)*('Rhaniad y Ddeiliadaeth (De-ddn)'!F$110/40)))</f>
        <v>#VALUE!</v>
      </c>
      <c r="AA18" s="35" t="e">
        <f>Z18*(1+'Rhaniad y Ddeiliadaeth (De-ddn)'!G$109)+(Z$44*(-(50-$B18)*('Rhaniad y Ddeiliadaeth (De-ddn)'!G$110/40)))</f>
        <v>#VALUE!</v>
      </c>
      <c r="AC18" s="260">
        <v>24</v>
      </c>
      <c r="AD18" s="4">
        <f>IF('Rhaniad y Ddeiliadaeth (Cymru)'!$D$8="Amcangyfrifon LlC",'Incwm (De-ddwyrain)'!E18,'Incwm (De-ddwyrain)'!W18)</f>
        <v>16298.700310127979</v>
      </c>
      <c r="AE18" s="4">
        <f>IF('Rhaniad y Ddeiliadaeth (Cymru)'!$D$8="Amcangyfrifon LlC",'Incwm (De-ddwyrain)'!F18,'Incwm (De-ddwyrain)'!X18)</f>
        <v>16678.053639840433</v>
      </c>
      <c r="AF18" s="4">
        <f>IF('Rhaniad y Ddeiliadaeth (Cymru)'!$D$8="Amcangyfrifon LlC",'Incwm (De-ddwyrain)'!G18,'Incwm (De-ddwyrain)'!Y18)</f>
        <v>17062.668846905377</v>
      </c>
      <c r="AG18" s="4">
        <f>IF('Rhaniad y Ddeiliadaeth (Cymru)'!$D$8="Amcangyfrifon LlC",'Incwm (De-ddwyrain)'!H18,'Incwm (De-ddwyrain)'!Z18)</f>
        <v>17462.74288294273</v>
      </c>
      <c r="AH18" s="4">
        <f>IF('Rhaniad y Ddeiliadaeth (Cymru)'!$D$8="Amcangyfrifon LlC",'Incwm (De-ddwyrain)'!I18,'Incwm (De-ddwyrain)'!AA18)</f>
        <v>17866.774433272745</v>
      </c>
    </row>
    <row r="19" spans="2:34" x14ac:dyDescent="0.35">
      <c r="B19" s="251">
        <v>25</v>
      </c>
      <c r="C19" s="261">
        <v>15981.2</v>
      </c>
      <c r="D19" s="261">
        <v>16390.413150610599</v>
      </c>
      <c r="E19" s="278">
        <f>D19*(1+'Rhaniad y Ddeiliadaeth (De-ddn)'!C$109)+(D$44*(-(50-$B19)*('Rhaniad y Ddeiliadaeth (De-ddn)'!C$110/40)))</f>
        <v>16589.726601392409</v>
      </c>
      <c r="F19" s="278">
        <f>E19*(1+'Rhaniad y Ddeiliadaeth (De-ddn)'!D$109)+(E$44*(-(50-$B19)*('Rhaniad y Ddeiliadaeth (De-ddn)'!D$110/40)))</f>
        <v>16985.94947803962</v>
      </c>
      <c r="G19" s="278">
        <f>F19*(1+'Rhaniad y Ddeiliadaeth (De-ddn)'!E$109)+(F$44*(-(50-$B19)*('Rhaniad y Ddeiliadaeth (De-ddn)'!E$110/40)))</f>
        <v>17388.219273621642</v>
      </c>
      <c r="H19" s="278">
        <f>G19*(1+'Rhaniad y Ddeiliadaeth (De-ddn)'!F$109)+(G$44*(-(50-$B19)*('Rhaniad y Ddeiliadaeth (De-ddn)'!F$110/40)))</f>
        <v>17806.96008234307</v>
      </c>
      <c r="I19" s="279">
        <f>H19*(1+'Rhaniad y Ddeiliadaeth (De-ddn)'!G$109)+(H$44*(-(50-$B19)*('Rhaniad y Ddeiliadaeth (De-ddn)'!G$110/40)))</f>
        <v>18230.497247201271</v>
      </c>
      <c r="M19" s="36" t="str">
        <f t="shared" si="1"/>
        <v/>
      </c>
      <c r="N19" s="190"/>
      <c r="O19" s="13">
        <f t="shared" si="4"/>
        <v>1</v>
      </c>
      <c r="U19" s="1">
        <f t="shared" si="2"/>
        <v>25</v>
      </c>
      <c r="V19" s="4" t="str">
        <f t="shared" si="3"/>
        <v/>
      </c>
      <c r="W19" s="35" t="e">
        <f>IF($L$4=$W$3,N19,V19*(1+'Rhaniad y Ddeiliadaeth (De-ddn)'!C$109)+(V$44*(-(50-$B19)*('Rhaniad y Ddeiliadaeth (De-ddn)'!C$110/40))))</f>
        <v>#VALUE!</v>
      </c>
      <c r="X19" s="35" t="e">
        <f>W19*(1+'Rhaniad y Ddeiliadaeth (De-ddn)'!D$109)+(W$44*(-(50-$B19)*('Rhaniad y Ddeiliadaeth (De-ddn)'!D$110/40)))</f>
        <v>#VALUE!</v>
      </c>
      <c r="Y19" s="35" t="e">
        <f>X19*(1+'Rhaniad y Ddeiliadaeth (De-ddn)'!E$109)+(X$44*(-(50-$B19)*('Rhaniad y Ddeiliadaeth (De-ddn)'!E$110/40)))</f>
        <v>#VALUE!</v>
      </c>
      <c r="Z19" s="35" t="e">
        <f>Y19*(1+'Rhaniad y Ddeiliadaeth (De-ddn)'!F$109)+(Y$44*(-(50-$B19)*('Rhaniad y Ddeiliadaeth (De-ddn)'!F$110/40)))</f>
        <v>#VALUE!</v>
      </c>
      <c r="AA19" s="35" t="e">
        <f>Z19*(1+'Rhaniad y Ddeiliadaeth (De-ddn)'!G$109)+(Z$44*(-(50-$B19)*('Rhaniad y Ddeiliadaeth (De-ddn)'!G$110/40)))</f>
        <v>#VALUE!</v>
      </c>
      <c r="AC19" s="260">
        <v>25</v>
      </c>
      <c r="AD19" s="4">
        <f>IF('Rhaniad y Ddeiliadaeth (Cymru)'!$D$8="Amcangyfrifon LlC",'Incwm (De-ddwyrain)'!E19,'Incwm (De-ddwyrain)'!W19)</f>
        <v>16589.726601392409</v>
      </c>
      <c r="AE19" s="4">
        <f>IF('Rhaniad y Ddeiliadaeth (Cymru)'!$D$8="Amcangyfrifon LlC",'Incwm (De-ddwyrain)'!F19,'Incwm (De-ddwyrain)'!X19)</f>
        <v>16985.94947803962</v>
      </c>
      <c r="AF19" s="4">
        <f>IF('Rhaniad y Ddeiliadaeth (Cymru)'!$D$8="Amcangyfrifon LlC",'Incwm (De-ddwyrain)'!G19,'Incwm (De-ddwyrain)'!Y19)</f>
        <v>17388.219273621642</v>
      </c>
      <c r="AG19" s="4">
        <f>IF('Rhaniad y Ddeiliadaeth (Cymru)'!$D$8="Amcangyfrifon LlC",'Incwm (De-ddwyrain)'!H19,'Incwm (De-ddwyrain)'!Z19)</f>
        <v>17806.96008234307</v>
      </c>
      <c r="AH19" s="4">
        <f>IF('Rhaniad y Ddeiliadaeth (Cymru)'!$D$8="Amcangyfrifon LlC",'Incwm (De-ddwyrain)'!I19,'Incwm (De-ddwyrain)'!AA19)</f>
        <v>18230.497247201271</v>
      </c>
    </row>
    <row r="20" spans="2:34" x14ac:dyDescent="0.35">
      <c r="B20" s="251">
        <v>26</v>
      </c>
      <c r="C20" s="261">
        <v>16261.39</v>
      </c>
      <c r="D20" s="261">
        <v>16677.777670212981</v>
      </c>
      <c r="E20" s="278">
        <f>D20*(1+'Rhaniad y Ddeiliadaeth (De-ddn)'!C$109)+(D$44*(-(50-$B20)*('Rhaniad y Ddeiliadaeth (De-ddn)'!C$110/40)))</f>
        <v>16890.284910720107</v>
      </c>
      <c r="F20" s="278">
        <f>E20*(1+'Rhaniad y Ddeiliadaeth (De-ddn)'!D$109)+(E$44*(-(50-$B20)*('Rhaniad y Ddeiliadaeth (De-ddn)'!D$110/40)))</f>
        <v>17303.704034442668</v>
      </c>
      <c r="G20" s="278">
        <f>F20*(1+'Rhaniad y Ddeiliadaeth (De-ddn)'!E$109)+(F$44*(-(50-$B20)*('Rhaniad y Ddeiliadaeth (De-ddn)'!E$110/40)))</f>
        <v>17723.965372659633</v>
      </c>
      <c r="H20" s="278">
        <f>G20*(1+'Rhaniad y Ddeiliadaeth (De-ddn)'!F$109)+(G$44*(-(50-$B20)*('Rhaniad y Ddeiliadaeth (De-ddn)'!F$110/40)))</f>
        <v>18161.726593686195</v>
      </c>
      <c r="I20" s="279">
        <f>H20*(1+'Rhaniad y Ddeiliadaeth (De-ddn)'!G$109)+(H$44*(-(50-$B20)*('Rhaniad y Ddeiliadaeth (De-ddn)'!G$110/40)))</f>
        <v>18605.133304392475</v>
      </c>
      <c r="M20" s="36" t="str">
        <f t="shared" si="1"/>
        <v/>
      </c>
      <c r="N20" s="190"/>
      <c r="O20" s="13">
        <f t="shared" si="4"/>
        <v>1</v>
      </c>
      <c r="U20" s="1">
        <f t="shared" si="2"/>
        <v>26</v>
      </c>
      <c r="V20" s="4" t="str">
        <f t="shared" si="3"/>
        <v/>
      </c>
      <c r="W20" s="35" t="e">
        <f>IF($L$4=$W$3,N20,V20*(1+'Rhaniad y Ddeiliadaeth (De-ddn)'!C$109)+(V$44*(-(50-$B20)*('Rhaniad y Ddeiliadaeth (De-ddn)'!C$110/40))))</f>
        <v>#VALUE!</v>
      </c>
      <c r="X20" s="35" t="e">
        <f>W20*(1+'Rhaniad y Ddeiliadaeth (De-ddn)'!D$109)+(W$44*(-(50-$B20)*('Rhaniad y Ddeiliadaeth (De-ddn)'!D$110/40)))</f>
        <v>#VALUE!</v>
      </c>
      <c r="Y20" s="35" t="e">
        <f>X20*(1+'Rhaniad y Ddeiliadaeth (De-ddn)'!E$109)+(X$44*(-(50-$B20)*('Rhaniad y Ddeiliadaeth (De-ddn)'!E$110/40)))</f>
        <v>#VALUE!</v>
      </c>
      <c r="Z20" s="35" t="e">
        <f>Y20*(1+'Rhaniad y Ddeiliadaeth (De-ddn)'!F$109)+(Y$44*(-(50-$B20)*('Rhaniad y Ddeiliadaeth (De-ddn)'!F$110/40)))</f>
        <v>#VALUE!</v>
      </c>
      <c r="AA20" s="35" t="e">
        <f>Z20*(1+'Rhaniad y Ddeiliadaeth (De-ddn)'!G$109)+(Z$44*(-(50-$B20)*('Rhaniad y Ddeiliadaeth (De-ddn)'!G$110/40)))</f>
        <v>#VALUE!</v>
      </c>
      <c r="AC20" s="260">
        <v>26</v>
      </c>
      <c r="AD20" s="4">
        <f>IF('Rhaniad y Ddeiliadaeth (Cymru)'!$D$8="Amcangyfrifon LlC",'Incwm (De-ddwyrain)'!E20,'Incwm (De-ddwyrain)'!W20)</f>
        <v>16890.284910720107</v>
      </c>
      <c r="AE20" s="4">
        <f>IF('Rhaniad y Ddeiliadaeth (Cymru)'!$D$8="Amcangyfrifon LlC",'Incwm (De-ddwyrain)'!F20,'Incwm (De-ddwyrain)'!X20)</f>
        <v>17303.704034442668</v>
      </c>
      <c r="AF20" s="4">
        <f>IF('Rhaniad y Ddeiliadaeth (Cymru)'!$D$8="Amcangyfrifon LlC",'Incwm (De-ddwyrain)'!G20,'Incwm (De-ddwyrain)'!Y20)</f>
        <v>17723.965372659633</v>
      </c>
      <c r="AG20" s="4">
        <f>IF('Rhaniad y Ddeiliadaeth (Cymru)'!$D$8="Amcangyfrifon LlC",'Incwm (De-ddwyrain)'!H20,'Incwm (De-ddwyrain)'!Z20)</f>
        <v>18161.726593686195</v>
      </c>
      <c r="AH20" s="4">
        <f>IF('Rhaniad y Ddeiliadaeth (Cymru)'!$D$8="Amcangyfrifon LlC",'Incwm (De-ddwyrain)'!I20,'Incwm (De-ddwyrain)'!AA20)</f>
        <v>18605.133304392475</v>
      </c>
    </row>
    <row r="21" spans="2:34" x14ac:dyDescent="0.35">
      <c r="B21" s="251">
        <v>27</v>
      </c>
      <c r="C21" s="261">
        <v>16589.788400000001</v>
      </c>
      <c r="D21" s="261">
        <v>17014.58500971186</v>
      </c>
      <c r="E21" s="278">
        <f>D21*(1+'Rhaniad y Ddeiliadaeth (De-ddn)'!C$109)+(D$44*(-(50-$B21)*('Rhaniad y Ddeiliadaeth (De-ddn)'!C$110/40)))</f>
        <v>17241.395842666203</v>
      </c>
      <c r="F21" s="278">
        <f>E21*(1+'Rhaniad y Ddeiliadaeth (De-ddn)'!D$109)+(E$44*(-(50-$B21)*('Rhaniad y Ddeiliadaeth (De-ddn)'!D$110/40)))</f>
        <v>17673.743852744377</v>
      </c>
      <c r="G21" s="278">
        <f>F21*(1+'Rhaniad y Ddeiliadaeth (De-ddn)'!E$109)+(F$44*(-(50-$B21)*('Rhaniad y Ddeiliadaeth (De-ddn)'!E$110/40)))</f>
        <v>18113.783754376913</v>
      </c>
      <c r="H21" s="278">
        <f>G21*(1+'Rhaniad y Ddeiliadaeth (De-ddn)'!F$109)+(G$44*(-(50-$B21)*('Rhaniad y Ddeiliadaeth (De-ddn)'!F$110/40)))</f>
        <v>18572.440899293615</v>
      </c>
      <c r="I21" s="279">
        <f>H21*(1+'Rhaniad y Ddeiliadaeth (De-ddn)'!G$109)+(H$44*(-(50-$B21)*('Rhaniad y Ddeiliadaeth (De-ddn)'!G$110/40)))</f>
        <v>19037.647248987912</v>
      </c>
      <c r="M21" s="36" t="str">
        <f t="shared" si="1"/>
        <v/>
      </c>
      <c r="N21" s="190"/>
      <c r="O21" s="13">
        <f t="shared" si="4"/>
        <v>1</v>
      </c>
      <c r="U21" s="1">
        <f t="shared" si="2"/>
        <v>27</v>
      </c>
      <c r="V21" s="4" t="str">
        <f t="shared" si="3"/>
        <v/>
      </c>
      <c r="W21" s="35" t="e">
        <f>IF($L$4=$W$3,N21,V21*(1+'Rhaniad y Ddeiliadaeth (De-ddn)'!C$109)+(V$44*(-(50-$B21)*('Rhaniad y Ddeiliadaeth (De-ddn)'!C$110/40))))</f>
        <v>#VALUE!</v>
      </c>
      <c r="X21" s="35" t="e">
        <f>W21*(1+'Rhaniad y Ddeiliadaeth (De-ddn)'!D$109)+(W$44*(-(50-$B21)*('Rhaniad y Ddeiliadaeth (De-ddn)'!D$110/40)))</f>
        <v>#VALUE!</v>
      </c>
      <c r="Y21" s="35" t="e">
        <f>X21*(1+'Rhaniad y Ddeiliadaeth (De-ddn)'!E$109)+(X$44*(-(50-$B21)*('Rhaniad y Ddeiliadaeth (De-ddn)'!E$110/40)))</f>
        <v>#VALUE!</v>
      </c>
      <c r="Z21" s="35" t="e">
        <f>Y21*(1+'Rhaniad y Ddeiliadaeth (De-ddn)'!F$109)+(Y$44*(-(50-$B21)*('Rhaniad y Ddeiliadaeth (De-ddn)'!F$110/40)))</f>
        <v>#VALUE!</v>
      </c>
      <c r="AA21" s="35" t="e">
        <f>Z21*(1+'Rhaniad y Ddeiliadaeth (De-ddn)'!G$109)+(Z$44*(-(50-$B21)*('Rhaniad y Ddeiliadaeth (De-ddn)'!G$110/40)))</f>
        <v>#VALUE!</v>
      </c>
      <c r="AC21" s="260">
        <v>27</v>
      </c>
      <c r="AD21" s="4">
        <f>IF('Rhaniad y Ddeiliadaeth (Cymru)'!$D$8="Amcangyfrifon LlC",'Incwm (De-ddwyrain)'!E21,'Incwm (De-ddwyrain)'!W21)</f>
        <v>17241.395842666203</v>
      </c>
      <c r="AE21" s="4">
        <f>IF('Rhaniad y Ddeiliadaeth (Cymru)'!$D$8="Amcangyfrifon LlC",'Incwm (De-ddwyrain)'!F21,'Incwm (De-ddwyrain)'!X21)</f>
        <v>17673.743852744377</v>
      </c>
      <c r="AF21" s="4">
        <f>IF('Rhaniad y Ddeiliadaeth (Cymru)'!$D$8="Amcangyfrifon LlC",'Incwm (De-ddwyrain)'!G21,'Incwm (De-ddwyrain)'!Y21)</f>
        <v>18113.783754376913</v>
      </c>
      <c r="AG21" s="4">
        <f>IF('Rhaniad y Ddeiliadaeth (Cymru)'!$D$8="Amcangyfrifon LlC",'Incwm (De-ddwyrain)'!H21,'Incwm (De-ddwyrain)'!Z21)</f>
        <v>18572.440899293615</v>
      </c>
      <c r="AH21" s="4">
        <f>IF('Rhaniad y Ddeiliadaeth (Cymru)'!$D$8="Amcangyfrifon LlC",'Incwm (De-ddwyrain)'!I21,'Incwm (De-ddwyrain)'!AA21)</f>
        <v>19037.647248987912</v>
      </c>
    </row>
    <row r="22" spans="2:34" x14ac:dyDescent="0.35">
      <c r="B22" s="251">
        <v>28</v>
      </c>
      <c r="C22" s="261">
        <v>16892</v>
      </c>
      <c r="D22" s="261">
        <v>17324.535012396704</v>
      </c>
      <c r="E22" s="278">
        <f>D22*(1+'Rhaniad y Ddeiliadaeth (De-ddn)'!C$109)+(D$44*(-(50-$B22)*('Rhaniad y Ddeiliadaeth (De-ddn)'!C$110/40)))</f>
        <v>17565.046593026029</v>
      </c>
      <c r="F22" s="278">
        <f>E22*(1+'Rhaniad y Ddeiliadaeth (De-ddn)'!D$109)+(E$44*(-(50-$B22)*('Rhaniad y Ddeiliadaeth (De-ddn)'!D$110/40)))</f>
        <v>18015.382319906286</v>
      </c>
      <c r="G22" s="278">
        <f>F22*(1+'Rhaniad y Ddeiliadaeth (De-ddn)'!E$109)+(F$44*(-(50-$B22)*('Rhaniad y Ddeiliadaeth (De-ddn)'!E$110/40)))</f>
        <v>18474.230075373118</v>
      </c>
      <c r="H22" s="278">
        <f>G22*(1+'Rhaniad y Ddeiliadaeth (De-ddn)'!F$109)+(G$44*(-(50-$B22)*('Rhaniad y Ddeiliadaeth (De-ddn)'!F$110/40)))</f>
        <v>18952.764366399027</v>
      </c>
      <c r="I22" s="279">
        <f>H22*(1+'Rhaniad y Ddeiliadaeth (De-ddn)'!G$109)+(H$44*(-(50-$B22)*('Rhaniad y Ddeiliadaeth (De-ddn)'!G$110/40)))</f>
        <v>19438.721928603034</v>
      </c>
      <c r="M22" s="36" t="str">
        <f t="shared" si="1"/>
        <v/>
      </c>
      <c r="N22" s="190"/>
      <c r="O22" s="13">
        <f t="shared" si="4"/>
        <v>1</v>
      </c>
      <c r="U22" s="1">
        <f t="shared" si="2"/>
        <v>28</v>
      </c>
      <c r="V22" s="4" t="str">
        <f t="shared" si="3"/>
        <v/>
      </c>
      <c r="W22" s="35" t="e">
        <f>IF($L$4=$W$3,N22,V22*(1+'Rhaniad y Ddeiliadaeth (De-ddn)'!C$109)+(V$44*(-(50-$B22)*('Rhaniad y Ddeiliadaeth (De-ddn)'!C$110/40))))</f>
        <v>#VALUE!</v>
      </c>
      <c r="X22" s="35" t="e">
        <f>W22*(1+'Rhaniad y Ddeiliadaeth (De-ddn)'!D$109)+(W$44*(-(50-$B22)*('Rhaniad y Ddeiliadaeth (De-ddn)'!D$110/40)))</f>
        <v>#VALUE!</v>
      </c>
      <c r="Y22" s="35" t="e">
        <f>X22*(1+'Rhaniad y Ddeiliadaeth (De-ddn)'!E$109)+(X$44*(-(50-$B22)*('Rhaniad y Ddeiliadaeth (De-ddn)'!E$110/40)))</f>
        <v>#VALUE!</v>
      </c>
      <c r="Z22" s="35" t="e">
        <f>Y22*(1+'Rhaniad y Ddeiliadaeth (De-ddn)'!F$109)+(Y$44*(-(50-$B22)*('Rhaniad y Ddeiliadaeth (De-ddn)'!F$110/40)))</f>
        <v>#VALUE!</v>
      </c>
      <c r="AA22" s="35" t="e">
        <f>Z22*(1+'Rhaniad y Ddeiliadaeth (De-ddn)'!G$109)+(Z$44*(-(50-$B22)*('Rhaniad y Ddeiliadaeth (De-ddn)'!G$110/40)))</f>
        <v>#VALUE!</v>
      </c>
      <c r="AC22" s="260">
        <v>28</v>
      </c>
      <c r="AD22" s="4">
        <f>IF('Rhaniad y Ddeiliadaeth (Cymru)'!$D$8="Amcangyfrifon LlC",'Incwm (De-ddwyrain)'!E22,'Incwm (De-ddwyrain)'!W22)</f>
        <v>17565.046593026029</v>
      </c>
      <c r="AE22" s="4">
        <f>IF('Rhaniad y Ddeiliadaeth (Cymru)'!$D$8="Amcangyfrifon LlC",'Incwm (De-ddwyrain)'!F22,'Incwm (De-ddwyrain)'!X22)</f>
        <v>18015.382319906286</v>
      </c>
      <c r="AF22" s="4">
        <f>IF('Rhaniad y Ddeiliadaeth (Cymru)'!$D$8="Amcangyfrifon LlC",'Incwm (De-ddwyrain)'!G22,'Incwm (De-ddwyrain)'!Y22)</f>
        <v>18474.230075373118</v>
      </c>
      <c r="AG22" s="4">
        <f>IF('Rhaniad y Ddeiliadaeth (Cymru)'!$D$8="Amcangyfrifon LlC",'Incwm (De-ddwyrain)'!H22,'Incwm (De-ddwyrain)'!Z22)</f>
        <v>18952.764366399027</v>
      </c>
      <c r="AH22" s="4">
        <f>IF('Rhaniad y Ddeiliadaeth (Cymru)'!$D$8="Amcangyfrifon LlC",'Incwm (De-ddwyrain)'!I22,'Incwm (De-ddwyrain)'!AA22)</f>
        <v>19438.721928603034</v>
      </c>
    </row>
    <row r="23" spans="2:34" x14ac:dyDescent="0.35">
      <c r="B23" s="251">
        <v>29</v>
      </c>
      <c r="C23" s="261">
        <v>17340</v>
      </c>
      <c r="D23" s="261">
        <v>17784.006459564225</v>
      </c>
      <c r="E23" s="278">
        <f>D23*(1+'Rhaniad y Ddeiliadaeth (De-ddn)'!C$109)+(D$44*(-(50-$B23)*('Rhaniad y Ddeiliadaeth (De-ddn)'!C$110/40)))</f>
        <v>18041.57497399256</v>
      </c>
      <c r="F23" s="278">
        <f>E23*(1+'Rhaniad y Ddeiliadaeth (De-ddn)'!D$109)+(E$44*(-(50-$B23)*('Rhaniad y Ddeiliadaeth (De-ddn)'!D$110/40)))</f>
        <v>18515.138141632699</v>
      </c>
      <c r="G23" s="278">
        <f>F23*(1+'Rhaniad y Ddeiliadaeth (De-ddn)'!E$109)+(F$44*(-(50-$B23)*('Rhaniad y Ddeiliadaeth (De-ddn)'!E$110/40)))</f>
        <v>18998.19793154081</v>
      </c>
      <c r="H23" s="278">
        <f>G23*(1+'Rhaniad y Ddeiliadaeth (De-ddn)'!F$109)+(G$44*(-(50-$B23)*('Rhaniad y Ddeiliadaeth (De-ddn)'!F$110/40)))</f>
        <v>19502.281156853092</v>
      </c>
      <c r="I23" s="279">
        <f>H23*(1+'Rhaniad y Ddeiliadaeth (De-ddn)'!G$109)+(H$44*(-(50-$B23)*('Rhaniad y Ddeiliadaeth (De-ddn)'!G$110/40)))</f>
        <v>20014.826781383897</v>
      </c>
      <c r="M23" s="36" t="str">
        <f t="shared" si="1"/>
        <v/>
      </c>
      <c r="N23" s="190"/>
      <c r="O23" s="13">
        <f t="shared" si="4"/>
        <v>1</v>
      </c>
      <c r="U23" s="1">
        <f t="shared" si="2"/>
        <v>29</v>
      </c>
      <c r="V23" s="4" t="str">
        <f t="shared" si="3"/>
        <v/>
      </c>
      <c r="W23" s="35" t="e">
        <f>IF($L$4=$W$3,N23,V23*(1+'Rhaniad y Ddeiliadaeth (De-ddn)'!C$109)+(V$44*(-(50-$B23)*('Rhaniad y Ddeiliadaeth (De-ddn)'!C$110/40))))</f>
        <v>#VALUE!</v>
      </c>
      <c r="X23" s="35" t="e">
        <f>W23*(1+'Rhaniad y Ddeiliadaeth (De-ddn)'!D$109)+(W$44*(-(50-$B23)*('Rhaniad y Ddeiliadaeth (De-ddn)'!D$110/40)))</f>
        <v>#VALUE!</v>
      </c>
      <c r="Y23" s="35" t="e">
        <f>X23*(1+'Rhaniad y Ddeiliadaeth (De-ddn)'!E$109)+(X$44*(-(50-$B23)*('Rhaniad y Ddeiliadaeth (De-ddn)'!E$110/40)))</f>
        <v>#VALUE!</v>
      </c>
      <c r="Z23" s="35" t="e">
        <f>Y23*(1+'Rhaniad y Ddeiliadaeth (De-ddn)'!F$109)+(Y$44*(-(50-$B23)*('Rhaniad y Ddeiliadaeth (De-ddn)'!F$110/40)))</f>
        <v>#VALUE!</v>
      </c>
      <c r="AA23" s="35" t="e">
        <f>Z23*(1+'Rhaniad y Ddeiliadaeth (De-ddn)'!G$109)+(Z$44*(-(50-$B23)*('Rhaniad y Ddeiliadaeth (De-ddn)'!G$110/40)))</f>
        <v>#VALUE!</v>
      </c>
      <c r="AC23" s="260">
        <v>29</v>
      </c>
      <c r="AD23" s="4">
        <f>IF('Rhaniad y Ddeiliadaeth (Cymru)'!$D$8="Amcangyfrifon LlC",'Incwm (De-ddwyrain)'!E23,'Incwm (De-ddwyrain)'!W23)</f>
        <v>18041.57497399256</v>
      </c>
      <c r="AE23" s="4">
        <f>IF('Rhaniad y Ddeiliadaeth (Cymru)'!$D$8="Amcangyfrifon LlC",'Incwm (De-ddwyrain)'!F23,'Incwm (De-ddwyrain)'!X23)</f>
        <v>18515.138141632699</v>
      </c>
      <c r="AF23" s="4">
        <f>IF('Rhaniad y Ddeiliadaeth (Cymru)'!$D$8="Amcangyfrifon LlC",'Incwm (De-ddwyrain)'!G23,'Incwm (De-ddwyrain)'!Y23)</f>
        <v>18998.19793154081</v>
      </c>
      <c r="AG23" s="4">
        <f>IF('Rhaniad y Ddeiliadaeth (Cymru)'!$D$8="Amcangyfrifon LlC",'Incwm (De-ddwyrain)'!H23,'Incwm (De-ddwyrain)'!Z23)</f>
        <v>19502.281156853092</v>
      </c>
      <c r="AH23" s="4">
        <f>IF('Rhaniad y Ddeiliadaeth (Cymru)'!$D$8="Amcangyfrifon LlC",'Incwm (De-ddwyrain)'!I23,'Incwm (De-ddwyrain)'!AA23)</f>
        <v>20014.826781383897</v>
      </c>
    </row>
    <row r="24" spans="2:34" x14ac:dyDescent="0.35">
      <c r="B24" s="251">
        <v>30</v>
      </c>
      <c r="C24" s="261">
        <v>17659.75</v>
      </c>
      <c r="D24" s="261">
        <v>18061.655689335359</v>
      </c>
      <c r="E24" s="278">
        <f>D24*(1+'Rhaniad y Ddeiliadaeth (De-ddn)'!C$109)+(D$44*(-(50-$B24)*('Rhaniad y Ddeiliadaeth (De-ddn)'!C$110/40)))</f>
        <v>18332.199922288353</v>
      </c>
      <c r="F24" s="278">
        <f>E24*(1+'Rhaniad y Ddeiliadaeth (De-ddn)'!D$109)+(E$44*(-(50-$B24)*('Rhaniad y Ddeiliadaeth (De-ddn)'!D$110/40)))</f>
        <v>18822.618881244722</v>
      </c>
      <c r="G24" s="278">
        <f>F24*(1+'Rhaniad y Ddeiliadaeth (De-ddn)'!E$109)+(F$44*(-(50-$B24)*('Rhaniad y Ddeiliadaeth (De-ddn)'!E$110/40)))</f>
        <v>19323.319072310522</v>
      </c>
      <c r="H24" s="278">
        <f>G24*(1+'Rhaniad y Ddeiliadaeth (De-ddn)'!F$109)+(G$44*(-(50-$B24)*('Rhaniad y Ddeiliadaeth (De-ddn)'!F$110/40)))</f>
        <v>19846.054180409021</v>
      </c>
      <c r="I24" s="279">
        <f>H24*(1+'Rhaniad y Ddeiliadaeth (De-ddn)'!G$109)+(H$44*(-(50-$B24)*('Rhaniad y Ddeiliadaeth (De-ddn)'!G$110/40)))</f>
        <v>20378.090096241038</v>
      </c>
      <c r="M24" s="36" t="str">
        <f t="shared" si="1"/>
        <v/>
      </c>
      <c r="N24" s="190"/>
      <c r="O24" s="13">
        <f t="shared" si="4"/>
        <v>1</v>
      </c>
      <c r="U24" s="1">
        <f t="shared" si="2"/>
        <v>30</v>
      </c>
      <c r="V24" s="4" t="str">
        <f t="shared" si="3"/>
        <v/>
      </c>
      <c r="W24" s="35" t="e">
        <f>IF($L$4=$W$3,N24,V24*(1+'Rhaniad y Ddeiliadaeth (De-ddn)'!C$109)+(V$44*(-(50-$B24)*('Rhaniad y Ddeiliadaeth (De-ddn)'!C$110/40))))</f>
        <v>#VALUE!</v>
      </c>
      <c r="X24" s="35" t="e">
        <f>W24*(1+'Rhaniad y Ddeiliadaeth (De-ddn)'!D$109)+(W$44*(-(50-$B24)*('Rhaniad y Ddeiliadaeth (De-ddn)'!D$110/40)))</f>
        <v>#VALUE!</v>
      </c>
      <c r="Y24" s="35" t="e">
        <f>X24*(1+'Rhaniad y Ddeiliadaeth (De-ddn)'!E$109)+(X$44*(-(50-$B24)*('Rhaniad y Ddeiliadaeth (De-ddn)'!E$110/40)))</f>
        <v>#VALUE!</v>
      </c>
      <c r="Z24" s="35" t="e">
        <f>Y24*(1+'Rhaniad y Ddeiliadaeth (De-ddn)'!F$109)+(Y$44*(-(50-$B24)*('Rhaniad y Ddeiliadaeth (De-ddn)'!F$110/40)))</f>
        <v>#VALUE!</v>
      </c>
      <c r="AA24" s="35" t="e">
        <f>Z24*(1+'Rhaniad y Ddeiliadaeth (De-ddn)'!G$109)+(Z$44*(-(50-$B24)*('Rhaniad y Ddeiliadaeth (De-ddn)'!G$110/40)))</f>
        <v>#VALUE!</v>
      </c>
      <c r="AC24" s="260">
        <v>30</v>
      </c>
      <c r="AD24" s="4">
        <f>IF('Rhaniad y Ddeiliadaeth (Cymru)'!$D$8="Amcangyfrifon LlC",'Incwm (De-ddwyrain)'!E24,'Incwm (De-ddwyrain)'!W24)</f>
        <v>18332.199922288353</v>
      </c>
      <c r="AE24" s="4">
        <f>IF('Rhaniad y Ddeiliadaeth (Cymru)'!$D$8="Amcangyfrifon LlC",'Incwm (De-ddwyrain)'!F24,'Incwm (De-ddwyrain)'!X24)</f>
        <v>18822.618881244722</v>
      </c>
      <c r="AF24" s="4">
        <f>IF('Rhaniad y Ddeiliadaeth (Cymru)'!$D$8="Amcangyfrifon LlC",'Incwm (De-ddwyrain)'!G24,'Incwm (De-ddwyrain)'!Y24)</f>
        <v>19323.319072310522</v>
      </c>
      <c r="AG24" s="4">
        <f>IF('Rhaniad y Ddeiliadaeth (Cymru)'!$D$8="Amcangyfrifon LlC",'Incwm (De-ddwyrain)'!H24,'Incwm (De-ddwyrain)'!Z24)</f>
        <v>19846.054180409021</v>
      </c>
      <c r="AH24" s="4">
        <f>IF('Rhaniad y Ddeiliadaeth (Cymru)'!$D$8="Amcangyfrifon LlC",'Incwm (De-ddwyrain)'!I24,'Incwm (De-ddwyrain)'!AA24)</f>
        <v>20378.090096241038</v>
      </c>
    </row>
    <row r="25" spans="2:34" x14ac:dyDescent="0.35">
      <c r="B25" s="251">
        <v>31</v>
      </c>
      <c r="C25" s="261">
        <v>18086.25</v>
      </c>
      <c r="D25" s="261">
        <v>18497.862099477152</v>
      </c>
      <c r="E25" s="278">
        <f>D25*(1+'Rhaniad y Ddeiliadaeth (De-ddn)'!C$109)+(D$44*(-(50-$B25)*('Rhaniad y Ddeiliadaeth (De-ddn)'!C$110/40)))</f>
        <v>18784.941054885421</v>
      </c>
      <c r="F25" s="278">
        <f>E25*(1+'Rhaniad y Ddeiliadaeth (De-ddn)'!D$109)+(E$44*(-(50-$B25)*('Rhaniad y Ddeiliadaeth (De-ddn)'!D$110/40)))</f>
        <v>19297.77217106623</v>
      </c>
      <c r="G25" s="278">
        <f>F25*(1+'Rhaniad y Ddeiliadaeth (De-ddn)'!E$109)+(F$44*(-(50-$B25)*('Rhaniad y Ddeiliadaeth (De-ddn)'!E$110/40)))</f>
        <v>19821.843524132903</v>
      </c>
      <c r="H25" s="278">
        <f>G25*(1+'Rhaniad y Ddeiliadaeth (De-ddn)'!F$109)+(G$44*(-(50-$B25)*('Rhaniad y Ddeiliadaeth (De-ddn)'!F$110/40)))</f>
        <v>20369.245055233856</v>
      </c>
      <c r="I25" s="279">
        <f>H25*(1+'Rhaniad y Ddeiliadaeth (De-ddn)'!G$109)+(H$44*(-(50-$B25)*('Rhaniad y Ddeiliadaeth (De-ddn)'!G$110/40)))</f>
        <v>20926.960839069259</v>
      </c>
      <c r="M25" s="36" t="str">
        <f t="shared" si="1"/>
        <v/>
      </c>
      <c r="N25" s="190"/>
      <c r="O25" s="13">
        <f t="shared" si="4"/>
        <v>1</v>
      </c>
      <c r="U25" s="1">
        <f t="shared" si="2"/>
        <v>31</v>
      </c>
      <c r="V25" s="4" t="str">
        <f t="shared" si="3"/>
        <v/>
      </c>
      <c r="W25" s="35" t="e">
        <f>IF($L$4=$W$3,N25,V25*(1+'Rhaniad y Ddeiliadaeth (De-ddn)'!C$109)+(V$44*(-(50-$B25)*('Rhaniad y Ddeiliadaeth (De-ddn)'!C$110/40))))</f>
        <v>#VALUE!</v>
      </c>
      <c r="X25" s="35" t="e">
        <f>W25*(1+'Rhaniad y Ddeiliadaeth (De-ddn)'!D$109)+(W$44*(-(50-$B25)*('Rhaniad y Ddeiliadaeth (De-ddn)'!D$110/40)))</f>
        <v>#VALUE!</v>
      </c>
      <c r="Y25" s="35" t="e">
        <f>X25*(1+'Rhaniad y Ddeiliadaeth (De-ddn)'!E$109)+(X$44*(-(50-$B25)*('Rhaniad y Ddeiliadaeth (De-ddn)'!E$110/40)))</f>
        <v>#VALUE!</v>
      </c>
      <c r="Z25" s="35" t="e">
        <f>Y25*(1+'Rhaniad y Ddeiliadaeth (De-ddn)'!F$109)+(Y$44*(-(50-$B25)*('Rhaniad y Ddeiliadaeth (De-ddn)'!F$110/40)))</f>
        <v>#VALUE!</v>
      </c>
      <c r="AA25" s="35" t="e">
        <f>Z25*(1+'Rhaniad y Ddeiliadaeth (De-ddn)'!G$109)+(Z$44*(-(50-$B25)*('Rhaniad y Ddeiliadaeth (De-ddn)'!G$110/40)))</f>
        <v>#VALUE!</v>
      </c>
      <c r="AC25" s="260">
        <v>31</v>
      </c>
      <c r="AD25" s="4">
        <f>IF('Rhaniad y Ddeiliadaeth (Cymru)'!$D$8="Amcangyfrifon LlC",'Incwm (De-ddwyrain)'!E25,'Incwm (De-ddwyrain)'!W25)</f>
        <v>18784.941054885421</v>
      </c>
      <c r="AE25" s="4">
        <f>IF('Rhaniad y Ddeiliadaeth (Cymru)'!$D$8="Amcangyfrifon LlC",'Incwm (De-ddwyrain)'!F25,'Incwm (De-ddwyrain)'!X25)</f>
        <v>19297.77217106623</v>
      </c>
      <c r="AF25" s="4">
        <f>IF('Rhaniad y Ddeiliadaeth (Cymru)'!$D$8="Amcangyfrifon LlC",'Incwm (De-ddwyrain)'!G25,'Incwm (De-ddwyrain)'!Y25)</f>
        <v>19821.843524132903</v>
      </c>
      <c r="AG25" s="4">
        <f>IF('Rhaniad y Ddeiliadaeth (Cymru)'!$D$8="Amcangyfrifon LlC",'Incwm (De-ddwyrain)'!H25,'Incwm (De-ddwyrain)'!Z25)</f>
        <v>20369.245055233856</v>
      </c>
      <c r="AH25" s="4">
        <f>IF('Rhaniad y Ddeiliadaeth (Cymru)'!$D$8="Amcangyfrifon LlC",'Incwm (De-ddwyrain)'!I25,'Incwm (De-ddwyrain)'!AA25)</f>
        <v>20926.960839069259</v>
      </c>
    </row>
    <row r="26" spans="2:34" x14ac:dyDescent="0.35">
      <c r="B26" s="251">
        <v>32</v>
      </c>
      <c r="C26" s="261">
        <v>18532</v>
      </c>
      <c r="D26" s="261">
        <v>18953.756606676929</v>
      </c>
      <c r="E26" s="278">
        <f>D26*(1+'Rhaniad y Ddeiliadaeth (De-ddn)'!C$109)+(D$44*(-(50-$B26)*('Rhaniad y Ddeiliadaeth (De-ddn)'!C$110/40)))</f>
        <v>19257.812207225095</v>
      </c>
      <c r="F26" s="278">
        <f>E26*(1+'Rhaniad y Ddeiliadaeth (De-ddn)'!D$109)+(E$44*(-(50-$B26)*('Rhaniad y Ddeiliadaeth (De-ddn)'!D$110/40)))</f>
        <v>19793.745416406411</v>
      </c>
      <c r="G26" s="278">
        <f>F26*(1+'Rhaniad y Ddeiliadaeth (De-ddn)'!E$109)+(F$44*(-(50-$B26)*('Rhaniad y Ddeiliadaeth (De-ddn)'!E$110/40)))</f>
        <v>20341.899521926269</v>
      </c>
      <c r="H26" s="278">
        <f>G26*(1+'Rhaniad y Ddeiliadaeth (De-ddn)'!F$109)+(G$44*(-(50-$B26)*('Rhaniad y Ddeiliadaeth (De-ddn)'!F$110/40)))</f>
        <v>20914.714303459747</v>
      </c>
      <c r="I26" s="279">
        <f>H26*(1+'Rhaniad y Ddeiliadaeth (De-ddn)'!G$109)+(H$44*(-(50-$B26)*('Rhaniad y Ddeiliadaeth (De-ddn)'!G$110/40)))</f>
        <v>21498.878517066441</v>
      </c>
      <c r="M26" s="36" t="str">
        <f t="shared" si="1"/>
        <v/>
      </c>
      <c r="N26" s="190"/>
      <c r="O26" s="13">
        <f t="shared" si="4"/>
        <v>1</v>
      </c>
      <c r="U26" s="1">
        <f t="shared" si="2"/>
        <v>32</v>
      </c>
      <c r="V26" s="4" t="str">
        <f t="shared" si="3"/>
        <v/>
      </c>
      <c r="W26" s="35" t="e">
        <f>IF($L$4=$W$3,N26,V26*(1+'Rhaniad y Ddeiliadaeth (De-ddn)'!C$109)+(V$44*(-(50-$B26)*('Rhaniad y Ddeiliadaeth (De-ddn)'!C$110/40))))</f>
        <v>#VALUE!</v>
      </c>
      <c r="X26" s="35" t="e">
        <f>W26*(1+'Rhaniad y Ddeiliadaeth (De-ddn)'!D$109)+(W$44*(-(50-$B26)*('Rhaniad y Ddeiliadaeth (De-ddn)'!D$110/40)))</f>
        <v>#VALUE!</v>
      </c>
      <c r="Y26" s="35" t="e">
        <f>X26*(1+'Rhaniad y Ddeiliadaeth (De-ddn)'!E$109)+(X$44*(-(50-$B26)*('Rhaniad y Ddeiliadaeth (De-ddn)'!E$110/40)))</f>
        <v>#VALUE!</v>
      </c>
      <c r="Z26" s="35" t="e">
        <f>Y26*(1+'Rhaniad y Ddeiliadaeth (De-ddn)'!F$109)+(Y$44*(-(50-$B26)*('Rhaniad y Ddeiliadaeth (De-ddn)'!F$110/40)))</f>
        <v>#VALUE!</v>
      </c>
      <c r="AA26" s="35" t="e">
        <f>Z26*(1+'Rhaniad y Ddeiliadaeth (De-ddn)'!G$109)+(Z$44*(-(50-$B26)*('Rhaniad y Ddeiliadaeth (De-ddn)'!G$110/40)))</f>
        <v>#VALUE!</v>
      </c>
      <c r="AC26" s="260">
        <v>32</v>
      </c>
      <c r="AD26" s="4">
        <f>IF('Rhaniad y Ddeiliadaeth (Cymru)'!$D$8="Amcangyfrifon LlC",'Incwm (De-ddwyrain)'!E26,'Incwm (De-ddwyrain)'!W26)</f>
        <v>19257.812207225095</v>
      </c>
      <c r="AE26" s="4">
        <f>IF('Rhaniad y Ddeiliadaeth (Cymru)'!$D$8="Amcangyfrifon LlC",'Incwm (De-ddwyrain)'!F26,'Incwm (De-ddwyrain)'!X26)</f>
        <v>19793.745416406411</v>
      </c>
      <c r="AF26" s="4">
        <f>IF('Rhaniad y Ddeiliadaeth (Cymru)'!$D$8="Amcangyfrifon LlC",'Incwm (De-ddwyrain)'!G26,'Incwm (De-ddwyrain)'!Y26)</f>
        <v>20341.899521926269</v>
      </c>
      <c r="AG26" s="4">
        <f>IF('Rhaniad y Ddeiliadaeth (Cymru)'!$D$8="Amcangyfrifon LlC",'Incwm (De-ddwyrain)'!H26,'Incwm (De-ddwyrain)'!Z26)</f>
        <v>20914.714303459747</v>
      </c>
      <c r="AH26" s="4">
        <f>IF('Rhaniad y Ddeiliadaeth (Cymru)'!$D$8="Amcangyfrifon LlC",'Incwm (De-ddwyrain)'!I26,'Incwm (De-ddwyrain)'!AA26)</f>
        <v>21498.878517066441</v>
      </c>
    </row>
    <row r="27" spans="2:34" x14ac:dyDescent="0.35">
      <c r="B27" s="251">
        <v>33</v>
      </c>
      <c r="C27" s="261">
        <v>18905.439999999999</v>
      </c>
      <c r="D27" s="261">
        <v>19335.695462018899</v>
      </c>
      <c r="E27" s="278">
        <f>D27*(1+'Rhaniad y Ddeiliadaeth (De-ddn)'!C$109)+(D$44*(-(50-$B27)*('Rhaniad y Ddeiliadaeth (De-ddn)'!C$110/40)))</f>
        <v>19655.067685404363</v>
      </c>
      <c r="F27" s="278">
        <f>E27*(1+'Rhaniad y Ddeiliadaeth (De-ddn)'!D$109)+(E$44*(-(50-$B27)*('Rhaniad y Ddeiliadaeth (De-ddn)'!D$110/40)))</f>
        <v>20211.511337925531</v>
      </c>
      <c r="G27" s="278">
        <f>F27*(1+'Rhaniad y Ddeiliadaeth (De-ddn)'!E$109)+(F$44*(-(50-$B27)*('Rhaniad y Ddeiliadaeth (De-ddn)'!E$110/40)))</f>
        <v>20781.075203399534</v>
      </c>
      <c r="H27" s="278">
        <f>G27*(1+'Rhaniad y Ddeiliadaeth (De-ddn)'!F$109)+(G$44*(-(50-$B27)*('Rhaniad y Ddeiliadaeth (De-ddn)'!F$110/40)))</f>
        <v>21376.497879964565</v>
      </c>
      <c r="I27" s="279">
        <f>H27*(1+'Rhaniad y Ddeiliadaeth (De-ddn)'!G$109)+(H$44*(-(50-$B27)*('Rhaniad y Ddeiliadaeth (De-ddn)'!G$110/40)))</f>
        <v>21984.22352586528</v>
      </c>
      <c r="M27" s="36" t="str">
        <f t="shared" si="1"/>
        <v/>
      </c>
      <c r="N27" s="190"/>
      <c r="O27" s="13">
        <f t="shared" si="4"/>
        <v>1</v>
      </c>
      <c r="U27" s="1">
        <f t="shared" si="2"/>
        <v>33</v>
      </c>
      <c r="V27" s="4" t="str">
        <f t="shared" si="3"/>
        <v/>
      </c>
      <c r="W27" s="35" t="e">
        <f>IF($L$4=$W$3,N27,V27*(1+'Rhaniad y Ddeiliadaeth (De-ddn)'!C$109)+(V$44*(-(50-$B27)*('Rhaniad y Ddeiliadaeth (De-ddn)'!C$110/40))))</f>
        <v>#VALUE!</v>
      </c>
      <c r="X27" s="35" t="e">
        <f>W27*(1+'Rhaniad y Ddeiliadaeth (De-ddn)'!D$109)+(W$44*(-(50-$B27)*('Rhaniad y Ddeiliadaeth (De-ddn)'!D$110/40)))</f>
        <v>#VALUE!</v>
      </c>
      <c r="Y27" s="35" t="e">
        <f>X27*(1+'Rhaniad y Ddeiliadaeth (De-ddn)'!E$109)+(X$44*(-(50-$B27)*('Rhaniad y Ddeiliadaeth (De-ddn)'!E$110/40)))</f>
        <v>#VALUE!</v>
      </c>
      <c r="Z27" s="35" t="e">
        <f>Y27*(1+'Rhaniad y Ddeiliadaeth (De-ddn)'!F$109)+(Y$44*(-(50-$B27)*('Rhaniad y Ddeiliadaeth (De-ddn)'!F$110/40)))</f>
        <v>#VALUE!</v>
      </c>
      <c r="AA27" s="35" t="e">
        <f>Z27*(1+'Rhaniad y Ddeiliadaeth (De-ddn)'!G$109)+(Z$44*(-(50-$B27)*('Rhaniad y Ddeiliadaeth (De-ddn)'!G$110/40)))</f>
        <v>#VALUE!</v>
      </c>
      <c r="AC27" s="260">
        <v>33</v>
      </c>
      <c r="AD27" s="4">
        <f>IF('Rhaniad y Ddeiliadaeth (Cymru)'!$D$8="Amcangyfrifon LlC",'Incwm (De-ddwyrain)'!E27,'Incwm (De-ddwyrain)'!W27)</f>
        <v>19655.067685404363</v>
      </c>
      <c r="AE27" s="4">
        <f>IF('Rhaniad y Ddeiliadaeth (Cymru)'!$D$8="Amcangyfrifon LlC",'Incwm (De-ddwyrain)'!F27,'Incwm (De-ddwyrain)'!X27)</f>
        <v>20211.511337925531</v>
      </c>
      <c r="AF27" s="4">
        <f>IF('Rhaniad y Ddeiliadaeth (Cymru)'!$D$8="Amcangyfrifon LlC",'Incwm (De-ddwyrain)'!G27,'Incwm (De-ddwyrain)'!Y27)</f>
        <v>20781.075203399534</v>
      </c>
      <c r="AG27" s="4">
        <f>IF('Rhaniad y Ddeiliadaeth (Cymru)'!$D$8="Amcangyfrifon LlC",'Incwm (De-ddwyrain)'!H27,'Incwm (De-ddwyrain)'!Z27)</f>
        <v>21376.497879964565</v>
      </c>
      <c r="AH27" s="4">
        <f>IF('Rhaniad y Ddeiliadaeth (Cymru)'!$D$8="Amcangyfrifon LlC",'Incwm (De-ddwyrain)'!I27,'Incwm (De-ddwyrain)'!AA27)</f>
        <v>21984.22352586528</v>
      </c>
    </row>
    <row r="28" spans="2:34" x14ac:dyDescent="0.35">
      <c r="B28" s="251">
        <v>34</v>
      </c>
      <c r="C28" s="261">
        <v>19366</v>
      </c>
      <c r="D28" s="261">
        <v>19806.737019474713</v>
      </c>
      <c r="E28" s="278">
        <f>D28*(1+'Rhaniad y Ddeiliadaeth (De-ddn)'!C$109)+(D$44*(-(50-$B28)*('Rhaniad y Ddeiliadaeth (De-ddn)'!C$110/40)))</f>
        <v>20143.425881504452</v>
      </c>
      <c r="F28" s="278">
        <f>E28*(1+'Rhaniad y Ddeiliadaeth (De-ddn)'!D$109)+(E$44*(-(50-$B28)*('Rhaniad y Ddeiliadaeth (De-ddn)'!D$110/40)))</f>
        <v>20723.502429563454</v>
      </c>
      <c r="G28" s="278">
        <f>F28*(1+'Rhaniad y Ddeiliadaeth (De-ddn)'!E$109)+(F$44*(-(50-$B28)*('Rhaniad y Ddeiliadaeth (De-ddn)'!E$110/40)))</f>
        <v>21317.696510067199</v>
      </c>
      <c r="H28" s="278">
        <f>G28*(1+'Rhaniad y Ddeiliadaeth (De-ddn)'!F$109)+(G$44*(-(50-$B28)*('Rhaniad y Ddeiliadaeth (De-ddn)'!F$110/40)))</f>
        <v>21939.107009233041</v>
      </c>
      <c r="I28" s="279">
        <f>H28*(1+'Rhaniad y Ddeiliadaeth (De-ddn)'!G$109)+(H$44*(-(50-$B28)*('Rhaniad y Ddeiliadaeth (De-ddn)'!G$110/40)))</f>
        <v>22573.872378400254</v>
      </c>
      <c r="M28" s="36" t="str">
        <f t="shared" si="1"/>
        <v/>
      </c>
      <c r="N28" s="190"/>
      <c r="O28" s="13">
        <f t="shared" si="4"/>
        <v>1</v>
      </c>
      <c r="U28" s="1">
        <f t="shared" si="2"/>
        <v>34</v>
      </c>
      <c r="V28" s="4" t="str">
        <f t="shared" si="3"/>
        <v/>
      </c>
      <c r="W28" s="35" t="e">
        <f>IF($L$4=$W$3,N28,V28*(1+'Rhaniad y Ddeiliadaeth (De-ddn)'!C$109)+(V$44*(-(50-$B28)*('Rhaniad y Ddeiliadaeth (De-ddn)'!C$110/40))))</f>
        <v>#VALUE!</v>
      </c>
      <c r="X28" s="35" t="e">
        <f>W28*(1+'Rhaniad y Ddeiliadaeth (De-ddn)'!D$109)+(W$44*(-(50-$B28)*('Rhaniad y Ddeiliadaeth (De-ddn)'!D$110/40)))</f>
        <v>#VALUE!</v>
      </c>
      <c r="Y28" s="35" t="e">
        <f>X28*(1+'Rhaniad y Ddeiliadaeth (De-ddn)'!E$109)+(X$44*(-(50-$B28)*('Rhaniad y Ddeiliadaeth (De-ddn)'!E$110/40)))</f>
        <v>#VALUE!</v>
      </c>
      <c r="Z28" s="35" t="e">
        <f>Y28*(1+'Rhaniad y Ddeiliadaeth (De-ddn)'!F$109)+(Y$44*(-(50-$B28)*('Rhaniad y Ddeiliadaeth (De-ddn)'!F$110/40)))</f>
        <v>#VALUE!</v>
      </c>
      <c r="AA28" s="35" t="e">
        <f>Z28*(1+'Rhaniad y Ddeiliadaeth (De-ddn)'!G$109)+(Z$44*(-(50-$B28)*('Rhaniad y Ddeiliadaeth (De-ddn)'!G$110/40)))</f>
        <v>#VALUE!</v>
      </c>
      <c r="AC28" s="260">
        <v>34</v>
      </c>
      <c r="AD28" s="4">
        <f>IF('Rhaniad y Ddeiliadaeth (Cymru)'!$D$8="Amcangyfrifon LlC",'Incwm (De-ddwyrain)'!E28,'Incwm (De-ddwyrain)'!W28)</f>
        <v>20143.425881504452</v>
      </c>
      <c r="AE28" s="4">
        <f>IF('Rhaniad y Ddeiliadaeth (Cymru)'!$D$8="Amcangyfrifon LlC",'Incwm (De-ddwyrain)'!F28,'Incwm (De-ddwyrain)'!X28)</f>
        <v>20723.502429563454</v>
      </c>
      <c r="AF28" s="4">
        <f>IF('Rhaniad y Ddeiliadaeth (Cymru)'!$D$8="Amcangyfrifon LlC",'Incwm (De-ddwyrain)'!G28,'Incwm (De-ddwyrain)'!Y28)</f>
        <v>21317.696510067199</v>
      </c>
      <c r="AG28" s="4">
        <f>IF('Rhaniad y Ddeiliadaeth (Cymru)'!$D$8="Amcangyfrifon LlC",'Incwm (De-ddwyrain)'!H28,'Incwm (De-ddwyrain)'!Z28)</f>
        <v>21939.107009233041</v>
      </c>
      <c r="AH28" s="4">
        <f>IF('Rhaniad y Ddeiliadaeth (Cymru)'!$D$8="Amcangyfrifon LlC",'Incwm (De-ddwyrain)'!I28,'Incwm (De-ddwyrain)'!AA28)</f>
        <v>22573.872378400254</v>
      </c>
    </row>
    <row r="29" spans="2:34" x14ac:dyDescent="0.35">
      <c r="B29" s="251">
        <v>35</v>
      </c>
      <c r="C29" s="261">
        <v>19692.5</v>
      </c>
      <c r="D29" s="261">
        <v>20140.667600743869</v>
      </c>
      <c r="E29" s="278">
        <f>D29*(1+'Rhaniad y Ddeiliadaeth (De-ddn)'!C$109)+(D$44*(-(50-$B29)*('Rhaniad y Ddeiliadaeth (De-ddn)'!C$110/40)))</f>
        <v>20491.595482971097</v>
      </c>
      <c r="F29" s="278">
        <f>E29*(1+'Rhaniad y Ddeiliadaeth (De-ddn)'!D$109)+(E$44*(-(50-$B29)*('Rhaniad y Ddeiliadaeth (De-ddn)'!D$110/40)))</f>
        <v>21090.500106300926</v>
      </c>
      <c r="G29" s="278">
        <f>F29*(1+'Rhaniad y Ddeiliadaeth (De-ddn)'!E$109)+(F$44*(-(50-$B29)*('Rhaniad y Ddeiliadaeth (De-ddn)'!E$110/40)))</f>
        <v>21704.36877502732</v>
      </c>
      <c r="H29" s="278">
        <f>G29*(1+'Rhaniad y Ddeiliadaeth (De-ddn)'!F$109)+(G$44*(-(50-$B29)*('Rhaniad y Ddeiliadaeth (De-ddn)'!F$110/40)))</f>
        <v>22346.566074182232</v>
      </c>
      <c r="I29" s="279">
        <f>H29*(1+'Rhaniad y Ddeiliadaeth (De-ddn)'!G$109)+(H$44*(-(50-$B29)*('Rhaniad y Ddeiliadaeth (De-ddn)'!G$110/40)))</f>
        <v>23003.01878268837</v>
      </c>
      <c r="M29" s="36" t="str">
        <f t="shared" si="1"/>
        <v/>
      </c>
      <c r="N29" s="190"/>
      <c r="O29" s="13">
        <f t="shared" si="4"/>
        <v>1</v>
      </c>
      <c r="U29" s="1">
        <f t="shared" si="2"/>
        <v>35</v>
      </c>
      <c r="V29" s="4" t="str">
        <f t="shared" si="3"/>
        <v/>
      </c>
      <c r="W29" s="35" t="e">
        <f>IF($L$4=$W$3,N29,V29*(1+'Rhaniad y Ddeiliadaeth (De-ddn)'!C$109)+(V$44*(-(50-$B29)*('Rhaniad y Ddeiliadaeth (De-ddn)'!C$110/40))))</f>
        <v>#VALUE!</v>
      </c>
      <c r="X29" s="35" t="e">
        <f>W29*(1+'Rhaniad y Ddeiliadaeth (De-ddn)'!D$109)+(W$44*(-(50-$B29)*('Rhaniad y Ddeiliadaeth (De-ddn)'!D$110/40)))</f>
        <v>#VALUE!</v>
      </c>
      <c r="Y29" s="35" t="e">
        <f>X29*(1+'Rhaniad y Ddeiliadaeth (De-ddn)'!E$109)+(X$44*(-(50-$B29)*('Rhaniad y Ddeiliadaeth (De-ddn)'!E$110/40)))</f>
        <v>#VALUE!</v>
      </c>
      <c r="Z29" s="35" t="e">
        <f>Y29*(1+'Rhaniad y Ddeiliadaeth (De-ddn)'!F$109)+(Y$44*(-(50-$B29)*('Rhaniad y Ddeiliadaeth (De-ddn)'!F$110/40)))</f>
        <v>#VALUE!</v>
      </c>
      <c r="AA29" s="35" t="e">
        <f>Z29*(1+'Rhaniad y Ddeiliadaeth (De-ddn)'!G$109)+(Z$44*(-(50-$B29)*('Rhaniad y Ddeiliadaeth (De-ddn)'!G$110/40)))</f>
        <v>#VALUE!</v>
      </c>
      <c r="AC29" s="260">
        <v>35</v>
      </c>
      <c r="AD29" s="4">
        <f>IF('Rhaniad y Ddeiliadaeth (Cymru)'!$D$8="Amcangyfrifon LlC",'Incwm (De-ddwyrain)'!E29,'Incwm (De-ddwyrain)'!W29)</f>
        <v>20491.595482971097</v>
      </c>
      <c r="AE29" s="4">
        <f>IF('Rhaniad y Ddeiliadaeth (Cymru)'!$D$8="Amcangyfrifon LlC",'Incwm (De-ddwyrain)'!F29,'Incwm (De-ddwyrain)'!X29)</f>
        <v>21090.500106300926</v>
      </c>
      <c r="AF29" s="4">
        <f>IF('Rhaniad y Ddeiliadaeth (Cymru)'!$D$8="Amcangyfrifon LlC",'Incwm (De-ddwyrain)'!G29,'Incwm (De-ddwyrain)'!Y29)</f>
        <v>21704.36877502732</v>
      </c>
      <c r="AG29" s="4">
        <f>IF('Rhaniad y Ddeiliadaeth (Cymru)'!$D$8="Amcangyfrifon LlC",'Incwm (De-ddwyrain)'!H29,'Incwm (De-ddwyrain)'!Z29)</f>
        <v>22346.566074182232</v>
      </c>
      <c r="AH29" s="4">
        <f>IF('Rhaniad y Ddeiliadaeth (Cymru)'!$D$8="Amcangyfrifon LlC",'Incwm (De-ddwyrain)'!I29,'Incwm (De-ddwyrain)'!AA29)</f>
        <v>23003.01878268837</v>
      </c>
    </row>
    <row r="30" spans="2:34" x14ac:dyDescent="0.35">
      <c r="B30" s="251">
        <v>36</v>
      </c>
      <c r="C30" s="261">
        <v>20010</v>
      </c>
      <c r="D30" s="261">
        <v>20465.39335741449</v>
      </c>
      <c r="E30" s="278">
        <f>D30*(1+'Rhaniad y Ddeiliadaeth (De-ddn)'!C$109)+(D$44*(-(50-$B30)*('Rhaniad y Ddeiliadaeth (De-ddn)'!C$110/40)))</f>
        <v>20830.353646636009</v>
      </c>
      <c r="F30" s="278">
        <f>E30*(1+'Rhaniad y Ddeiliadaeth (De-ddn)'!D$109)+(E$44*(-(50-$B30)*('Rhaniad y Ddeiliadaeth (De-ddn)'!D$110/40)))</f>
        <v>21447.763777860844</v>
      </c>
      <c r="G30" s="278">
        <f>F30*(1+'Rhaniad y Ddeiliadaeth (De-ddn)'!E$109)+(F$44*(-(50-$B30)*('Rhaniad y Ddeiliadaeth (De-ddn)'!E$110/40)))</f>
        <v>22080.974343169844</v>
      </c>
      <c r="H30" s="278">
        <f>G30*(1+'Rhaniad y Ddeiliadaeth (De-ddn)'!F$109)+(G$44*(-(50-$B30)*('Rhaniad y Ddeiliadaeth (De-ddn)'!F$110/40)))</f>
        <v>22743.60927624262</v>
      </c>
      <c r="I30" s="279">
        <f>H30*(1+'Rhaniad y Ddeiliadaeth (De-ddn)'!G$109)+(H$44*(-(50-$B30)*('Rhaniad y Ddeiliadaeth (De-ddn)'!G$110/40)))</f>
        <v>23421.389996507885</v>
      </c>
      <c r="M30" s="36" t="str">
        <f t="shared" si="1"/>
        <v/>
      </c>
      <c r="N30" s="190"/>
      <c r="O30" s="13">
        <f t="shared" si="4"/>
        <v>1</v>
      </c>
      <c r="U30" s="1">
        <f t="shared" si="2"/>
        <v>36</v>
      </c>
      <c r="V30" s="4" t="str">
        <f t="shared" si="3"/>
        <v/>
      </c>
      <c r="W30" s="35" t="e">
        <f>IF($L$4=$W$3,N30,V30*(1+'Rhaniad y Ddeiliadaeth (De-ddn)'!C$109)+(V$44*(-(50-$B30)*('Rhaniad y Ddeiliadaeth (De-ddn)'!C$110/40))))</f>
        <v>#VALUE!</v>
      </c>
      <c r="X30" s="35" t="e">
        <f>W30*(1+'Rhaniad y Ddeiliadaeth (De-ddn)'!D$109)+(W$44*(-(50-$B30)*('Rhaniad y Ddeiliadaeth (De-ddn)'!D$110/40)))</f>
        <v>#VALUE!</v>
      </c>
      <c r="Y30" s="35" t="e">
        <f>X30*(1+'Rhaniad y Ddeiliadaeth (De-ddn)'!E$109)+(X$44*(-(50-$B30)*('Rhaniad y Ddeiliadaeth (De-ddn)'!E$110/40)))</f>
        <v>#VALUE!</v>
      </c>
      <c r="Z30" s="35" t="e">
        <f>Y30*(1+'Rhaniad y Ddeiliadaeth (De-ddn)'!F$109)+(Y$44*(-(50-$B30)*('Rhaniad y Ddeiliadaeth (De-ddn)'!F$110/40)))</f>
        <v>#VALUE!</v>
      </c>
      <c r="AA30" s="35" t="e">
        <f>Z30*(1+'Rhaniad y Ddeiliadaeth (De-ddn)'!G$109)+(Z$44*(-(50-$B30)*('Rhaniad y Ddeiliadaeth (De-ddn)'!G$110/40)))</f>
        <v>#VALUE!</v>
      </c>
      <c r="AC30" s="260">
        <v>36</v>
      </c>
      <c r="AD30" s="4">
        <f>IF('Rhaniad y Ddeiliadaeth (Cymru)'!$D$8="Amcangyfrifon LlC",'Incwm (De-ddwyrain)'!E30,'Incwm (De-ddwyrain)'!W30)</f>
        <v>20830.353646636009</v>
      </c>
      <c r="AE30" s="4">
        <f>IF('Rhaniad y Ddeiliadaeth (Cymru)'!$D$8="Amcangyfrifon LlC",'Incwm (De-ddwyrain)'!F30,'Incwm (De-ddwyrain)'!X30)</f>
        <v>21447.763777860844</v>
      </c>
      <c r="AF30" s="4">
        <f>IF('Rhaniad y Ddeiliadaeth (Cymru)'!$D$8="Amcangyfrifon LlC",'Incwm (De-ddwyrain)'!G30,'Incwm (De-ddwyrain)'!Y30)</f>
        <v>22080.974343169844</v>
      </c>
      <c r="AG30" s="4">
        <f>IF('Rhaniad y Ddeiliadaeth (Cymru)'!$D$8="Amcangyfrifon LlC",'Incwm (De-ddwyrain)'!H30,'Incwm (De-ddwyrain)'!Z30)</f>
        <v>22743.60927624262</v>
      </c>
      <c r="AH30" s="4">
        <f>IF('Rhaniad y Ddeiliadaeth (Cymru)'!$D$8="Amcangyfrifon LlC",'Incwm (De-ddwyrain)'!I30,'Incwm (De-ddwyrain)'!AA30)</f>
        <v>23421.389996507885</v>
      </c>
    </row>
    <row r="31" spans="2:34" x14ac:dyDescent="0.35">
      <c r="B31" s="251">
        <v>37</v>
      </c>
      <c r="C31" s="261">
        <v>20343.099999999999</v>
      </c>
      <c r="D31" s="261">
        <v>20806.07414338924</v>
      </c>
      <c r="E31" s="278">
        <f>D31*(1+'Rhaniad y Ddeiliadaeth (De-ddn)'!C$109)+(D$44*(-(50-$B31)*('Rhaniad y Ddeiliadaeth (De-ddn)'!C$110/40)))</f>
        <v>21185.424969157262</v>
      </c>
      <c r="F31" s="278">
        <f>E31*(1+'Rhaniad y Ddeiliadaeth (De-ddn)'!D$109)+(E$44*(-(50-$B31)*('Rhaniad y Ddeiliadaeth (De-ddn)'!D$110/40)))</f>
        <v>21821.899725061863</v>
      </c>
      <c r="G31" s="278">
        <f>F31*(1+'Rhaniad y Ddeiliadaeth (De-ddn)'!E$109)+(F$44*(-(50-$B31)*('Rhaniad y Ddeiliadaeth (De-ddn)'!E$110/40)))</f>
        <v>22475.028852462878</v>
      </c>
      <c r="H31" s="278">
        <f>G31*(1+'Rhaniad y Ddeiliadaeth (De-ddn)'!F$109)+(G$44*(-(50-$B31)*('Rhaniad y Ddeiliadaeth (De-ddn)'!F$110/40)))</f>
        <v>23158.706640643606</v>
      </c>
      <c r="I31" s="279">
        <f>H31*(1+'Rhaniad y Ddeiliadaeth (De-ddn)'!G$109)+(H$44*(-(50-$B31)*('Rhaniad y Ddeiliadaeth (De-ddn)'!G$110/40)))</f>
        <v>23858.43820713965</v>
      </c>
      <c r="M31" s="36" t="str">
        <f t="shared" si="1"/>
        <v/>
      </c>
      <c r="N31" s="190"/>
      <c r="O31" s="13">
        <f t="shared" si="4"/>
        <v>1</v>
      </c>
      <c r="U31" s="1">
        <f t="shared" si="2"/>
        <v>37</v>
      </c>
      <c r="V31" s="4" t="str">
        <f t="shared" si="3"/>
        <v/>
      </c>
      <c r="W31" s="35" t="e">
        <f>IF($L$4=$W$3,N31,V31*(1+'Rhaniad y Ddeiliadaeth (De-ddn)'!C$109)+(V$44*(-(50-$B31)*('Rhaniad y Ddeiliadaeth (De-ddn)'!C$110/40))))</f>
        <v>#VALUE!</v>
      </c>
      <c r="X31" s="35" t="e">
        <f>W31*(1+'Rhaniad y Ddeiliadaeth (De-ddn)'!D$109)+(W$44*(-(50-$B31)*('Rhaniad y Ddeiliadaeth (De-ddn)'!D$110/40)))</f>
        <v>#VALUE!</v>
      </c>
      <c r="Y31" s="35" t="e">
        <f>X31*(1+'Rhaniad y Ddeiliadaeth (De-ddn)'!E$109)+(X$44*(-(50-$B31)*('Rhaniad y Ddeiliadaeth (De-ddn)'!E$110/40)))</f>
        <v>#VALUE!</v>
      </c>
      <c r="Z31" s="35" t="e">
        <f>Y31*(1+'Rhaniad y Ddeiliadaeth (De-ddn)'!F$109)+(Y$44*(-(50-$B31)*('Rhaniad y Ddeiliadaeth (De-ddn)'!F$110/40)))</f>
        <v>#VALUE!</v>
      </c>
      <c r="AA31" s="35" t="e">
        <f>Z31*(1+'Rhaniad y Ddeiliadaeth (De-ddn)'!G$109)+(Z$44*(-(50-$B31)*('Rhaniad y Ddeiliadaeth (De-ddn)'!G$110/40)))</f>
        <v>#VALUE!</v>
      </c>
      <c r="AC31" s="260">
        <v>37</v>
      </c>
      <c r="AD31" s="4">
        <f>IF('Rhaniad y Ddeiliadaeth (Cymru)'!$D$8="Amcangyfrifon LlC",'Incwm (De-ddwyrain)'!E31,'Incwm (De-ddwyrain)'!W31)</f>
        <v>21185.424969157262</v>
      </c>
      <c r="AE31" s="4">
        <f>IF('Rhaniad y Ddeiliadaeth (Cymru)'!$D$8="Amcangyfrifon LlC",'Incwm (De-ddwyrain)'!F31,'Incwm (De-ddwyrain)'!X31)</f>
        <v>21821.899725061863</v>
      </c>
      <c r="AF31" s="4">
        <f>IF('Rhaniad y Ddeiliadaeth (Cymru)'!$D$8="Amcangyfrifon LlC",'Incwm (De-ddwyrain)'!G31,'Incwm (De-ddwyrain)'!Y31)</f>
        <v>22475.028852462878</v>
      </c>
      <c r="AG31" s="4">
        <f>IF('Rhaniad y Ddeiliadaeth (Cymru)'!$D$8="Amcangyfrifon LlC",'Incwm (De-ddwyrain)'!H31,'Incwm (De-ddwyrain)'!Z31)</f>
        <v>23158.706640643606</v>
      </c>
      <c r="AH31" s="4">
        <f>IF('Rhaniad y Ddeiliadaeth (Cymru)'!$D$8="Amcangyfrifon LlC",'Incwm (De-ddwyrain)'!I31,'Incwm (De-ddwyrain)'!AA31)</f>
        <v>23858.43820713965</v>
      </c>
    </row>
    <row r="32" spans="2:34" x14ac:dyDescent="0.35">
      <c r="B32" s="251">
        <v>38</v>
      </c>
      <c r="C32" s="261">
        <v>20791</v>
      </c>
      <c r="D32" s="261">
        <v>21264.16758090978</v>
      </c>
      <c r="E32" s="278">
        <f>D32*(1+'Rhaniad y Ddeiliadaeth (De-ddn)'!C$109)+(D$44*(-(50-$B32)*('Rhaniad y Ddeiliadaeth (De-ddn)'!C$110/40)))</f>
        <v>21660.544409416241</v>
      </c>
      <c r="F32" s="278">
        <f>E32*(1+'Rhaniad y Ddeiliadaeth (De-ddn)'!D$109)+(E$44*(-(50-$B32)*('Rhaniad y Ddeiliadaeth (De-ddn)'!D$110/40)))</f>
        <v>22320.198316083352</v>
      </c>
      <c r="G32" s="278">
        <f>F32*(1+'Rhaniad y Ddeiliadaeth (De-ddn)'!E$109)+(F$44*(-(50-$B32)*('Rhaniad y Ddeiliadaeth (De-ddn)'!E$110/40)))</f>
        <v>22997.489672273779</v>
      </c>
      <c r="H32" s="278">
        <f>G32*(1+'Rhaniad y Ddeiliadaeth (De-ddn)'!F$109)+(G$44*(-(50-$B32)*('Rhaniad y Ddeiliadaeth (De-ddn)'!F$110/40)))</f>
        <v>23706.664122781822</v>
      </c>
      <c r="I32" s="279">
        <f>H32*(1+'Rhaniad y Ddeiliadaeth (De-ddn)'!G$109)+(H$44*(-(50-$B32)*('Rhaniad y Ddeiliadaeth (De-ddn)'!G$110/40)))</f>
        <v>24432.929958415443</v>
      </c>
      <c r="M32" s="36" t="str">
        <f t="shared" si="1"/>
        <v/>
      </c>
      <c r="N32" s="190"/>
      <c r="O32" s="13">
        <f t="shared" si="4"/>
        <v>1</v>
      </c>
      <c r="U32" s="1">
        <f t="shared" si="2"/>
        <v>38</v>
      </c>
      <c r="V32" s="4" t="str">
        <f t="shared" si="3"/>
        <v/>
      </c>
      <c r="W32" s="35" t="e">
        <f>IF($L$4=$W$3,N32,V32*(1+'Rhaniad y Ddeiliadaeth (De-ddn)'!C$109)+(V$44*(-(50-$B32)*('Rhaniad y Ddeiliadaeth (De-ddn)'!C$110/40))))</f>
        <v>#VALUE!</v>
      </c>
      <c r="X32" s="35" t="e">
        <f>W32*(1+'Rhaniad y Ddeiliadaeth (De-ddn)'!D$109)+(W$44*(-(50-$B32)*('Rhaniad y Ddeiliadaeth (De-ddn)'!D$110/40)))</f>
        <v>#VALUE!</v>
      </c>
      <c r="Y32" s="35" t="e">
        <f>X32*(1+'Rhaniad y Ddeiliadaeth (De-ddn)'!E$109)+(X$44*(-(50-$B32)*('Rhaniad y Ddeiliadaeth (De-ddn)'!E$110/40)))</f>
        <v>#VALUE!</v>
      </c>
      <c r="Z32" s="35" t="e">
        <f>Y32*(1+'Rhaniad y Ddeiliadaeth (De-ddn)'!F$109)+(Y$44*(-(50-$B32)*('Rhaniad y Ddeiliadaeth (De-ddn)'!F$110/40)))</f>
        <v>#VALUE!</v>
      </c>
      <c r="AA32" s="35" t="e">
        <f>Z32*(1+'Rhaniad y Ddeiliadaeth (De-ddn)'!G$109)+(Z$44*(-(50-$B32)*('Rhaniad y Ddeiliadaeth (De-ddn)'!G$110/40)))</f>
        <v>#VALUE!</v>
      </c>
      <c r="AC32" s="260">
        <v>38</v>
      </c>
      <c r="AD32" s="4">
        <f>IF('Rhaniad y Ddeiliadaeth (Cymru)'!$D$8="Amcangyfrifon LlC",'Incwm (De-ddwyrain)'!E32,'Incwm (De-ddwyrain)'!W32)</f>
        <v>21660.544409416241</v>
      </c>
      <c r="AE32" s="4">
        <f>IF('Rhaniad y Ddeiliadaeth (Cymru)'!$D$8="Amcangyfrifon LlC",'Incwm (De-ddwyrain)'!F32,'Incwm (De-ddwyrain)'!X32)</f>
        <v>22320.198316083352</v>
      </c>
      <c r="AF32" s="4">
        <f>IF('Rhaniad y Ddeiliadaeth (Cymru)'!$D$8="Amcangyfrifon LlC",'Incwm (De-ddwyrain)'!G32,'Incwm (De-ddwyrain)'!Y32)</f>
        <v>22997.489672273779</v>
      </c>
      <c r="AG32" s="4">
        <f>IF('Rhaniad y Ddeiliadaeth (Cymru)'!$D$8="Amcangyfrifon LlC",'Incwm (De-ddwyrain)'!H32,'Incwm (De-ddwyrain)'!Z32)</f>
        <v>23706.664122781822</v>
      </c>
      <c r="AH32" s="4">
        <f>IF('Rhaniad y Ddeiliadaeth (Cymru)'!$D$8="Amcangyfrifon LlC",'Incwm (De-ddwyrain)'!I32,'Incwm (De-ddwyrain)'!AA32)</f>
        <v>24432.929958415443</v>
      </c>
    </row>
    <row r="33" spans="2:34" x14ac:dyDescent="0.35">
      <c r="B33" s="251">
        <v>39</v>
      </c>
      <c r="C33" s="261">
        <v>21349</v>
      </c>
      <c r="D33" s="261">
        <v>21834.866706019089</v>
      </c>
      <c r="E33" s="278">
        <f>D33*(1+'Rhaniad y Ddeiliadaeth (De-ddn)'!C$109)+(D$44*(-(50-$B33)*('Rhaniad y Ddeiliadaeth (De-ddn)'!C$110/40)))</f>
        <v>22250.797105449816</v>
      </c>
      <c r="F33" s="278">
        <f>E33*(1+'Rhaniad y Ddeiliadaeth (De-ddn)'!D$109)+(E$44*(-(50-$B33)*('Rhaniad y Ddeiliadaeth (De-ddn)'!D$110/40)))</f>
        <v>22937.576237110359</v>
      </c>
      <c r="G33" s="278">
        <f>F33*(1+'Rhaniad y Ddeiliadaeth (De-ddn)'!E$109)+(F$44*(-(50-$B33)*('Rhaniad y Ddeiliadaeth (De-ddn)'!E$110/40)))</f>
        <v>23643.099749820034</v>
      </c>
      <c r="H33" s="278">
        <f>G33*(1+'Rhaniad y Ddeiliadaeth (De-ddn)'!F$109)+(G$44*(-(50-$B33)*('Rhaniad y Ddeiliadaeth (De-ddn)'!F$110/40)))</f>
        <v>24382.042327593132</v>
      </c>
      <c r="I33" s="279">
        <f>H33*(1+'Rhaniad y Ddeiliadaeth (De-ddn)'!G$109)+(H$44*(-(50-$B33)*('Rhaniad y Ddeiliadaeth (De-ddn)'!G$110/40)))</f>
        <v>25139.238206423899</v>
      </c>
      <c r="M33" s="36" t="str">
        <f t="shared" si="1"/>
        <v/>
      </c>
      <c r="N33" s="190"/>
      <c r="O33" s="13">
        <f t="shared" si="4"/>
        <v>1</v>
      </c>
      <c r="U33" s="1">
        <f t="shared" si="2"/>
        <v>39</v>
      </c>
      <c r="V33" s="4" t="str">
        <f t="shared" si="3"/>
        <v/>
      </c>
      <c r="W33" s="35" t="e">
        <f>IF($L$4=$W$3,N33,V33*(1+'Rhaniad y Ddeiliadaeth (De-ddn)'!C$109)+(V$44*(-(50-$B33)*('Rhaniad y Ddeiliadaeth (De-ddn)'!C$110/40))))</f>
        <v>#VALUE!</v>
      </c>
      <c r="X33" s="35" t="e">
        <f>W33*(1+'Rhaniad y Ddeiliadaeth (De-ddn)'!D$109)+(W$44*(-(50-$B33)*('Rhaniad y Ddeiliadaeth (De-ddn)'!D$110/40)))</f>
        <v>#VALUE!</v>
      </c>
      <c r="Y33" s="35" t="e">
        <f>X33*(1+'Rhaniad y Ddeiliadaeth (De-ddn)'!E$109)+(X$44*(-(50-$B33)*('Rhaniad y Ddeiliadaeth (De-ddn)'!E$110/40)))</f>
        <v>#VALUE!</v>
      </c>
      <c r="Z33" s="35" t="e">
        <f>Y33*(1+'Rhaniad y Ddeiliadaeth (De-ddn)'!F$109)+(Y$44*(-(50-$B33)*('Rhaniad y Ddeiliadaeth (De-ddn)'!F$110/40)))</f>
        <v>#VALUE!</v>
      </c>
      <c r="AA33" s="35" t="e">
        <f>Z33*(1+'Rhaniad y Ddeiliadaeth (De-ddn)'!G$109)+(Z$44*(-(50-$B33)*('Rhaniad y Ddeiliadaeth (De-ddn)'!G$110/40)))</f>
        <v>#VALUE!</v>
      </c>
      <c r="AC33" s="260">
        <v>39</v>
      </c>
      <c r="AD33" s="4">
        <f>IF('Rhaniad y Ddeiliadaeth (Cymru)'!$D$8="Amcangyfrifon LlC",'Incwm (De-ddwyrain)'!E33,'Incwm (De-ddwyrain)'!W33)</f>
        <v>22250.797105449816</v>
      </c>
      <c r="AE33" s="4">
        <f>IF('Rhaniad y Ddeiliadaeth (Cymru)'!$D$8="Amcangyfrifon LlC",'Incwm (De-ddwyrain)'!F33,'Incwm (De-ddwyrain)'!X33)</f>
        <v>22937.576237110359</v>
      </c>
      <c r="AF33" s="4">
        <f>IF('Rhaniad y Ddeiliadaeth (Cymru)'!$D$8="Amcangyfrifon LlC",'Incwm (De-ddwyrain)'!G33,'Incwm (De-ddwyrain)'!Y33)</f>
        <v>23643.099749820034</v>
      </c>
      <c r="AG33" s="4">
        <f>IF('Rhaniad y Ddeiliadaeth (Cymru)'!$D$8="Amcangyfrifon LlC",'Incwm (De-ddwyrain)'!H33,'Incwm (De-ddwyrain)'!Z33)</f>
        <v>24382.042327593132</v>
      </c>
      <c r="AH33" s="4">
        <f>IF('Rhaniad y Ddeiliadaeth (Cymru)'!$D$8="Amcangyfrifon LlC",'Incwm (De-ddwyrain)'!I33,'Incwm (De-ddwyrain)'!AA33)</f>
        <v>25139.238206423899</v>
      </c>
    </row>
    <row r="34" spans="2:34" x14ac:dyDescent="0.35">
      <c r="B34" s="251">
        <v>40</v>
      </c>
      <c r="C34" s="261">
        <v>21769.5</v>
      </c>
      <c r="D34" s="261">
        <v>22300.201855538653</v>
      </c>
      <c r="E34" s="278">
        <f>D34*(1+'Rhaniad y Ddeiliadaeth (De-ddn)'!C$109)+(D$44*(-(50-$B34)*('Rhaniad y Ddeiliadaeth (De-ddn)'!C$110/40)))</f>
        <v>22733.320806520867</v>
      </c>
      <c r="F34" s="278">
        <f>E34*(1+'Rhaniad y Ddeiliadaeth (De-ddn)'!D$109)+(E$44*(-(50-$B34)*('Rhaniad y Ddeiliadaeth (De-ddn)'!D$110/40)))</f>
        <v>23443.53286238751</v>
      </c>
      <c r="G34" s="278">
        <f>F34*(1+'Rhaniad y Ddeiliadaeth (De-ddn)'!E$109)+(F$44*(-(50-$B34)*('Rhaniad y Ddeiliadaeth (De-ddn)'!E$110/40)))</f>
        <v>24173.480342392952</v>
      </c>
      <c r="H34" s="278">
        <f>G34*(1+'Rhaniad y Ddeiliadaeth (De-ddn)'!F$109)+(G$44*(-(50-$B34)*('Rhaniad y Ddeiliadaeth (De-ddn)'!F$110/40)))</f>
        <v>24938.194281929558</v>
      </c>
      <c r="I34" s="279">
        <f>H34*(1+'Rhaniad y Ddeiliadaeth (De-ddn)'!G$109)+(H$44*(-(50-$B34)*('Rhaniad y Ddeiliadaeth (De-ddn)'!G$110/40)))</f>
        <v>25722.207123698136</v>
      </c>
      <c r="M34" s="36" t="str">
        <f t="shared" si="1"/>
        <v/>
      </c>
      <c r="N34" s="190"/>
      <c r="O34" s="13">
        <f t="shared" si="4"/>
        <v>1</v>
      </c>
      <c r="U34" s="1">
        <f t="shared" si="2"/>
        <v>40</v>
      </c>
      <c r="V34" s="4" t="str">
        <f t="shared" si="3"/>
        <v/>
      </c>
      <c r="W34" s="35" t="e">
        <f>IF($L$4=$W$3,N34,V34*(1+'Rhaniad y Ddeiliadaeth (De-ddn)'!C$109)+(V$44*(-(50-$B34)*('Rhaniad y Ddeiliadaeth (De-ddn)'!C$110/40))))</f>
        <v>#VALUE!</v>
      </c>
      <c r="X34" s="35" t="e">
        <f>W34*(1+'Rhaniad y Ddeiliadaeth (De-ddn)'!D$109)+(W$44*(-(50-$B34)*('Rhaniad y Ddeiliadaeth (De-ddn)'!D$110/40)))</f>
        <v>#VALUE!</v>
      </c>
      <c r="Y34" s="35" t="e">
        <f>X34*(1+'Rhaniad y Ddeiliadaeth (De-ddn)'!E$109)+(X$44*(-(50-$B34)*('Rhaniad y Ddeiliadaeth (De-ddn)'!E$110/40)))</f>
        <v>#VALUE!</v>
      </c>
      <c r="Z34" s="35" t="e">
        <f>Y34*(1+'Rhaniad y Ddeiliadaeth (De-ddn)'!F$109)+(Y$44*(-(50-$B34)*('Rhaniad y Ddeiliadaeth (De-ddn)'!F$110/40)))</f>
        <v>#VALUE!</v>
      </c>
      <c r="AA34" s="35" t="e">
        <f>Z34*(1+'Rhaniad y Ddeiliadaeth (De-ddn)'!G$109)+(Z$44*(-(50-$B34)*('Rhaniad y Ddeiliadaeth (De-ddn)'!G$110/40)))</f>
        <v>#VALUE!</v>
      </c>
      <c r="AC34" s="260">
        <v>40</v>
      </c>
      <c r="AD34" s="4">
        <f>IF('Rhaniad y Ddeiliadaeth (Cymru)'!$D$8="Amcangyfrifon LlC",'Incwm (De-ddwyrain)'!E34,'Incwm (De-ddwyrain)'!W34)</f>
        <v>22733.320806520867</v>
      </c>
      <c r="AE34" s="4">
        <f>IF('Rhaniad y Ddeiliadaeth (Cymru)'!$D$8="Amcangyfrifon LlC",'Incwm (De-ddwyrain)'!F34,'Incwm (De-ddwyrain)'!X34)</f>
        <v>23443.53286238751</v>
      </c>
      <c r="AF34" s="4">
        <f>IF('Rhaniad y Ddeiliadaeth (Cymru)'!$D$8="Amcangyfrifon LlC",'Incwm (De-ddwyrain)'!G34,'Incwm (De-ddwyrain)'!Y34)</f>
        <v>24173.480342392952</v>
      </c>
      <c r="AG34" s="4">
        <f>IF('Rhaniad y Ddeiliadaeth (Cymru)'!$D$8="Amcangyfrifon LlC",'Incwm (De-ddwyrain)'!H34,'Incwm (De-ddwyrain)'!Z34)</f>
        <v>24938.194281929558</v>
      </c>
      <c r="AH34" s="4">
        <f>IF('Rhaniad y Ddeiliadaeth (Cymru)'!$D$8="Amcangyfrifon LlC",'Incwm (De-ddwyrain)'!I34,'Incwm (De-ddwyrain)'!AA34)</f>
        <v>25722.207123698136</v>
      </c>
    </row>
    <row r="35" spans="2:34" x14ac:dyDescent="0.35">
      <c r="B35" s="251">
        <v>41</v>
      </c>
      <c r="C35" s="261">
        <v>22214.5</v>
      </c>
      <c r="D35" s="261">
        <v>22756.050167429818</v>
      </c>
      <c r="E35" s="278">
        <f>D35*(1+'Rhaniad y Ddeiliadaeth (De-ddn)'!C$109)+(D$44*(-(50-$B35)*('Rhaniad y Ddeiliadaeth (De-ddn)'!C$110/40)))</f>
        <v>23206.144726643452</v>
      </c>
      <c r="F35" s="278">
        <f>E35*(1+'Rhaniad y Ddeiliadaeth (De-ddn)'!D$109)+(E$44*(-(50-$B35)*('Rhaniad y Ddeiliadaeth (De-ddn)'!D$110/40)))</f>
        <v>23939.457256674814</v>
      </c>
      <c r="G35" s="278">
        <f>F35*(1+'Rhaniad y Ddeiliadaeth (De-ddn)'!E$109)+(F$44*(-(50-$B35)*('Rhaniad y Ddeiliadaeth (De-ddn)'!E$110/40)))</f>
        <v>24693.485819488047</v>
      </c>
      <c r="H35" s="278">
        <f>G35*(1+'Rhaniad y Ddeiliadaeth (De-ddn)'!F$109)+(G$44*(-(50-$B35)*('Rhaniad y Ddeiliadaeth (De-ddn)'!F$110/40)))</f>
        <v>25483.611257133252</v>
      </c>
      <c r="I35" s="279">
        <f>H35*(1+'Rhaniad y Ddeiliadaeth (De-ddn)'!G$109)+(H$44*(-(50-$B35)*('Rhaniad y Ddeiliadaeth (De-ddn)'!G$110/40)))</f>
        <v>26294.070725352667</v>
      </c>
      <c r="M35" s="36" t="str">
        <f t="shared" si="1"/>
        <v/>
      </c>
      <c r="N35" s="190"/>
      <c r="O35" s="13">
        <f t="shared" si="4"/>
        <v>1</v>
      </c>
      <c r="U35" s="1">
        <f t="shared" si="2"/>
        <v>41</v>
      </c>
      <c r="V35" s="4" t="str">
        <f t="shared" si="3"/>
        <v/>
      </c>
      <c r="W35" s="35" t="e">
        <f>IF($L$4=$W$3,N35,V35*(1+'Rhaniad y Ddeiliadaeth (De-ddn)'!C$109)+(V$44*(-(50-$B35)*('Rhaniad y Ddeiliadaeth (De-ddn)'!C$110/40))))</f>
        <v>#VALUE!</v>
      </c>
      <c r="X35" s="35" t="e">
        <f>W35*(1+'Rhaniad y Ddeiliadaeth (De-ddn)'!D$109)+(W$44*(-(50-$B35)*('Rhaniad y Ddeiliadaeth (De-ddn)'!D$110/40)))</f>
        <v>#VALUE!</v>
      </c>
      <c r="Y35" s="35" t="e">
        <f>X35*(1+'Rhaniad y Ddeiliadaeth (De-ddn)'!E$109)+(X$44*(-(50-$B35)*('Rhaniad y Ddeiliadaeth (De-ddn)'!E$110/40)))</f>
        <v>#VALUE!</v>
      </c>
      <c r="Z35" s="35" t="e">
        <f>Y35*(1+'Rhaniad y Ddeiliadaeth (De-ddn)'!F$109)+(Y$44*(-(50-$B35)*('Rhaniad y Ddeiliadaeth (De-ddn)'!F$110/40)))</f>
        <v>#VALUE!</v>
      </c>
      <c r="AA35" s="35" t="e">
        <f>Z35*(1+'Rhaniad y Ddeiliadaeth (De-ddn)'!G$109)+(Z$44*(-(50-$B35)*('Rhaniad y Ddeiliadaeth (De-ddn)'!G$110/40)))</f>
        <v>#VALUE!</v>
      </c>
      <c r="AC35" s="260">
        <v>41</v>
      </c>
      <c r="AD35" s="4">
        <f>IF('Rhaniad y Ddeiliadaeth (Cymru)'!$D$8="Amcangyfrifon LlC",'Incwm (De-ddwyrain)'!E35,'Incwm (De-ddwyrain)'!W35)</f>
        <v>23206.144726643452</v>
      </c>
      <c r="AE35" s="4">
        <f>IF('Rhaniad y Ddeiliadaeth (Cymru)'!$D$8="Amcangyfrifon LlC",'Incwm (De-ddwyrain)'!F35,'Incwm (De-ddwyrain)'!X35)</f>
        <v>23939.457256674814</v>
      </c>
      <c r="AF35" s="4">
        <f>IF('Rhaniad y Ddeiliadaeth (Cymru)'!$D$8="Amcangyfrifon LlC",'Incwm (De-ddwyrain)'!G35,'Incwm (De-ddwyrain)'!Y35)</f>
        <v>24693.485819488047</v>
      </c>
      <c r="AG35" s="4">
        <f>IF('Rhaniad y Ddeiliadaeth (Cymru)'!$D$8="Amcangyfrifon LlC",'Incwm (De-ddwyrain)'!H35,'Incwm (De-ddwyrain)'!Z35)</f>
        <v>25483.611257133252</v>
      </c>
      <c r="AH35" s="4">
        <f>IF('Rhaniad y Ddeiliadaeth (Cymru)'!$D$8="Amcangyfrifon LlC",'Incwm (De-ddwyrain)'!I35,'Incwm (De-ddwyrain)'!AA35)</f>
        <v>26294.070725352667</v>
      </c>
    </row>
    <row r="36" spans="2:34" x14ac:dyDescent="0.35">
      <c r="B36" s="251">
        <v>42</v>
      </c>
      <c r="C36" s="261">
        <v>22725</v>
      </c>
      <c r="D36" s="261">
        <v>23278.995253318444</v>
      </c>
      <c r="E36" s="278">
        <f>D36*(1+'Rhaniad y Ddeiliadaeth (De-ddn)'!C$109)+(D$44*(-(50-$B36)*('Rhaniad y Ddeiliadaeth (De-ddn)'!C$110/40)))</f>
        <v>23747.571487419264</v>
      </c>
      <c r="F36" s="278">
        <f>E36*(1+'Rhaniad y Ddeiliadaeth (De-ddn)'!D$109)+(E$44*(-(50-$B36)*('Rhaniad y Ddeiliadaeth (De-ddn)'!D$110/40)))</f>
        <v>24506.335783601735</v>
      </c>
      <c r="G36" s="278">
        <f>F36*(1+'Rhaniad y Ddeiliadaeth (De-ddn)'!E$109)+(F$44*(-(50-$B36)*('Rhaniad y Ddeiliadaeth (De-ddn)'!E$110/40)))</f>
        <v>25286.870520058947</v>
      </c>
      <c r="H36" s="278">
        <f>G36*(1+'Rhaniad y Ddeiliadaeth (De-ddn)'!F$109)+(G$44*(-(50-$B36)*('Rhaniad y Ddeiliadaeth (De-ddn)'!F$110/40)))</f>
        <v>26104.952633802444</v>
      </c>
      <c r="I36" s="279">
        <f>H36*(1+'Rhaniad y Ddeiliadaeth (De-ddn)'!G$109)+(H$44*(-(50-$B36)*('Rhaniad y Ddeiliadaeth (De-ddn)'!G$110/40)))</f>
        <v>26944.477976797847</v>
      </c>
      <c r="M36" s="36" t="str">
        <f t="shared" si="1"/>
        <v/>
      </c>
      <c r="N36" s="190"/>
      <c r="O36" s="13">
        <f t="shared" si="4"/>
        <v>1</v>
      </c>
      <c r="U36" s="1">
        <f t="shared" si="2"/>
        <v>42</v>
      </c>
      <c r="V36" s="4" t="str">
        <f t="shared" si="3"/>
        <v/>
      </c>
      <c r="W36" s="35" t="e">
        <f>IF($L$4=$W$3,N36,V36*(1+'Rhaniad y Ddeiliadaeth (De-ddn)'!C$109)+(V$44*(-(50-$B36)*('Rhaniad y Ddeiliadaeth (De-ddn)'!C$110/40))))</f>
        <v>#VALUE!</v>
      </c>
      <c r="X36" s="35" t="e">
        <f>W36*(1+'Rhaniad y Ddeiliadaeth (De-ddn)'!D$109)+(W$44*(-(50-$B36)*('Rhaniad y Ddeiliadaeth (De-ddn)'!D$110/40)))</f>
        <v>#VALUE!</v>
      </c>
      <c r="Y36" s="35" t="e">
        <f>X36*(1+'Rhaniad y Ddeiliadaeth (De-ddn)'!E$109)+(X$44*(-(50-$B36)*('Rhaniad y Ddeiliadaeth (De-ddn)'!E$110/40)))</f>
        <v>#VALUE!</v>
      </c>
      <c r="Z36" s="35" t="e">
        <f>Y36*(1+'Rhaniad y Ddeiliadaeth (De-ddn)'!F$109)+(Y$44*(-(50-$B36)*('Rhaniad y Ddeiliadaeth (De-ddn)'!F$110/40)))</f>
        <v>#VALUE!</v>
      </c>
      <c r="AA36" s="35" t="e">
        <f>Z36*(1+'Rhaniad y Ddeiliadaeth (De-ddn)'!G$109)+(Z$44*(-(50-$B36)*('Rhaniad y Ddeiliadaeth (De-ddn)'!G$110/40)))</f>
        <v>#VALUE!</v>
      </c>
      <c r="AC36" s="260">
        <v>42</v>
      </c>
      <c r="AD36" s="4">
        <f>IF('Rhaniad y Ddeiliadaeth (Cymru)'!$D$8="Amcangyfrifon LlC",'Incwm (De-ddwyrain)'!E36,'Incwm (De-ddwyrain)'!W36)</f>
        <v>23747.571487419264</v>
      </c>
      <c r="AE36" s="4">
        <f>IF('Rhaniad y Ddeiliadaeth (Cymru)'!$D$8="Amcangyfrifon LlC",'Incwm (De-ddwyrain)'!F36,'Incwm (De-ddwyrain)'!X36)</f>
        <v>24506.335783601735</v>
      </c>
      <c r="AF36" s="4">
        <f>IF('Rhaniad y Ddeiliadaeth (Cymru)'!$D$8="Amcangyfrifon LlC",'Incwm (De-ddwyrain)'!G36,'Incwm (De-ddwyrain)'!Y36)</f>
        <v>25286.870520058947</v>
      </c>
      <c r="AG36" s="4">
        <f>IF('Rhaniad y Ddeiliadaeth (Cymru)'!$D$8="Amcangyfrifon LlC",'Incwm (De-ddwyrain)'!H36,'Incwm (De-ddwyrain)'!Z36)</f>
        <v>26104.952633802444</v>
      </c>
      <c r="AH36" s="4">
        <f>IF('Rhaniad y Ddeiliadaeth (Cymru)'!$D$8="Amcangyfrifon LlC",'Incwm (De-ddwyrain)'!I36,'Incwm (De-ddwyrain)'!AA36)</f>
        <v>26944.477976797847</v>
      </c>
    </row>
    <row r="37" spans="2:34" x14ac:dyDescent="0.35">
      <c r="B37" s="251">
        <v>43</v>
      </c>
      <c r="C37" s="261">
        <v>23192</v>
      </c>
      <c r="D37" s="261">
        <v>23757.379886246927</v>
      </c>
      <c r="E37" s="278">
        <f>D37*(1+'Rhaniad y Ddeiliadaeth (De-ddn)'!C$109)+(D$44*(-(50-$B37)*('Rhaniad y Ddeiliadaeth (De-ddn)'!C$110/40)))</f>
        <v>24243.437583028433</v>
      </c>
      <c r="F37" s="278">
        <f>E37*(1+'Rhaniad y Ddeiliadaeth (De-ddn)'!D$109)+(E$44*(-(50-$B37)*('Rhaniad y Ddeiliadaeth (De-ddn)'!D$110/40)))</f>
        <v>25026.09210030235</v>
      </c>
      <c r="G37" s="278">
        <f>F37*(1+'Rhaniad y Ddeiliadaeth (De-ddn)'!E$109)+(F$44*(-(50-$B37)*('Rhaniad y Ddeiliadaeth (De-ddn)'!E$110/40)))</f>
        <v>25831.522453894013</v>
      </c>
      <c r="H37" s="278">
        <f>G37*(1+'Rhaniad y Ddeiliadaeth (De-ddn)'!F$109)+(G$44*(-(50-$B37)*('Rhaniad y Ddeiliadaeth (De-ddn)'!F$110/40)))</f>
        <v>26675.870934689214</v>
      </c>
      <c r="I37" s="279">
        <f>H37*(1+'Rhaniad y Ddeiliadaeth (De-ddn)'!G$109)+(H$44*(-(50-$B37)*('Rhaniad y Ddeiliadaeth (De-ddn)'!G$110/40)))</f>
        <v>27542.722651664513</v>
      </c>
      <c r="M37" s="36" t="str">
        <f t="shared" si="1"/>
        <v/>
      </c>
      <c r="N37" s="190"/>
      <c r="O37" s="13">
        <f t="shared" si="4"/>
        <v>1</v>
      </c>
      <c r="U37" s="1">
        <f t="shared" si="2"/>
        <v>43</v>
      </c>
      <c r="V37" s="4" t="str">
        <f t="shared" si="3"/>
        <v/>
      </c>
      <c r="W37" s="35" t="e">
        <f>IF($L$4=$W$3,N37,V37*(1+'Rhaniad y Ddeiliadaeth (De-ddn)'!C$109)+(V$44*(-(50-$B37)*('Rhaniad y Ddeiliadaeth (De-ddn)'!C$110/40))))</f>
        <v>#VALUE!</v>
      </c>
      <c r="X37" s="35" t="e">
        <f>W37*(1+'Rhaniad y Ddeiliadaeth (De-ddn)'!D$109)+(W$44*(-(50-$B37)*('Rhaniad y Ddeiliadaeth (De-ddn)'!D$110/40)))</f>
        <v>#VALUE!</v>
      </c>
      <c r="Y37" s="35" t="e">
        <f>X37*(1+'Rhaniad y Ddeiliadaeth (De-ddn)'!E$109)+(X$44*(-(50-$B37)*('Rhaniad y Ddeiliadaeth (De-ddn)'!E$110/40)))</f>
        <v>#VALUE!</v>
      </c>
      <c r="Z37" s="35" t="e">
        <f>Y37*(1+'Rhaniad y Ddeiliadaeth (De-ddn)'!F$109)+(Y$44*(-(50-$B37)*('Rhaniad y Ddeiliadaeth (De-ddn)'!F$110/40)))</f>
        <v>#VALUE!</v>
      </c>
      <c r="AA37" s="35" t="e">
        <f>Z37*(1+'Rhaniad y Ddeiliadaeth (De-ddn)'!G$109)+(Z$44*(-(50-$B37)*('Rhaniad y Ddeiliadaeth (De-ddn)'!G$110/40)))</f>
        <v>#VALUE!</v>
      </c>
      <c r="AC37" s="260">
        <v>43</v>
      </c>
      <c r="AD37" s="4">
        <f>IF('Rhaniad y Ddeiliadaeth (Cymru)'!$D$8="Amcangyfrifon LlC",'Incwm (De-ddwyrain)'!E37,'Incwm (De-ddwyrain)'!W37)</f>
        <v>24243.437583028433</v>
      </c>
      <c r="AE37" s="4">
        <f>IF('Rhaniad y Ddeiliadaeth (Cymru)'!$D$8="Amcangyfrifon LlC",'Incwm (De-ddwyrain)'!F37,'Incwm (De-ddwyrain)'!X37)</f>
        <v>25026.09210030235</v>
      </c>
      <c r="AF37" s="4">
        <f>IF('Rhaniad y Ddeiliadaeth (Cymru)'!$D$8="Amcangyfrifon LlC",'Incwm (De-ddwyrain)'!G37,'Incwm (De-ddwyrain)'!Y37)</f>
        <v>25831.522453894013</v>
      </c>
      <c r="AG37" s="4">
        <f>IF('Rhaniad y Ddeiliadaeth (Cymru)'!$D$8="Amcangyfrifon LlC",'Incwm (De-ddwyrain)'!H37,'Incwm (De-ddwyrain)'!Z37)</f>
        <v>26675.870934689214</v>
      </c>
      <c r="AH37" s="4">
        <f>IF('Rhaniad y Ddeiliadaeth (Cymru)'!$D$8="Amcangyfrifon LlC",'Incwm (De-ddwyrain)'!I37,'Incwm (De-ddwyrain)'!AA37)</f>
        <v>27542.722651664513</v>
      </c>
    </row>
    <row r="38" spans="2:34" x14ac:dyDescent="0.35">
      <c r="B38" s="251">
        <v>44</v>
      </c>
      <c r="C38" s="261">
        <v>23737.5</v>
      </c>
      <c r="D38" s="261">
        <v>24316.178210149465</v>
      </c>
      <c r="E38" s="278">
        <f>D38*(1+'Rhaniad y Ddeiliadaeth (De-ddn)'!C$109)+(D$44*(-(50-$B38)*('Rhaniad y Ddeiliadaeth (De-ddn)'!C$110/40)))</f>
        <v>24821.522350260173</v>
      </c>
      <c r="F38" s="278">
        <f>E38*(1+'Rhaniad y Ddeiliadaeth (De-ddn)'!D$109)+(E$44*(-(50-$B38)*('Rhaniad y Ddeiliadaeth (De-ddn)'!D$110/40)))</f>
        <v>25630.885049250446</v>
      </c>
      <c r="G38" s="278">
        <f>F38*(1+'Rhaniad y Ddeiliadaeth (De-ddn)'!E$109)+(F$44*(-(50-$B38)*('Rhaniad y Ddeiliadaeth (De-ddn)'!E$110/40)))</f>
        <v>26464.117426551231</v>
      </c>
      <c r="H38" s="278">
        <f>G38*(1+'Rhaniad y Ddeiliadaeth (De-ddn)'!F$109)+(G$44*(-(50-$B38)*('Rhaniad y Ddeiliadaeth (De-ddn)'!F$110/40)))</f>
        <v>27337.782602217841</v>
      </c>
      <c r="I38" s="279">
        <f>H38*(1+'Rhaniad y Ddeiliadaeth (De-ddn)'!G$109)+(H$44*(-(50-$B38)*('Rhaniad y Ddeiliadaeth (De-ddn)'!G$110/40)))</f>
        <v>28235.099792310812</v>
      </c>
      <c r="M38" s="36" t="str">
        <f t="shared" si="1"/>
        <v/>
      </c>
      <c r="N38" s="190"/>
      <c r="O38" s="13">
        <f t="shared" si="4"/>
        <v>1</v>
      </c>
      <c r="U38" s="1">
        <f t="shared" si="2"/>
        <v>44</v>
      </c>
      <c r="V38" s="4" t="str">
        <f t="shared" si="3"/>
        <v/>
      </c>
      <c r="W38" s="35" t="e">
        <f>IF($L$4=$W$3,N38,V38*(1+'Rhaniad y Ddeiliadaeth (De-ddn)'!C$109)+(V$44*(-(50-$B38)*('Rhaniad y Ddeiliadaeth (De-ddn)'!C$110/40))))</f>
        <v>#VALUE!</v>
      </c>
      <c r="X38" s="35" t="e">
        <f>W38*(1+'Rhaniad y Ddeiliadaeth (De-ddn)'!D$109)+(W$44*(-(50-$B38)*('Rhaniad y Ddeiliadaeth (De-ddn)'!D$110/40)))</f>
        <v>#VALUE!</v>
      </c>
      <c r="Y38" s="35" t="e">
        <f>X38*(1+'Rhaniad y Ddeiliadaeth (De-ddn)'!E$109)+(X$44*(-(50-$B38)*('Rhaniad y Ddeiliadaeth (De-ddn)'!E$110/40)))</f>
        <v>#VALUE!</v>
      </c>
      <c r="Z38" s="35" t="e">
        <f>Y38*(1+'Rhaniad y Ddeiliadaeth (De-ddn)'!F$109)+(Y$44*(-(50-$B38)*('Rhaniad y Ddeiliadaeth (De-ddn)'!F$110/40)))</f>
        <v>#VALUE!</v>
      </c>
      <c r="AA38" s="35" t="e">
        <f>Z38*(1+'Rhaniad y Ddeiliadaeth (De-ddn)'!G$109)+(Z$44*(-(50-$B38)*('Rhaniad y Ddeiliadaeth (De-ddn)'!G$110/40)))</f>
        <v>#VALUE!</v>
      </c>
      <c r="AC38" s="260">
        <v>44</v>
      </c>
      <c r="AD38" s="4">
        <f>IF('Rhaniad y Ddeiliadaeth (Cymru)'!$D$8="Amcangyfrifon LlC",'Incwm (De-ddwyrain)'!E38,'Incwm (De-ddwyrain)'!W38)</f>
        <v>24821.522350260173</v>
      </c>
      <c r="AE38" s="4">
        <f>IF('Rhaniad y Ddeiliadaeth (Cymru)'!$D$8="Amcangyfrifon LlC",'Incwm (De-ddwyrain)'!F38,'Incwm (De-ddwyrain)'!X38)</f>
        <v>25630.885049250446</v>
      </c>
      <c r="AF38" s="4">
        <f>IF('Rhaniad y Ddeiliadaeth (Cymru)'!$D$8="Amcangyfrifon LlC",'Incwm (De-ddwyrain)'!G38,'Incwm (De-ddwyrain)'!Y38)</f>
        <v>26464.117426551231</v>
      </c>
      <c r="AG38" s="4">
        <f>IF('Rhaniad y Ddeiliadaeth (Cymru)'!$D$8="Amcangyfrifon LlC",'Incwm (De-ddwyrain)'!H38,'Incwm (De-ddwyrain)'!Z38)</f>
        <v>27337.782602217841</v>
      </c>
      <c r="AH38" s="4">
        <f>IF('Rhaniad y Ddeiliadaeth (Cymru)'!$D$8="Amcangyfrifon LlC",'Incwm (De-ddwyrain)'!I38,'Incwm (De-ddwyrain)'!AA38)</f>
        <v>28235.099792310812</v>
      </c>
    </row>
    <row r="39" spans="2:34" x14ac:dyDescent="0.35">
      <c r="B39" s="251">
        <v>45</v>
      </c>
      <c r="C39" s="261">
        <v>24264.5</v>
      </c>
      <c r="D39" s="261">
        <v>24856.02553681608</v>
      </c>
      <c r="E39" s="278">
        <f>D39*(1+'Rhaniad y Ddeiliadaeth (De-ddn)'!C$109)+(D$44*(-(50-$B39)*('Rhaniad y Ddeiliadaeth (De-ddn)'!C$110/40)))</f>
        <v>25380.230742650921</v>
      </c>
      <c r="F39" s="278">
        <f>E39*(1+'Rhaniad y Ddeiliadaeth (De-ddn)'!D$109)+(E$44*(-(50-$B39)*('Rhaniad y Ddeiliadaeth (De-ddn)'!D$110/40)))</f>
        <v>26215.637517987347</v>
      </c>
      <c r="G39" s="278">
        <f>F39*(1+'Rhaniad y Ddeiliadaeth (De-ddn)'!E$109)+(F$44*(-(50-$B39)*('Rhaniad y Ddeiliadaeth (De-ddn)'!E$110/40)))</f>
        <v>27075.986969677102</v>
      </c>
      <c r="H39" s="278">
        <f>G39*(1+'Rhaniad y Ddeiliadaeth (De-ddn)'!F$109)+(G$44*(-(50-$B39)*('Rhaniad y Ddeiliadaeth (De-ddn)'!F$110/40)))</f>
        <v>27978.249973149334</v>
      </c>
      <c r="I39" s="279">
        <f>H39*(1+'Rhaniad y Ddeiliadaeth (De-ddn)'!G$109)+(H$44*(-(50-$B39)*('Rhaniad y Ddeiliadaeth (De-ddn)'!G$110/40)))</f>
        <v>28905.292848665078</v>
      </c>
      <c r="M39" s="36" t="str">
        <f t="shared" si="1"/>
        <v/>
      </c>
      <c r="N39" s="190"/>
      <c r="O39" s="13">
        <f t="shared" si="4"/>
        <v>1</v>
      </c>
      <c r="U39" s="1">
        <f t="shared" si="2"/>
        <v>45</v>
      </c>
      <c r="V39" s="4" t="str">
        <f t="shared" si="3"/>
        <v/>
      </c>
      <c r="W39" s="35" t="e">
        <f>IF($L$4=$W$3,N39,V39*(1+'Rhaniad y Ddeiliadaeth (De-ddn)'!C$109)+(V$44*(-(50-$B39)*('Rhaniad y Ddeiliadaeth (De-ddn)'!C$110/40))))</f>
        <v>#VALUE!</v>
      </c>
      <c r="X39" s="35" t="e">
        <f>W39*(1+'Rhaniad y Ddeiliadaeth (De-ddn)'!D$109)+(W$44*(-(50-$B39)*('Rhaniad y Ddeiliadaeth (De-ddn)'!D$110/40)))</f>
        <v>#VALUE!</v>
      </c>
      <c r="Y39" s="35" t="e">
        <f>X39*(1+'Rhaniad y Ddeiliadaeth (De-ddn)'!E$109)+(X$44*(-(50-$B39)*('Rhaniad y Ddeiliadaeth (De-ddn)'!E$110/40)))</f>
        <v>#VALUE!</v>
      </c>
      <c r="Z39" s="35" t="e">
        <f>Y39*(1+'Rhaniad y Ddeiliadaeth (De-ddn)'!F$109)+(Y$44*(-(50-$B39)*('Rhaniad y Ddeiliadaeth (De-ddn)'!F$110/40)))</f>
        <v>#VALUE!</v>
      </c>
      <c r="AA39" s="35" t="e">
        <f>Z39*(1+'Rhaniad y Ddeiliadaeth (De-ddn)'!G$109)+(Z$44*(-(50-$B39)*('Rhaniad y Ddeiliadaeth (De-ddn)'!G$110/40)))</f>
        <v>#VALUE!</v>
      </c>
      <c r="AC39" s="260">
        <v>45</v>
      </c>
      <c r="AD39" s="4">
        <f>IF('Rhaniad y Ddeiliadaeth (Cymru)'!$D$8="Amcangyfrifon LlC",'Incwm (De-ddwyrain)'!E39,'Incwm (De-ddwyrain)'!W39)</f>
        <v>25380.230742650921</v>
      </c>
      <c r="AE39" s="4">
        <f>IF('Rhaniad y Ddeiliadaeth (Cymru)'!$D$8="Amcangyfrifon LlC",'Incwm (De-ddwyrain)'!F39,'Incwm (De-ddwyrain)'!X39)</f>
        <v>26215.637517987347</v>
      </c>
      <c r="AF39" s="4">
        <f>IF('Rhaniad y Ddeiliadaeth (Cymru)'!$D$8="Amcangyfrifon LlC",'Incwm (De-ddwyrain)'!G39,'Incwm (De-ddwyrain)'!Y39)</f>
        <v>27075.986969677102</v>
      </c>
      <c r="AG39" s="4">
        <f>IF('Rhaniad y Ddeiliadaeth (Cymru)'!$D$8="Amcangyfrifon LlC",'Incwm (De-ddwyrain)'!H39,'Incwm (De-ddwyrain)'!Z39)</f>
        <v>27978.249973149334</v>
      </c>
      <c r="AH39" s="4">
        <f>IF('Rhaniad y Ddeiliadaeth (Cymru)'!$D$8="Amcangyfrifon LlC",'Incwm (De-ddwyrain)'!I39,'Incwm (De-ddwyrain)'!AA39)</f>
        <v>28905.292848665078</v>
      </c>
    </row>
    <row r="40" spans="2:34" x14ac:dyDescent="0.35">
      <c r="B40" s="251">
        <v>46</v>
      </c>
      <c r="C40" s="261">
        <v>24759.82</v>
      </c>
      <c r="D40" s="261">
        <v>25363.420561188959</v>
      </c>
      <c r="E40" s="278">
        <f>D40*(1+'Rhaniad y Ddeiliadaeth (De-ddn)'!C$109)+(D$44*(-(50-$B40)*('Rhaniad y Ddeiliadaeth (De-ddn)'!C$110/40)))</f>
        <v>25905.758402340998</v>
      </c>
      <c r="F40" s="278">
        <f>E40*(1+'Rhaniad y Ddeiliadaeth (De-ddn)'!D$109)+(E$44*(-(50-$B40)*('Rhaniad y Ddeiliadaeth (De-ddn)'!D$110/40)))</f>
        <v>26766.072018449093</v>
      </c>
      <c r="G40" s="278">
        <f>F40*(1+'Rhaniad y Ddeiliadaeth (De-ddn)'!E$109)+(F$44*(-(50-$B40)*('Rhaniad y Ddeiliadaeth (De-ddn)'!E$110/40)))</f>
        <v>27652.365615097435</v>
      </c>
      <c r="H40" s="278">
        <f>G40*(1+'Rhaniad y Ddeiliadaeth (De-ddn)'!F$109)+(G$44*(-(50-$B40)*('Rhaniad y Ddeiliadaeth (De-ddn)'!F$110/40)))</f>
        <v>28581.995435097215</v>
      </c>
      <c r="I40" s="279">
        <f>H40*(1+'Rhaniad y Ddeiliadaeth (De-ddn)'!G$109)+(H$44*(-(50-$B40)*('Rhaniad y Ddeiliadaeth (De-ddn)'!G$110/40)))</f>
        <v>29537.497159593895</v>
      </c>
      <c r="M40" s="36" t="str">
        <f t="shared" si="1"/>
        <v/>
      </c>
      <c r="N40" s="190"/>
      <c r="O40" s="13">
        <f t="shared" si="4"/>
        <v>1</v>
      </c>
      <c r="U40" s="1">
        <f t="shared" si="2"/>
        <v>46</v>
      </c>
      <c r="V40" s="4" t="str">
        <f t="shared" si="3"/>
        <v/>
      </c>
      <c r="W40" s="35" t="e">
        <f>IF($L$4=$W$3,N40,V40*(1+'Rhaniad y Ddeiliadaeth (De-ddn)'!C$109)+(V$44*(-(50-$B40)*('Rhaniad y Ddeiliadaeth (De-ddn)'!C$110/40))))</f>
        <v>#VALUE!</v>
      </c>
      <c r="X40" s="35" t="e">
        <f>W40*(1+'Rhaniad y Ddeiliadaeth (De-ddn)'!D$109)+(W$44*(-(50-$B40)*('Rhaniad y Ddeiliadaeth (De-ddn)'!D$110/40)))</f>
        <v>#VALUE!</v>
      </c>
      <c r="Y40" s="35" t="e">
        <f>X40*(1+'Rhaniad y Ddeiliadaeth (De-ddn)'!E$109)+(X$44*(-(50-$B40)*('Rhaniad y Ddeiliadaeth (De-ddn)'!E$110/40)))</f>
        <v>#VALUE!</v>
      </c>
      <c r="Z40" s="35" t="e">
        <f>Y40*(1+'Rhaniad y Ddeiliadaeth (De-ddn)'!F$109)+(Y$44*(-(50-$B40)*('Rhaniad y Ddeiliadaeth (De-ddn)'!F$110/40)))</f>
        <v>#VALUE!</v>
      </c>
      <c r="AA40" s="35" t="e">
        <f>Z40*(1+'Rhaniad y Ddeiliadaeth (De-ddn)'!G$109)+(Z$44*(-(50-$B40)*('Rhaniad y Ddeiliadaeth (De-ddn)'!G$110/40)))</f>
        <v>#VALUE!</v>
      </c>
      <c r="AC40" s="260">
        <v>46</v>
      </c>
      <c r="AD40" s="4">
        <f>IF('Rhaniad y Ddeiliadaeth (Cymru)'!$D$8="Amcangyfrifon LlC",'Incwm (De-ddwyrain)'!E40,'Incwm (De-ddwyrain)'!W40)</f>
        <v>25905.758402340998</v>
      </c>
      <c r="AE40" s="4">
        <f>IF('Rhaniad y Ddeiliadaeth (Cymru)'!$D$8="Amcangyfrifon LlC",'Incwm (De-ddwyrain)'!F40,'Incwm (De-ddwyrain)'!X40)</f>
        <v>26766.072018449093</v>
      </c>
      <c r="AF40" s="4">
        <f>IF('Rhaniad y Ddeiliadaeth (Cymru)'!$D$8="Amcangyfrifon LlC",'Incwm (De-ddwyrain)'!G40,'Incwm (De-ddwyrain)'!Y40)</f>
        <v>27652.365615097435</v>
      </c>
      <c r="AG40" s="4">
        <f>IF('Rhaniad y Ddeiliadaeth (Cymru)'!$D$8="Amcangyfrifon LlC",'Incwm (De-ddwyrain)'!H40,'Incwm (De-ddwyrain)'!Z40)</f>
        <v>28581.995435097215</v>
      </c>
      <c r="AH40" s="4">
        <f>IF('Rhaniad y Ddeiliadaeth (Cymru)'!$D$8="Amcangyfrifon LlC",'Incwm (De-ddwyrain)'!I40,'Incwm (De-ddwyrain)'!AA40)</f>
        <v>29537.497159593895</v>
      </c>
    </row>
    <row r="41" spans="2:34" x14ac:dyDescent="0.35">
      <c r="B41" s="251">
        <v>47</v>
      </c>
      <c r="C41" s="261">
        <v>24969.25</v>
      </c>
      <c r="D41" s="261">
        <v>25577.956093681918</v>
      </c>
      <c r="E41" s="278">
        <f>D41*(1+'Rhaniad y Ddeiliadaeth (De-ddn)'!C$109)+(D$44*(-(50-$B41)*('Rhaniad y Ddeiliadaeth (De-ddn)'!C$110/40)))</f>
        <v>26131.852991582942</v>
      </c>
      <c r="F41" s="278">
        <f>E41*(1+'Rhaniad y Ddeiliadaeth (De-ddn)'!D$109)+(E$44*(-(50-$B41)*('Rhaniad y Ddeiliadaeth (De-ddn)'!D$110/40)))</f>
        <v>27006.810687149897</v>
      </c>
      <c r="G41" s="278">
        <f>F41*(1+'Rhaniad y Ddeiliadaeth (De-ddn)'!E$109)+(F$44*(-(50-$B41)*('Rhaniad y Ddeiliadaeth (De-ddn)'!E$110/40)))</f>
        <v>27908.46355518189</v>
      </c>
      <c r="H41" s="278">
        <f>G41*(1+'Rhaniad y Ddeiliadaeth (De-ddn)'!F$109)+(G$44*(-(50-$B41)*('Rhaniad y Ddeiliadaeth (De-ddn)'!F$110/40)))</f>
        <v>28854.351169793597</v>
      </c>
      <c r="I41" s="279">
        <f>H41*(1+'Rhaniad y Ddeiliadaeth (De-ddn)'!G$109)+(H$44*(-(50-$B41)*('Rhaniad y Ddeiliadaeth (De-ddn)'!G$110/40)))</f>
        <v>29826.87942413113</v>
      </c>
      <c r="M41" s="36" t="str">
        <f t="shared" si="1"/>
        <v/>
      </c>
      <c r="N41" s="190"/>
      <c r="O41" s="13">
        <f t="shared" si="4"/>
        <v>1</v>
      </c>
      <c r="U41" s="1">
        <f t="shared" si="2"/>
        <v>47</v>
      </c>
      <c r="V41" s="4" t="str">
        <f t="shared" si="3"/>
        <v/>
      </c>
      <c r="W41" s="35" t="e">
        <f>IF($L$4=$W$3,N41,V41*(1+'Rhaniad y Ddeiliadaeth (De-ddn)'!C$109)+(V$44*(-(50-$B41)*('Rhaniad y Ddeiliadaeth (De-ddn)'!C$110/40))))</f>
        <v>#VALUE!</v>
      </c>
      <c r="X41" s="35" t="e">
        <f>W41*(1+'Rhaniad y Ddeiliadaeth (De-ddn)'!D$109)+(W$44*(-(50-$B41)*('Rhaniad y Ddeiliadaeth (De-ddn)'!D$110/40)))</f>
        <v>#VALUE!</v>
      </c>
      <c r="Y41" s="35" t="e">
        <f>X41*(1+'Rhaniad y Ddeiliadaeth (De-ddn)'!E$109)+(X$44*(-(50-$B41)*('Rhaniad y Ddeiliadaeth (De-ddn)'!E$110/40)))</f>
        <v>#VALUE!</v>
      </c>
      <c r="Z41" s="35" t="e">
        <f>Y41*(1+'Rhaniad y Ddeiliadaeth (De-ddn)'!F$109)+(Y$44*(-(50-$B41)*('Rhaniad y Ddeiliadaeth (De-ddn)'!F$110/40)))</f>
        <v>#VALUE!</v>
      </c>
      <c r="AA41" s="35" t="e">
        <f>Z41*(1+'Rhaniad y Ddeiliadaeth (De-ddn)'!G$109)+(Z$44*(-(50-$B41)*('Rhaniad y Ddeiliadaeth (De-ddn)'!G$110/40)))</f>
        <v>#VALUE!</v>
      </c>
      <c r="AC41" s="260">
        <v>47</v>
      </c>
      <c r="AD41" s="4">
        <f>IF('Rhaniad y Ddeiliadaeth (Cymru)'!$D$8="Amcangyfrifon LlC",'Incwm (De-ddwyrain)'!E41,'Incwm (De-ddwyrain)'!W41)</f>
        <v>26131.852991582942</v>
      </c>
      <c r="AE41" s="4">
        <f>IF('Rhaniad y Ddeiliadaeth (Cymru)'!$D$8="Amcangyfrifon LlC",'Incwm (De-ddwyrain)'!F41,'Incwm (De-ddwyrain)'!X41)</f>
        <v>27006.810687149897</v>
      </c>
      <c r="AF41" s="4">
        <f>IF('Rhaniad y Ddeiliadaeth (Cymru)'!$D$8="Amcangyfrifon LlC",'Incwm (De-ddwyrain)'!G41,'Incwm (De-ddwyrain)'!Y41)</f>
        <v>27908.46355518189</v>
      </c>
      <c r="AG41" s="4">
        <f>IF('Rhaniad y Ddeiliadaeth (Cymru)'!$D$8="Amcangyfrifon LlC",'Incwm (De-ddwyrain)'!H41,'Incwm (De-ddwyrain)'!Z41)</f>
        <v>28854.351169793597</v>
      </c>
      <c r="AH41" s="4">
        <f>IF('Rhaniad y Ddeiliadaeth (Cymru)'!$D$8="Amcangyfrifon LlC",'Incwm (De-ddwyrain)'!I41,'Incwm (De-ddwyrain)'!AA41)</f>
        <v>29826.87942413113</v>
      </c>
    </row>
    <row r="42" spans="2:34" x14ac:dyDescent="0.35">
      <c r="B42" s="251">
        <v>48</v>
      </c>
      <c r="C42" s="261">
        <v>25525</v>
      </c>
      <c r="D42" s="261">
        <v>26147.25429443139</v>
      </c>
      <c r="E42" s="278">
        <f>D42*(1+'Rhaniad y Ddeiliadaeth (De-ddn)'!C$109)+(D$44*(-(50-$B42)*('Rhaniad y Ddeiliadaeth (De-ddn)'!C$110/40)))</f>
        <v>26720.673317848206</v>
      </c>
      <c r="F42" s="278">
        <f>E42*(1+'Rhaniad y Ddeiliadaeth (De-ddn)'!D$109)+(E$44*(-(50-$B42)*('Rhaniad y Ddeiliadaeth (De-ddn)'!D$110/40)))</f>
        <v>27622.707145404198</v>
      </c>
      <c r="G42" s="278">
        <f>F42*(1+'Rhaniad y Ddeiliadaeth (De-ddn)'!E$109)+(F$44*(-(50-$B42)*('Rhaniad y Ddeiliadaeth (De-ddn)'!E$110/40)))</f>
        <v>28552.541536092958</v>
      </c>
      <c r="H42" s="278">
        <f>G42*(1+'Rhaniad y Ddeiliadaeth (De-ddn)'!F$109)+(G$44*(-(50-$B42)*('Rhaniad y Ddeiliadaeth (De-ddn)'!F$110/40)))</f>
        <v>29528.144136788203</v>
      </c>
      <c r="I42" s="279">
        <f>H42*(1+'Rhaniad y Ddeiliadaeth (De-ddn)'!G$109)+(H$44*(-(50-$B42)*('Rhaniad y Ddeiliadaeth (De-ddn)'!G$110/40)))</f>
        <v>30531.547746614895</v>
      </c>
      <c r="M42" s="36" t="str">
        <f t="shared" si="1"/>
        <v/>
      </c>
      <c r="N42" s="190"/>
      <c r="O42" s="13">
        <f t="shared" si="4"/>
        <v>1</v>
      </c>
      <c r="U42" s="1">
        <f t="shared" si="2"/>
        <v>48</v>
      </c>
      <c r="V42" s="4" t="str">
        <f t="shared" si="3"/>
        <v/>
      </c>
      <c r="W42" s="35" t="e">
        <f>IF($L$4=$W$3,N42,V42*(1+'Rhaniad y Ddeiliadaeth (De-ddn)'!C$109)+(V$44*(-(50-$B42)*('Rhaniad y Ddeiliadaeth (De-ddn)'!C$110/40))))</f>
        <v>#VALUE!</v>
      </c>
      <c r="X42" s="35" t="e">
        <f>W42*(1+'Rhaniad y Ddeiliadaeth (De-ddn)'!D$109)+(W$44*(-(50-$B42)*('Rhaniad y Ddeiliadaeth (De-ddn)'!D$110/40)))</f>
        <v>#VALUE!</v>
      </c>
      <c r="Y42" s="35" t="e">
        <f>X42*(1+'Rhaniad y Ddeiliadaeth (De-ddn)'!E$109)+(X$44*(-(50-$B42)*('Rhaniad y Ddeiliadaeth (De-ddn)'!E$110/40)))</f>
        <v>#VALUE!</v>
      </c>
      <c r="Z42" s="35" t="e">
        <f>Y42*(1+'Rhaniad y Ddeiliadaeth (De-ddn)'!F$109)+(Y$44*(-(50-$B42)*('Rhaniad y Ddeiliadaeth (De-ddn)'!F$110/40)))</f>
        <v>#VALUE!</v>
      </c>
      <c r="AA42" s="35" t="e">
        <f>Z42*(1+'Rhaniad y Ddeiliadaeth (De-ddn)'!G$109)+(Z$44*(-(50-$B42)*('Rhaniad y Ddeiliadaeth (De-ddn)'!G$110/40)))</f>
        <v>#VALUE!</v>
      </c>
      <c r="AC42" s="260">
        <v>48</v>
      </c>
      <c r="AD42" s="4">
        <f>IF('Rhaniad y Ddeiliadaeth (Cymru)'!$D$8="Amcangyfrifon LlC",'Incwm (De-ddwyrain)'!E42,'Incwm (De-ddwyrain)'!W42)</f>
        <v>26720.673317848206</v>
      </c>
      <c r="AE42" s="4">
        <f>IF('Rhaniad y Ddeiliadaeth (Cymru)'!$D$8="Amcangyfrifon LlC",'Incwm (De-ddwyrain)'!F42,'Incwm (De-ddwyrain)'!X42)</f>
        <v>27622.707145404198</v>
      </c>
      <c r="AF42" s="4">
        <f>IF('Rhaniad y Ddeiliadaeth (Cymru)'!$D$8="Amcangyfrifon LlC",'Incwm (De-ddwyrain)'!G42,'Incwm (De-ddwyrain)'!Y42)</f>
        <v>28552.541536092958</v>
      </c>
      <c r="AG42" s="4">
        <f>IF('Rhaniad y Ddeiliadaeth (Cymru)'!$D$8="Amcangyfrifon LlC",'Incwm (De-ddwyrain)'!H42,'Incwm (De-ddwyrain)'!Z42)</f>
        <v>29528.144136788203</v>
      </c>
      <c r="AH42" s="4">
        <f>IF('Rhaniad y Ddeiliadaeth (Cymru)'!$D$8="Amcangyfrifon LlC",'Incwm (De-ddwyrain)'!I42,'Incwm (De-ddwyrain)'!AA42)</f>
        <v>30531.547746614895</v>
      </c>
    </row>
    <row r="43" spans="2:34" x14ac:dyDescent="0.35">
      <c r="B43" s="251">
        <v>49</v>
      </c>
      <c r="C43" s="261">
        <v>25915</v>
      </c>
      <c r="D43" s="261">
        <v>26546.761803729263</v>
      </c>
      <c r="E43" s="278">
        <f>D43*(1+'Rhaniad y Ddeiliadaeth (De-ddn)'!C$109)+(D$44*(-(50-$B43)*('Rhaniad y Ddeiliadaeth (De-ddn)'!C$110/40)))</f>
        <v>27135.891799254336</v>
      </c>
      <c r="F43" s="278">
        <f>E43*(1+'Rhaniad y Ddeiliadaeth (De-ddn)'!D$109)+(E$44*(-(50-$B43)*('Rhaniad y Ddeiliadaeth (De-ddn)'!D$110/40)))</f>
        <v>28059.051733658227</v>
      </c>
      <c r="G43" s="278">
        <f>F43*(1+'Rhaniad y Ddeiliadaeth (De-ddn)'!E$109)+(F$44*(-(50-$B43)*('Rhaniad y Ddeiliadaeth (De-ddn)'!E$110/40)))</f>
        <v>29010.930871338132</v>
      </c>
      <c r="H43" s="278">
        <f>G43*(1+'Rhaniad y Ddeiliadaeth (De-ddn)'!F$109)+(G$44*(-(50-$B43)*('Rhaniad y Ddeiliadaeth (De-ddn)'!F$110/40)))</f>
        <v>30009.807797784219</v>
      </c>
      <c r="I43" s="279">
        <f>H43*(1+'Rhaniad y Ddeiliadaeth (De-ddn)'!G$109)+(H$44*(-(50-$B43)*('Rhaniad y Ddeiliadaeth (De-ddn)'!G$110/40)))</f>
        <v>31037.458665239108</v>
      </c>
      <c r="M43" s="36" t="str">
        <f t="shared" si="1"/>
        <v/>
      </c>
      <c r="N43" s="190"/>
      <c r="O43" s="13">
        <f t="shared" si="4"/>
        <v>1</v>
      </c>
      <c r="U43" s="1">
        <f t="shared" si="2"/>
        <v>49</v>
      </c>
      <c r="V43" s="4" t="str">
        <f t="shared" si="3"/>
        <v/>
      </c>
      <c r="W43" s="35" t="e">
        <f>IF($L$4=$W$3,N43,V43*(1+'Rhaniad y Ddeiliadaeth (De-ddn)'!C$109)+(V$44*(-(50-$B43)*('Rhaniad y Ddeiliadaeth (De-ddn)'!C$110/40))))</f>
        <v>#VALUE!</v>
      </c>
      <c r="X43" s="35" t="e">
        <f>W43*(1+'Rhaniad y Ddeiliadaeth (De-ddn)'!D$109)+(W$44*(-(50-$B43)*('Rhaniad y Ddeiliadaeth (De-ddn)'!D$110/40)))</f>
        <v>#VALUE!</v>
      </c>
      <c r="Y43" s="35" t="e">
        <f>X43*(1+'Rhaniad y Ddeiliadaeth (De-ddn)'!E$109)+(X$44*(-(50-$B43)*('Rhaniad y Ddeiliadaeth (De-ddn)'!E$110/40)))</f>
        <v>#VALUE!</v>
      </c>
      <c r="Z43" s="35" t="e">
        <f>Y43*(1+'Rhaniad y Ddeiliadaeth (De-ddn)'!F$109)+(Y$44*(-(50-$B43)*('Rhaniad y Ddeiliadaeth (De-ddn)'!F$110/40)))</f>
        <v>#VALUE!</v>
      </c>
      <c r="AA43" s="35" t="e">
        <f>Z43*(1+'Rhaniad y Ddeiliadaeth (De-ddn)'!G$109)+(Z$44*(-(50-$B43)*('Rhaniad y Ddeiliadaeth (De-ddn)'!G$110/40)))</f>
        <v>#VALUE!</v>
      </c>
      <c r="AC43" s="260">
        <v>49</v>
      </c>
      <c r="AD43" s="4">
        <f>IF('Rhaniad y Ddeiliadaeth (Cymru)'!$D$8="Amcangyfrifon LlC",'Incwm (De-ddwyrain)'!E43,'Incwm (De-ddwyrain)'!W43)</f>
        <v>27135.891799254336</v>
      </c>
      <c r="AE43" s="4">
        <f>IF('Rhaniad y Ddeiliadaeth (Cymru)'!$D$8="Amcangyfrifon LlC",'Incwm (De-ddwyrain)'!F43,'Incwm (De-ddwyrain)'!X43)</f>
        <v>28059.051733658227</v>
      </c>
      <c r="AF43" s="4">
        <f>IF('Rhaniad y Ddeiliadaeth (Cymru)'!$D$8="Amcangyfrifon LlC",'Incwm (De-ddwyrain)'!G43,'Incwm (De-ddwyrain)'!Y43)</f>
        <v>29010.930871338132</v>
      </c>
      <c r="AG43" s="4">
        <f>IF('Rhaniad y Ddeiliadaeth (Cymru)'!$D$8="Amcangyfrifon LlC",'Incwm (De-ddwyrain)'!H43,'Incwm (De-ddwyrain)'!Z43)</f>
        <v>30009.807797784219</v>
      </c>
      <c r="AH43" s="4">
        <f>IF('Rhaniad y Ddeiliadaeth (Cymru)'!$D$8="Amcangyfrifon LlC",'Incwm (De-ddwyrain)'!I43,'Incwm (De-ddwyrain)'!AA43)</f>
        <v>31037.458665239108</v>
      </c>
    </row>
    <row r="44" spans="2:34" x14ac:dyDescent="0.35">
      <c r="B44" s="251">
        <v>50</v>
      </c>
      <c r="C44" s="261">
        <v>26279.8</v>
      </c>
      <c r="D44" s="261">
        <v>26974.209303273819</v>
      </c>
      <c r="E44" s="278">
        <f>D44*(1+'Rhaniad y Ddeiliadaeth (De-ddn)'!C$109)+(D$44*(-(50-$B44)*('Rhaniad y Ddeiliadaeth (De-ddn)'!C$110/40)))</f>
        <v>27579.677417119488</v>
      </c>
      <c r="F44" s="278">
        <f>E44*(1+'Rhaniad y Ddeiliadaeth (De-ddn)'!D$109)+(E$44*(-(50-$B44)*('Rhaniad y Ddeiliadaeth (De-ddn)'!D$110/40)))</f>
        <v>28524.942567667498</v>
      </c>
      <c r="G44" s="278">
        <f>F44*(1+'Rhaniad y Ddeiliadaeth (De-ddn)'!E$109)+(F$44*(-(50-$B44)*('Rhaniad y Ddeiliadaeth (De-ddn)'!E$110/40)))</f>
        <v>29499.876292458626</v>
      </c>
      <c r="H44" s="278">
        <f>G44*(1+'Rhaniad y Ddeiliadaeth (De-ddn)'!F$109)+(G$44*(-(50-$B44)*('Rhaniad y Ddeiliadaeth (De-ddn)'!F$110/40)))</f>
        <v>30523.087390665594</v>
      </c>
      <c r="I44" s="279">
        <f>H44*(1+'Rhaniad y Ddeiliadaeth (De-ddn)'!G$109)+(H$44*(-(50-$B44)*('Rhaniad y Ddeiliadaeth (De-ddn)'!G$110/40)))</f>
        <v>31576.076205632835</v>
      </c>
      <c r="M44" s="36" t="str">
        <f t="shared" si="1"/>
        <v/>
      </c>
      <c r="N44" s="190"/>
      <c r="O44" s="13">
        <f t="shared" si="4"/>
        <v>1</v>
      </c>
      <c r="U44" s="1">
        <f t="shared" si="2"/>
        <v>50</v>
      </c>
      <c r="V44" s="4" t="str">
        <f t="shared" si="3"/>
        <v/>
      </c>
      <c r="W44" s="35" t="e">
        <f>IF($L$4=$W$3,N44,V44*(1+'Rhaniad y Ddeiliadaeth (De-ddn)'!C$109)+(V$44*(-(50-$B44)*('Rhaniad y Ddeiliadaeth (De-ddn)'!C$110/40))))</f>
        <v>#VALUE!</v>
      </c>
      <c r="X44" s="35" t="e">
        <f>W44*(1+'Rhaniad y Ddeiliadaeth (De-ddn)'!D$109)+(W$44*(-(50-$B44)*('Rhaniad y Ddeiliadaeth (De-ddn)'!D$110/40)))</f>
        <v>#VALUE!</v>
      </c>
      <c r="Y44" s="35" t="e">
        <f>X44*(1+'Rhaniad y Ddeiliadaeth (De-ddn)'!E$109)+(X$44*(-(50-$B44)*('Rhaniad y Ddeiliadaeth (De-ddn)'!E$110/40)))</f>
        <v>#VALUE!</v>
      </c>
      <c r="Z44" s="35" t="e">
        <f>Y44*(1+'Rhaniad y Ddeiliadaeth (De-ddn)'!F$109)+(Y$44*(-(50-$B44)*('Rhaniad y Ddeiliadaeth (De-ddn)'!F$110/40)))</f>
        <v>#VALUE!</v>
      </c>
      <c r="AA44" s="35" t="e">
        <f>Z44*(1+'Rhaniad y Ddeiliadaeth (De-ddn)'!G$109)+(Z$44*(-(50-$B44)*('Rhaniad y Ddeiliadaeth (De-ddn)'!G$110/40)))</f>
        <v>#VALUE!</v>
      </c>
      <c r="AC44" s="260">
        <v>50</v>
      </c>
      <c r="AD44" s="4">
        <f>IF('Rhaniad y Ddeiliadaeth (Cymru)'!$D$8="Amcangyfrifon LlC",'Incwm (De-ddwyrain)'!E44,'Incwm (De-ddwyrain)'!W44)</f>
        <v>27579.677417119488</v>
      </c>
      <c r="AE44" s="4">
        <f>IF('Rhaniad y Ddeiliadaeth (Cymru)'!$D$8="Amcangyfrifon LlC",'Incwm (De-ddwyrain)'!F44,'Incwm (De-ddwyrain)'!X44)</f>
        <v>28524.942567667498</v>
      </c>
      <c r="AF44" s="4">
        <f>IF('Rhaniad y Ddeiliadaeth (Cymru)'!$D$8="Amcangyfrifon LlC",'Incwm (De-ddwyrain)'!G44,'Incwm (De-ddwyrain)'!Y44)</f>
        <v>29499.876292458626</v>
      </c>
      <c r="AG44" s="4">
        <f>IF('Rhaniad y Ddeiliadaeth (Cymru)'!$D$8="Amcangyfrifon LlC",'Incwm (De-ddwyrain)'!H44,'Incwm (De-ddwyrain)'!Z44)</f>
        <v>30523.087390665594</v>
      </c>
      <c r="AH44" s="4">
        <f>IF('Rhaniad y Ddeiliadaeth (Cymru)'!$D$8="Amcangyfrifon LlC",'Incwm (De-ddwyrain)'!I44,'Incwm (De-ddwyrain)'!AA44)</f>
        <v>31576.076205632835</v>
      </c>
    </row>
    <row r="45" spans="2:34" x14ac:dyDescent="0.35">
      <c r="B45" s="251">
        <v>51</v>
      </c>
      <c r="C45" s="261">
        <v>26770</v>
      </c>
      <c r="D45" s="261">
        <v>27477.362196388105</v>
      </c>
      <c r="E45" s="278">
        <f>D45*(1+'Rhaniad y Ddeiliadaeth (De-ddn)'!C$109)+(D$44*(-(50-$B45)*('Rhaniad y Ddeiliadaeth (De-ddn)'!C$110/40)))</f>
        <v>28100.867725884549</v>
      </c>
      <c r="F45" s="278">
        <f>E45*(1+'Rhaniad y Ddeiliadaeth (De-ddn)'!D$109)+(E$44*(-(50-$B45)*('Rhaniad y Ddeiliadaeth (De-ddn)'!D$110/40)))</f>
        <v>29070.89105895079</v>
      </c>
      <c r="G45" s="278">
        <f>F45*(1+'Rhaniad y Ddeiliadaeth (De-ddn)'!E$109)+(F$44*(-(50-$B45)*('Rhaniad y Ddeiliadaeth (De-ddn)'!E$110/40)))</f>
        <v>30071.61560458329</v>
      </c>
      <c r="H45" s="278">
        <f>G45*(1+'Rhaniad y Ddeiliadaeth (De-ddn)'!F$109)+(G$44*(-(50-$B45)*('Rhaniad y Ddeiliadaeth (De-ddn)'!F$110/40)))</f>
        <v>31122.032602801777</v>
      </c>
      <c r="I45" s="279">
        <f>H45*(1+'Rhaniad y Ddeiliadaeth (De-ddn)'!G$109)+(H$44*(-(50-$B45)*('Rhaniad y Ddeiliadaeth (De-ddn)'!G$110/40)))</f>
        <v>32203.314667205716</v>
      </c>
      <c r="M45" s="36" t="str">
        <f t="shared" si="1"/>
        <v/>
      </c>
      <c r="N45" s="190"/>
      <c r="O45" s="13">
        <f t="shared" si="4"/>
        <v>1</v>
      </c>
      <c r="U45" s="1">
        <f t="shared" si="2"/>
        <v>51</v>
      </c>
      <c r="V45" s="4" t="str">
        <f t="shared" si="3"/>
        <v/>
      </c>
      <c r="W45" s="35" t="e">
        <f>IF($L$4=$W$3,N45,V45*(1+'Rhaniad y Ddeiliadaeth (De-ddn)'!C$109)+(V$44*(-(50-$B45)*('Rhaniad y Ddeiliadaeth (De-ddn)'!C$110/40))))</f>
        <v>#VALUE!</v>
      </c>
      <c r="X45" s="35" t="e">
        <f>W45*(1+'Rhaniad y Ddeiliadaeth (De-ddn)'!D$109)+(W$44*(-(50-$B45)*('Rhaniad y Ddeiliadaeth (De-ddn)'!D$110/40)))</f>
        <v>#VALUE!</v>
      </c>
      <c r="Y45" s="35" t="e">
        <f>X45*(1+'Rhaniad y Ddeiliadaeth (De-ddn)'!E$109)+(X$44*(-(50-$B45)*('Rhaniad y Ddeiliadaeth (De-ddn)'!E$110/40)))</f>
        <v>#VALUE!</v>
      </c>
      <c r="Z45" s="35" t="e">
        <f>Y45*(1+'Rhaniad y Ddeiliadaeth (De-ddn)'!F$109)+(Y$44*(-(50-$B45)*('Rhaniad y Ddeiliadaeth (De-ddn)'!F$110/40)))</f>
        <v>#VALUE!</v>
      </c>
      <c r="AA45" s="35" t="e">
        <f>Z45*(1+'Rhaniad y Ddeiliadaeth (De-ddn)'!G$109)+(Z$44*(-(50-$B45)*('Rhaniad y Ddeiliadaeth (De-ddn)'!G$110/40)))</f>
        <v>#VALUE!</v>
      </c>
      <c r="AC45" s="260">
        <v>51</v>
      </c>
      <c r="AD45" s="4">
        <f>IF('Rhaniad y Ddeiliadaeth (Cymru)'!$D$8="Amcangyfrifon LlC",'Incwm (De-ddwyrain)'!E45,'Incwm (De-ddwyrain)'!W45)</f>
        <v>28100.867725884549</v>
      </c>
      <c r="AE45" s="4">
        <f>IF('Rhaniad y Ddeiliadaeth (Cymru)'!$D$8="Amcangyfrifon LlC",'Incwm (De-ddwyrain)'!F45,'Incwm (De-ddwyrain)'!X45)</f>
        <v>29070.89105895079</v>
      </c>
      <c r="AF45" s="4">
        <f>IF('Rhaniad y Ddeiliadaeth (Cymru)'!$D$8="Amcangyfrifon LlC",'Incwm (De-ddwyrain)'!G45,'Incwm (De-ddwyrain)'!Y45)</f>
        <v>30071.61560458329</v>
      </c>
      <c r="AG45" s="4">
        <f>IF('Rhaniad y Ddeiliadaeth (Cymru)'!$D$8="Amcangyfrifon LlC",'Incwm (De-ddwyrain)'!H45,'Incwm (De-ddwyrain)'!Z45)</f>
        <v>31122.032602801777</v>
      </c>
      <c r="AH45" s="4">
        <f>IF('Rhaniad y Ddeiliadaeth (Cymru)'!$D$8="Amcangyfrifon LlC",'Incwm (De-ddwyrain)'!I45,'Incwm (De-ddwyrain)'!AA45)</f>
        <v>32203.314667205716</v>
      </c>
    </row>
    <row r="46" spans="2:34" x14ac:dyDescent="0.35">
      <c r="B46" s="251">
        <v>52</v>
      </c>
      <c r="C46" s="261">
        <v>27427</v>
      </c>
      <c r="D46" s="261">
        <v>28151.722561088405</v>
      </c>
      <c r="E46" s="278">
        <f>D46*(1+'Rhaniad y Ddeiliadaeth (De-ddn)'!C$109)+(D$44*(-(50-$B46)*('Rhaniad y Ddeiliadaeth (De-ddn)'!C$110/40)))</f>
        <v>28797.108460953295</v>
      </c>
      <c r="F46" s="278">
        <f>E46*(1+'Rhaniad y Ddeiliadaeth (De-ddn)'!D$109)+(E$44*(-(50-$B46)*('Rhaniad y Ddeiliadaeth (De-ddn)'!D$110/40)))</f>
        <v>29797.889650321871</v>
      </c>
      <c r="G46" s="278">
        <f>F46*(1+'Rhaniad y Ddeiliadaeth (De-ddn)'!E$109)+(F$44*(-(50-$B46)*('Rhaniad y Ddeiliadaeth (De-ddn)'!E$110/40)))</f>
        <v>30830.592999401968</v>
      </c>
      <c r="H46" s="278">
        <f>G46*(1+'Rhaniad y Ddeiliadaeth (De-ddn)'!F$109)+(G$44*(-(50-$B46)*('Rhaniad y Ddeiliadaeth (De-ddn)'!F$110/40)))</f>
        <v>31914.71030060235</v>
      </c>
      <c r="I46" s="279">
        <f>H46*(1+'Rhaniad y Ddeiliadaeth (De-ddn)'!G$109)+(H$44*(-(50-$B46)*('Rhaniad y Ddeiliadaeth (De-ddn)'!G$110/40)))</f>
        <v>33030.969018971802</v>
      </c>
      <c r="M46" s="36" t="str">
        <f t="shared" si="1"/>
        <v/>
      </c>
      <c r="N46" s="190"/>
      <c r="O46" s="13">
        <f t="shared" si="4"/>
        <v>1</v>
      </c>
      <c r="U46" s="1">
        <f t="shared" si="2"/>
        <v>52</v>
      </c>
      <c r="V46" s="4" t="str">
        <f t="shared" si="3"/>
        <v/>
      </c>
      <c r="W46" s="35" t="e">
        <f>IF($L$4=$W$3,N46,V46*(1+'Rhaniad y Ddeiliadaeth (De-ddn)'!C$109)+(V$44*(-(50-$B46)*('Rhaniad y Ddeiliadaeth (De-ddn)'!C$110/40))))</f>
        <v>#VALUE!</v>
      </c>
      <c r="X46" s="35" t="e">
        <f>W46*(1+'Rhaniad y Ddeiliadaeth (De-ddn)'!D$109)+(W$44*(-(50-$B46)*('Rhaniad y Ddeiliadaeth (De-ddn)'!D$110/40)))</f>
        <v>#VALUE!</v>
      </c>
      <c r="Y46" s="35" t="e">
        <f>X46*(1+'Rhaniad y Ddeiliadaeth (De-ddn)'!E$109)+(X$44*(-(50-$B46)*('Rhaniad y Ddeiliadaeth (De-ddn)'!E$110/40)))</f>
        <v>#VALUE!</v>
      </c>
      <c r="Z46" s="35" t="e">
        <f>Y46*(1+'Rhaniad y Ddeiliadaeth (De-ddn)'!F$109)+(Y$44*(-(50-$B46)*('Rhaniad y Ddeiliadaeth (De-ddn)'!F$110/40)))</f>
        <v>#VALUE!</v>
      </c>
      <c r="AA46" s="35" t="e">
        <f>Z46*(1+'Rhaniad y Ddeiliadaeth (De-ddn)'!G$109)+(Z$44*(-(50-$B46)*('Rhaniad y Ddeiliadaeth (De-ddn)'!G$110/40)))</f>
        <v>#VALUE!</v>
      </c>
      <c r="AC46" s="260">
        <v>52</v>
      </c>
      <c r="AD46" s="4">
        <f>IF('Rhaniad y Ddeiliadaeth (Cymru)'!$D$8="Amcangyfrifon LlC",'Incwm (De-ddwyrain)'!E46,'Incwm (De-ddwyrain)'!W46)</f>
        <v>28797.108460953295</v>
      </c>
      <c r="AE46" s="4">
        <f>IF('Rhaniad y Ddeiliadaeth (Cymru)'!$D$8="Amcangyfrifon LlC",'Incwm (De-ddwyrain)'!F46,'Incwm (De-ddwyrain)'!X46)</f>
        <v>29797.889650321871</v>
      </c>
      <c r="AF46" s="4">
        <f>IF('Rhaniad y Ddeiliadaeth (Cymru)'!$D$8="Amcangyfrifon LlC",'Incwm (De-ddwyrain)'!G46,'Incwm (De-ddwyrain)'!Y46)</f>
        <v>30830.592999401968</v>
      </c>
      <c r="AG46" s="4">
        <f>IF('Rhaniad y Ddeiliadaeth (Cymru)'!$D$8="Amcangyfrifon LlC",'Incwm (De-ddwyrain)'!H46,'Incwm (De-ddwyrain)'!Z46)</f>
        <v>31914.71030060235</v>
      </c>
      <c r="AH46" s="4">
        <f>IF('Rhaniad y Ddeiliadaeth (Cymru)'!$D$8="Amcangyfrifon LlC",'Incwm (De-ddwyrain)'!I46,'Incwm (De-ddwyrain)'!AA46)</f>
        <v>33030.969018971802</v>
      </c>
    </row>
    <row r="47" spans="2:34" x14ac:dyDescent="0.35">
      <c r="B47" s="251">
        <v>53</v>
      </c>
      <c r="C47" s="261">
        <v>28082.6</v>
      </c>
      <c r="D47" s="261">
        <v>28824.645932621912</v>
      </c>
      <c r="E47" s="278">
        <f>D47*(1+'Rhaniad y Ddeiliadaeth (De-ddn)'!C$109)+(D$44*(-(50-$B47)*('Rhaniad y Ddeiliadaeth (De-ddn)'!C$110/40)))</f>
        <v>29491.879947839629</v>
      </c>
      <c r="F47" s="278">
        <f>E47*(1+'Rhaniad y Ddeiliadaeth (De-ddn)'!D$109)+(E$44*(-(50-$B47)*('Rhaniad y Ddeiliadaeth (De-ddn)'!D$110/40)))</f>
        <v>30523.368636536332</v>
      </c>
      <c r="G47" s="278">
        <f>F47*(1+'Rhaniad y Ddeiliadaeth (De-ddn)'!E$109)+(F$44*(-(50-$B47)*('Rhaniad y Ddeiliadaeth (De-ddn)'!E$110/40)))</f>
        <v>31587.99885156014</v>
      </c>
      <c r="H47" s="278">
        <f>G47*(1+'Rhaniad y Ddeiliadaeth (De-ddn)'!F$109)+(G$44*(-(50-$B47)*('Rhaniad y Ddeiliadaeth (De-ddn)'!F$110/40)))</f>
        <v>32705.761946364964</v>
      </c>
      <c r="I47" s="279">
        <f>H47*(1+'Rhaniad y Ddeiliadaeth (De-ddn)'!G$109)+(H$44*(-(50-$B47)*('Rhaniad y Ddeiliadaeth (De-ddn)'!G$110/40)))</f>
        <v>33856.941222978472</v>
      </c>
      <c r="M47" s="36" t="str">
        <f t="shared" si="1"/>
        <v/>
      </c>
      <c r="N47" s="190"/>
      <c r="O47" s="13">
        <f t="shared" si="4"/>
        <v>1</v>
      </c>
      <c r="U47" s="1">
        <f t="shared" si="2"/>
        <v>53</v>
      </c>
      <c r="V47" s="4" t="str">
        <f t="shared" si="3"/>
        <v/>
      </c>
      <c r="W47" s="35" t="e">
        <f>IF($L$4=$W$3,N47,V47*(1+'Rhaniad y Ddeiliadaeth (De-ddn)'!C$109)+(V$44*(-(50-$B47)*('Rhaniad y Ddeiliadaeth (De-ddn)'!C$110/40))))</f>
        <v>#VALUE!</v>
      </c>
      <c r="X47" s="35" t="e">
        <f>W47*(1+'Rhaniad y Ddeiliadaeth (De-ddn)'!D$109)+(W$44*(-(50-$B47)*('Rhaniad y Ddeiliadaeth (De-ddn)'!D$110/40)))</f>
        <v>#VALUE!</v>
      </c>
      <c r="Y47" s="35" t="e">
        <f>X47*(1+'Rhaniad y Ddeiliadaeth (De-ddn)'!E$109)+(X$44*(-(50-$B47)*('Rhaniad y Ddeiliadaeth (De-ddn)'!E$110/40)))</f>
        <v>#VALUE!</v>
      </c>
      <c r="Z47" s="35" t="e">
        <f>Y47*(1+'Rhaniad y Ddeiliadaeth (De-ddn)'!F$109)+(Y$44*(-(50-$B47)*('Rhaniad y Ddeiliadaeth (De-ddn)'!F$110/40)))</f>
        <v>#VALUE!</v>
      </c>
      <c r="AA47" s="35" t="e">
        <f>Z47*(1+'Rhaniad y Ddeiliadaeth (De-ddn)'!G$109)+(Z$44*(-(50-$B47)*('Rhaniad y Ddeiliadaeth (De-ddn)'!G$110/40)))</f>
        <v>#VALUE!</v>
      </c>
      <c r="AC47" s="260">
        <v>53</v>
      </c>
      <c r="AD47" s="4">
        <f>IF('Rhaniad y Ddeiliadaeth (Cymru)'!$D$8="Amcangyfrifon LlC",'Incwm (De-ddwyrain)'!E47,'Incwm (De-ddwyrain)'!W47)</f>
        <v>29491.879947839629</v>
      </c>
      <c r="AE47" s="4">
        <f>IF('Rhaniad y Ddeiliadaeth (Cymru)'!$D$8="Amcangyfrifon LlC",'Incwm (De-ddwyrain)'!F47,'Incwm (De-ddwyrain)'!X47)</f>
        <v>30523.368636536332</v>
      </c>
      <c r="AF47" s="4">
        <f>IF('Rhaniad y Ddeiliadaeth (Cymru)'!$D$8="Amcangyfrifon LlC",'Incwm (De-ddwyrain)'!G47,'Incwm (De-ddwyrain)'!Y47)</f>
        <v>31587.99885156014</v>
      </c>
      <c r="AG47" s="4">
        <f>IF('Rhaniad y Ddeiliadaeth (Cymru)'!$D$8="Amcangyfrifon LlC",'Incwm (De-ddwyrain)'!H47,'Incwm (De-ddwyrain)'!Z47)</f>
        <v>32705.761946364964</v>
      </c>
      <c r="AH47" s="4">
        <f>IF('Rhaniad y Ddeiliadaeth (Cymru)'!$D$8="Amcangyfrifon LlC",'Incwm (De-ddwyrain)'!I47,'Incwm (De-ddwyrain)'!AA47)</f>
        <v>33856.941222978472</v>
      </c>
    </row>
    <row r="48" spans="2:34" x14ac:dyDescent="0.35">
      <c r="B48" s="251">
        <v>54</v>
      </c>
      <c r="C48" s="261">
        <v>28699</v>
      </c>
      <c r="D48" s="261">
        <v>29457.333495485327</v>
      </c>
      <c r="E48" s="278">
        <f>D48*(1+'Rhaniad y Ddeiliadaeth (De-ddn)'!C$109)+(D$44*(-(50-$B48)*('Rhaniad y Ddeiliadaeth (De-ddn)'!C$110/40)))</f>
        <v>30145.512485618627</v>
      </c>
      <c r="F48" s="278">
        <f>E48*(1+'Rhaniad y Ddeiliadaeth (De-ddn)'!D$109)+(E$44*(-(50-$B48)*('Rhaniad y Ddeiliadaeth (De-ddn)'!D$110/40)))</f>
        <v>31206.298678365663</v>
      </c>
      <c r="G48" s="278">
        <f>F48*(1+'Rhaniad y Ddeiliadaeth (De-ddn)'!E$109)+(F$44*(-(50-$B48)*('Rhaniad y Ddeiliadaeth (De-ddn)'!E$110/40)))</f>
        <v>32301.401509224281</v>
      </c>
      <c r="H48" s="278">
        <f>G48*(1+'Rhaniad y Ddeiliadaeth (De-ddn)'!F$109)+(G$44*(-(50-$B48)*('Rhaniad y Ddeiliadaeth (De-ddn)'!F$110/40)))</f>
        <v>33451.284135064976</v>
      </c>
      <c r="I48" s="279">
        <f>H48*(1+'Rhaniad y Ddeiliadaeth (De-ddn)'!G$109)+(H$44*(-(50-$B48)*('Rhaniad y Ddeiliadaeth (De-ddn)'!G$110/40)))</f>
        <v>34635.813289721511</v>
      </c>
      <c r="M48" s="36" t="str">
        <f t="shared" si="1"/>
        <v/>
      </c>
      <c r="N48" s="190"/>
      <c r="O48" s="13">
        <f t="shared" si="4"/>
        <v>1</v>
      </c>
      <c r="U48" s="1">
        <f t="shared" si="2"/>
        <v>54</v>
      </c>
      <c r="V48" s="4" t="str">
        <f t="shared" si="3"/>
        <v/>
      </c>
      <c r="W48" s="35" t="e">
        <f>IF($L$4=$W$3,N48,V48*(1+'Rhaniad y Ddeiliadaeth (De-ddn)'!C$109)+(V$44*(-(50-$B48)*('Rhaniad y Ddeiliadaeth (De-ddn)'!C$110/40))))</f>
        <v>#VALUE!</v>
      </c>
      <c r="X48" s="35" t="e">
        <f>W48*(1+'Rhaniad y Ddeiliadaeth (De-ddn)'!D$109)+(W$44*(-(50-$B48)*('Rhaniad y Ddeiliadaeth (De-ddn)'!D$110/40)))</f>
        <v>#VALUE!</v>
      </c>
      <c r="Y48" s="35" t="e">
        <f>X48*(1+'Rhaniad y Ddeiliadaeth (De-ddn)'!E$109)+(X$44*(-(50-$B48)*('Rhaniad y Ddeiliadaeth (De-ddn)'!E$110/40)))</f>
        <v>#VALUE!</v>
      </c>
      <c r="Z48" s="35" t="e">
        <f>Y48*(1+'Rhaniad y Ddeiliadaeth (De-ddn)'!F$109)+(Y$44*(-(50-$B48)*('Rhaniad y Ddeiliadaeth (De-ddn)'!F$110/40)))</f>
        <v>#VALUE!</v>
      </c>
      <c r="AA48" s="35" t="e">
        <f>Z48*(1+'Rhaniad y Ddeiliadaeth (De-ddn)'!G$109)+(Z$44*(-(50-$B48)*('Rhaniad y Ddeiliadaeth (De-ddn)'!G$110/40)))</f>
        <v>#VALUE!</v>
      </c>
      <c r="AC48" s="260">
        <v>54</v>
      </c>
      <c r="AD48" s="4">
        <f>IF('Rhaniad y Ddeiliadaeth (Cymru)'!$D$8="Amcangyfrifon LlC",'Incwm (De-ddwyrain)'!E48,'Incwm (De-ddwyrain)'!W48)</f>
        <v>30145.512485618627</v>
      </c>
      <c r="AE48" s="4">
        <f>IF('Rhaniad y Ddeiliadaeth (Cymru)'!$D$8="Amcangyfrifon LlC",'Incwm (De-ddwyrain)'!F48,'Incwm (De-ddwyrain)'!X48)</f>
        <v>31206.298678365663</v>
      </c>
      <c r="AF48" s="4">
        <f>IF('Rhaniad y Ddeiliadaeth (Cymru)'!$D$8="Amcangyfrifon LlC",'Incwm (De-ddwyrain)'!G48,'Incwm (De-ddwyrain)'!Y48)</f>
        <v>32301.401509224281</v>
      </c>
      <c r="AG48" s="4">
        <f>IF('Rhaniad y Ddeiliadaeth (Cymru)'!$D$8="Amcangyfrifon LlC",'Incwm (De-ddwyrain)'!H48,'Incwm (De-ddwyrain)'!Z48)</f>
        <v>33451.284135064976</v>
      </c>
      <c r="AH48" s="4">
        <f>IF('Rhaniad y Ddeiliadaeth (Cymru)'!$D$8="Amcangyfrifon LlC",'Incwm (De-ddwyrain)'!I48,'Incwm (De-ddwyrain)'!AA48)</f>
        <v>34635.813289721511</v>
      </c>
    </row>
    <row r="49" spans="2:34" x14ac:dyDescent="0.35">
      <c r="B49" s="251">
        <v>55</v>
      </c>
      <c r="C49" s="261">
        <v>29325</v>
      </c>
      <c r="D49" s="261">
        <v>30099.874725778154</v>
      </c>
      <c r="E49" s="278">
        <f>D49*(1+'Rhaniad y Ddeiliadaeth (De-ddn)'!C$109)+(D$44*(-(50-$B49)*('Rhaniad y Ddeiliadaeth (De-ddn)'!C$110/40)))</f>
        <v>30809.219868076976</v>
      </c>
      <c r="F49" s="278">
        <f>E49*(1+'Rhaniad y Ddeiliadaeth (De-ddn)'!D$109)+(E$44*(-(50-$B49)*('Rhaniad y Ddeiliadaeth (De-ddn)'!D$110/40)))</f>
        <v>31899.648869840334</v>
      </c>
      <c r="G49" s="278">
        <f>F49*(1+'Rhaniad y Ddeiliadaeth (De-ddn)'!E$109)+(F$44*(-(50-$B49)*('Rhaniad y Ddeiliadaeth (De-ddn)'!E$110/40)))</f>
        <v>33025.580459417572</v>
      </c>
      <c r="H49" s="278">
        <f>G49*(1+'Rhaniad y Ddeiliadaeth (De-ddn)'!F$109)+(G$44*(-(50-$B49)*('Rhaniad y Ddeiliadaeth (De-ddn)'!F$110/40)))</f>
        <v>34207.956394882356</v>
      </c>
      <c r="I49" s="279">
        <f>H49*(1+'Rhaniad y Ddeiliadaeth (De-ddn)'!G$109)+(H$44*(-(50-$B49)*('Rhaniad y Ddeiliadaeth (De-ddn)'!G$110/40)))</f>
        <v>35426.220083957684</v>
      </c>
      <c r="M49" s="36" t="str">
        <f t="shared" si="1"/>
        <v/>
      </c>
      <c r="N49" s="190"/>
      <c r="O49" s="13">
        <f t="shared" si="4"/>
        <v>1</v>
      </c>
      <c r="U49" s="1">
        <f t="shared" si="2"/>
        <v>55</v>
      </c>
      <c r="V49" s="4" t="str">
        <f t="shared" si="3"/>
        <v/>
      </c>
      <c r="W49" s="35" t="e">
        <f>IF($L$4=$W$3,N49,V49*(1+'Rhaniad y Ddeiliadaeth (De-ddn)'!C$109)+(V$44*(-(50-$B49)*('Rhaniad y Ddeiliadaeth (De-ddn)'!C$110/40))))</f>
        <v>#VALUE!</v>
      </c>
      <c r="X49" s="35" t="e">
        <f>W49*(1+'Rhaniad y Ddeiliadaeth (De-ddn)'!D$109)+(W$44*(-(50-$B49)*('Rhaniad y Ddeiliadaeth (De-ddn)'!D$110/40)))</f>
        <v>#VALUE!</v>
      </c>
      <c r="Y49" s="35" t="e">
        <f>X49*(1+'Rhaniad y Ddeiliadaeth (De-ddn)'!E$109)+(X$44*(-(50-$B49)*('Rhaniad y Ddeiliadaeth (De-ddn)'!E$110/40)))</f>
        <v>#VALUE!</v>
      </c>
      <c r="Z49" s="35" t="e">
        <f>Y49*(1+'Rhaniad y Ddeiliadaeth (De-ddn)'!F$109)+(Y$44*(-(50-$B49)*('Rhaniad y Ddeiliadaeth (De-ddn)'!F$110/40)))</f>
        <v>#VALUE!</v>
      </c>
      <c r="AA49" s="35" t="e">
        <f>Z49*(1+'Rhaniad y Ddeiliadaeth (De-ddn)'!G$109)+(Z$44*(-(50-$B49)*('Rhaniad y Ddeiliadaeth (De-ddn)'!G$110/40)))</f>
        <v>#VALUE!</v>
      </c>
      <c r="AC49" s="260">
        <v>55</v>
      </c>
      <c r="AD49" s="4">
        <f>IF('Rhaniad y Ddeiliadaeth (Cymru)'!$D$8="Amcangyfrifon LlC",'Incwm (De-ddwyrain)'!E49,'Incwm (De-ddwyrain)'!W49)</f>
        <v>30809.219868076976</v>
      </c>
      <c r="AE49" s="4">
        <f>IF('Rhaniad y Ddeiliadaeth (Cymru)'!$D$8="Amcangyfrifon LlC",'Incwm (De-ddwyrain)'!F49,'Incwm (De-ddwyrain)'!X49)</f>
        <v>31899.648869840334</v>
      </c>
      <c r="AF49" s="4">
        <f>IF('Rhaniad y Ddeiliadaeth (Cymru)'!$D$8="Amcangyfrifon LlC",'Incwm (De-ddwyrain)'!G49,'Incwm (De-ddwyrain)'!Y49)</f>
        <v>33025.580459417572</v>
      </c>
      <c r="AG49" s="4">
        <f>IF('Rhaniad y Ddeiliadaeth (Cymru)'!$D$8="Amcangyfrifon LlC",'Incwm (De-ddwyrain)'!H49,'Incwm (De-ddwyrain)'!Z49)</f>
        <v>34207.956394882356</v>
      </c>
      <c r="AH49" s="4">
        <f>IF('Rhaniad y Ddeiliadaeth (Cymru)'!$D$8="Amcangyfrifon LlC",'Incwm (De-ddwyrain)'!I49,'Incwm (De-ddwyrain)'!AA49)</f>
        <v>35426.220083957684</v>
      </c>
    </row>
    <row r="50" spans="2:34" x14ac:dyDescent="0.35">
      <c r="B50" s="251">
        <v>56</v>
      </c>
      <c r="C50" s="261">
        <v>29932.5</v>
      </c>
      <c r="D50" s="261">
        <v>30723.427117795552</v>
      </c>
      <c r="E50" s="278">
        <f>D50*(1+'Rhaniad y Ddeiliadaeth (De-ddn)'!C$109)+(D$44*(-(50-$B50)*('Rhaniad y Ddeiliadaeth (De-ddn)'!C$110/40)))</f>
        <v>31453.512185267824</v>
      </c>
      <c r="F50" s="278">
        <f>E50*(1+'Rhaniad y Ddeiliadaeth (De-ddn)'!D$109)+(E$44*(-(50-$B50)*('Rhaniad y Ddeiliadaeth (De-ddn)'!D$110/40)))</f>
        <v>32572.91856460262</v>
      </c>
      <c r="G50" s="278">
        <f>F50*(1+'Rhaniad y Ddeiliadaeth (De-ddn)'!E$109)+(F$44*(-(50-$B50)*('Rhaniad y Ddeiliadaeth (De-ddn)'!E$110/40)))</f>
        <v>33728.99259588281</v>
      </c>
      <c r="H50" s="278">
        <f>G50*(1+'Rhaniad y Ddeiliadaeth (De-ddn)'!F$109)+(G$44*(-(50-$B50)*('Rhaniad y Ddeiliadaeth (De-ddn)'!F$110/40)))</f>
        <v>34943.141538483964</v>
      </c>
      <c r="I50" s="279">
        <f>H50*(1+'Rhaniad y Ddeiliadaeth (De-ddn)'!G$109)+(H$44*(-(50-$B50)*('Rhaniad y Ddeiliadaeth (De-ddn)'!G$110/40)))</f>
        <v>36194.398497087299</v>
      </c>
      <c r="M50" s="36" t="str">
        <f t="shared" si="1"/>
        <v/>
      </c>
      <c r="N50" s="190"/>
      <c r="O50" s="13">
        <f t="shared" si="4"/>
        <v>1</v>
      </c>
      <c r="U50" s="1">
        <f t="shared" si="2"/>
        <v>56</v>
      </c>
      <c r="V50" s="4" t="str">
        <f t="shared" si="3"/>
        <v/>
      </c>
      <c r="W50" s="35" t="e">
        <f>IF($L$4=$W$3,N50,V50*(1+'Rhaniad y Ddeiliadaeth (De-ddn)'!C$109)+(V$44*(-(50-$B50)*('Rhaniad y Ddeiliadaeth (De-ddn)'!C$110/40))))</f>
        <v>#VALUE!</v>
      </c>
      <c r="X50" s="35" t="e">
        <f>W50*(1+'Rhaniad y Ddeiliadaeth (De-ddn)'!D$109)+(W$44*(-(50-$B50)*('Rhaniad y Ddeiliadaeth (De-ddn)'!D$110/40)))</f>
        <v>#VALUE!</v>
      </c>
      <c r="Y50" s="35" t="e">
        <f>X50*(1+'Rhaniad y Ddeiliadaeth (De-ddn)'!E$109)+(X$44*(-(50-$B50)*('Rhaniad y Ddeiliadaeth (De-ddn)'!E$110/40)))</f>
        <v>#VALUE!</v>
      </c>
      <c r="Z50" s="35" t="e">
        <f>Y50*(1+'Rhaniad y Ddeiliadaeth (De-ddn)'!F$109)+(Y$44*(-(50-$B50)*('Rhaniad y Ddeiliadaeth (De-ddn)'!F$110/40)))</f>
        <v>#VALUE!</v>
      </c>
      <c r="AA50" s="35" t="e">
        <f>Z50*(1+'Rhaniad y Ddeiliadaeth (De-ddn)'!G$109)+(Z$44*(-(50-$B50)*('Rhaniad y Ddeiliadaeth (De-ddn)'!G$110/40)))</f>
        <v>#VALUE!</v>
      </c>
      <c r="AC50" s="260">
        <v>56</v>
      </c>
      <c r="AD50" s="4">
        <f>IF('Rhaniad y Ddeiliadaeth (Cymru)'!$D$8="Amcangyfrifon LlC",'Incwm (De-ddwyrain)'!E50,'Incwm (De-ddwyrain)'!W50)</f>
        <v>31453.512185267824</v>
      </c>
      <c r="AE50" s="4">
        <f>IF('Rhaniad y Ddeiliadaeth (Cymru)'!$D$8="Amcangyfrifon LlC",'Incwm (De-ddwyrain)'!F50,'Incwm (De-ddwyrain)'!X50)</f>
        <v>32572.91856460262</v>
      </c>
      <c r="AF50" s="4">
        <f>IF('Rhaniad y Ddeiliadaeth (Cymru)'!$D$8="Amcangyfrifon LlC",'Incwm (De-ddwyrain)'!G50,'Incwm (De-ddwyrain)'!Y50)</f>
        <v>33728.99259588281</v>
      </c>
      <c r="AG50" s="4">
        <f>IF('Rhaniad y Ddeiliadaeth (Cymru)'!$D$8="Amcangyfrifon LlC",'Incwm (De-ddwyrain)'!H50,'Incwm (De-ddwyrain)'!Z50)</f>
        <v>34943.141538483964</v>
      </c>
      <c r="AH50" s="4">
        <f>IF('Rhaniad y Ddeiliadaeth (Cymru)'!$D$8="Amcangyfrifon LlC",'Incwm (De-ddwyrain)'!I50,'Incwm (De-ddwyrain)'!AA50)</f>
        <v>36194.398497087299</v>
      </c>
    </row>
    <row r="51" spans="2:34" x14ac:dyDescent="0.35">
      <c r="B51" s="251">
        <v>57</v>
      </c>
      <c r="C51" s="261">
        <v>30644</v>
      </c>
      <c r="D51" s="261">
        <v>31453.727573631568</v>
      </c>
      <c r="E51" s="278">
        <f>D51*(1+'Rhaniad y Ddeiliadaeth (De-ddn)'!C$109)+(D$44*(-(50-$B51)*('Rhaniad y Ddeiliadaeth (De-ddn)'!C$110/40)))</f>
        <v>32206.94865315162</v>
      </c>
      <c r="F51" s="278">
        <f>E51*(1+'Rhaniad y Ddeiliadaeth (De-ddn)'!D$109)+(E$44*(-(50-$B51)*('Rhaniad y Ddeiliadaeth (De-ddn)'!D$110/40)))</f>
        <v>33359.073213856092</v>
      </c>
      <c r="G51" s="278">
        <f>F51*(1+'Rhaniad y Ddeiliadaeth (De-ddn)'!E$109)+(F$44*(-(50-$B51)*('Rhaniad y Ddeiliadaeth (De-ddn)'!E$110/40)))</f>
        <v>34549.147901413853</v>
      </c>
      <c r="H51" s="278">
        <f>G51*(1+'Rhaniad y Ddeiliadaeth (De-ddn)'!F$109)+(G$44*(-(50-$B51)*('Rhaniad y Ddeiliadaeth (De-ddn)'!F$110/40)))</f>
        <v>35799.119119190465</v>
      </c>
      <c r="I51" s="279">
        <f>H51*(1+'Rhaniad y Ddeiliadaeth (De-ddn)'!G$109)+(H$44*(-(50-$B51)*('Rhaniad y Ddeiliadaeth (De-ddn)'!G$110/40)))</f>
        <v>37087.536458059207</v>
      </c>
      <c r="M51" s="36" t="str">
        <f t="shared" si="1"/>
        <v/>
      </c>
      <c r="N51" s="190"/>
      <c r="O51" s="13">
        <f t="shared" si="4"/>
        <v>1</v>
      </c>
      <c r="U51" s="1">
        <f t="shared" si="2"/>
        <v>57</v>
      </c>
      <c r="V51" s="4" t="str">
        <f t="shared" si="3"/>
        <v/>
      </c>
      <c r="W51" s="35" t="e">
        <f>IF($L$4=$W$3,N51,V51*(1+'Rhaniad y Ddeiliadaeth (De-ddn)'!C$109)+(V$44*(-(50-$B51)*('Rhaniad y Ddeiliadaeth (De-ddn)'!C$110/40))))</f>
        <v>#VALUE!</v>
      </c>
      <c r="X51" s="35" t="e">
        <f>W51*(1+'Rhaniad y Ddeiliadaeth (De-ddn)'!D$109)+(W$44*(-(50-$B51)*('Rhaniad y Ddeiliadaeth (De-ddn)'!D$110/40)))</f>
        <v>#VALUE!</v>
      </c>
      <c r="Y51" s="35" t="e">
        <f>X51*(1+'Rhaniad y Ddeiliadaeth (De-ddn)'!E$109)+(X$44*(-(50-$B51)*('Rhaniad y Ddeiliadaeth (De-ddn)'!E$110/40)))</f>
        <v>#VALUE!</v>
      </c>
      <c r="Z51" s="35" t="e">
        <f>Y51*(1+'Rhaniad y Ddeiliadaeth (De-ddn)'!F$109)+(Y$44*(-(50-$B51)*('Rhaniad y Ddeiliadaeth (De-ddn)'!F$110/40)))</f>
        <v>#VALUE!</v>
      </c>
      <c r="AA51" s="35" t="e">
        <f>Z51*(1+'Rhaniad y Ddeiliadaeth (De-ddn)'!G$109)+(Z$44*(-(50-$B51)*('Rhaniad y Ddeiliadaeth (De-ddn)'!G$110/40)))</f>
        <v>#VALUE!</v>
      </c>
      <c r="AC51" s="260">
        <v>57</v>
      </c>
      <c r="AD51" s="4">
        <f>IF('Rhaniad y Ddeiliadaeth (Cymru)'!$D$8="Amcangyfrifon LlC",'Incwm (De-ddwyrain)'!E51,'Incwm (De-ddwyrain)'!W51)</f>
        <v>32206.94865315162</v>
      </c>
      <c r="AE51" s="4">
        <f>IF('Rhaniad y Ddeiliadaeth (Cymru)'!$D$8="Amcangyfrifon LlC",'Incwm (De-ddwyrain)'!F51,'Incwm (De-ddwyrain)'!X51)</f>
        <v>33359.073213856092</v>
      </c>
      <c r="AF51" s="4">
        <f>IF('Rhaniad y Ddeiliadaeth (Cymru)'!$D$8="Amcangyfrifon LlC",'Incwm (De-ddwyrain)'!G51,'Incwm (De-ddwyrain)'!Y51)</f>
        <v>34549.147901413853</v>
      </c>
      <c r="AG51" s="4">
        <f>IF('Rhaniad y Ddeiliadaeth (Cymru)'!$D$8="Amcangyfrifon LlC",'Incwm (De-ddwyrain)'!H51,'Incwm (De-ddwyrain)'!Z51)</f>
        <v>35799.119119190465</v>
      </c>
      <c r="AH51" s="4">
        <f>IF('Rhaniad y Ddeiliadaeth (Cymru)'!$D$8="Amcangyfrifon LlC",'Incwm (De-ddwyrain)'!I51,'Incwm (De-ddwyrain)'!AA51)</f>
        <v>37087.536458059207</v>
      </c>
    </row>
    <row r="52" spans="2:34" x14ac:dyDescent="0.35">
      <c r="B52" s="251">
        <v>58</v>
      </c>
      <c r="C52" s="261">
        <v>31322</v>
      </c>
      <c r="D52" s="261">
        <v>32149.642835833703</v>
      </c>
      <c r="E52" s="278">
        <f>D52*(1+'Rhaniad y Ddeiliadaeth (De-ddn)'!C$109)+(D$44*(-(50-$B52)*('Rhaniad y Ddeiliadaeth (De-ddn)'!C$110/40)))</f>
        <v>32925.228110956436</v>
      </c>
      <c r="F52" s="278">
        <f>E52*(1+'Rhaniad y Ddeiliadaeth (De-ddn)'!D$109)+(E$44*(-(50-$B52)*('Rhaniad y Ddeiliadaeth (De-ddn)'!D$110/40)))</f>
        <v>34108.865882576356</v>
      </c>
      <c r="G52" s="278">
        <f>F52*(1+'Rhaniad y Ddeiliadaeth (De-ddn)'!E$109)+(F$44*(-(50-$B52)*('Rhaniad y Ddeiliadaeth (De-ddn)'!E$110/40)))</f>
        <v>35331.698436140046</v>
      </c>
      <c r="H52" s="278">
        <f>G52*(1+'Rhaniad y Ddeiliadaeth (De-ddn)'!F$109)+(G$44*(-(50-$B52)*('Rhaniad y Ddeiliadaeth (De-ddn)'!F$110/40)))</f>
        <v>36616.187597560289</v>
      </c>
      <c r="I52" s="279">
        <f>H52*(1+'Rhaniad y Ddeiliadaeth (De-ddn)'!G$109)+(H$44*(-(50-$B52)*('Rhaniad y Ddeiliadaeth (De-ddn)'!G$110/40)))</f>
        <v>37940.423026216522</v>
      </c>
      <c r="M52" s="36" t="str">
        <f t="shared" si="1"/>
        <v/>
      </c>
      <c r="N52" s="190"/>
      <c r="O52" s="13">
        <f t="shared" si="4"/>
        <v>1</v>
      </c>
      <c r="U52" s="1">
        <f t="shared" si="2"/>
        <v>58</v>
      </c>
      <c r="V52" s="4" t="str">
        <f t="shared" si="3"/>
        <v/>
      </c>
      <c r="W52" s="35" t="e">
        <f>IF($L$4=$W$3,N52,V52*(1+'Rhaniad y Ddeiliadaeth (De-ddn)'!C$109)+(V$44*(-(50-$B52)*('Rhaniad y Ddeiliadaeth (De-ddn)'!C$110/40))))</f>
        <v>#VALUE!</v>
      </c>
      <c r="X52" s="35" t="e">
        <f>W52*(1+'Rhaniad y Ddeiliadaeth (De-ddn)'!D$109)+(W$44*(-(50-$B52)*('Rhaniad y Ddeiliadaeth (De-ddn)'!D$110/40)))</f>
        <v>#VALUE!</v>
      </c>
      <c r="Y52" s="35" t="e">
        <f>X52*(1+'Rhaniad y Ddeiliadaeth (De-ddn)'!E$109)+(X$44*(-(50-$B52)*('Rhaniad y Ddeiliadaeth (De-ddn)'!E$110/40)))</f>
        <v>#VALUE!</v>
      </c>
      <c r="Z52" s="35" t="e">
        <f>Y52*(1+'Rhaniad y Ddeiliadaeth (De-ddn)'!F$109)+(Y$44*(-(50-$B52)*('Rhaniad y Ddeiliadaeth (De-ddn)'!F$110/40)))</f>
        <v>#VALUE!</v>
      </c>
      <c r="AA52" s="35" t="e">
        <f>Z52*(1+'Rhaniad y Ddeiliadaeth (De-ddn)'!G$109)+(Z$44*(-(50-$B52)*('Rhaniad y Ddeiliadaeth (De-ddn)'!G$110/40)))</f>
        <v>#VALUE!</v>
      </c>
      <c r="AC52" s="260">
        <v>58</v>
      </c>
      <c r="AD52" s="4">
        <f>IF('Rhaniad y Ddeiliadaeth (Cymru)'!$D$8="Amcangyfrifon LlC",'Incwm (De-ddwyrain)'!E52,'Incwm (De-ddwyrain)'!W52)</f>
        <v>32925.228110956436</v>
      </c>
      <c r="AE52" s="4">
        <f>IF('Rhaniad y Ddeiliadaeth (Cymru)'!$D$8="Amcangyfrifon LlC",'Incwm (De-ddwyrain)'!F52,'Incwm (De-ddwyrain)'!X52)</f>
        <v>34108.865882576356</v>
      </c>
      <c r="AF52" s="4">
        <f>IF('Rhaniad y Ddeiliadaeth (Cymru)'!$D$8="Amcangyfrifon LlC",'Incwm (De-ddwyrain)'!G52,'Incwm (De-ddwyrain)'!Y52)</f>
        <v>35331.698436140046</v>
      </c>
      <c r="AG52" s="4">
        <f>IF('Rhaniad y Ddeiliadaeth (Cymru)'!$D$8="Amcangyfrifon LlC",'Incwm (De-ddwyrain)'!H52,'Incwm (De-ddwyrain)'!Z52)</f>
        <v>36616.187597560289</v>
      </c>
      <c r="AH52" s="4">
        <f>IF('Rhaniad y Ddeiliadaeth (Cymru)'!$D$8="Amcangyfrifon LlC",'Incwm (De-ddwyrain)'!I52,'Incwm (De-ddwyrain)'!AA52)</f>
        <v>37940.423026216522</v>
      </c>
    </row>
    <row r="53" spans="2:34" x14ac:dyDescent="0.35">
      <c r="B53" s="251">
        <v>59</v>
      </c>
      <c r="C53" s="261">
        <v>31882.75</v>
      </c>
      <c r="D53" s="261">
        <v>32725.209920317255</v>
      </c>
      <c r="E53" s="278">
        <f>D53*(1+'Rhaniad y Ddeiliadaeth (De-ddn)'!C$109)+(D$44*(-(50-$B53)*('Rhaniad y Ddeiliadaeth (De-ddn)'!C$110/40)))</f>
        <v>33520.458033484836</v>
      </c>
      <c r="F53" s="278">
        <f>E53*(1+'Rhaniad y Ddeiliadaeth (De-ddn)'!D$109)+(E$44*(-(50-$B53)*('Rhaniad y Ddeiliadaeth (De-ddn)'!D$110/40)))</f>
        <v>34731.391619430353</v>
      </c>
      <c r="G53" s="278">
        <f>F53*(1+'Rhaniad y Ddeiliadaeth (De-ddn)'!E$109)+(F$44*(-(50-$B53)*('Rhaniad y Ddeiliadaeth (De-ddn)'!E$110/40)))</f>
        <v>35982.632273049268</v>
      </c>
      <c r="H53" s="278">
        <f>G53*(1+'Rhaniad y Ddeiliadaeth (De-ddn)'!F$109)+(G$44*(-(50-$B53)*('Rhaniad y Ddeiliadaeth (De-ddn)'!F$110/40)))</f>
        <v>37297.074217751768</v>
      </c>
      <c r="I53" s="279">
        <f>H53*(1+'Rhaniad y Ddeiliadaeth (De-ddn)'!G$109)+(H$44*(-(50-$B53)*('Rhaniad y Ddeiliadaeth (De-ddn)'!G$110/40)))</f>
        <v>38652.429719522799</v>
      </c>
      <c r="M53" s="36" t="str">
        <f t="shared" si="1"/>
        <v/>
      </c>
      <c r="N53" s="190"/>
      <c r="O53" s="13">
        <f t="shared" si="4"/>
        <v>1</v>
      </c>
      <c r="U53" s="1">
        <f t="shared" si="2"/>
        <v>59</v>
      </c>
      <c r="V53" s="4" t="str">
        <f t="shared" si="3"/>
        <v/>
      </c>
      <c r="W53" s="35" t="e">
        <f>IF($L$4=$W$3,N53,V53*(1+'Rhaniad y Ddeiliadaeth (De-ddn)'!C$109)+(V$44*(-(50-$B53)*('Rhaniad y Ddeiliadaeth (De-ddn)'!C$110/40))))</f>
        <v>#VALUE!</v>
      </c>
      <c r="X53" s="35" t="e">
        <f>W53*(1+'Rhaniad y Ddeiliadaeth (De-ddn)'!D$109)+(W$44*(-(50-$B53)*('Rhaniad y Ddeiliadaeth (De-ddn)'!D$110/40)))</f>
        <v>#VALUE!</v>
      </c>
      <c r="Y53" s="35" t="e">
        <f>X53*(1+'Rhaniad y Ddeiliadaeth (De-ddn)'!E$109)+(X$44*(-(50-$B53)*('Rhaniad y Ddeiliadaeth (De-ddn)'!E$110/40)))</f>
        <v>#VALUE!</v>
      </c>
      <c r="Z53" s="35" t="e">
        <f>Y53*(1+'Rhaniad y Ddeiliadaeth (De-ddn)'!F$109)+(Y$44*(-(50-$B53)*('Rhaniad y Ddeiliadaeth (De-ddn)'!F$110/40)))</f>
        <v>#VALUE!</v>
      </c>
      <c r="AA53" s="35" t="e">
        <f>Z53*(1+'Rhaniad y Ddeiliadaeth (De-ddn)'!G$109)+(Z$44*(-(50-$B53)*('Rhaniad y Ddeiliadaeth (De-ddn)'!G$110/40)))</f>
        <v>#VALUE!</v>
      </c>
      <c r="AC53" s="260">
        <v>59</v>
      </c>
      <c r="AD53" s="4">
        <f>IF('Rhaniad y Ddeiliadaeth (Cymru)'!$D$8="Amcangyfrifon LlC",'Incwm (De-ddwyrain)'!E53,'Incwm (De-ddwyrain)'!W53)</f>
        <v>33520.458033484836</v>
      </c>
      <c r="AE53" s="4">
        <f>IF('Rhaniad y Ddeiliadaeth (Cymru)'!$D$8="Amcangyfrifon LlC",'Incwm (De-ddwyrain)'!F53,'Incwm (De-ddwyrain)'!X53)</f>
        <v>34731.391619430353</v>
      </c>
      <c r="AF53" s="4">
        <f>IF('Rhaniad y Ddeiliadaeth (Cymru)'!$D$8="Amcangyfrifon LlC",'Incwm (De-ddwyrain)'!G53,'Incwm (De-ddwyrain)'!Y53)</f>
        <v>35982.632273049268</v>
      </c>
      <c r="AG53" s="4">
        <f>IF('Rhaniad y Ddeiliadaeth (Cymru)'!$D$8="Amcangyfrifon LlC",'Incwm (De-ddwyrain)'!H53,'Incwm (De-ddwyrain)'!Z53)</f>
        <v>37297.074217751768</v>
      </c>
      <c r="AH53" s="4">
        <f>IF('Rhaniad y Ddeiliadaeth (Cymru)'!$D$8="Amcangyfrifon LlC",'Incwm (De-ddwyrain)'!I53,'Incwm (De-ddwyrain)'!AA53)</f>
        <v>38652.429719522799</v>
      </c>
    </row>
    <row r="54" spans="2:34" x14ac:dyDescent="0.35">
      <c r="B54" s="251">
        <v>60</v>
      </c>
      <c r="C54" s="261">
        <v>32711</v>
      </c>
      <c r="D54" s="261">
        <v>33726.569186728673</v>
      </c>
      <c r="E54" s="278">
        <f>D54*(1+'Rhaniad y Ddeiliadaeth (De-ddn)'!C$109)+(D$44*(-(50-$B54)*('Rhaniad y Ddeiliadaeth (De-ddn)'!C$110/40)))</f>
        <v>34551.037548369102</v>
      </c>
      <c r="F54" s="278">
        <f>E54*(1+'Rhaniad y Ddeiliadaeth (De-ddn)'!D$109)+(E$44*(-(50-$B54)*('Rhaniad y Ddeiliadaeth (De-ddn)'!D$110/40)))</f>
        <v>35804.188109309915</v>
      </c>
      <c r="G54" s="278">
        <f>F54*(1+'Rhaniad y Ddeiliadaeth (De-ddn)'!E$109)+(F$44*(-(50-$B54)*('Rhaniad y Ddeiliadaeth (De-ddn)'!E$110/40)))</f>
        <v>37099.226346814568</v>
      </c>
      <c r="H54" s="278">
        <f>G54*(1+'Rhaniad y Ddeiliadaeth (De-ddn)'!F$109)+(G$44*(-(50-$B54)*('Rhaniad y Ddeiliadaeth (De-ddn)'!F$110/40)))</f>
        <v>38459.772624643854</v>
      </c>
      <c r="I54" s="279">
        <f>H54*(1+'Rhaniad y Ddeiliadaeth (De-ddn)'!G$109)+(H$44*(-(50-$B54)*('Rhaniad y Ddeiliadaeth (De-ddn)'!G$110/40)))</f>
        <v>39862.86979536702</v>
      </c>
      <c r="M54" s="36" t="str">
        <f t="shared" si="1"/>
        <v/>
      </c>
      <c r="N54" s="190"/>
      <c r="O54" s="13">
        <f t="shared" si="4"/>
        <v>1</v>
      </c>
      <c r="U54" s="1">
        <f t="shared" si="2"/>
        <v>60</v>
      </c>
      <c r="V54" s="4" t="str">
        <f t="shared" si="3"/>
        <v/>
      </c>
      <c r="W54" s="35" t="e">
        <f>IF($L$4=$W$3,N54,V54*(1+'Rhaniad y Ddeiliadaeth (De-ddn)'!C$109)+(V$44*(-(50-$B54)*('Rhaniad y Ddeiliadaeth (De-ddn)'!C$110/40))))</f>
        <v>#VALUE!</v>
      </c>
      <c r="X54" s="35" t="e">
        <f>W54*(1+'Rhaniad y Ddeiliadaeth (De-ddn)'!D$109)+(W$44*(-(50-$B54)*('Rhaniad y Ddeiliadaeth (De-ddn)'!D$110/40)))</f>
        <v>#VALUE!</v>
      </c>
      <c r="Y54" s="35" t="e">
        <f>X54*(1+'Rhaniad y Ddeiliadaeth (De-ddn)'!E$109)+(X$44*(-(50-$B54)*('Rhaniad y Ddeiliadaeth (De-ddn)'!E$110/40)))</f>
        <v>#VALUE!</v>
      </c>
      <c r="Z54" s="35" t="e">
        <f>Y54*(1+'Rhaniad y Ddeiliadaeth (De-ddn)'!F$109)+(Y$44*(-(50-$B54)*('Rhaniad y Ddeiliadaeth (De-ddn)'!F$110/40)))</f>
        <v>#VALUE!</v>
      </c>
      <c r="AA54" s="35" t="e">
        <f>Z54*(1+'Rhaniad y Ddeiliadaeth (De-ddn)'!G$109)+(Z$44*(-(50-$B54)*('Rhaniad y Ddeiliadaeth (De-ddn)'!G$110/40)))</f>
        <v>#VALUE!</v>
      </c>
      <c r="AC54" s="260">
        <v>60</v>
      </c>
      <c r="AD54" s="4">
        <f>IF('Rhaniad y Ddeiliadaeth (Cymru)'!$D$8="Amcangyfrifon LlC",'Incwm (De-ddwyrain)'!E54,'Incwm (De-ddwyrain)'!W54)</f>
        <v>34551.037548369102</v>
      </c>
      <c r="AE54" s="4">
        <f>IF('Rhaniad y Ddeiliadaeth (Cymru)'!$D$8="Amcangyfrifon LlC",'Incwm (De-ddwyrain)'!F54,'Incwm (De-ddwyrain)'!X54)</f>
        <v>35804.188109309915</v>
      </c>
      <c r="AF54" s="4">
        <f>IF('Rhaniad y Ddeiliadaeth (Cymru)'!$D$8="Amcangyfrifon LlC",'Incwm (De-ddwyrain)'!G54,'Incwm (De-ddwyrain)'!Y54)</f>
        <v>37099.226346814568</v>
      </c>
      <c r="AG54" s="4">
        <f>IF('Rhaniad y Ddeiliadaeth (Cymru)'!$D$8="Amcangyfrifon LlC",'Incwm (De-ddwyrain)'!H54,'Incwm (De-ddwyrain)'!Z54)</f>
        <v>38459.772624643854</v>
      </c>
      <c r="AH54" s="4">
        <f>IF('Rhaniad y Ddeiliadaeth (Cymru)'!$D$8="Amcangyfrifon LlC",'Incwm (De-ddwyrain)'!I54,'Incwm (De-ddwyrain)'!AA54)</f>
        <v>39862.86979536702</v>
      </c>
    </row>
    <row r="55" spans="2:34" x14ac:dyDescent="0.35">
      <c r="B55" s="251">
        <v>61</v>
      </c>
      <c r="C55" s="261">
        <v>33336.25</v>
      </c>
      <c r="D55" s="261">
        <v>34371.231147047896</v>
      </c>
      <c r="E55" s="278">
        <f>D55*(1+'Rhaniad y Ddeiliadaeth (De-ddn)'!C$109)+(D$44*(-(50-$B55)*('Rhaniad y Ddeiliadaeth (De-ddn)'!C$110/40)))</f>
        <v>35216.913263154049</v>
      </c>
      <c r="F55" s="278">
        <f>E55*(1+'Rhaniad y Ddeiliadaeth (De-ddn)'!D$109)+(E$44*(-(50-$B55)*('Rhaniad y Ddeiliadaeth (De-ddn)'!D$110/40)))</f>
        <v>36499.780950477274</v>
      </c>
      <c r="G55" s="278">
        <f>F55*(1+'Rhaniad y Ddeiliadaeth (De-ddn)'!E$109)+(F$44*(-(50-$B55)*('Rhaniad y Ddeiliadaeth (De-ddn)'!E$110/40)))</f>
        <v>37825.724596629399</v>
      </c>
      <c r="H55" s="278">
        <f>G55*(1+'Rhaniad y Ddeiliadaeth (De-ddn)'!F$109)+(G$44*(-(50-$B55)*('Rhaniad y Ddeiliadaeth (De-ddn)'!F$110/40)))</f>
        <v>39218.844629610387</v>
      </c>
      <c r="I55" s="279">
        <f>H55*(1+'Rhaniad y Ddeiliadaeth (De-ddn)'!G$109)+(H$44*(-(50-$B55)*('Rhaniad y Ddeiliadaeth (De-ddn)'!G$110/40)))</f>
        <v>40655.75912142358</v>
      </c>
      <c r="M55" s="36" t="str">
        <f t="shared" si="1"/>
        <v/>
      </c>
      <c r="N55" s="190"/>
      <c r="O55" s="13">
        <f t="shared" si="4"/>
        <v>1</v>
      </c>
      <c r="U55" s="1">
        <f t="shared" si="2"/>
        <v>61</v>
      </c>
      <c r="V55" s="4" t="str">
        <f t="shared" si="3"/>
        <v/>
      </c>
      <c r="W55" s="35" t="e">
        <f>IF($L$4=$W$3,N55,V55*(1+'Rhaniad y Ddeiliadaeth (De-ddn)'!C$109)+(V$44*(-(50-$B55)*('Rhaniad y Ddeiliadaeth (De-ddn)'!C$110/40))))</f>
        <v>#VALUE!</v>
      </c>
      <c r="X55" s="35" t="e">
        <f>W55*(1+'Rhaniad y Ddeiliadaeth (De-ddn)'!D$109)+(W$44*(-(50-$B55)*('Rhaniad y Ddeiliadaeth (De-ddn)'!D$110/40)))</f>
        <v>#VALUE!</v>
      </c>
      <c r="Y55" s="35" t="e">
        <f>X55*(1+'Rhaniad y Ddeiliadaeth (De-ddn)'!E$109)+(X$44*(-(50-$B55)*('Rhaniad y Ddeiliadaeth (De-ddn)'!E$110/40)))</f>
        <v>#VALUE!</v>
      </c>
      <c r="Z55" s="35" t="e">
        <f>Y55*(1+'Rhaniad y Ddeiliadaeth (De-ddn)'!F$109)+(Y$44*(-(50-$B55)*('Rhaniad y Ddeiliadaeth (De-ddn)'!F$110/40)))</f>
        <v>#VALUE!</v>
      </c>
      <c r="AA55" s="35" t="e">
        <f>Z55*(1+'Rhaniad y Ddeiliadaeth (De-ddn)'!G$109)+(Z$44*(-(50-$B55)*('Rhaniad y Ddeiliadaeth (De-ddn)'!G$110/40)))</f>
        <v>#VALUE!</v>
      </c>
      <c r="AC55" s="260">
        <v>61</v>
      </c>
      <c r="AD55" s="4">
        <f>IF('Rhaniad y Ddeiliadaeth (Cymru)'!$D$8="Amcangyfrifon LlC",'Incwm (De-ddwyrain)'!E55,'Incwm (De-ddwyrain)'!W55)</f>
        <v>35216.913263154049</v>
      </c>
      <c r="AE55" s="4">
        <f>IF('Rhaniad y Ddeiliadaeth (Cymru)'!$D$8="Amcangyfrifon LlC",'Incwm (De-ddwyrain)'!F55,'Incwm (De-ddwyrain)'!X55)</f>
        <v>36499.780950477274</v>
      </c>
      <c r="AF55" s="4">
        <f>IF('Rhaniad y Ddeiliadaeth (Cymru)'!$D$8="Amcangyfrifon LlC",'Incwm (De-ddwyrain)'!G55,'Incwm (De-ddwyrain)'!Y55)</f>
        <v>37825.724596629399</v>
      </c>
      <c r="AG55" s="4">
        <f>IF('Rhaniad y Ddeiliadaeth (Cymru)'!$D$8="Amcangyfrifon LlC",'Incwm (De-ddwyrain)'!H55,'Incwm (De-ddwyrain)'!Z55)</f>
        <v>39218.844629610387</v>
      </c>
      <c r="AH55" s="4">
        <f>IF('Rhaniad y Ddeiliadaeth (Cymru)'!$D$8="Amcangyfrifon LlC",'Incwm (De-ddwyrain)'!I55,'Incwm (De-ddwyrain)'!AA55)</f>
        <v>40655.75912142358</v>
      </c>
    </row>
    <row r="56" spans="2:34" x14ac:dyDescent="0.35">
      <c r="B56" s="251">
        <v>62</v>
      </c>
      <c r="C56" s="261">
        <v>34285</v>
      </c>
      <c r="D56" s="261">
        <v>35349.436720583064</v>
      </c>
      <c r="E56" s="278">
        <f>D56*(1+'Rhaniad y Ddeiliadaeth (De-ddn)'!C$109)+(D$44*(-(50-$B56)*('Rhaniad y Ddeiliadaeth (De-ddn)'!C$110/40)))</f>
        <v>36223.819373069797</v>
      </c>
      <c r="F56" s="278">
        <f>E56*(1+'Rhaniad y Ddeiliadaeth (De-ddn)'!D$109)+(E$44*(-(50-$B56)*('Rhaniad y Ddeiliadaeth (De-ddn)'!D$110/40)))</f>
        <v>37548.092653718646</v>
      </c>
      <c r="G56" s="278">
        <f>F56*(1+'Rhaniad y Ddeiliadaeth (De-ddn)'!E$109)+(F$44*(-(50-$B56)*('Rhaniad y Ddeiliadaeth (De-ddn)'!E$110/40)))</f>
        <v>38916.99703564783</v>
      </c>
      <c r="H56" s="278">
        <f>G56*(1+'Rhaniad y Ddeiliadaeth (De-ddn)'!F$109)+(G$44*(-(50-$B56)*('Rhaniad y Ddeiliadaeth (De-ddn)'!F$110/40)))</f>
        <v>40355.343114082767</v>
      </c>
      <c r="I56" s="279">
        <f>H56*(1+'Rhaniad y Ddeiliadaeth (De-ddn)'!G$109)+(H$44*(-(50-$B56)*('Rhaniad y Ddeiliadaeth (De-ddn)'!G$110/40)))</f>
        <v>41839.095427052227</v>
      </c>
      <c r="M56" s="36" t="str">
        <f t="shared" si="1"/>
        <v/>
      </c>
      <c r="N56" s="190"/>
      <c r="O56" s="13">
        <f t="shared" si="4"/>
        <v>1</v>
      </c>
      <c r="U56" s="1">
        <f t="shared" si="2"/>
        <v>62</v>
      </c>
      <c r="V56" s="4" t="str">
        <f t="shared" si="3"/>
        <v/>
      </c>
      <c r="W56" s="35" t="e">
        <f>IF($L$4=$W$3,N56,V56*(1+'Rhaniad y Ddeiliadaeth (De-ddn)'!C$109)+(V$44*(-(50-$B56)*('Rhaniad y Ddeiliadaeth (De-ddn)'!C$110/40))))</f>
        <v>#VALUE!</v>
      </c>
      <c r="X56" s="35" t="e">
        <f>W56*(1+'Rhaniad y Ddeiliadaeth (De-ddn)'!D$109)+(W$44*(-(50-$B56)*('Rhaniad y Ddeiliadaeth (De-ddn)'!D$110/40)))</f>
        <v>#VALUE!</v>
      </c>
      <c r="Y56" s="35" t="e">
        <f>X56*(1+'Rhaniad y Ddeiliadaeth (De-ddn)'!E$109)+(X$44*(-(50-$B56)*('Rhaniad y Ddeiliadaeth (De-ddn)'!E$110/40)))</f>
        <v>#VALUE!</v>
      </c>
      <c r="Z56" s="35" t="e">
        <f>Y56*(1+'Rhaniad y Ddeiliadaeth (De-ddn)'!F$109)+(Y$44*(-(50-$B56)*('Rhaniad y Ddeiliadaeth (De-ddn)'!F$110/40)))</f>
        <v>#VALUE!</v>
      </c>
      <c r="AA56" s="35" t="e">
        <f>Z56*(1+'Rhaniad y Ddeiliadaeth (De-ddn)'!G$109)+(Z$44*(-(50-$B56)*('Rhaniad y Ddeiliadaeth (De-ddn)'!G$110/40)))</f>
        <v>#VALUE!</v>
      </c>
      <c r="AC56" s="260">
        <v>62</v>
      </c>
      <c r="AD56" s="4">
        <f>IF('Rhaniad y Ddeiliadaeth (Cymru)'!$D$8="Amcangyfrifon LlC",'Incwm (De-ddwyrain)'!E56,'Incwm (De-ddwyrain)'!W56)</f>
        <v>36223.819373069797</v>
      </c>
      <c r="AE56" s="4">
        <f>IF('Rhaniad y Ddeiliadaeth (Cymru)'!$D$8="Amcangyfrifon LlC",'Incwm (De-ddwyrain)'!F56,'Incwm (De-ddwyrain)'!X56)</f>
        <v>37548.092653718646</v>
      </c>
      <c r="AF56" s="4">
        <f>IF('Rhaniad y Ddeiliadaeth (Cymru)'!$D$8="Amcangyfrifon LlC",'Incwm (De-ddwyrain)'!G56,'Incwm (De-ddwyrain)'!Y56)</f>
        <v>38916.99703564783</v>
      </c>
      <c r="AG56" s="4">
        <f>IF('Rhaniad y Ddeiliadaeth (Cymru)'!$D$8="Amcangyfrifon LlC",'Incwm (De-ddwyrain)'!H56,'Incwm (De-ddwyrain)'!Z56)</f>
        <v>40355.343114082767</v>
      </c>
      <c r="AH56" s="4">
        <f>IF('Rhaniad y Ddeiliadaeth (Cymru)'!$D$8="Amcangyfrifon LlC",'Incwm (De-ddwyrain)'!I56,'Incwm (De-ddwyrain)'!AA56)</f>
        <v>41839.095427052227</v>
      </c>
    </row>
    <row r="57" spans="2:34" x14ac:dyDescent="0.35">
      <c r="B57" s="251">
        <v>63</v>
      </c>
      <c r="C57" s="261">
        <v>35260.25</v>
      </c>
      <c r="D57" s="261">
        <v>36354.965032140557</v>
      </c>
      <c r="E57" s="278">
        <f>D57*(1+'Rhaniad y Ddeiliadaeth (De-ddn)'!C$109)+(D$44*(-(50-$B57)*('Rhaniad y Ddeiliadaeth (De-ddn)'!C$110/40)))</f>
        <v>37258.661512262093</v>
      </c>
      <c r="F57" s="278">
        <f>E57*(1+'Rhaniad y Ddeiliadaeth (De-ddn)'!D$109)+(E$44*(-(50-$B57)*('Rhaniad y Ddeiliadaeth (De-ddn)'!D$110/40)))</f>
        <v>38625.297864981534</v>
      </c>
      <c r="G57" s="278">
        <f>F57*(1+'Rhaniad y Ddeiliadaeth (De-ddn)'!E$109)+(F$44*(-(50-$B57)*('Rhaniad y Ddeiliadaeth (De-ddn)'!E$110/40)))</f>
        <v>40038.150513349094</v>
      </c>
      <c r="H57" s="278">
        <f>G57*(1+'Rhaniad y Ddeiliadaeth (De-ddn)'!F$109)+(G$44*(-(50-$B57)*('Rhaniad y Ddeiliadaeth (De-ddn)'!F$110/40)))</f>
        <v>41522.759069055632</v>
      </c>
      <c r="I57" s="279">
        <f>H57*(1+'Rhaniad y Ddeiliadaeth (De-ddn)'!G$109)+(H$44*(-(50-$B57)*('Rhaniad y Ddeiliadaeth (De-ddn)'!G$110/40)))</f>
        <v>43054.415797468086</v>
      </c>
      <c r="M57" s="36" t="str">
        <f t="shared" si="1"/>
        <v/>
      </c>
      <c r="N57" s="190"/>
      <c r="O57" s="13">
        <f t="shared" si="4"/>
        <v>1</v>
      </c>
      <c r="U57" s="1">
        <f t="shared" si="2"/>
        <v>63</v>
      </c>
      <c r="V57" s="4" t="str">
        <f t="shared" si="3"/>
        <v/>
      </c>
      <c r="W57" s="35" t="e">
        <f>IF($L$4=$W$3,N57,V57*(1+'Rhaniad y Ddeiliadaeth (De-ddn)'!C$109)+(V$44*(-(50-$B57)*('Rhaniad y Ddeiliadaeth (De-ddn)'!C$110/40))))</f>
        <v>#VALUE!</v>
      </c>
      <c r="X57" s="35" t="e">
        <f>W57*(1+'Rhaniad y Ddeiliadaeth (De-ddn)'!D$109)+(W$44*(-(50-$B57)*('Rhaniad y Ddeiliadaeth (De-ddn)'!D$110/40)))</f>
        <v>#VALUE!</v>
      </c>
      <c r="Y57" s="35" t="e">
        <f>X57*(1+'Rhaniad y Ddeiliadaeth (De-ddn)'!E$109)+(X$44*(-(50-$B57)*('Rhaniad y Ddeiliadaeth (De-ddn)'!E$110/40)))</f>
        <v>#VALUE!</v>
      </c>
      <c r="Z57" s="35" t="e">
        <f>Y57*(1+'Rhaniad y Ddeiliadaeth (De-ddn)'!F$109)+(Y$44*(-(50-$B57)*('Rhaniad y Ddeiliadaeth (De-ddn)'!F$110/40)))</f>
        <v>#VALUE!</v>
      </c>
      <c r="AA57" s="35" t="e">
        <f>Z57*(1+'Rhaniad y Ddeiliadaeth (De-ddn)'!G$109)+(Z$44*(-(50-$B57)*('Rhaniad y Ddeiliadaeth (De-ddn)'!G$110/40)))</f>
        <v>#VALUE!</v>
      </c>
      <c r="AC57" s="260">
        <v>63</v>
      </c>
      <c r="AD57" s="4">
        <f>IF('Rhaniad y Ddeiliadaeth (Cymru)'!$D$8="Amcangyfrifon LlC",'Incwm (De-ddwyrain)'!E57,'Incwm (De-ddwyrain)'!W57)</f>
        <v>37258.661512262093</v>
      </c>
      <c r="AE57" s="4">
        <f>IF('Rhaniad y Ddeiliadaeth (Cymru)'!$D$8="Amcangyfrifon LlC",'Incwm (De-ddwyrain)'!F57,'Incwm (De-ddwyrain)'!X57)</f>
        <v>38625.297864981534</v>
      </c>
      <c r="AF57" s="4">
        <f>IF('Rhaniad y Ddeiliadaeth (Cymru)'!$D$8="Amcangyfrifon LlC",'Incwm (De-ddwyrain)'!G57,'Incwm (De-ddwyrain)'!Y57)</f>
        <v>40038.150513349094</v>
      </c>
      <c r="AG57" s="4">
        <f>IF('Rhaniad y Ddeiliadaeth (Cymru)'!$D$8="Amcangyfrifon LlC",'Incwm (De-ddwyrain)'!H57,'Incwm (De-ddwyrain)'!Z57)</f>
        <v>41522.759069055632</v>
      </c>
      <c r="AH57" s="4">
        <f>IF('Rhaniad y Ddeiliadaeth (Cymru)'!$D$8="Amcangyfrifon LlC",'Incwm (De-ddwyrain)'!I57,'Incwm (De-ddwyrain)'!AA57)</f>
        <v>43054.415797468086</v>
      </c>
    </row>
    <row r="58" spans="2:34" x14ac:dyDescent="0.35">
      <c r="B58" s="251">
        <v>64</v>
      </c>
      <c r="C58" s="261">
        <v>35961</v>
      </c>
      <c r="D58" s="261">
        <v>37077.471019655466</v>
      </c>
      <c r="E58" s="278">
        <f>D58*(1+'Rhaniad y Ddeiliadaeth (De-ddn)'!C$109)+(D$44*(-(50-$B58)*('Rhaniad y Ddeiliadaeth (De-ddn)'!C$110/40)))</f>
        <v>38004.12855574063</v>
      </c>
      <c r="F58" s="278">
        <f>E58*(1+'Rhaniad y Ddeiliadaeth (De-ddn)'!D$109)+(E$44*(-(50-$B58)*('Rhaniad y Ddeiliadaeth (De-ddn)'!D$110/40)))</f>
        <v>39403.209945983792</v>
      </c>
      <c r="G58" s="278">
        <f>F58*(1+'Rhaniad y Ddeiliadaeth (De-ddn)'!E$109)+(F$44*(-(50-$B58)*('Rhaniad y Ddeiliadaeth (De-ddn)'!E$110/40)))</f>
        <v>40849.781533750865</v>
      </c>
      <c r="H58" s="278">
        <f>G58*(1+'Rhaniad y Ddeiliadaeth (De-ddn)'!F$109)+(G$44*(-(50-$B58)*('Rhaniad y Ddeiliadaeth (De-ddn)'!F$110/40)))</f>
        <v>42369.916697523535</v>
      </c>
      <c r="I58" s="279">
        <f>H58*(1+'Rhaniad y Ddeiliadaeth (De-ddn)'!G$109)+(H$44*(-(50-$B58)*('Rhaniad y Ddeiliadaeth (De-ddn)'!G$110/40)))</f>
        <v>43938.429534522154</v>
      </c>
      <c r="M58" s="36" t="str">
        <f t="shared" si="1"/>
        <v/>
      </c>
      <c r="N58" s="190"/>
      <c r="O58" s="13">
        <f t="shared" si="4"/>
        <v>1</v>
      </c>
      <c r="U58" s="1">
        <f t="shared" si="2"/>
        <v>64</v>
      </c>
      <c r="V58" s="4" t="str">
        <f t="shared" si="3"/>
        <v/>
      </c>
      <c r="W58" s="35" t="e">
        <f>IF($L$4=$W$3,N58,V58*(1+'Rhaniad y Ddeiliadaeth (De-ddn)'!C$109)+(V$44*(-(50-$B58)*('Rhaniad y Ddeiliadaeth (De-ddn)'!C$110/40))))</f>
        <v>#VALUE!</v>
      </c>
      <c r="X58" s="35" t="e">
        <f>W58*(1+'Rhaniad y Ddeiliadaeth (De-ddn)'!D$109)+(W$44*(-(50-$B58)*('Rhaniad y Ddeiliadaeth (De-ddn)'!D$110/40)))</f>
        <v>#VALUE!</v>
      </c>
      <c r="Y58" s="35" t="e">
        <f>X58*(1+'Rhaniad y Ddeiliadaeth (De-ddn)'!E$109)+(X$44*(-(50-$B58)*('Rhaniad y Ddeiliadaeth (De-ddn)'!E$110/40)))</f>
        <v>#VALUE!</v>
      </c>
      <c r="Z58" s="35" t="e">
        <f>Y58*(1+'Rhaniad y Ddeiliadaeth (De-ddn)'!F$109)+(Y$44*(-(50-$B58)*('Rhaniad y Ddeiliadaeth (De-ddn)'!F$110/40)))</f>
        <v>#VALUE!</v>
      </c>
      <c r="AA58" s="35" t="e">
        <f>Z58*(1+'Rhaniad y Ddeiliadaeth (De-ddn)'!G$109)+(Z$44*(-(50-$B58)*('Rhaniad y Ddeiliadaeth (De-ddn)'!G$110/40)))</f>
        <v>#VALUE!</v>
      </c>
      <c r="AC58" s="260">
        <v>64</v>
      </c>
      <c r="AD58" s="4">
        <f>IF('Rhaniad y Ddeiliadaeth (Cymru)'!$D$8="Amcangyfrifon LlC",'Incwm (De-ddwyrain)'!E58,'Incwm (De-ddwyrain)'!W58)</f>
        <v>38004.12855574063</v>
      </c>
      <c r="AE58" s="4">
        <f>IF('Rhaniad y Ddeiliadaeth (Cymru)'!$D$8="Amcangyfrifon LlC",'Incwm (De-ddwyrain)'!F58,'Incwm (De-ddwyrain)'!X58)</f>
        <v>39403.209945983792</v>
      </c>
      <c r="AF58" s="4">
        <f>IF('Rhaniad y Ddeiliadaeth (Cymru)'!$D$8="Amcangyfrifon LlC",'Incwm (De-ddwyrain)'!G58,'Incwm (De-ddwyrain)'!Y58)</f>
        <v>40849.781533750865</v>
      </c>
      <c r="AG58" s="4">
        <f>IF('Rhaniad y Ddeiliadaeth (Cymru)'!$D$8="Amcangyfrifon LlC",'Incwm (De-ddwyrain)'!H58,'Incwm (De-ddwyrain)'!Z58)</f>
        <v>42369.916697523535</v>
      </c>
      <c r="AH58" s="4">
        <f>IF('Rhaniad y Ddeiliadaeth (Cymru)'!$D$8="Amcangyfrifon LlC",'Incwm (De-ddwyrain)'!I58,'Incwm (De-ddwyrain)'!AA58)</f>
        <v>43938.429534522154</v>
      </c>
    </row>
    <row r="59" spans="2:34" x14ac:dyDescent="0.35">
      <c r="B59" s="251">
        <v>65</v>
      </c>
      <c r="C59" s="261">
        <v>36803.1</v>
      </c>
      <c r="D59" s="261">
        <v>37945.71546073474</v>
      </c>
      <c r="E59" s="278">
        <f>D59*(1+'Rhaniad y Ddeiliadaeth (De-ddn)'!C$109)+(D$44*(-(50-$B59)*('Rhaniad y Ddeiliadaeth (De-ddn)'!C$110/40)))</f>
        <v>38898.605325190525</v>
      </c>
      <c r="F59" s="278">
        <f>E59*(1+'Rhaniad y Ddeiliadaeth (De-ddn)'!D$109)+(E$44*(-(50-$B59)*('Rhaniad y Ddeiliadaeth (De-ddn)'!D$110/40)))</f>
        <v>40335.238908451756</v>
      </c>
      <c r="G59" s="278">
        <f>F59*(1+'Rhaniad y Ddeiliadaeth (De-ddn)'!E$109)+(F$44*(-(50-$B59)*('Rhaniad y Ddeiliadaeth (De-ddn)'!E$110/40)))</f>
        <v>41820.796886900462</v>
      </c>
      <c r="H59" s="278">
        <f>G59*(1+'Rhaniad y Ddeiliadaeth (De-ddn)'!F$109)+(G$44*(-(50-$B59)*('Rhaniad y Ddeiliadaeth (De-ddn)'!F$110/40)))</f>
        <v>43381.986946943987</v>
      </c>
      <c r="I59" s="279">
        <f>H59*(1+'Rhaniad y Ddeiliadaeth (De-ddn)'!G$109)+(H$44*(-(50-$B59)*('Rhaniad y Ddeiliadaeth (De-ddn)'!G$110/40)))</f>
        <v>44993.045066205326</v>
      </c>
      <c r="M59" s="36" t="str">
        <f t="shared" si="1"/>
        <v/>
      </c>
      <c r="N59" s="190"/>
      <c r="O59" s="13">
        <f t="shared" si="4"/>
        <v>1</v>
      </c>
      <c r="U59" s="1">
        <f t="shared" si="2"/>
        <v>65</v>
      </c>
      <c r="V59" s="4" t="str">
        <f t="shared" si="3"/>
        <v/>
      </c>
      <c r="W59" s="35" t="e">
        <f>IF($L$4=$W$3,N59,V59*(1+'Rhaniad y Ddeiliadaeth (De-ddn)'!C$109)+(V$44*(-(50-$B59)*('Rhaniad y Ddeiliadaeth (De-ddn)'!C$110/40))))</f>
        <v>#VALUE!</v>
      </c>
      <c r="X59" s="35" t="e">
        <f>W59*(1+'Rhaniad y Ddeiliadaeth (De-ddn)'!D$109)+(W$44*(-(50-$B59)*('Rhaniad y Ddeiliadaeth (De-ddn)'!D$110/40)))</f>
        <v>#VALUE!</v>
      </c>
      <c r="Y59" s="35" t="e">
        <f>X59*(1+'Rhaniad y Ddeiliadaeth (De-ddn)'!E$109)+(X$44*(-(50-$B59)*('Rhaniad y Ddeiliadaeth (De-ddn)'!E$110/40)))</f>
        <v>#VALUE!</v>
      </c>
      <c r="Z59" s="35" t="e">
        <f>Y59*(1+'Rhaniad y Ddeiliadaeth (De-ddn)'!F$109)+(Y$44*(-(50-$B59)*('Rhaniad y Ddeiliadaeth (De-ddn)'!F$110/40)))</f>
        <v>#VALUE!</v>
      </c>
      <c r="AA59" s="35" t="e">
        <f>Z59*(1+'Rhaniad y Ddeiliadaeth (De-ddn)'!G$109)+(Z$44*(-(50-$B59)*('Rhaniad y Ddeiliadaeth (De-ddn)'!G$110/40)))</f>
        <v>#VALUE!</v>
      </c>
      <c r="AC59" s="260">
        <v>65</v>
      </c>
      <c r="AD59" s="4">
        <f>IF('Rhaniad y Ddeiliadaeth (Cymru)'!$D$8="Amcangyfrifon LlC",'Incwm (De-ddwyrain)'!E59,'Incwm (De-ddwyrain)'!W59)</f>
        <v>38898.605325190525</v>
      </c>
      <c r="AE59" s="4">
        <f>IF('Rhaniad y Ddeiliadaeth (Cymru)'!$D$8="Amcangyfrifon LlC",'Incwm (De-ddwyrain)'!F59,'Incwm (De-ddwyrain)'!X59)</f>
        <v>40335.238908451756</v>
      </c>
      <c r="AF59" s="4">
        <f>IF('Rhaniad y Ddeiliadaeth (Cymru)'!$D$8="Amcangyfrifon LlC",'Incwm (De-ddwyrain)'!G59,'Incwm (De-ddwyrain)'!Y59)</f>
        <v>41820.796886900462</v>
      </c>
      <c r="AG59" s="4">
        <f>IF('Rhaniad y Ddeiliadaeth (Cymru)'!$D$8="Amcangyfrifon LlC",'Incwm (De-ddwyrain)'!H59,'Incwm (De-ddwyrain)'!Z59)</f>
        <v>43381.986946943987</v>
      </c>
      <c r="AH59" s="4">
        <f>IF('Rhaniad y Ddeiliadaeth (Cymru)'!$D$8="Amcangyfrifon LlC",'Incwm (De-ddwyrain)'!I59,'Incwm (De-ddwyrain)'!AA59)</f>
        <v>44993.045066205326</v>
      </c>
    </row>
    <row r="60" spans="2:34" x14ac:dyDescent="0.35">
      <c r="B60" s="251">
        <v>66</v>
      </c>
      <c r="C60" s="261">
        <v>37179.4</v>
      </c>
      <c r="D60" s="261">
        <v>38333.698340651768</v>
      </c>
      <c r="E60" s="278">
        <f>D60*(1+'Rhaniad y Ddeiliadaeth (De-ddn)'!C$109)+(D$44*(-(50-$B60)*('Rhaniad y Ddeiliadaeth (De-ddn)'!C$110/40)))</f>
        <v>39302.040493243447</v>
      </c>
      <c r="F60" s="278">
        <f>E60*(1+'Rhaniad y Ddeiliadaeth (De-ddn)'!D$109)+(E$44*(-(50-$B60)*('Rhaniad y Ddeiliadaeth (De-ddn)'!D$110/40)))</f>
        <v>40759.396322375447</v>
      </c>
      <c r="G60" s="278">
        <f>F60*(1+'Rhaniad y Ddeiliadaeth (De-ddn)'!E$109)+(F$44*(-(50-$B60)*('Rhaniad y Ddeiliadaeth (De-ddn)'!E$110/40)))</f>
        <v>42266.582511051507</v>
      </c>
      <c r="H60" s="278">
        <f>G60*(1+'Rhaniad y Ddeiliadaeth (De-ddn)'!F$109)+(G$44*(-(50-$B60)*('Rhaniad y Ddeiliadaeth (De-ddn)'!F$110/40)))</f>
        <v>43850.60973375602</v>
      </c>
      <c r="I60" s="279">
        <f>H60*(1+'Rhaniad y Ddeiliadaeth (De-ddn)'!G$109)+(H$44*(-(50-$B60)*('Rhaniad y Ddeiliadaeth (De-ddn)'!G$110/40)))</f>
        <v>45485.465225138323</v>
      </c>
      <c r="M60" s="36" t="str">
        <f t="shared" si="1"/>
        <v/>
      </c>
      <c r="N60" s="190"/>
      <c r="O60" s="13">
        <f t="shared" si="4"/>
        <v>1</v>
      </c>
      <c r="U60" s="1">
        <f t="shared" si="2"/>
        <v>66</v>
      </c>
      <c r="V60" s="4" t="str">
        <f t="shared" si="3"/>
        <v/>
      </c>
      <c r="W60" s="35" t="e">
        <f>IF($L$4=$W$3,N60,V60*(1+'Rhaniad y Ddeiliadaeth (De-ddn)'!C$109)+(V$44*(-(50-$B60)*('Rhaniad y Ddeiliadaeth (De-ddn)'!C$110/40))))</f>
        <v>#VALUE!</v>
      </c>
      <c r="X60" s="35" t="e">
        <f>W60*(1+'Rhaniad y Ddeiliadaeth (De-ddn)'!D$109)+(W$44*(-(50-$B60)*('Rhaniad y Ddeiliadaeth (De-ddn)'!D$110/40)))</f>
        <v>#VALUE!</v>
      </c>
      <c r="Y60" s="35" t="e">
        <f>X60*(1+'Rhaniad y Ddeiliadaeth (De-ddn)'!E$109)+(X$44*(-(50-$B60)*('Rhaniad y Ddeiliadaeth (De-ddn)'!E$110/40)))</f>
        <v>#VALUE!</v>
      </c>
      <c r="Z60" s="35" t="e">
        <f>Y60*(1+'Rhaniad y Ddeiliadaeth (De-ddn)'!F$109)+(Y$44*(-(50-$B60)*('Rhaniad y Ddeiliadaeth (De-ddn)'!F$110/40)))</f>
        <v>#VALUE!</v>
      </c>
      <c r="AA60" s="35" t="e">
        <f>Z60*(1+'Rhaniad y Ddeiliadaeth (De-ddn)'!G$109)+(Z$44*(-(50-$B60)*('Rhaniad y Ddeiliadaeth (De-ddn)'!G$110/40)))</f>
        <v>#VALUE!</v>
      </c>
      <c r="AC60" s="260">
        <v>66</v>
      </c>
      <c r="AD60" s="4">
        <f>IF('Rhaniad y Ddeiliadaeth (Cymru)'!$D$8="Amcangyfrifon LlC",'Incwm (De-ddwyrain)'!E60,'Incwm (De-ddwyrain)'!W60)</f>
        <v>39302.040493243447</v>
      </c>
      <c r="AE60" s="4">
        <f>IF('Rhaniad y Ddeiliadaeth (Cymru)'!$D$8="Amcangyfrifon LlC",'Incwm (De-ddwyrain)'!F60,'Incwm (De-ddwyrain)'!X60)</f>
        <v>40759.396322375447</v>
      </c>
      <c r="AF60" s="4">
        <f>IF('Rhaniad y Ddeiliadaeth (Cymru)'!$D$8="Amcangyfrifon LlC",'Incwm (De-ddwyrain)'!G60,'Incwm (De-ddwyrain)'!Y60)</f>
        <v>42266.582511051507</v>
      </c>
      <c r="AG60" s="4">
        <f>IF('Rhaniad y Ddeiliadaeth (Cymru)'!$D$8="Amcangyfrifon LlC",'Incwm (De-ddwyrain)'!H60,'Incwm (De-ddwyrain)'!Z60)</f>
        <v>43850.60973375602</v>
      </c>
      <c r="AH60" s="4">
        <f>IF('Rhaniad y Ddeiliadaeth (Cymru)'!$D$8="Amcangyfrifon LlC",'Incwm (De-ddwyrain)'!I60,'Incwm (De-ddwyrain)'!AA60)</f>
        <v>45485.465225138323</v>
      </c>
    </row>
    <row r="61" spans="2:34" x14ac:dyDescent="0.35">
      <c r="B61" s="251">
        <v>67</v>
      </c>
      <c r="C61" s="261">
        <v>37778</v>
      </c>
      <c r="D61" s="261">
        <v>38950.882905940991</v>
      </c>
      <c r="E61" s="278">
        <f>D61*(1+'Rhaniad y Ddeiliadaeth (De-ddn)'!C$109)+(D$44*(-(50-$B61)*('Rhaniad y Ddeiliadaeth (De-ddn)'!C$110/40)))</f>
        <v>39939.822050284238</v>
      </c>
      <c r="F61" s="278">
        <f>E61*(1+'Rhaniad y Ddeiliadaeth (De-ddn)'!D$109)+(E$44*(-(50-$B61)*('Rhaniad y Ddeiliadaeth (De-ddn)'!D$110/40)))</f>
        <v>41425.932107362671</v>
      </c>
      <c r="G61" s="278">
        <f>F61*(1+'Rhaniad y Ddeiliadaeth (De-ddn)'!E$109)+(F$44*(-(50-$B61)*('Rhaniad y Ddeiliadaeth (De-ddn)'!E$110/40)))</f>
        <v>42963.030584228698</v>
      </c>
      <c r="H61" s="278">
        <f>G61*(1+'Rhaniad y Ddeiliadaeth (De-ddn)'!F$109)+(G$44*(-(50-$B61)*('Rhaniad y Ddeiliadaeth (De-ddn)'!F$110/40)))</f>
        <v>44578.589263672067</v>
      </c>
      <c r="I61" s="279">
        <f>H61*(1+'Rhaniad y Ddeiliadaeth (De-ddn)'!G$109)+(H$44*(-(50-$B61)*('Rhaniad y Ddeiliadaeth (De-ddn)'!G$110/40)))</f>
        <v>46246.189444531519</v>
      </c>
      <c r="M61" s="36" t="str">
        <f t="shared" si="1"/>
        <v/>
      </c>
      <c r="N61" s="190"/>
      <c r="O61" s="13">
        <f t="shared" si="4"/>
        <v>1</v>
      </c>
      <c r="U61" s="1">
        <f t="shared" si="2"/>
        <v>67</v>
      </c>
      <c r="V61" s="4" t="str">
        <f t="shared" si="3"/>
        <v/>
      </c>
      <c r="W61" s="35" t="e">
        <f>IF($L$4=$W$3,N61,V61*(1+'Rhaniad y Ddeiliadaeth (De-ddn)'!C$109)+(V$44*(-(50-$B61)*('Rhaniad y Ddeiliadaeth (De-ddn)'!C$110/40))))</f>
        <v>#VALUE!</v>
      </c>
      <c r="X61" s="35" t="e">
        <f>W61*(1+'Rhaniad y Ddeiliadaeth (De-ddn)'!D$109)+(W$44*(-(50-$B61)*('Rhaniad y Ddeiliadaeth (De-ddn)'!D$110/40)))</f>
        <v>#VALUE!</v>
      </c>
      <c r="Y61" s="35" t="e">
        <f>X61*(1+'Rhaniad y Ddeiliadaeth (De-ddn)'!E$109)+(X$44*(-(50-$B61)*('Rhaniad y Ddeiliadaeth (De-ddn)'!E$110/40)))</f>
        <v>#VALUE!</v>
      </c>
      <c r="Z61" s="35" t="e">
        <f>Y61*(1+'Rhaniad y Ddeiliadaeth (De-ddn)'!F$109)+(Y$44*(-(50-$B61)*('Rhaniad y Ddeiliadaeth (De-ddn)'!F$110/40)))</f>
        <v>#VALUE!</v>
      </c>
      <c r="AA61" s="35" t="e">
        <f>Z61*(1+'Rhaniad y Ddeiliadaeth (De-ddn)'!G$109)+(Z$44*(-(50-$B61)*('Rhaniad y Ddeiliadaeth (De-ddn)'!G$110/40)))</f>
        <v>#VALUE!</v>
      </c>
      <c r="AC61" s="260">
        <v>67</v>
      </c>
      <c r="AD61" s="4">
        <f>IF('Rhaniad y Ddeiliadaeth (Cymru)'!$D$8="Amcangyfrifon LlC",'Incwm (De-ddwyrain)'!E61,'Incwm (De-ddwyrain)'!W61)</f>
        <v>39939.822050284238</v>
      </c>
      <c r="AE61" s="4">
        <f>IF('Rhaniad y Ddeiliadaeth (Cymru)'!$D$8="Amcangyfrifon LlC",'Incwm (De-ddwyrain)'!F61,'Incwm (De-ddwyrain)'!X61)</f>
        <v>41425.932107362671</v>
      </c>
      <c r="AF61" s="4">
        <f>IF('Rhaniad y Ddeiliadaeth (Cymru)'!$D$8="Amcangyfrifon LlC",'Incwm (De-ddwyrain)'!G61,'Incwm (De-ddwyrain)'!Y61)</f>
        <v>42963.030584228698</v>
      </c>
      <c r="AG61" s="4">
        <f>IF('Rhaniad y Ddeiliadaeth (Cymru)'!$D$8="Amcangyfrifon LlC",'Incwm (De-ddwyrain)'!H61,'Incwm (De-ddwyrain)'!Z61)</f>
        <v>44578.589263672067</v>
      </c>
      <c r="AH61" s="4">
        <f>IF('Rhaniad y Ddeiliadaeth (Cymru)'!$D$8="Amcangyfrifon LlC",'Incwm (De-ddwyrain)'!I61,'Incwm (De-ddwyrain)'!AA61)</f>
        <v>46246.189444531519</v>
      </c>
    </row>
    <row r="62" spans="2:34" x14ac:dyDescent="0.35">
      <c r="B62" s="251">
        <v>68</v>
      </c>
      <c r="C62" s="261">
        <v>38864</v>
      </c>
      <c r="D62" s="261">
        <v>40070.599641497451</v>
      </c>
      <c r="E62" s="278">
        <f>D62*(1+'Rhaniad y Ddeiliadaeth (De-ddn)'!C$109)+(D$44*(-(50-$B62)*('Rhaniad y Ddeiliadaeth (De-ddn)'!C$110/40)))</f>
        <v>41091.415708056862</v>
      </c>
      <c r="F62" s="278">
        <f>E62*(1+'Rhaniad y Ddeiliadaeth (De-ddn)'!D$109)+(E$44*(-(50-$B62)*('Rhaniad y Ddeiliadaeth (De-ddn)'!D$110/40)))</f>
        <v>42623.890375734365</v>
      </c>
      <c r="G62" s="278">
        <f>F62*(1+'Rhaniad y Ddeiliadaeth (De-ddn)'!E$109)+(F$44*(-(50-$B62)*('Rhaniad y Ddeiliadaeth (De-ddn)'!E$110/40)))</f>
        <v>44209.064251896882</v>
      </c>
      <c r="H62" s="278">
        <f>G62*(1+'Rhaniad y Ddeiliadaeth (De-ddn)'!F$109)+(G$44*(-(50-$B62)*('Rhaniad y Ddeiliadaeth (De-ddn)'!F$110/40)))</f>
        <v>45875.216911396928</v>
      </c>
      <c r="I62" s="279">
        <f>H62*(1+'Rhaniad y Ddeiliadaeth (De-ddn)'!G$109)+(H$44*(-(50-$B62)*('Rhaniad y Ddeiliadaeth (De-ddn)'!G$110/40)))</f>
        <v>47595.179066841069</v>
      </c>
      <c r="M62" s="36" t="str">
        <f t="shared" si="1"/>
        <v/>
      </c>
      <c r="N62" s="190"/>
      <c r="O62" s="13">
        <f t="shared" si="4"/>
        <v>1</v>
      </c>
      <c r="U62" s="1">
        <f t="shared" si="2"/>
        <v>68</v>
      </c>
      <c r="V62" s="4" t="str">
        <f t="shared" si="3"/>
        <v/>
      </c>
      <c r="W62" s="35" t="e">
        <f>IF($L$4=$W$3,N62,V62*(1+'Rhaniad y Ddeiliadaeth (De-ddn)'!C$109)+(V$44*(-(50-$B62)*('Rhaniad y Ddeiliadaeth (De-ddn)'!C$110/40))))</f>
        <v>#VALUE!</v>
      </c>
      <c r="X62" s="35" t="e">
        <f>W62*(1+'Rhaniad y Ddeiliadaeth (De-ddn)'!D$109)+(W$44*(-(50-$B62)*('Rhaniad y Ddeiliadaeth (De-ddn)'!D$110/40)))</f>
        <v>#VALUE!</v>
      </c>
      <c r="Y62" s="35" t="e">
        <f>X62*(1+'Rhaniad y Ddeiliadaeth (De-ddn)'!E$109)+(X$44*(-(50-$B62)*('Rhaniad y Ddeiliadaeth (De-ddn)'!E$110/40)))</f>
        <v>#VALUE!</v>
      </c>
      <c r="Z62" s="35" t="e">
        <f>Y62*(1+'Rhaniad y Ddeiliadaeth (De-ddn)'!F$109)+(Y$44*(-(50-$B62)*('Rhaniad y Ddeiliadaeth (De-ddn)'!F$110/40)))</f>
        <v>#VALUE!</v>
      </c>
      <c r="AA62" s="35" t="e">
        <f>Z62*(1+'Rhaniad y Ddeiliadaeth (De-ddn)'!G$109)+(Z$44*(-(50-$B62)*('Rhaniad y Ddeiliadaeth (De-ddn)'!G$110/40)))</f>
        <v>#VALUE!</v>
      </c>
      <c r="AC62" s="260">
        <v>68</v>
      </c>
      <c r="AD62" s="4">
        <f>IF('Rhaniad y Ddeiliadaeth (Cymru)'!$D$8="Amcangyfrifon LlC",'Incwm (De-ddwyrain)'!E62,'Incwm (De-ddwyrain)'!W62)</f>
        <v>41091.415708056862</v>
      </c>
      <c r="AE62" s="4">
        <f>IF('Rhaniad y Ddeiliadaeth (Cymru)'!$D$8="Amcangyfrifon LlC",'Incwm (De-ddwyrain)'!F62,'Incwm (De-ddwyrain)'!X62)</f>
        <v>42623.890375734365</v>
      </c>
      <c r="AF62" s="4">
        <f>IF('Rhaniad y Ddeiliadaeth (Cymru)'!$D$8="Amcangyfrifon LlC",'Incwm (De-ddwyrain)'!G62,'Incwm (De-ddwyrain)'!Y62)</f>
        <v>44209.064251896882</v>
      </c>
      <c r="AG62" s="4">
        <f>IF('Rhaniad y Ddeiliadaeth (Cymru)'!$D$8="Amcangyfrifon LlC",'Incwm (De-ddwyrain)'!H62,'Incwm (De-ddwyrain)'!Z62)</f>
        <v>45875.216911396928</v>
      </c>
      <c r="AH62" s="4">
        <f>IF('Rhaniad y Ddeiliadaeth (Cymru)'!$D$8="Amcangyfrifon LlC",'Incwm (De-ddwyrain)'!I62,'Incwm (De-ddwyrain)'!AA62)</f>
        <v>47595.179066841069</v>
      </c>
    </row>
    <row r="63" spans="2:34" x14ac:dyDescent="0.35">
      <c r="B63" s="251">
        <v>69</v>
      </c>
      <c r="C63" s="261">
        <v>39496</v>
      </c>
      <c r="D63" s="261">
        <v>40722.221167161988</v>
      </c>
      <c r="E63" s="278">
        <f>D63*(1+'Rhaniad y Ddeiliadaeth (De-ddn)'!C$109)+(D$44*(-(50-$B63)*('Rhaniad y Ddeiliadaeth (De-ddn)'!C$110/40)))</f>
        <v>41764.407203883951</v>
      </c>
      <c r="F63" s="278">
        <f>E63*(1+'Rhaniad y Ddeiliadaeth (De-ddn)'!D$109)+(E$44*(-(50-$B63)*('Rhaniad y Ddeiliadaeth (De-ddn)'!D$110/40)))</f>
        <v>43326.842884039273</v>
      </c>
      <c r="G63" s="278">
        <f>F63*(1+'Rhaniad y Ddeiliadaeth (De-ddn)'!E$109)+(F$44*(-(50-$B63)*('Rhaniad y Ddeiliadaeth (De-ddn)'!E$110/40)))</f>
        <v>44943.173709678085</v>
      </c>
      <c r="H63" s="278">
        <f>G63*(1+'Rhaniad y Ddeiliadaeth (De-ddn)'!F$109)+(G$44*(-(50-$B63)*('Rhaniad y Ddeiliadaeth (De-ddn)'!F$110/40)))</f>
        <v>46642.164121113587</v>
      </c>
      <c r="I63" s="279">
        <f>H63*(1+'Rhaniad y Ddeiliadaeth (De-ddn)'!G$109)+(H$44*(-(50-$B63)*('Rhaniad y Ddeiliadaeth (De-ddn)'!G$110/40)))</f>
        <v>48396.215277324562</v>
      </c>
      <c r="M63" s="36" t="str">
        <f t="shared" si="1"/>
        <v/>
      </c>
      <c r="N63" s="190"/>
      <c r="O63" s="13">
        <f t="shared" si="4"/>
        <v>1</v>
      </c>
      <c r="U63" s="1">
        <f t="shared" si="2"/>
        <v>69</v>
      </c>
      <c r="V63" s="4" t="str">
        <f t="shared" si="3"/>
        <v/>
      </c>
      <c r="W63" s="35" t="e">
        <f>IF($L$4=$W$3,N63,V63*(1+'Rhaniad y Ddeiliadaeth (De-ddn)'!C$109)+(V$44*(-(50-$B63)*('Rhaniad y Ddeiliadaeth (De-ddn)'!C$110/40))))</f>
        <v>#VALUE!</v>
      </c>
      <c r="X63" s="35" t="e">
        <f>W63*(1+'Rhaniad y Ddeiliadaeth (De-ddn)'!D$109)+(W$44*(-(50-$B63)*('Rhaniad y Ddeiliadaeth (De-ddn)'!D$110/40)))</f>
        <v>#VALUE!</v>
      </c>
      <c r="Y63" s="35" t="e">
        <f>X63*(1+'Rhaniad y Ddeiliadaeth (De-ddn)'!E$109)+(X$44*(-(50-$B63)*('Rhaniad y Ddeiliadaeth (De-ddn)'!E$110/40)))</f>
        <v>#VALUE!</v>
      </c>
      <c r="Z63" s="35" t="e">
        <f>Y63*(1+'Rhaniad y Ddeiliadaeth (De-ddn)'!F$109)+(Y$44*(-(50-$B63)*('Rhaniad y Ddeiliadaeth (De-ddn)'!F$110/40)))</f>
        <v>#VALUE!</v>
      </c>
      <c r="AA63" s="35" t="e">
        <f>Z63*(1+'Rhaniad y Ddeiliadaeth (De-ddn)'!G$109)+(Z$44*(-(50-$B63)*('Rhaniad y Ddeiliadaeth (De-ddn)'!G$110/40)))</f>
        <v>#VALUE!</v>
      </c>
      <c r="AC63" s="260">
        <v>69</v>
      </c>
      <c r="AD63" s="4">
        <f>IF('Rhaniad y Ddeiliadaeth (Cymru)'!$D$8="Amcangyfrifon LlC",'Incwm (De-ddwyrain)'!E63,'Incwm (De-ddwyrain)'!W63)</f>
        <v>41764.407203883951</v>
      </c>
      <c r="AE63" s="4">
        <f>IF('Rhaniad y Ddeiliadaeth (Cymru)'!$D$8="Amcangyfrifon LlC",'Incwm (De-ddwyrain)'!F63,'Incwm (De-ddwyrain)'!X63)</f>
        <v>43326.842884039273</v>
      </c>
      <c r="AF63" s="4">
        <f>IF('Rhaniad y Ddeiliadaeth (Cymru)'!$D$8="Amcangyfrifon LlC",'Incwm (De-ddwyrain)'!G63,'Incwm (De-ddwyrain)'!Y63)</f>
        <v>44943.173709678085</v>
      </c>
      <c r="AG63" s="4">
        <f>IF('Rhaniad y Ddeiliadaeth (Cymru)'!$D$8="Amcangyfrifon LlC",'Incwm (De-ddwyrain)'!H63,'Incwm (De-ddwyrain)'!Z63)</f>
        <v>46642.164121113587</v>
      </c>
      <c r="AH63" s="4">
        <f>IF('Rhaniad y Ddeiliadaeth (Cymru)'!$D$8="Amcangyfrifon LlC",'Incwm (De-ddwyrain)'!I63,'Incwm (De-ddwyrain)'!AA63)</f>
        <v>48396.215277324562</v>
      </c>
    </row>
    <row r="64" spans="2:34" x14ac:dyDescent="0.35">
      <c r="B64" s="251">
        <v>70</v>
      </c>
      <c r="C64" s="261">
        <v>40532.5</v>
      </c>
      <c r="D64" s="261">
        <v>41900.272142460592</v>
      </c>
      <c r="E64" s="278">
        <f>D64*(1+'Rhaniad y Ddeiliadaeth (De-ddn)'!C$109)+(D$44*(-(50-$B64)*('Rhaniad y Ddeiliadaeth (De-ddn)'!C$110/40)))</f>
        <v>42975.644482582509</v>
      </c>
      <c r="F64" s="278">
        <f>E64*(1+'Rhaniad y Ddeiliadaeth (De-ddn)'!D$109)+(E$44*(-(50-$B64)*('Rhaniad y Ddeiliadaeth (De-ddn)'!D$110/40)))</f>
        <v>44586.488997258049</v>
      </c>
      <c r="G64" s="278">
        <f>F64*(1+'Rhaniad y Ddeiliadaeth (De-ddn)'!E$109)+(F$44*(-(50-$B64)*('Rhaniad y Ddeiliadaeth (De-ddn)'!E$110/40)))</f>
        <v>46253.003607169368</v>
      </c>
      <c r="H64" s="278">
        <f>G64*(1+'Rhaniad y Ddeiliadaeth (De-ddn)'!F$109)+(G$44*(-(50-$B64)*('Rhaniad y Ddeiliadaeth (De-ddn)'!F$110/40)))</f>
        <v>48004.800787953667</v>
      </c>
      <c r="I64" s="279">
        <f>H64*(1+'Rhaniad y Ddeiliadaeth (De-ddn)'!G$109)+(H$44*(-(50-$B64)*('Rhaniad y Ddeiliadaeth (De-ddn)'!G$110/40)))</f>
        <v>49813.491105127148</v>
      </c>
      <c r="M64" s="36" t="str">
        <f t="shared" si="1"/>
        <v/>
      </c>
      <c r="N64" s="190"/>
      <c r="O64" s="13">
        <f t="shared" si="4"/>
        <v>1</v>
      </c>
      <c r="U64" s="1">
        <f t="shared" si="2"/>
        <v>70</v>
      </c>
      <c r="V64" s="4" t="str">
        <f t="shared" si="3"/>
        <v/>
      </c>
      <c r="W64" s="35" t="e">
        <f>IF($L$4=$W$3,N64,V64*(1+'Rhaniad y Ddeiliadaeth (De-ddn)'!C$109)+(V$44*(-(50-$B64)*('Rhaniad y Ddeiliadaeth (De-ddn)'!C$110/40))))</f>
        <v>#VALUE!</v>
      </c>
      <c r="X64" s="35" t="e">
        <f>W64*(1+'Rhaniad y Ddeiliadaeth (De-ddn)'!D$109)+(W$44*(-(50-$B64)*('Rhaniad y Ddeiliadaeth (De-ddn)'!D$110/40)))</f>
        <v>#VALUE!</v>
      </c>
      <c r="Y64" s="35" t="e">
        <f>X64*(1+'Rhaniad y Ddeiliadaeth (De-ddn)'!E$109)+(X$44*(-(50-$B64)*('Rhaniad y Ddeiliadaeth (De-ddn)'!E$110/40)))</f>
        <v>#VALUE!</v>
      </c>
      <c r="Z64" s="35" t="e">
        <f>Y64*(1+'Rhaniad y Ddeiliadaeth (De-ddn)'!F$109)+(Y$44*(-(50-$B64)*('Rhaniad y Ddeiliadaeth (De-ddn)'!F$110/40)))</f>
        <v>#VALUE!</v>
      </c>
      <c r="AA64" s="35" t="e">
        <f>Z64*(1+'Rhaniad y Ddeiliadaeth (De-ddn)'!G$109)+(Z$44*(-(50-$B64)*('Rhaniad y Ddeiliadaeth (De-ddn)'!G$110/40)))</f>
        <v>#VALUE!</v>
      </c>
      <c r="AC64" s="260">
        <v>70</v>
      </c>
      <c r="AD64" s="4">
        <f>IF('Rhaniad y Ddeiliadaeth (Cymru)'!$D$8="Amcangyfrifon LlC",'Incwm (De-ddwyrain)'!E64,'Incwm (De-ddwyrain)'!W64)</f>
        <v>42975.644482582509</v>
      </c>
      <c r="AE64" s="4">
        <f>IF('Rhaniad y Ddeiliadaeth (Cymru)'!$D$8="Amcangyfrifon LlC",'Incwm (De-ddwyrain)'!F64,'Incwm (De-ddwyrain)'!X64)</f>
        <v>44586.488997258049</v>
      </c>
      <c r="AF64" s="4">
        <f>IF('Rhaniad y Ddeiliadaeth (Cymru)'!$D$8="Amcangyfrifon LlC",'Incwm (De-ddwyrain)'!G64,'Incwm (De-ddwyrain)'!Y64)</f>
        <v>46253.003607169368</v>
      </c>
      <c r="AG64" s="4">
        <f>IF('Rhaniad y Ddeiliadaeth (Cymru)'!$D$8="Amcangyfrifon LlC",'Incwm (De-ddwyrain)'!H64,'Incwm (De-ddwyrain)'!Z64)</f>
        <v>48004.800787953667</v>
      </c>
      <c r="AH64" s="4">
        <f>IF('Rhaniad y Ddeiliadaeth (Cymru)'!$D$8="Amcangyfrifon LlC",'Incwm (De-ddwyrain)'!I64,'Incwm (De-ddwyrain)'!AA64)</f>
        <v>49813.491105127148</v>
      </c>
    </row>
    <row r="65" spans="2:34" x14ac:dyDescent="0.35">
      <c r="B65" s="251">
        <v>71</v>
      </c>
      <c r="C65" s="261">
        <v>41787</v>
      </c>
      <c r="D65" s="261">
        <v>43197.10533564425</v>
      </c>
      <c r="E65" s="278">
        <f>D65*(1+'Rhaniad y Ddeiliadaeth (De-ddn)'!C$109)+(D$44*(-(50-$B65)*('Rhaniad y Ddeiliadaeth (De-ddn)'!C$110/40)))</f>
        <v>44308.33018689858</v>
      </c>
      <c r="F65" s="278">
        <f>E65*(1+'Rhaniad y Ddeiliadaeth (De-ddn)'!D$109)+(E$44*(-(50-$B65)*('Rhaniad y Ddeiliadaeth (De-ddn)'!D$110/40)))</f>
        <v>45971.746056293145</v>
      </c>
      <c r="G65" s="278">
        <f>F65*(1+'Rhaniad y Ddeiliadaeth (De-ddn)'!E$109)+(F$44*(-(50-$B65)*('Rhaniad y Ddeiliadaeth (De-ddn)'!E$110/40)))</f>
        <v>47692.737617658233</v>
      </c>
      <c r="H65" s="278">
        <f>G65*(1+'Rhaniad y Ddeiliadaeth (De-ddn)'!F$109)+(G$44*(-(50-$B65)*('Rhaniad y Ddeiliadaeth (De-ddn)'!F$110/40)))</f>
        <v>49501.847326690251</v>
      </c>
      <c r="I65" s="279">
        <f>H65*(1+'Rhaniad y Ddeiliadaeth (De-ddn)'!G$109)+(H$44*(-(50-$B65)*('Rhaniad y Ddeiliadaeth (De-ddn)'!G$110/40)))</f>
        <v>51369.81369132192</v>
      </c>
      <c r="M65" s="36" t="str">
        <f t="shared" si="1"/>
        <v/>
      </c>
      <c r="N65" s="190"/>
      <c r="O65" s="13">
        <f t="shared" si="4"/>
        <v>1</v>
      </c>
      <c r="U65" s="1">
        <f t="shared" si="2"/>
        <v>71</v>
      </c>
      <c r="V65" s="4" t="str">
        <f t="shared" si="3"/>
        <v/>
      </c>
      <c r="W65" s="35" t="e">
        <f>IF($L$4=$W$3,N65,V65*(1+'Rhaniad y Ddeiliadaeth (De-ddn)'!C$109)+(V$44*(-(50-$B65)*('Rhaniad y Ddeiliadaeth (De-ddn)'!C$110/40))))</f>
        <v>#VALUE!</v>
      </c>
      <c r="X65" s="35" t="e">
        <f>W65*(1+'Rhaniad y Ddeiliadaeth (De-ddn)'!D$109)+(W$44*(-(50-$B65)*('Rhaniad y Ddeiliadaeth (De-ddn)'!D$110/40)))</f>
        <v>#VALUE!</v>
      </c>
      <c r="Y65" s="35" t="e">
        <f>X65*(1+'Rhaniad y Ddeiliadaeth (De-ddn)'!E$109)+(X$44*(-(50-$B65)*('Rhaniad y Ddeiliadaeth (De-ddn)'!E$110/40)))</f>
        <v>#VALUE!</v>
      </c>
      <c r="Z65" s="35" t="e">
        <f>Y65*(1+'Rhaniad y Ddeiliadaeth (De-ddn)'!F$109)+(Y$44*(-(50-$B65)*('Rhaniad y Ddeiliadaeth (De-ddn)'!F$110/40)))</f>
        <v>#VALUE!</v>
      </c>
      <c r="AA65" s="35" t="e">
        <f>Z65*(1+'Rhaniad y Ddeiliadaeth (De-ddn)'!G$109)+(Z$44*(-(50-$B65)*('Rhaniad y Ddeiliadaeth (De-ddn)'!G$110/40)))</f>
        <v>#VALUE!</v>
      </c>
      <c r="AC65" s="260">
        <v>71</v>
      </c>
      <c r="AD65" s="4">
        <f>IF('Rhaniad y Ddeiliadaeth (Cymru)'!$D$8="Amcangyfrifon LlC",'Incwm (De-ddwyrain)'!E65,'Incwm (De-ddwyrain)'!W65)</f>
        <v>44308.33018689858</v>
      </c>
      <c r="AE65" s="4">
        <f>IF('Rhaniad y Ddeiliadaeth (Cymru)'!$D$8="Amcangyfrifon LlC",'Incwm (De-ddwyrain)'!F65,'Incwm (De-ddwyrain)'!X65)</f>
        <v>45971.746056293145</v>
      </c>
      <c r="AF65" s="4">
        <f>IF('Rhaniad y Ddeiliadaeth (Cymru)'!$D$8="Amcangyfrifon LlC",'Incwm (De-ddwyrain)'!G65,'Incwm (De-ddwyrain)'!Y65)</f>
        <v>47692.737617658233</v>
      </c>
      <c r="AG65" s="4">
        <f>IF('Rhaniad y Ddeiliadaeth (Cymru)'!$D$8="Amcangyfrifon LlC",'Incwm (De-ddwyrain)'!H65,'Incwm (De-ddwyrain)'!Z65)</f>
        <v>49501.847326690251</v>
      </c>
      <c r="AH65" s="4">
        <f>IF('Rhaniad y Ddeiliadaeth (Cymru)'!$D$8="Amcangyfrifon LlC",'Incwm (De-ddwyrain)'!I65,'Incwm (De-ddwyrain)'!AA65)</f>
        <v>51369.81369132192</v>
      </c>
    </row>
    <row r="66" spans="2:34" x14ac:dyDescent="0.35">
      <c r="B66" s="251">
        <v>72</v>
      </c>
      <c r="C66" s="261">
        <v>42743.199999999997</v>
      </c>
      <c r="D66" s="261">
        <v>44185.572373764793</v>
      </c>
      <c r="E66" s="278">
        <f>D66*(1+'Rhaniad y Ddeiliadaeth (De-ddn)'!C$109)+(D$44*(-(50-$B66)*('Rhaniad y Ddeiliadaeth (De-ddn)'!C$110/40)))</f>
        <v>45325.728092140373</v>
      </c>
      <c r="F66" s="278">
        <f>E66*(1+'Rhaniad y Ddeiliadaeth (De-ddn)'!D$109)+(E$44*(-(50-$B66)*('Rhaniad y Ddeiliadaeth (De-ddn)'!D$110/40)))</f>
        <v>47030.909150382242</v>
      </c>
      <c r="G66" s="278">
        <f>F66*(1+'Rhaniad y Ddeiliadaeth (De-ddn)'!E$109)+(F$44*(-(50-$B66)*('Rhaniad y Ddeiliadaeth (De-ddn)'!E$110/40)))</f>
        <v>48795.232329494553</v>
      </c>
      <c r="H66" s="278">
        <f>G66*(1+'Rhaniad y Ddeiliadaeth (De-ddn)'!F$109)+(G$44*(-(50-$B66)*('Rhaniad y Ddeiliadaeth (De-ddn)'!F$110/40)))</f>
        <v>50649.957331514321</v>
      </c>
      <c r="I66" s="279">
        <f>H66*(1+'Rhaniad y Ddeiliadaeth (De-ddn)'!G$109)+(H$44*(-(50-$B66)*('Rhaniad y Ddeiliadaeth (De-ddn)'!G$110/40)))</f>
        <v>52565.162092804298</v>
      </c>
      <c r="M66" s="36" t="str">
        <f t="shared" si="1"/>
        <v/>
      </c>
      <c r="N66" s="190"/>
      <c r="O66" s="13">
        <f t="shared" si="4"/>
        <v>1</v>
      </c>
      <c r="U66" s="1">
        <f t="shared" si="2"/>
        <v>72</v>
      </c>
      <c r="V66" s="4" t="str">
        <f t="shared" si="3"/>
        <v/>
      </c>
      <c r="W66" s="35" t="e">
        <f>IF($L$4=$W$3,N66,V66*(1+'Rhaniad y Ddeiliadaeth (De-ddn)'!C$109)+(V$44*(-(50-$B66)*('Rhaniad y Ddeiliadaeth (De-ddn)'!C$110/40))))</f>
        <v>#VALUE!</v>
      </c>
      <c r="X66" s="35" t="e">
        <f>W66*(1+'Rhaniad y Ddeiliadaeth (De-ddn)'!D$109)+(W$44*(-(50-$B66)*('Rhaniad y Ddeiliadaeth (De-ddn)'!D$110/40)))</f>
        <v>#VALUE!</v>
      </c>
      <c r="Y66" s="35" t="e">
        <f>X66*(1+'Rhaniad y Ddeiliadaeth (De-ddn)'!E$109)+(X$44*(-(50-$B66)*('Rhaniad y Ddeiliadaeth (De-ddn)'!E$110/40)))</f>
        <v>#VALUE!</v>
      </c>
      <c r="Z66" s="35" t="e">
        <f>Y66*(1+'Rhaniad y Ddeiliadaeth (De-ddn)'!F$109)+(Y$44*(-(50-$B66)*('Rhaniad y Ddeiliadaeth (De-ddn)'!F$110/40)))</f>
        <v>#VALUE!</v>
      </c>
      <c r="AA66" s="35" t="e">
        <f>Z66*(1+'Rhaniad y Ddeiliadaeth (De-ddn)'!G$109)+(Z$44*(-(50-$B66)*('Rhaniad y Ddeiliadaeth (De-ddn)'!G$110/40)))</f>
        <v>#VALUE!</v>
      </c>
      <c r="AC66" s="260">
        <v>72</v>
      </c>
      <c r="AD66" s="4">
        <f>IF('Rhaniad y Ddeiliadaeth (Cymru)'!$D$8="Amcangyfrifon LlC",'Incwm (De-ddwyrain)'!E66,'Incwm (De-ddwyrain)'!W66)</f>
        <v>45325.728092140373</v>
      </c>
      <c r="AE66" s="4">
        <f>IF('Rhaniad y Ddeiliadaeth (Cymru)'!$D$8="Amcangyfrifon LlC",'Incwm (De-ddwyrain)'!F66,'Incwm (De-ddwyrain)'!X66)</f>
        <v>47030.909150382242</v>
      </c>
      <c r="AF66" s="4">
        <f>IF('Rhaniad y Ddeiliadaeth (Cymru)'!$D$8="Amcangyfrifon LlC",'Incwm (De-ddwyrain)'!G66,'Incwm (De-ddwyrain)'!Y66)</f>
        <v>48795.232329494553</v>
      </c>
      <c r="AG66" s="4">
        <f>IF('Rhaniad y Ddeiliadaeth (Cymru)'!$D$8="Amcangyfrifon LlC",'Incwm (De-ddwyrain)'!H66,'Incwm (De-ddwyrain)'!Z66)</f>
        <v>50649.957331514321</v>
      </c>
      <c r="AH66" s="4">
        <f>IF('Rhaniad y Ddeiliadaeth (Cymru)'!$D$8="Amcangyfrifon LlC",'Incwm (De-ddwyrain)'!I66,'Incwm (De-ddwyrain)'!AA66)</f>
        <v>52565.162092804298</v>
      </c>
    </row>
    <row r="67" spans="2:34" x14ac:dyDescent="0.35">
      <c r="B67" s="251">
        <v>73</v>
      </c>
      <c r="C67" s="261">
        <v>43591.6</v>
      </c>
      <c r="D67" s="261">
        <v>45062.601693092831</v>
      </c>
      <c r="E67" s="278">
        <f>D67*(1+'Rhaniad y Ddeiliadaeth (De-ddn)'!C$109)+(D$44*(-(50-$B67)*('Rhaniad y Ddeiliadaeth (De-ddn)'!C$110/40)))</f>
        <v>46229.186926848444</v>
      </c>
      <c r="F67" s="278">
        <f>E67*(1+'Rhaniad y Ddeiliadaeth (De-ddn)'!D$109)+(E$44*(-(50-$B67)*('Rhaniad y Ddeiliadaeth (De-ddn)'!D$110/40)))</f>
        <v>47972.228029180755</v>
      </c>
      <c r="G67" s="278">
        <f>F67*(1+'Rhaniad y Ddeiliadaeth (De-ddn)'!E$109)+(F$44*(-(50-$B67)*('Rhaniad y Ddeiliadaeth (De-ddn)'!E$110/40)))</f>
        <v>49775.855112417878</v>
      </c>
      <c r="H67" s="278">
        <f>G67*(1+'Rhaniad y Ddeiliadaeth (De-ddn)'!F$109)+(G$44*(-(50-$B67)*('Rhaniad y Ddeiliadaeth (De-ddn)'!F$110/40)))</f>
        <v>51671.968246979464</v>
      </c>
      <c r="I67" s="279">
        <f>H67*(1+'Rhaniad y Ddeiliadaeth (De-ddn)'!G$109)+(H$44*(-(50-$B67)*('Rhaniad y Ddeiliadaeth (De-ddn)'!G$110/40)))</f>
        <v>53630.061224719131</v>
      </c>
      <c r="M67" s="36" t="str">
        <f t="shared" si="1"/>
        <v/>
      </c>
      <c r="N67" s="190"/>
      <c r="O67" s="13">
        <f t="shared" si="4"/>
        <v>1</v>
      </c>
      <c r="U67" s="1">
        <f t="shared" si="2"/>
        <v>73</v>
      </c>
      <c r="V67" s="4" t="str">
        <f t="shared" si="3"/>
        <v/>
      </c>
      <c r="W67" s="35" t="e">
        <f>IF($L$4=$W$3,N67,V67*(1+'Rhaniad y Ddeiliadaeth (De-ddn)'!C$109)+(V$44*(-(50-$B67)*('Rhaniad y Ddeiliadaeth (De-ddn)'!C$110/40))))</f>
        <v>#VALUE!</v>
      </c>
      <c r="X67" s="35" t="e">
        <f>W67*(1+'Rhaniad y Ddeiliadaeth (De-ddn)'!D$109)+(W$44*(-(50-$B67)*('Rhaniad y Ddeiliadaeth (De-ddn)'!D$110/40)))</f>
        <v>#VALUE!</v>
      </c>
      <c r="Y67" s="35" t="e">
        <f>X67*(1+'Rhaniad y Ddeiliadaeth (De-ddn)'!E$109)+(X$44*(-(50-$B67)*('Rhaniad y Ddeiliadaeth (De-ddn)'!E$110/40)))</f>
        <v>#VALUE!</v>
      </c>
      <c r="Z67" s="35" t="e">
        <f>Y67*(1+'Rhaniad y Ddeiliadaeth (De-ddn)'!F$109)+(Y$44*(-(50-$B67)*('Rhaniad y Ddeiliadaeth (De-ddn)'!F$110/40)))</f>
        <v>#VALUE!</v>
      </c>
      <c r="AA67" s="35" t="e">
        <f>Z67*(1+'Rhaniad y Ddeiliadaeth (De-ddn)'!G$109)+(Z$44*(-(50-$B67)*('Rhaniad y Ddeiliadaeth (De-ddn)'!G$110/40)))</f>
        <v>#VALUE!</v>
      </c>
      <c r="AC67" s="260">
        <v>73</v>
      </c>
      <c r="AD67" s="4">
        <f>IF('Rhaniad y Ddeiliadaeth (Cymru)'!$D$8="Amcangyfrifon LlC",'Incwm (De-ddwyrain)'!E67,'Incwm (De-ddwyrain)'!W67)</f>
        <v>46229.186926848444</v>
      </c>
      <c r="AE67" s="4">
        <f>IF('Rhaniad y Ddeiliadaeth (Cymru)'!$D$8="Amcangyfrifon LlC",'Incwm (De-ddwyrain)'!F67,'Incwm (De-ddwyrain)'!X67)</f>
        <v>47972.228029180755</v>
      </c>
      <c r="AF67" s="4">
        <f>IF('Rhaniad y Ddeiliadaeth (Cymru)'!$D$8="Amcangyfrifon LlC",'Incwm (De-ddwyrain)'!G67,'Incwm (De-ddwyrain)'!Y67)</f>
        <v>49775.855112417878</v>
      </c>
      <c r="AG67" s="4">
        <f>IF('Rhaniad y Ddeiliadaeth (Cymru)'!$D$8="Amcangyfrifon LlC",'Incwm (De-ddwyrain)'!H67,'Incwm (De-ddwyrain)'!Z67)</f>
        <v>51671.968246979464</v>
      </c>
      <c r="AH67" s="4">
        <f>IF('Rhaniad y Ddeiliadaeth (Cymru)'!$D$8="Amcangyfrifon LlC",'Incwm (De-ddwyrain)'!I67,'Incwm (De-ddwyrain)'!AA67)</f>
        <v>53630.061224719131</v>
      </c>
    </row>
    <row r="68" spans="2:34" x14ac:dyDescent="0.35">
      <c r="B68" s="251">
        <v>74</v>
      </c>
      <c r="C68" s="261">
        <v>44696.5</v>
      </c>
      <c r="D68" s="261">
        <v>46204.786623462402</v>
      </c>
      <c r="E68" s="278">
        <f>D68*(1+'Rhaniad y Ddeiliadaeth (De-ddn)'!C$109)+(D$44*(-(50-$B68)*('Rhaniad y Ddeiliadaeth (De-ddn)'!C$110/40)))</f>
        <v>47403.753104709554</v>
      </c>
      <c r="F68" s="278">
        <f>E68*(1+'Rhaniad y Ddeiliadaeth (De-ddn)'!D$109)+(E$44*(-(50-$B68)*('Rhaniad y Ddeiliadaeth (De-ddn)'!D$110/40)))</f>
        <v>49193.946177200356</v>
      </c>
      <c r="G68" s="278">
        <f>F68*(1+'Rhaniad y Ddeiliadaeth (De-ddn)'!E$109)+(F$44*(-(50-$B68)*('Rhaniad y Ddeiliadaeth (De-ddn)'!E$110/40)))</f>
        <v>51046.460731762192</v>
      </c>
      <c r="H68" s="278">
        <f>G68*(1+'Rhaniad y Ddeiliadaeth (De-ddn)'!F$109)+(G$44*(-(50-$B68)*('Rhaniad y Ddeiliadaeth (De-ddn)'!F$110/40)))</f>
        <v>52994.020131095494</v>
      </c>
      <c r="I68" s="279">
        <f>H68*(1+'Rhaniad y Ddeiliadaeth (De-ddn)'!G$109)+(H$44*(-(50-$B68)*('Rhaniad y Ddeiliadaeth (De-ddn)'!G$110/40)))</f>
        <v>55005.35217151406</v>
      </c>
      <c r="M68" s="36" t="str">
        <f t="shared" ref="M68:M84" si="5">IF(ISBLANK($L$4),"",B68)</f>
        <v/>
      </c>
      <c r="N68" s="190"/>
      <c r="O68" s="13">
        <f t="shared" si="4"/>
        <v>1</v>
      </c>
      <c r="U68" s="1">
        <f t="shared" ref="U68:U84" si="6">B68</f>
        <v>74</v>
      </c>
      <c r="V68" s="4" t="str">
        <f t="shared" ref="V68:V84" si="7">IF($N$3=$V$3,N68,"")</f>
        <v/>
      </c>
      <c r="W68" s="35" t="e">
        <f>IF($L$4=$W$3,N68,V68*(1+'Rhaniad y Ddeiliadaeth (De-ddn)'!C$109)+(V$44*(-(50-$B68)*('Rhaniad y Ddeiliadaeth (De-ddn)'!C$110/40))))</f>
        <v>#VALUE!</v>
      </c>
      <c r="X68" s="35" t="e">
        <f>W68*(1+'Rhaniad y Ddeiliadaeth (De-ddn)'!D$109)+(W$44*(-(50-$B68)*('Rhaniad y Ddeiliadaeth (De-ddn)'!D$110/40)))</f>
        <v>#VALUE!</v>
      </c>
      <c r="Y68" s="35" t="e">
        <f>X68*(1+'Rhaniad y Ddeiliadaeth (De-ddn)'!E$109)+(X$44*(-(50-$B68)*('Rhaniad y Ddeiliadaeth (De-ddn)'!E$110/40)))</f>
        <v>#VALUE!</v>
      </c>
      <c r="Z68" s="35" t="e">
        <f>Y68*(1+'Rhaniad y Ddeiliadaeth (De-ddn)'!F$109)+(Y$44*(-(50-$B68)*('Rhaniad y Ddeiliadaeth (De-ddn)'!F$110/40)))</f>
        <v>#VALUE!</v>
      </c>
      <c r="AA68" s="35" t="e">
        <f>Z68*(1+'Rhaniad y Ddeiliadaeth (De-ddn)'!G$109)+(Z$44*(-(50-$B68)*('Rhaniad y Ddeiliadaeth (De-ddn)'!G$110/40)))</f>
        <v>#VALUE!</v>
      </c>
      <c r="AC68" s="260">
        <v>74</v>
      </c>
      <c r="AD68" s="4">
        <f>IF('Rhaniad y Ddeiliadaeth (Cymru)'!$D$8="Amcangyfrifon LlC",'Incwm (De-ddwyrain)'!E68,'Incwm (De-ddwyrain)'!W68)</f>
        <v>47403.753104709554</v>
      </c>
      <c r="AE68" s="4">
        <f>IF('Rhaniad y Ddeiliadaeth (Cymru)'!$D$8="Amcangyfrifon LlC",'Incwm (De-ddwyrain)'!F68,'Incwm (De-ddwyrain)'!X68)</f>
        <v>49193.946177200356</v>
      </c>
      <c r="AF68" s="4">
        <f>IF('Rhaniad y Ddeiliadaeth (Cymru)'!$D$8="Amcangyfrifon LlC",'Incwm (De-ddwyrain)'!G68,'Incwm (De-ddwyrain)'!Y68)</f>
        <v>51046.460731762192</v>
      </c>
      <c r="AG68" s="4">
        <f>IF('Rhaniad y Ddeiliadaeth (Cymru)'!$D$8="Amcangyfrifon LlC",'Incwm (De-ddwyrain)'!H68,'Incwm (De-ddwyrain)'!Z68)</f>
        <v>52994.020131095494</v>
      </c>
      <c r="AH68" s="4">
        <f>IF('Rhaniad y Ddeiliadaeth (Cymru)'!$D$8="Amcangyfrifon LlC",'Incwm (De-ddwyrain)'!I68,'Incwm (De-ddwyrain)'!AA68)</f>
        <v>55005.35217151406</v>
      </c>
    </row>
    <row r="69" spans="2:34" x14ac:dyDescent="0.35">
      <c r="B69" s="251">
        <v>75</v>
      </c>
      <c r="C69" s="261">
        <v>45619</v>
      </c>
      <c r="D69" s="261">
        <v>47158.416452646881</v>
      </c>
      <c r="E69" s="278">
        <f>D69*(1+'Rhaniad y Ddeiliadaeth (De-ddn)'!C$109)+(D$44*(-(50-$B69)*('Rhaniad y Ddeiliadaeth (De-ddn)'!C$110/40)))</f>
        <v>48385.531838550727</v>
      </c>
      <c r="F69" s="278">
        <f>E69*(1+'Rhaniad y Ddeiliadaeth (De-ddn)'!D$109)+(E$44*(-(50-$B69)*('Rhaniad y Ddeiliadaeth (De-ddn)'!D$110/40)))</f>
        <v>50216.269289329401</v>
      </c>
      <c r="G69" s="278">
        <f>F69*(1+'Rhaniad y Ddeiliadaeth (De-ddn)'!E$109)+(F$44*(-(50-$B69)*('Rhaniad y Ddeiliadaeth (De-ddn)'!E$110/40)))</f>
        <v>52110.856334096025</v>
      </c>
      <c r="H69" s="278">
        <f>G69*(1+'Rhaniad y Ddeiliadaeth (De-ddn)'!F$109)+(G$44*(-(50-$B69)*('Rhaniad y Ddeiliadaeth (De-ddn)'!F$110/40)))</f>
        <v>54102.709548615334</v>
      </c>
      <c r="I69" s="279">
        <f>H69*(1+'Rhaniad y Ddeiliadaeth (De-ddn)'!G$109)+(H$44*(-(50-$B69)*('Rhaniad y Ddeiliadaeth (De-ddn)'!G$110/40)))</f>
        <v>56159.920049949811</v>
      </c>
      <c r="M69" s="36" t="str">
        <f t="shared" si="5"/>
        <v/>
      </c>
      <c r="N69" s="190"/>
      <c r="O69" s="13">
        <f t="shared" ref="O69:O84" si="8">IF(ISBLANK(N69),1,0)</f>
        <v>1</v>
      </c>
      <c r="U69" s="1">
        <f t="shared" si="6"/>
        <v>75</v>
      </c>
      <c r="V69" s="4" t="str">
        <f t="shared" si="7"/>
        <v/>
      </c>
      <c r="W69" s="35" t="e">
        <f>IF($L$4=$W$3,N69,V69*(1+'Rhaniad y Ddeiliadaeth (De-ddn)'!C$109)+(V$44*(-(50-$B69)*('Rhaniad y Ddeiliadaeth (De-ddn)'!C$110/40))))</f>
        <v>#VALUE!</v>
      </c>
      <c r="X69" s="35" t="e">
        <f>W69*(1+'Rhaniad y Ddeiliadaeth (De-ddn)'!D$109)+(W$44*(-(50-$B69)*('Rhaniad y Ddeiliadaeth (De-ddn)'!D$110/40)))</f>
        <v>#VALUE!</v>
      </c>
      <c r="Y69" s="35" t="e">
        <f>X69*(1+'Rhaniad y Ddeiliadaeth (De-ddn)'!E$109)+(X$44*(-(50-$B69)*('Rhaniad y Ddeiliadaeth (De-ddn)'!E$110/40)))</f>
        <v>#VALUE!</v>
      </c>
      <c r="Z69" s="35" t="e">
        <f>Y69*(1+'Rhaniad y Ddeiliadaeth (De-ddn)'!F$109)+(Y$44*(-(50-$B69)*('Rhaniad y Ddeiliadaeth (De-ddn)'!F$110/40)))</f>
        <v>#VALUE!</v>
      </c>
      <c r="AA69" s="35" t="e">
        <f>Z69*(1+'Rhaniad y Ddeiliadaeth (De-ddn)'!G$109)+(Z$44*(-(50-$B69)*('Rhaniad y Ddeiliadaeth (De-ddn)'!G$110/40)))</f>
        <v>#VALUE!</v>
      </c>
      <c r="AC69" s="260">
        <v>75</v>
      </c>
      <c r="AD69" s="4">
        <f>IF('Rhaniad y Ddeiliadaeth (Cymru)'!$D$8="Amcangyfrifon LlC",'Incwm (De-ddwyrain)'!E69,'Incwm (De-ddwyrain)'!W69)</f>
        <v>48385.531838550727</v>
      </c>
      <c r="AE69" s="4">
        <f>IF('Rhaniad y Ddeiliadaeth (Cymru)'!$D$8="Amcangyfrifon LlC",'Incwm (De-ddwyrain)'!F69,'Incwm (De-ddwyrain)'!X69)</f>
        <v>50216.269289329401</v>
      </c>
      <c r="AF69" s="4">
        <f>IF('Rhaniad y Ddeiliadaeth (Cymru)'!$D$8="Amcangyfrifon LlC",'Incwm (De-ddwyrain)'!G69,'Incwm (De-ddwyrain)'!Y69)</f>
        <v>52110.856334096025</v>
      </c>
      <c r="AG69" s="4">
        <f>IF('Rhaniad y Ddeiliadaeth (Cymru)'!$D$8="Amcangyfrifon LlC",'Incwm (De-ddwyrain)'!H69,'Incwm (De-ddwyrain)'!Z69)</f>
        <v>54102.709548615334</v>
      </c>
      <c r="AH69" s="4">
        <f>IF('Rhaniad y Ddeiliadaeth (Cymru)'!$D$8="Amcangyfrifon LlC",'Incwm (De-ddwyrain)'!I69,'Incwm (De-ddwyrain)'!AA69)</f>
        <v>56159.920049949811</v>
      </c>
    </row>
    <row r="70" spans="2:34" x14ac:dyDescent="0.35">
      <c r="B70" s="251">
        <v>76</v>
      </c>
      <c r="C70" s="261">
        <v>46700.4</v>
      </c>
      <c r="D70" s="261">
        <v>48276.308373817716</v>
      </c>
      <c r="E70" s="278">
        <f>D70*(1+'Rhaniad y Ddeiliadaeth (De-ddn)'!C$109)+(D$44*(-(50-$B70)*('Rhaniad y Ddeiliadaeth (De-ddn)'!C$110/40)))</f>
        <v>49535.259721814968</v>
      </c>
      <c r="F70" s="278">
        <f>E70*(1+'Rhaniad y Ddeiliadaeth (De-ddn)'!D$109)+(E$44*(-(50-$B70)*('Rhaniad y Ddeiliadaeth (De-ddn)'!D$110/40)))</f>
        <v>51412.297835685466</v>
      </c>
      <c r="G70" s="278">
        <f>F70*(1+'Rhaniad y Ddeiliadaeth (De-ddn)'!E$109)+(F$44*(-(50-$B70)*('Rhaniad y Ddeiliadaeth (De-ddn)'!E$110/40)))</f>
        <v>53354.894325152243</v>
      </c>
      <c r="H70" s="278">
        <f>G70*(1+'Rhaniad y Ddeiliadaeth (De-ddn)'!F$109)+(G$44*(-(50-$B70)*('Rhaniad y Ddeiliadaeth (De-ddn)'!F$110/40)))</f>
        <v>55397.272299151256</v>
      </c>
      <c r="I70" s="279">
        <f>H70*(1+'Rhaniad y Ddeiliadaeth (De-ddn)'!G$109)+(H$44*(-(50-$B70)*('Rhaniad y Ddeiliadaeth (De-ddn)'!G$110/40)))</f>
        <v>57506.773540020826</v>
      </c>
      <c r="M70" s="36" t="str">
        <f t="shared" si="5"/>
        <v/>
      </c>
      <c r="N70" s="190"/>
      <c r="O70" s="13">
        <f t="shared" si="8"/>
        <v>1</v>
      </c>
      <c r="U70" s="1">
        <f t="shared" si="6"/>
        <v>76</v>
      </c>
      <c r="V70" s="4" t="str">
        <f t="shared" si="7"/>
        <v/>
      </c>
      <c r="W70" s="35" t="e">
        <f>IF($L$4=$W$3,N70,V70*(1+'Rhaniad y Ddeiliadaeth (De-ddn)'!C$109)+(V$44*(-(50-$B70)*('Rhaniad y Ddeiliadaeth (De-ddn)'!C$110/40))))</f>
        <v>#VALUE!</v>
      </c>
      <c r="X70" s="35" t="e">
        <f>W70*(1+'Rhaniad y Ddeiliadaeth (De-ddn)'!D$109)+(W$44*(-(50-$B70)*('Rhaniad y Ddeiliadaeth (De-ddn)'!D$110/40)))</f>
        <v>#VALUE!</v>
      </c>
      <c r="Y70" s="35" t="e">
        <f>X70*(1+'Rhaniad y Ddeiliadaeth (De-ddn)'!E$109)+(X$44*(-(50-$B70)*('Rhaniad y Ddeiliadaeth (De-ddn)'!E$110/40)))</f>
        <v>#VALUE!</v>
      </c>
      <c r="Z70" s="35" t="e">
        <f>Y70*(1+'Rhaniad y Ddeiliadaeth (De-ddn)'!F$109)+(Y$44*(-(50-$B70)*('Rhaniad y Ddeiliadaeth (De-ddn)'!F$110/40)))</f>
        <v>#VALUE!</v>
      </c>
      <c r="AA70" s="35" t="e">
        <f>Z70*(1+'Rhaniad y Ddeiliadaeth (De-ddn)'!G$109)+(Z$44*(-(50-$B70)*('Rhaniad y Ddeiliadaeth (De-ddn)'!G$110/40)))</f>
        <v>#VALUE!</v>
      </c>
      <c r="AC70" s="260">
        <v>76</v>
      </c>
      <c r="AD70" s="4">
        <f>IF('Rhaniad y Ddeiliadaeth (Cymru)'!$D$8="Amcangyfrifon LlC",'Incwm (De-ddwyrain)'!E70,'Incwm (De-ddwyrain)'!W70)</f>
        <v>49535.259721814968</v>
      </c>
      <c r="AE70" s="4">
        <f>IF('Rhaniad y Ddeiliadaeth (Cymru)'!$D$8="Amcangyfrifon LlC",'Incwm (De-ddwyrain)'!F70,'Incwm (De-ddwyrain)'!X70)</f>
        <v>51412.297835685466</v>
      </c>
      <c r="AF70" s="4">
        <f>IF('Rhaniad y Ddeiliadaeth (Cymru)'!$D$8="Amcangyfrifon LlC",'Incwm (De-ddwyrain)'!G70,'Incwm (De-ddwyrain)'!Y70)</f>
        <v>53354.894325152243</v>
      </c>
      <c r="AG70" s="4">
        <f>IF('Rhaniad y Ddeiliadaeth (Cymru)'!$D$8="Amcangyfrifon LlC",'Incwm (De-ddwyrain)'!H70,'Incwm (De-ddwyrain)'!Z70)</f>
        <v>55397.272299151256</v>
      </c>
      <c r="AH70" s="4">
        <f>IF('Rhaniad y Ddeiliadaeth (Cymru)'!$D$8="Amcangyfrifon LlC",'Incwm (De-ddwyrain)'!I70,'Incwm (De-ddwyrain)'!AA70)</f>
        <v>57506.773540020826</v>
      </c>
    </row>
    <row r="71" spans="2:34" x14ac:dyDescent="0.35">
      <c r="B71" s="251">
        <v>77</v>
      </c>
      <c r="C71" s="261">
        <v>48015.199999999997</v>
      </c>
      <c r="D71" s="261">
        <v>49635.476394860263</v>
      </c>
      <c r="E71" s="278">
        <f>D71*(1+'Rhaniad y Ddeiliadaeth (De-ddn)'!C$109)+(D$44*(-(50-$B71)*('Rhaniad y Ddeiliadaeth (De-ddn)'!C$110/40)))</f>
        <v>50931.679433117897</v>
      </c>
      <c r="F71" s="278">
        <f>E71*(1+'Rhaniad y Ddeiliadaeth (De-ddn)'!D$109)+(E$44*(-(50-$B71)*('Rhaniad y Ddeiliadaeth (De-ddn)'!D$110/40)))</f>
        <v>52863.473319414639</v>
      </c>
      <c r="G71" s="278">
        <f>F71*(1+'Rhaniad y Ddeiliadaeth (De-ddn)'!E$109)+(F$44*(-(50-$B71)*('Rhaniad y Ddeiliadaeth (De-ddn)'!E$110/40)))</f>
        <v>54862.79973929096</v>
      </c>
      <c r="H71" s="278">
        <f>G71*(1+'Rhaniad y Ddeiliadaeth (De-ddn)'!F$109)+(G$44*(-(50-$B71)*('Rhaniad y Ddeiliadaeth (De-ddn)'!F$110/40)))</f>
        <v>56964.854784904026</v>
      </c>
      <c r="I71" s="279">
        <f>H71*(1+'Rhaniad y Ddeiliadaeth (De-ddn)'!G$109)+(H$44*(-(50-$B71)*('Rhaniad y Ddeiliadaeth (De-ddn)'!G$110/40)))</f>
        <v>59136.065430064606</v>
      </c>
      <c r="M71" s="36" t="str">
        <f t="shared" si="5"/>
        <v/>
      </c>
      <c r="N71" s="190"/>
      <c r="O71" s="13">
        <f t="shared" si="8"/>
        <v>1</v>
      </c>
      <c r="U71" s="1">
        <f t="shared" si="6"/>
        <v>77</v>
      </c>
      <c r="V71" s="4" t="str">
        <f t="shared" si="7"/>
        <v/>
      </c>
      <c r="W71" s="35" t="e">
        <f>IF($L$4=$W$3,N71,V71*(1+'Rhaniad y Ddeiliadaeth (De-ddn)'!C$109)+(V$44*(-(50-$B71)*('Rhaniad y Ddeiliadaeth (De-ddn)'!C$110/40))))</f>
        <v>#VALUE!</v>
      </c>
      <c r="X71" s="35" t="e">
        <f>W71*(1+'Rhaniad y Ddeiliadaeth (De-ddn)'!D$109)+(W$44*(-(50-$B71)*('Rhaniad y Ddeiliadaeth (De-ddn)'!D$110/40)))</f>
        <v>#VALUE!</v>
      </c>
      <c r="Y71" s="35" t="e">
        <f>X71*(1+'Rhaniad y Ddeiliadaeth (De-ddn)'!E$109)+(X$44*(-(50-$B71)*('Rhaniad y Ddeiliadaeth (De-ddn)'!E$110/40)))</f>
        <v>#VALUE!</v>
      </c>
      <c r="Z71" s="35" t="e">
        <f>Y71*(1+'Rhaniad y Ddeiliadaeth (De-ddn)'!F$109)+(Y$44*(-(50-$B71)*('Rhaniad y Ddeiliadaeth (De-ddn)'!F$110/40)))</f>
        <v>#VALUE!</v>
      </c>
      <c r="AA71" s="35" t="e">
        <f>Z71*(1+'Rhaniad y Ddeiliadaeth (De-ddn)'!G$109)+(Z$44*(-(50-$B71)*('Rhaniad y Ddeiliadaeth (De-ddn)'!G$110/40)))</f>
        <v>#VALUE!</v>
      </c>
      <c r="AC71" s="260">
        <v>77</v>
      </c>
      <c r="AD71" s="4">
        <f>IF('Rhaniad y Ddeiliadaeth (Cymru)'!$D$8="Amcangyfrifon LlC",'Incwm (De-ddwyrain)'!E71,'Incwm (De-ddwyrain)'!W71)</f>
        <v>50931.679433117897</v>
      </c>
      <c r="AE71" s="4">
        <f>IF('Rhaniad y Ddeiliadaeth (Cymru)'!$D$8="Amcangyfrifon LlC",'Incwm (De-ddwyrain)'!F71,'Incwm (De-ddwyrain)'!X71)</f>
        <v>52863.473319414639</v>
      </c>
      <c r="AF71" s="4">
        <f>IF('Rhaniad y Ddeiliadaeth (Cymru)'!$D$8="Amcangyfrifon LlC",'Incwm (De-ddwyrain)'!G71,'Incwm (De-ddwyrain)'!Y71)</f>
        <v>54862.79973929096</v>
      </c>
      <c r="AG71" s="4">
        <f>IF('Rhaniad y Ddeiliadaeth (Cymru)'!$D$8="Amcangyfrifon LlC",'Incwm (De-ddwyrain)'!H71,'Incwm (De-ddwyrain)'!Z71)</f>
        <v>56964.854784904026</v>
      </c>
      <c r="AH71" s="4">
        <f>IF('Rhaniad y Ddeiliadaeth (Cymru)'!$D$8="Amcangyfrifon LlC",'Incwm (De-ddwyrain)'!I71,'Incwm (De-ddwyrain)'!AA71)</f>
        <v>59136.065430064606</v>
      </c>
    </row>
    <row r="72" spans="2:34" x14ac:dyDescent="0.35">
      <c r="B72" s="251">
        <v>78</v>
      </c>
      <c r="C72" s="261">
        <v>49166</v>
      </c>
      <c r="D72" s="261">
        <v>50825.110224047799</v>
      </c>
      <c r="E72" s="278">
        <f>D72*(1+'Rhaniad y Ddeiliadaeth (De-ddn)'!C$109)+(D$44*(-(50-$B72)*('Rhaniad y Ddeiliadaeth (De-ddn)'!C$110/40)))</f>
        <v>52154.759556595876</v>
      </c>
      <c r="F72" s="278">
        <f>E72*(1+'Rhaniad y Ddeiliadaeth (De-ddn)'!D$109)+(E$44*(-(50-$B72)*('Rhaniad y Ddeiliadaeth (De-ddn)'!D$110/40)))</f>
        <v>54135.368178768535</v>
      </c>
      <c r="G72" s="278">
        <f>F72*(1+'Rhaniad y Ddeiliadaeth (De-ddn)'!E$109)+(F$44*(-(50-$B72)*('Rhaniad y Ddeiliadaeth (De-ddn)'!E$110/40)))</f>
        <v>56185.297024100073</v>
      </c>
      <c r="H72" s="278">
        <f>G72*(1+'Rhaniad y Ddeiliadaeth (De-ddn)'!F$109)+(G$44*(-(50-$B72)*('Rhaniad y Ddeiliadaeth (De-ddn)'!F$110/40)))</f>
        <v>58340.598210778633</v>
      </c>
      <c r="I72" s="279">
        <f>H72*(1+'Rhaniad y Ddeiliadaeth (De-ddn)'!G$109)+(H$44*(-(50-$B72)*('Rhaniad y Ddeiliadaeth (De-ddn)'!G$110/40)))</f>
        <v>60566.900175311763</v>
      </c>
      <c r="M72" s="36" t="str">
        <f t="shared" si="5"/>
        <v/>
      </c>
      <c r="N72" s="190"/>
      <c r="O72" s="13">
        <f t="shared" si="8"/>
        <v>1</v>
      </c>
      <c r="U72" s="1">
        <f t="shared" si="6"/>
        <v>78</v>
      </c>
      <c r="V72" s="4" t="str">
        <f t="shared" si="7"/>
        <v/>
      </c>
      <c r="W72" s="35" t="e">
        <f>IF($L$4=$W$3,N72,V72*(1+'Rhaniad y Ddeiliadaeth (De-ddn)'!C$109)+(V$44*(-(50-$B72)*('Rhaniad y Ddeiliadaeth (De-ddn)'!C$110/40))))</f>
        <v>#VALUE!</v>
      </c>
      <c r="X72" s="35" t="e">
        <f>W72*(1+'Rhaniad y Ddeiliadaeth (De-ddn)'!D$109)+(W$44*(-(50-$B72)*('Rhaniad y Ddeiliadaeth (De-ddn)'!D$110/40)))</f>
        <v>#VALUE!</v>
      </c>
      <c r="Y72" s="35" t="e">
        <f>X72*(1+'Rhaniad y Ddeiliadaeth (De-ddn)'!E$109)+(X$44*(-(50-$B72)*('Rhaniad y Ddeiliadaeth (De-ddn)'!E$110/40)))</f>
        <v>#VALUE!</v>
      </c>
      <c r="Z72" s="35" t="e">
        <f>Y72*(1+'Rhaniad y Ddeiliadaeth (De-ddn)'!F$109)+(Y$44*(-(50-$B72)*('Rhaniad y Ddeiliadaeth (De-ddn)'!F$110/40)))</f>
        <v>#VALUE!</v>
      </c>
      <c r="AA72" s="35" t="e">
        <f>Z72*(1+'Rhaniad y Ddeiliadaeth (De-ddn)'!G$109)+(Z$44*(-(50-$B72)*('Rhaniad y Ddeiliadaeth (De-ddn)'!G$110/40)))</f>
        <v>#VALUE!</v>
      </c>
      <c r="AC72" s="260">
        <v>78</v>
      </c>
      <c r="AD72" s="4">
        <f>IF('Rhaniad y Ddeiliadaeth (Cymru)'!$D$8="Amcangyfrifon LlC",'Incwm (De-ddwyrain)'!E72,'Incwm (De-ddwyrain)'!W72)</f>
        <v>52154.759556595876</v>
      </c>
      <c r="AE72" s="4">
        <f>IF('Rhaniad y Ddeiliadaeth (Cymru)'!$D$8="Amcangyfrifon LlC",'Incwm (De-ddwyrain)'!F72,'Incwm (De-ddwyrain)'!X72)</f>
        <v>54135.368178768535</v>
      </c>
      <c r="AF72" s="4">
        <f>IF('Rhaniad y Ddeiliadaeth (Cymru)'!$D$8="Amcangyfrifon LlC",'Incwm (De-ddwyrain)'!G72,'Incwm (De-ddwyrain)'!Y72)</f>
        <v>56185.297024100073</v>
      </c>
      <c r="AG72" s="4">
        <f>IF('Rhaniad y Ddeiliadaeth (Cymru)'!$D$8="Amcangyfrifon LlC",'Incwm (De-ddwyrain)'!H72,'Incwm (De-ddwyrain)'!Z72)</f>
        <v>58340.598210778633</v>
      </c>
      <c r="AH72" s="4">
        <f>IF('Rhaniad y Ddeiliadaeth (Cymru)'!$D$8="Amcangyfrifon LlC",'Incwm (De-ddwyrain)'!I72,'Incwm (De-ddwyrain)'!AA72)</f>
        <v>60566.900175311763</v>
      </c>
    </row>
    <row r="73" spans="2:34" x14ac:dyDescent="0.35">
      <c r="B73" s="251">
        <v>79</v>
      </c>
      <c r="C73" s="261">
        <v>50132.5</v>
      </c>
      <c r="D73" s="261">
        <v>51824.22483641289</v>
      </c>
      <c r="E73" s="278">
        <f>D73*(1+'Rhaniad y Ddeiliadaeth (De-ddn)'!C$109)+(D$44*(-(50-$B73)*('Rhaniad y Ddeiliadaeth (De-ddn)'!C$110/40)))</f>
        <v>53183.044033512037</v>
      </c>
      <c r="F73" s="278">
        <f>E73*(1+'Rhaniad y Ddeiliadaeth (De-ddn)'!D$109)+(E$44*(-(50-$B73)*('Rhaniad y Ddeiliadaeth (De-ddn)'!D$110/40)))</f>
        <v>55205.790970608025</v>
      </c>
      <c r="G73" s="278">
        <f>F73*(1+'Rhaniad y Ddeiliadaeth (De-ddn)'!E$109)+(F$44*(-(50-$B73)*('Rhaniad y Ddeiliadaeth (De-ddn)'!E$110/40)))</f>
        <v>57299.436270888182</v>
      </c>
      <c r="H73" s="278">
        <f>G73*(1+'Rhaniad y Ddeiliadaeth (De-ddn)'!F$109)+(G$44*(-(50-$B73)*('Rhaniad y Ddeiliadaeth (De-ddn)'!F$110/40)))</f>
        <v>59500.756644363333</v>
      </c>
      <c r="I73" s="279">
        <f>H73*(1+'Rhaniad y Ddeiliadaeth (De-ddn)'!G$109)+(H$44*(-(50-$B73)*('Rhaniad y Ddeiliadaeth (De-ddn)'!G$110/40)))</f>
        <v>61774.712653570983</v>
      </c>
      <c r="M73" s="36" t="str">
        <f t="shared" si="5"/>
        <v/>
      </c>
      <c r="N73" s="190"/>
      <c r="O73" s="13">
        <f t="shared" si="8"/>
        <v>1</v>
      </c>
      <c r="U73" s="1">
        <f t="shared" si="6"/>
        <v>79</v>
      </c>
      <c r="V73" s="4" t="str">
        <f t="shared" si="7"/>
        <v/>
      </c>
      <c r="W73" s="35" t="e">
        <f>IF($L$4=$W$3,N73,V73*(1+'Rhaniad y Ddeiliadaeth (De-ddn)'!C$109)+(V$44*(-(50-$B73)*('Rhaniad y Ddeiliadaeth (De-ddn)'!C$110/40))))</f>
        <v>#VALUE!</v>
      </c>
      <c r="X73" s="35" t="e">
        <f>W73*(1+'Rhaniad y Ddeiliadaeth (De-ddn)'!D$109)+(W$44*(-(50-$B73)*('Rhaniad y Ddeiliadaeth (De-ddn)'!D$110/40)))</f>
        <v>#VALUE!</v>
      </c>
      <c r="Y73" s="35" t="e">
        <f>X73*(1+'Rhaniad y Ddeiliadaeth (De-ddn)'!E$109)+(X$44*(-(50-$B73)*('Rhaniad y Ddeiliadaeth (De-ddn)'!E$110/40)))</f>
        <v>#VALUE!</v>
      </c>
      <c r="Z73" s="35" t="e">
        <f>Y73*(1+'Rhaniad y Ddeiliadaeth (De-ddn)'!F$109)+(Y$44*(-(50-$B73)*('Rhaniad y Ddeiliadaeth (De-ddn)'!F$110/40)))</f>
        <v>#VALUE!</v>
      </c>
      <c r="AA73" s="35" t="e">
        <f>Z73*(1+'Rhaniad y Ddeiliadaeth (De-ddn)'!G$109)+(Z$44*(-(50-$B73)*('Rhaniad y Ddeiliadaeth (De-ddn)'!G$110/40)))</f>
        <v>#VALUE!</v>
      </c>
      <c r="AC73" s="260">
        <v>79</v>
      </c>
      <c r="AD73" s="4">
        <f>IF('Rhaniad y Ddeiliadaeth (Cymru)'!$D$8="Amcangyfrifon LlC",'Incwm (De-ddwyrain)'!E73,'Incwm (De-ddwyrain)'!W73)</f>
        <v>53183.044033512037</v>
      </c>
      <c r="AE73" s="4">
        <f>IF('Rhaniad y Ddeiliadaeth (Cymru)'!$D$8="Amcangyfrifon LlC",'Incwm (De-ddwyrain)'!F73,'Incwm (De-ddwyrain)'!X73)</f>
        <v>55205.790970608025</v>
      </c>
      <c r="AF73" s="4">
        <f>IF('Rhaniad y Ddeiliadaeth (Cymru)'!$D$8="Amcangyfrifon LlC",'Incwm (De-ddwyrain)'!G73,'Incwm (De-ddwyrain)'!Y73)</f>
        <v>57299.436270888182</v>
      </c>
      <c r="AG73" s="4">
        <f>IF('Rhaniad y Ddeiliadaeth (Cymru)'!$D$8="Amcangyfrifon LlC",'Incwm (De-ddwyrain)'!H73,'Incwm (De-ddwyrain)'!Z73)</f>
        <v>59500.756644363333</v>
      </c>
      <c r="AH73" s="4">
        <f>IF('Rhaniad y Ddeiliadaeth (Cymru)'!$D$8="Amcangyfrifon LlC",'Incwm (De-ddwyrain)'!I73,'Incwm (De-ddwyrain)'!AA73)</f>
        <v>61774.712653570983</v>
      </c>
    </row>
    <row r="74" spans="2:34" x14ac:dyDescent="0.35">
      <c r="B74" s="251">
        <v>80</v>
      </c>
      <c r="C74" s="261">
        <v>51214</v>
      </c>
      <c r="D74" s="261">
        <v>52900.171539841933</v>
      </c>
      <c r="E74" s="278">
        <f>D74*(1+'Rhaniad y Ddeiliadaeth (De-ddn)'!C$109)+(D$44*(-(50-$B74)*('Rhaniad y Ddeiliadaeth (De-ddn)'!C$110/40)))</f>
        <v>54289.885188883614</v>
      </c>
      <c r="F74" s="278">
        <f>E74*(1+'Rhaniad y Ddeiliadaeth (De-ddn)'!D$109)+(E$44*(-(50-$B74)*('Rhaniad y Ddeiliadaeth (De-ddn)'!D$110/40)))</f>
        <v>56357.462890468734</v>
      </c>
      <c r="G74" s="278">
        <f>F74*(1+'Rhaniad y Ddeiliadaeth (De-ddn)'!E$109)+(F$44*(-(50-$B74)*('Rhaniad y Ddeiliadaeth (De-ddn)'!E$110/40)))</f>
        <v>58497.601601858951</v>
      </c>
      <c r="H74" s="278">
        <f>G74*(1+'Rhaniad y Ddeiliadaeth (De-ddn)'!F$109)+(G$44*(-(50-$B74)*('Rhaniad y Ddeiliadaeth (De-ddn)'!F$110/40)))</f>
        <v>60747.855629331243</v>
      </c>
      <c r="I74" s="279">
        <f>H74*(1+'Rhaniad y Ddeiliadaeth (De-ddn)'!G$109)+(H$44*(-(50-$B74)*('Rhaniad y Ddeiliadaeth (De-ddn)'!G$110/40)))</f>
        <v>63072.464967886095</v>
      </c>
      <c r="M74" s="36" t="str">
        <f t="shared" si="5"/>
        <v/>
      </c>
      <c r="N74" s="190"/>
      <c r="O74" s="13">
        <f t="shared" si="8"/>
        <v>1</v>
      </c>
      <c r="U74" s="1">
        <f t="shared" si="6"/>
        <v>80</v>
      </c>
      <c r="V74" s="4" t="str">
        <f t="shared" si="7"/>
        <v/>
      </c>
      <c r="W74" s="35" t="e">
        <f>IF($L$4=$W$3,N74,V74*(1+'Rhaniad y Ddeiliadaeth (De-ddn)'!C$109)+(V$44*(-(50-$B74)*('Rhaniad y Ddeiliadaeth (De-ddn)'!C$110/40))))</f>
        <v>#VALUE!</v>
      </c>
      <c r="X74" s="35" t="e">
        <f>W74*(1+'Rhaniad y Ddeiliadaeth (De-ddn)'!D$109)+(W$44*(-(50-$B74)*('Rhaniad y Ddeiliadaeth (De-ddn)'!D$110/40)))</f>
        <v>#VALUE!</v>
      </c>
      <c r="Y74" s="35" t="e">
        <f>X74*(1+'Rhaniad y Ddeiliadaeth (De-ddn)'!E$109)+(X$44*(-(50-$B74)*('Rhaniad y Ddeiliadaeth (De-ddn)'!E$110/40)))</f>
        <v>#VALUE!</v>
      </c>
      <c r="Z74" s="35" t="e">
        <f>Y74*(1+'Rhaniad y Ddeiliadaeth (De-ddn)'!F$109)+(Y$44*(-(50-$B74)*('Rhaniad y Ddeiliadaeth (De-ddn)'!F$110/40)))</f>
        <v>#VALUE!</v>
      </c>
      <c r="AA74" s="35" t="e">
        <f>Z74*(1+'Rhaniad y Ddeiliadaeth (De-ddn)'!G$109)+(Z$44*(-(50-$B74)*('Rhaniad y Ddeiliadaeth (De-ddn)'!G$110/40)))</f>
        <v>#VALUE!</v>
      </c>
      <c r="AC74" s="260">
        <v>80</v>
      </c>
      <c r="AD74" s="4">
        <f>IF('Rhaniad y Ddeiliadaeth (Cymru)'!$D$8="Amcangyfrifon LlC",'Incwm (De-ddwyrain)'!E74,'Incwm (De-ddwyrain)'!W74)</f>
        <v>54289.885188883614</v>
      </c>
      <c r="AE74" s="4">
        <f>IF('Rhaniad y Ddeiliadaeth (Cymru)'!$D$8="Amcangyfrifon LlC",'Incwm (De-ddwyrain)'!F74,'Incwm (De-ddwyrain)'!X74)</f>
        <v>56357.462890468734</v>
      </c>
      <c r="AF74" s="4">
        <f>IF('Rhaniad y Ddeiliadaeth (Cymru)'!$D$8="Amcangyfrifon LlC",'Incwm (De-ddwyrain)'!G74,'Incwm (De-ddwyrain)'!Y74)</f>
        <v>58497.601601858951</v>
      </c>
      <c r="AG74" s="4">
        <f>IF('Rhaniad y Ddeiliadaeth (Cymru)'!$D$8="Amcangyfrifon LlC",'Incwm (De-ddwyrain)'!H74,'Incwm (De-ddwyrain)'!Z74)</f>
        <v>60747.855629331243</v>
      </c>
      <c r="AH74" s="4">
        <f>IF('Rhaniad y Ddeiliadaeth (Cymru)'!$D$8="Amcangyfrifon LlC",'Incwm (De-ddwyrain)'!I74,'Incwm (De-ddwyrain)'!AA74)</f>
        <v>63072.464967886095</v>
      </c>
    </row>
    <row r="75" spans="2:34" x14ac:dyDescent="0.35">
      <c r="B75" s="251">
        <v>81</v>
      </c>
      <c r="C75" s="261">
        <v>52523.83</v>
      </c>
      <c r="D75" s="261">
        <v>54253.126428896321</v>
      </c>
      <c r="E75" s="278">
        <f>D75*(1+'Rhaniad y Ddeiliadaeth (De-ddn)'!C$109)+(D$44*(-(50-$B75)*('Rhaniad y Ddeiliadaeth (De-ddn)'!C$110/40)))</f>
        <v>55679.952307083367</v>
      </c>
      <c r="F75" s="278">
        <f>E75*(1+'Rhaniad y Ddeiliadaeth (De-ddn)'!D$109)+(E$44*(-(50-$B75)*('Rhaniad y Ddeiliadaeth (De-ddn)'!D$110/40)))</f>
        <v>57802.068052483002</v>
      </c>
      <c r="G75" s="278">
        <f>F75*(1+'Rhaniad y Ddeiliadaeth (De-ddn)'!E$109)+(F$44*(-(50-$B75)*('Rhaniad y Ddeiliadaeth (De-ddn)'!E$110/40)))</f>
        <v>59998.712131929744</v>
      </c>
      <c r="H75" s="278">
        <f>G75*(1+'Rhaniad y Ddeiliadaeth (De-ddn)'!F$109)+(G$44*(-(50-$B75)*('Rhaniad y Ddeiliadaeth (De-ddn)'!F$110/40)))</f>
        <v>62308.407548645082</v>
      </c>
      <c r="I75" s="279">
        <f>H75*(1+'Rhaniad y Ddeiliadaeth (De-ddn)'!G$109)+(H$44*(-(50-$B75)*('Rhaniad y Ddeiliadaeth (De-ddn)'!G$110/40)))</f>
        <v>64694.483750239204</v>
      </c>
      <c r="M75" s="36" t="str">
        <f t="shared" si="5"/>
        <v/>
      </c>
      <c r="N75" s="190"/>
      <c r="O75" s="13">
        <f t="shared" si="8"/>
        <v>1</v>
      </c>
      <c r="U75" s="1">
        <f t="shared" si="6"/>
        <v>81</v>
      </c>
      <c r="V75" s="4" t="str">
        <f t="shared" si="7"/>
        <v/>
      </c>
      <c r="W75" s="35" t="e">
        <f>IF($L$4=$W$3,N75,V75*(1+'Rhaniad y Ddeiliadaeth (De-ddn)'!C$109)+(V$44*(-(50-$B75)*('Rhaniad y Ddeiliadaeth (De-ddn)'!C$110/40))))</f>
        <v>#VALUE!</v>
      </c>
      <c r="X75" s="35" t="e">
        <f>W75*(1+'Rhaniad y Ddeiliadaeth (De-ddn)'!D$109)+(W$44*(-(50-$B75)*('Rhaniad y Ddeiliadaeth (De-ddn)'!D$110/40)))</f>
        <v>#VALUE!</v>
      </c>
      <c r="Y75" s="35" t="e">
        <f>X75*(1+'Rhaniad y Ddeiliadaeth (De-ddn)'!E$109)+(X$44*(-(50-$B75)*('Rhaniad y Ddeiliadaeth (De-ddn)'!E$110/40)))</f>
        <v>#VALUE!</v>
      </c>
      <c r="Z75" s="35" t="e">
        <f>Y75*(1+'Rhaniad y Ddeiliadaeth (De-ddn)'!F$109)+(Y$44*(-(50-$B75)*('Rhaniad y Ddeiliadaeth (De-ddn)'!F$110/40)))</f>
        <v>#VALUE!</v>
      </c>
      <c r="AA75" s="35" t="e">
        <f>Z75*(1+'Rhaniad y Ddeiliadaeth (De-ddn)'!G$109)+(Z$44*(-(50-$B75)*('Rhaniad y Ddeiliadaeth (De-ddn)'!G$110/40)))</f>
        <v>#VALUE!</v>
      </c>
      <c r="AC75" s="260">
        <v>81</v>
      </c>
      <c r="AD75" s="4">
        <f>IF('Rhaniad y Ddeiliadaeth (Cymru)'!$D$8="Amcangyfrifon LlC",'Incwm (De-ddwyrain)'!E75,'Incwm (De-ddwyrain)'!W75)</f>
        <v>55679.952307083367</v>
      </c>
      <c r="AE75" s="4">
        <f>IF('Rhaniad y Ddeiliadaeth (Cymru)'!$D$8="Amcangyfrifon LlC",'Incwm (De-ddwyrain)'!F75,'Incwm (De-ddwyrain)'!X75)</f>
        <v>57802.068052483002</v>
      </c>
      <c r="AF75" s="4">
        <f>IF('Rhaniad y Ddeiliadaeth (Cymru)'!$D$8="Amcangyfrifon LlC",'Incwm (De-ddwyrain)'!G75,'Incwm (De-ddwyrain)'!Y75)</f>
        <v>59998.712131929744</v>
      </c>
      <c r="AG75" s="4">
        <f>IF('Rhaniad y Ddeiliadaeth (Cymru)'!$D$8="Amcangyfrifon LlC",'Incwm (De-ddwyrain)'!H75,'Incwm (De-ddwyrain)'!Z75)</f>
        <v>62308.407548645082</v>
      </c>
      <c r="AH75" s="4">
        <f>IF('Rhaniad y Ddeiliadaeth (Cymru)'!$D$8="Amcangyfrifon LlC",'Incwm (De-ddwyrain)'!I75,'Incwm (De-ddwyrain)'!AA75)</f>
        <v>64694.483750239204</v>
      </c>
    </row>
    <row r="76" spans="2:34" x14ac:dyDescent="0.35">
      <c r="B76" s="251">
        <v>82</v>
      </c>
      <c r="C76" s="261">
        <v>53960.7</v>
      </c>
      <c r="D76" s="261">
        <v>55737.303987385254</v>
      </c>
      <c r="E76" s="278">
        <f>D76*(1+'Rhaniad y Ddeiliadaeth (De-ddn)'!C$109)+(D$44*(-(50-$B76)*('Rhaniad y Ddeiliadaeth (De-ddn)'!C$110/40)))</f>
        <v>57204.18754313705</v>
      </c>
      <c r="F76" s="278">
        <f>E76*(1+'Rhaniad y Ddeiliadaeth (De-ddn)'!D$109)+(E$44*(-(50-$B76)*('Rhaniad y Ddeiliadaeth (De-ddn)'!D$110/40)))</f>
        <v>59385.43980695276</v>
      </c>
      <c r="G76" s="278">
        <f>F76*(1+'Rhaniad y Ddeiliadaeth (De-ddn)'!E$109)+(F$44*(-(50-$B76)*('Rhaniad y Ddeiliadaeth (De-ddn)'!E$110/40)))</f>
        <v>61643.332059127351</v>
      </c>
      <c r="H76" s="278">
        <f>G76*(1+'Rhaniad y Ddeiliadaeth (De-ddn)'!F$109)+(G$44*(-(50-$B76)*('Rhaniad y Ddeiliadaeth (De-ddn)'!F$110/40)))</f>
        <v>64017.446526903055</v>
      </c>
      <c r="I76" s="279">
        <f>H76*(1+'Rhaniad y Ddeiliadaeth (De-ddn)'!G$109)+(H$44*(-(50-$B76)*('Rhaniad y Ddeiliadaeth (De-ddn)'!G$110/40)))</f>
        <v>66470.112114374133</v>
      </c>
      <c r="M76" s="36" t="str">
        <f t="shared" si="5"/>
        <v/>
      </c>
      <c r="N76" s="190"/>
      <c r="O76" s="13">
        <f t="shared" si="8"/>
        <v>1</v>
      </c>
      <c r="U76" s="1">
        <f t="shared" si="6"/>
        <v>82</v>
      </c>
      <c r="V76" s="4" t="str">
        <f t="shared" si="7"/>
        <v/>
      </c>
      <c r="W76" s="35" t="e">
        <f>IF($L$4=$W$3,N76,V76*(1+'Rhaniad y Ddeiliadaeth (De-ddn)'!C$109)+(V$44*(-(50-$B76)*('Rhaniad y Ddeiliadaeth (De-ddn)'!C$110/40))))</f>
        <v>#VALUE!</v>
      </c>
      <c r="X76" s="35" t="e">
        <f>W76*(1+'Rhaniad y Ddeiliadaeth (De-ddn)'!D$109)+(W$44*(-(50-$B76)*('Rhaniad y Ddeiliadaeth (De-ddn)'!D$110/40)))</f>
        <v>#VALUE!</v>
      </c>
      <c r="Y76" s="35" t="e">
        <f>X76*(1+'Rhaniad y Ddeiliadaeth (De-ddn)'!E$109)+(X$44*(-(50-$B76)*('Rhaniad y Ddeiliadaeth (De-ddn)'!E$110/40)))</f>
        <v>#VALUE!</v>
      </c>
      <c r="Z76" s="35" t="e">
        <f>Y76*(1+'Rhaniad y Ddeiliadaeth (De-ddn)'!F$109)+(Y$44*(-(50-$B76)*('Rhaniad y Ddeiliadaeth (De-ddn)'!F$110/40)))</f>
        <v>#VALUE!</v>
      </c>
      <c r="AA76" s="35" t="e">
        <f>Z76*(1+'Rhaniad y Ddeiliadaeth (De-ddn)'!G$109)+(Z$44*(-(50-$B76)*('Rhaniad y Ddeiliadaeth (De-ddn)'!G$110/40)))</f>
        <v>#VALUE!</v>
      </c>
      <c r="AC76" s="260">
        <v>82</v>
      </c>
      <c r="AD76" s="4">
        <f>IF('Rhaniad y Ddeiliadaeth (Cymru)'!$D$8="Amcangyfrifon LlC",'Incwm (De-ddwyrain)'!E76,'Incwm (De-ddwyrain)'!W76)</f>
        <v>57204.18754313705</v>
      </c>
      <c r="AE76" s="4">
        <f>IF('Rhaniad y Ddeiliadaeth (Cymru)'!$D$8="Amcangyfrifon LlC",'Incwm (De-ddwyrain)'!F76,'Incwm (De-ddwyrain)'!X76)</f>
        <v>59385.43980695276</v>
      </c>
      <c r="AF76" s="4">
        <f>IF('Rhaniad y Ddeiliadaeth (Cymru)'!$D$8="Amcangyfrifon LlC",'Incwm (De-ddwyrain)'!G76,'Incwm (De-ddwyrain)'!Y76)</f>
        <v>61643.332059127351</v>
      </c>
      <c r="AG76" s="4">
        <f>IF('Rhaniad y Ddeiliadaeth (Cymru)'!$D$8="Amcangyfrifon LlC",'Incwm (De-ddwyrain)'!H76,'Incwm (De-ddwyrain)'!Z76)</f>
        <v>64017.446526903055</v>
      </c>
      <c r="AH76" s="4">
        <f>IF('Rhaniad y Ddeiliadaeth (Cymru)'!$D$8="Amcangyfrifon LlC",'Incwm (De-ddwyrain)'!I76,'Incwm (De-ddwyrain)'!AA76)</f>
        <v>66470.112114374133</v>
      </c>
    </row>
    <row r="77" spans="2:34" x14ac:dyDescent="0.35">
      <c r="B77" s="251">
        <v>83</v>
      </c>
      <c r="C77" s="261">
        <v>55520.6</v>
      </c>
      <c r="D77" s="261">
        <v>57348.562189927521</v>
      </c>
      <c r="E77" s="278">
        <f>D77*(1+'Rhaniad y Ddeiliadaeth (De-ddn)'!C$109)+(D$44*(-(50-$B77)*('Rhaniad y Ddeiliadaeth (De-ddn)'!C$110/40)))</f>
        <v>58858.355898992144</v>
      </c>
      <c r="F77" s="278">
        <f>E77*(1+'Rhaniad y Ddeiliadaeth (De-ddn)'!D$109)+(E$44*(-(50-$B77)*('Rhaniad y Ddeiliadaeth (De-ddn)'!D$110/40)))</f>
        <v>61103.198005611768</v>
      </c>
      <c r="G77" s="278">
        <f>F77*(1+'Rhaniad y Ddeiliadaeth (De-ddn)'!E$109)+(F$44*(-(50-$B77)*('Rhaniad y Ddeiliadaeth (De-ddn)'!E$110/40)))</f>
        <v>63426.931529213143</v>
      </c>
      <c r="H77" s="278">
        <f>G77*(1+'Rhaniad y Ddeiliadaeth (De-ddn)'!F$109)+(G$44*(-(50-$B77)*('Rhaniad y Ddeiliadaeth (De-ddn)'!F$110/40)))</f>
        <v>65870.285590660904</v>
      </c>
      <c r="I77" s="279">
        <f>H77*(1+'Rhaniad y Ddeiliadaeth (De-ddn)'!G$109)+(H$44*(-(50-$B77)*('Rhaniad y Ddeiliadaeth (De-ddn)'!G$110/40)))</f>
        <v>68394.501395122934</v>
      </c>
      <c r="M77" s="36" t="str">
        <f t="shared" si="5"/>
        <v/>
      </c>
      <c r="N77" s="190"/>
      <c r="O77" s="13">
        <f t="shared" si="8"/>
        <v>1</v>
      </c>
      <c r="U77" s="1">
        <f t="shared" si="6"/>
        <v>83</v>
      </c>
      <c r="V77" s="4" t="str">
        <f t="shared" si="7"/>
        <v/>
      </c>
      <c r="W77" s="35" t="e">
        <f>IF($L$4=$W$3,N77,V77*(1+'Rhaniad y Ddeiliadaeth (De-ddn)'!C$109)+(V$44*(-(50-$B77)*('Rhaniad y Ddeiliadaeth (De-ddn)'!C$110/40))))</f>
        <v>#VALUE!</v>
      </c>
      <c r="X77" s="35" t="e">
        <f>W77*(1+'Rhaniad y Ddeiliadaeth (De-ddn)'!D$109)+(W$44*(-(50-$B77)*('Rhaniad y Ddeiliadaeth (De-ddn)'!D$110/40)))</f>
        <v>#VALUE!</v>
      </c>
      <c r="Y77" s="35" t="e">
        <f>X77*(1+'Rhaniad y Ddeiliadaeth (De-ddn)'!E$109)+(X$44*(-(50-$B77)*('Rhaniad y Ddeiliadaeth (De-ddn)'!E$110/40)))</f>
        <v>#VALUE!</v>
      </c>
      <c r="Z77" s="35" t="e">
        <f>Y77*(1+'Rhaniad y Ddeiliadaeth (De-ddn)'!F$109)+(Y$44*(-(50-$B77)*('Rhaniad y Ddeiliadaeth (De-ddn)'!F$110/40)))</f>
        <v>#VALUE!</v>
      </c>
      <c r="AA77" s="35" t="e">
        <f>Z77*(1+'Rhaniad y Ddeiliadaeth (De-ddn)'!G$109)+(Z$44*(-(50-$B77)*('Rhaniad y Ddeiliadaeth (De-ddn)'!G$110/40)))</f>
        <v>#VALUE!</v>
      </c>
      <c r="AC77" s="260">
        <v>83</v>
      </c>
      <c r="AD77" s="4">
        <f>IF('Rhaniad y Ddeiliadaeth (Cymru)'!$D$8="Amcangyfrifon LlC",'Incwm (De-ddwyrain)'!E77,'Incwm (De-ddwyrain)'!W77)</f>
        <v>58858.355898992144</v>
      </c>
      <c r="AE77" s="4">
        <f>IF('Rhaniad y Ddeiliadaeth (Cymru)'!$D$8="Amcangyfrifon LlC",'Incwm (De-ddwyrain)'!F77,'Incwm (De-ddwyrain)'!X77)</f>
        <v>61103.198005611768</v>
      </c>
      <c r="AF77" s="4">
        <f>IF('Rhaniad y Ddeiliadaeth (Cymru)'!$D$8="Amcangyfrifon LlC",'Incwm (De-ddwyrain)'!G77,'Incwm (De-ddwyrain)'!Y77)</f>
        <v>63426.931529213143</v>
      </c>
      <c r="AG77" s="4">
        <f>IF('Rhaniad y Ddeiliadaeth (Cymru)'!$D$8="Amcangyfrifon LlC",'Incwm (De-ddwyrain)'!H77,'Incwm (De-ddwyrain)'!Z77)</f>
        <v>65870.285590660904</v>
      </c>
      <c r="AH77" s="4">
        <f>IF('Rhaniad y Ddeiliadaeth (Cymru)'!$D$8="Amcangyfrifon LlC",'Incwm (De-ddwyrain)'!I77,'Incwm (De-ddwyrain)'!AA77)</f>
        <v>68394.501395122934</v>
      </c>
    </row>
    <row r="78" spans="2:34" x14ac:dyDescent="0.35">
      <c r="B78" s="251">
        <v>84</v>
      </c>
      <c r="C78" s="261">
        <v>57058</v>
      </c>
      <c r="D78" s="261">
        <v>58936.579601677295</v>
      </c>
      <c r="E78" s="278">
        <f>D78*(1+'Rhaniad y Ddeiliadaeth (De-ddn)'!C$109)+(D$44*(-(50-$B78)*('Rhaniad y Ddeiliadaeth (De-ddn)'!C$110/40)))</f>
        <v>60488.76179694647</v>
      </c>
      <c r="F78" s="278">
        <f>E78*(1+'Rhaniad y Ddeiliadaeth (De-ddn)'!D$109)+(E$44*(-(50-$B78)*('Rhaniad y Ddeiliadaeth (De-ddn)'!D$110/40)))</f>
        <v>62796.379312502439</v>
      </c>
      <c r="G78" s="278">
        <f>F78*(1+'Rhaniad y Ddeiliadaeth (De-ddn)'!E$109)+(F$44*(-(50-$B78)*('Rhaniad y Ddeiliadaeth (De-ddn)'!E$110/40)))</f>
        <v>65185.114111426192</v>
      </c>
      <c r="H78" s="278">
        <f>G78*(1+'Rhaniad y Ddeiliadaeth (De-ddn)'!F$109)+(G$44*(-(50-$B78)*('Rhaniad y Ddeiliadaeth (De-ddn)'!F$110/40)))</f>
        <v>67696.82617499301</v>
      </c>
      <c r="I78" s="279">
        <f>H78*(1+'Rhaniad y Ddeiliadaeth (De-ddn)'!G$109)+(H$44*(-(50-$B78)*('Rhaniad y Ddeiliadaeth (De-ddn)'!G$110/40)))</f>
        <v>70291.684948619746</v>
      </c>
      <c r="M78" s="36" t="str">
        <f t="shared" si="5"/>
        <v/>
      </c>
      <c r="N78" s="190"/>
      <c r="O78" s="13">
        <f t="shared" si="8"/>
        <v>1</v>
      </c>
      <c r="U78" s="1">
        <f t="shared" si="6"/>
        <v>84</v>
      </c>
      <c r="V78" s="4" t="str">
        <f t="shared" si="7"/>
        <v/>
      </c>
      <c r="W78" s="35" t="e">
        <f>IF($L$4=$W$3,N78,V78*(1+'Rhaniad y Ddeiliadaeth (De-ddn)'!C$109)+(V$44*(-(50-$B78)*('Rhaniad y Ddeiliadaeth (De-ddn)'!C$110/40))))</f>
        <v>#VALUE!</v>
      </c>
      <c r="X78" s="35" t="e">
        <f>W78*(1+'Rhaniad y Ddeiliadaeth (De-ddn)'!D$109)+(W$44*(-(50-$B78)*('Rhaniad y Ddeiliadaeth (De-ddn)'!D$110/40)))</f>
        <v>#VALUE!</v>
      </c>
      <c r="Y78" s="35" t="e">
        <f>X78*(1+'Rhaniad y Ddeiliadaeth (De-ddn)'!E$109)+(X$44*(-(50-$B78)*('Rhaniad y Ddeiliadaeth (De-ddn)'!E$110/40)))</f>
        <v>#VALUE!</v>
      </c>
      <c r="Z78" s="35" t="e">
        <f>Y78*(1+'Rhaniad y Ddeiliadaeth (De-ddn)'!F$109)+(Y$44*(-(50-$B78)*('Rhaniad y Ddeiliadaeth (De-ddn)'!F$110/40)))</f>
        <v>#VALUE!</v>
      </c>
      <c r="AA78" s="35" t="e">
        <f>Z78*(1+'Rhaniad y Ddeiliadaeth (De-ddn)'!G$109)+(Z$44*(-(50-$B78)*('Rhaniad y Ddeiliadaeth (De-ddn)'!G$110/40)))</f>
        <v>#VALUE!</v>
      </c>
      <c r="AC78" s="260">
        <v>84</v>
      </c>
      <c r="AD78" s="4">
        <f>IF('Rhaniad y Ddeiliadaeth (Cymru)'!$D$8="Amcangyfrifon LlC",'Incwm (De-ddwyrain)'!E78,'Incwm (De-ddwyrain)'!W78)</f>
        <v>60488.76179694647</v>
      </c>
      <c r="AE78" s="4">
        <f>IF('Rhaniad y Ddeiliadaeth (Cymru)'!$D$8="Amcangyfrifon LlC",'Incwm (De-ddwyrain)'!F78,'Incwm (De-ddwyrain)'!X78)</f>
        <v>62796.379312502439</v>
      </c>
      <c r="AF78" s="4">
        <f>IF('Rhaniad y Ddeiliadaeth (Cymru)'!$D$8="Amcangyfrifon LlC",'Incwm (De-ddwyrain)'!G78,'Incwm (De-ddwyrain)'!Y78)</f>
        <v>65185.114111426192</v>
      </c>
      <c r="AG78" s="4">
        <f>IF('Rhaniad y Ddeiliadaeth (Cymru)'!$D$8="Amcangyfrifon LlC",'Incwm (De-ddwyrain)'!H78,'Incwm (De-ddwyrain)'!Z78)</f>
        <v>67696.82617499301</v>
      </c>
      <c r="AH78" s="4">
        <f>IF('Rhaniad y Ddeiliadaeth (Cymru)'!$D$8="Amcangyfrifon LlC",'Incwm (De-ddwyrain)'!I78,'Incwm (De-ddwyrain)'!AA78)</f>
        <v>70291.684948619746</v>
      </c>
    </row>
    <row r="79" spans="2:34" x14ac:dyDescent="0.35">
      <c r="B79" s="251">
        <v>85</v>
      </c>
      <c r="C79" s="261">
        <v>59207.5</v>
      </c>
      <c r="D79" s="261">
        <v>61156.849815386253</v>
      </c>
      <c r="E79" s="278">
        <f>D79*(1+'Rhaniad y Ddeiliadaeth (De-ddn)'!C$109)+(D$44*(-(50-$B79)*('Rhaniad y Ddeiliadaeth (De-ddn)'!C$110/40)))</f>
        <v>62765.612160725708</v>
      </c>
      <c r="F79" s="278">
        <f>E79*(1+'Rhaniad y Ddeiliadaeth (De-ddn)'!D$109)+(E$44*(-(50-$B79)*('Rhaniad y Ddeiliadaeth (De-ddn)'!D$110/40)))</f>
        <v>65158.161306121816</v>
      </c>
      <c r="G79" s="278">
        <f>F79*(1+'Rhaniad y Ddeiliadaeth (De-ddn)'!E$109)+(F$44*(-(50-$B79)*('Rhaniad y Ddeiliadaeth (De-ddn)'!E$110/40)))</f>
        <v>67634.749007724022</v>
      </c>
      <c r="H79" s="278">
        <f>G79*(1+'Rhaniad y Ddeiliadaeth (De-ddn)'!F$109)+(G$44*(-(50-$B79)*('Rhaniad y Ddeiliadaeth (De-ddn)'!F$110/40)))</f>
        <v>70238.802281835538</v>
      </c>
      <c r="I79" s="279">
        <f>H79*(1+'Rhaniad y Ddeiliadaeth (De-ddn)'!G$109)+(H$44*(-(50-$B79)*('Rhaniad y Ddeiliadaeth (De-ddn)'!G$110/40)))</f>
        <v>72928.985197713788</v>
      </c>
      <c r="M79" s="36" t="str">
        <f t="shared" si="5"/>
        <v/>
      </c>
      <c r="N79" s="190"/>
      <c r="O79" s="13">
        <f t="shared" si="8"/>
        <v>1</v>
      </c>
      <c r="U79" s="1">
        <f t="shared" si="6"/>
        <v>85</v>
      </c>
      <c r="V79" s="4" t="str">
        <f t="shared" si="7"/>
        <v/>
      </c>
      <c r="W79" s="35" t="e">
        <f>IF($L$4=$W$3,N79,V79*(1+'Rhaniad y Ddeiliadaeth (De-ddn)'!C$109)+(V$44*(-(50-$B79)*('Rhaniad y Ddeiliadaeth (De-ddn)'!C$110/40))))</f>
        <v>#VALUE!</v>
      </c>
      <c r="X79" s="35" t="e">
        <f>W79*(1+'Rhaniad y Ddeiliadaeth (De-ddn)'!D$109)+(W$44*(-(50-$B79)*('Rhaniad y Ddeiliadaeth (De-ddn)'!D$110/40)))</f>
        <v>#VALUE!</v>
      </c>
      <c r="Y79" s="35" t="e">
        <f>X79*(1+'Rhaniad y Ddeiliadaeth (De-ddn)'!E$109)+(X$44*(-(50-$B79)*('Rhaniad y Ddeiliadaeth (De-ddn)'!E$110/40)))</f>
        <v>#VALUE!</v>
      </c>
      <c r="Z79" s="35" t="e">
        <f>Y79*(1+'Rhaniad y Ddeiliadaeth (De-ddn)'!F$109)+(Y$44*(-(50-$B79)*('Rhaniad y Ddeiliadaeth (De-ddn)'!F$110/40)))</f>
        <v>#VALUE!</v>
      </c>
      <c r="AA79" s="35" t="e">
        <f>Z79*(1+'Rhaniad y Ddeiliadaeth (De-ddn)'!G$109)+(Z$44*(-(50-$B79)*('Rhaniad y Ddeiliadaeth (De-ddn)'!G$110/40)))</f>
        <v>#VALUE!</v>
      </c>
      <c r="AC79" s="260">
        <v>85</v>
      </c>
      <c r="AD79" s="4">
        <f>IF('Rhaniad y Ddeiliadaeth (Cymru)'!$D$8="Amcangyfrifon LlC",'Incwm (De-ddwyrain)'!E79,'Incwm (De-ddwyrain)'!W79)</f>
        <v>62765.612160725708</v>
      </c>
      <c r="AE79" s="4">
        <f>IF('Rhaniad y Ddeiliadaeth (Cymru)'!$D$8="Amcangyfrifon LlC",'Incwm (De-ddwyrain)'!F79,'Incwm (De-ddwyrain)'!X79)</f>
        <v>65158.161306121816</v>
      </c>
      <c r="AF79" s="4">
        <f>IF('Rhaniad y Ddeiliadaeth (Cymru)'!$D$8="Amcangyfrifon LlC",'Incwm (De-ddwyrain)'!G79,'Incwm (De-ddwyrain)'!Y79)</f>
        <v>67634.749007724022</v>
      </c>
      <c r="AG79" s="4">
        <f>IF('Rhaniad y Ddeiliadaeth (Cymru)'!$D$8="Amcangyfrifon LlC",'Incwm (De-ddwyrain)'!H79,'Incwm (De-ddwyrain)'!Z79)</f>
        <v>70238.802281835538</v>
      </c>
      <c r="AH79" s="4">
        <f>IF('Rhaniad y Ddeiliadaeth (Cymru)'!$D$8="Amcangyfrifon LlC",'Incwm (De-ddwyrain)'!I79,'Incwm (De-ddwyrain)'!AA79)</f>
        <v>72928.985197713788</v>
      </c>
    </row>
    <row r="80" spans="2:34" x14ac:dyDescent="0.35">
      <c r="B80" s="251">
        <v>86</v>
      </c>
      <c r="C80" s="261">
        <v>60364.25</v>
      </c>
      <c r="D80" s="261">
        <v>62351.684693128904</v>
      </c>
      <c r="E80" s="278">
        <f>D80*(1+'Rhaniad y Ddeiliadaeth (De-ddn)'!C$109)+(D$44*(-(50-$B80)*('Rhaniad y Ddeiliadaeth (De-ddn)'!C$110/40)))</f>
        <v>63994.010076461032</v>
      </c>
      <c r="F80" s="278">
        <f>E80*(1+'Rhaniad y Ddeiliadaeth (De-ddn)'!D$109)+(E$44*(-(50-$B80)*('Rhaniad y Ddeiliadaeth (De-ddn)'!D$110/40)))</f>
        <v>66435.556219607359</v>
      </c>
      <c r="G80" s="278">
        <f>F80*(1+'Rhaniad y Ddeiliadaeth (De-ddn)'!E$109)+(F$44*(-(50-$B80)*('Rhaniad y Ddeiliadaeth (De-ddn)'!E$110/40)))</f>
        <v>68962.934329103256</v>
      </c>
      <c r="H80" s="278">
        <f>G80*(1+'Rhaniad y Ddeiliadaeth (De-ddn)'!F$109)+(G$44*(-(50-$B80)*('Rhaniad y Ddeiliadaeth (De-ddn)'!F$110/40)))</f>
        <v>71620.431035349815</v>
      </c>
      <c r="I80" s="279">
        <f>H80*(1+'Rhaniad y Ddeiliadaeth (De-ddn)'!G$109)+(H$44*(-(50-$B80)*('Rhaniad y Ddeiliadaeth (De-ddn)'!G$110/40)))</f>
        <v>74365.908303278731</v>
      </c>
      <c r="M80" s="36" t="str">
        <f t="shared" si="5"/>
        <v/>
      </c>
      <c r="N80" s="190"/>
      <c r="O80" s="13">
        <f t="shared" si="8"/>
        <v>1</v>
      </c>
      <c r="U80" s="1">
        <f t="shared" si="6"/>
        <v>86</v>
      </c>
      <c r="V80" s="4" t="str">
        <f t="shared" si="7"/>
        <v/>
      </c>
      <c r="W80" s="35" t="e">
        <f>IF($L$4=$W$3,N80,V80*(1+'Rhaniad y Ddeiliadaeth (De-ddn)'!C$109)+(V$44*(-(50-$B80)*('Rhaniad y Ddeiliadaeth (De-ddn)'!C$110/40))))</f>
        <v>#VALUE!</v>
      </c>
      <c r="X80" s="35" t="e">
        <f>W80*(1+'Rhaniad y Ddeiliadaeth (De-ddn)'!D$109)+(W$44*(-(50-$B80)*('Rhaniad y Ddeiliadaeth (De-ddn)'!D$110/40)))</f>
        <v>#VALUE!</v>
      </c>
      <c r="Y80" s="35" t="e">
        <f>X80*(1+'Rhaniad y Ddeiliadaeth (De-ddn)'!E$109)+(X$44*(-(50-$B80)*('Rhaniad y Ddeiliadaeth (De-ddn)'!E$110/40)))</f>
        <v>#VALUE!</v>
      </c>
      <c r="Z80" s="35" t="e">
        <f>Y80*(1+'Rhaniad y Ddeiliadaeth (De-ddn)'!F$109)+(Y$44*(-(50-$B80)*('Rhaniad y Ddeiliadaeth (De-ddn)'!F$110/40)))</f>
        <v>#VALUE!</v>
      </c>
      <c r="AA80" s="35" t="e">
        <f>Z80*(1+'Rhaniad y Ddeiliadaeth (De-ddn)'!G$109)+(Z$44*(-(50-$B80)*('Rhaniad y Ddeiliadaeth (De-ddn)'!G$110/40)))</f>
        <v>#VALUE!</v>
      </c>
      <c r="AC80" s="260">
        <v>86</v>
      </c>
      <c r="AD80" s="4">
        <f>IF('Rhaniad y Ddeiliadaeth (Cymru)'!$D$8="Amcangyfrifon LlC",'Incwm (De-ddwyrain)'!E80,'Incwm (De-ddwyrain)'!W80)</f>
        <v>63994.010076461032</v>
      </c>
      <c r="AE80" s="4">
        <f>IF('Rhaniad y Ddeiliadaeth (Cymru)'!$D$8="Amcangyfrifon LlC",'Incwm (De-ddwyrain)'!F80,'Incwm (De-ddwyrain)'!X80)</f>
        <v>66435.556219607359</v>
      </c>
      <c r="AF80" s="4">
        <f>IF('Rhaniad y Ddeiliadaeth (Cymru)'!$D$8="Amcangyfrifon LlC",'Incwm (De-ddwyrain)'!G80,'Incwm (De-ddwyrain)'!Y80)</f>
        <v>68962.934329103256</v>
      </c>
      <c r="AG80" s="4">
        <f>IF('Rhaniad y Ddeiliadaeth (Cymru)'!$D$8="Amcangyfrifon LlC",'Incwm (De-ddwyrain)'!H80,'Incwm (De-ddwyrain)'!Z80)</f>
        <v>71620.431035349815</v>
      </c>
      <c r="AH80" s="4">
        <f>IF('Rhaniad y Ddeiliadaeth (Cymru)'!$D$8="Amcangyfrifon LlC",'Incwm (De-ddwyrain)'!I80,'Incwm (De-ddwyrain)'!AA80)</f>
        <v>74365.908303278731</v>
      </c>
    </row>
    <row r="81" spans="2:34" x14ac:dyDescent="0.35">
      <c r="B81" s="251">
        <v>87</v>
      </c>
      <c r="C81" s="261">
        <v>62045</v>
      </c>
      <c r="D81" s="261">
        <v>64087.7717653277</v>
      </c>
      <c r="E81" s="278">
        <f>D81*(1+'Rhaniad y Ddeiliadaeth (De-ddn)'!C$109)+(D$44*(-(50-$B81)*('Rhaniad y Ddeiliadaeth (De-ddn)'!C$110/40)))</f>
        <v>65775.809233974243</v>
      </c>
      <c r="F81" s="278">
        <f>E81*(1+'Rhaniad y Ddeiliadaeth (De-ddn)'!D$109)+(E$44*(-(50-$B81)*('Rhaniad y Ddeiliadaeth (De-ddn)'!D$110/40)))</f>
        <v>68285.31963471981</v>
      </c>
      <c r="G81" s="278">
        <f>F81*(1+'Rhaniad y Ddeiliadaeth (De-ddn)'!E$109)+(F$44*(-(50-$B81)*('Rhaniad y Ddeiliadaeth (De-ddn)'!E$110/40)))</f>
        <v>70883.050728052214</v>
      </c>
      <c r="H81" s="278">
        <f>G81*(1+'Rhaniad y Ddeiliadaeth (De-ddn)'!F$109)+(G$44*(-(50-$B81)*('Rhaniad y Ddeiliadaeth (De-ddn)'!F$110/40)))</f>
        <v>73614.522154156482</v>
      </c>
      <c r="I81" s="279">
        <f>H81*(1+'Rhaniad y Ddeiliadaeth (De-ddn)'!G$109)+(H$44*(-(50-$B81)*('Rhaniad y Ddeiliadaeth (De-ddn)'!G$110/40)))</f>
        <v>76436.422567956499</v>
      </c>
      <c r="M81" s="36" t="str">
        <f t="shared" si="5"/>
        <v/>
      </c>
      <c r="N81" s="190"/>
      <c r="O81" s="13">
        <f t="shared" si="8"/>
        <v>1</v>
      </c>
      <c r="U81" s="1">
        <f t="shared" si="6"/>
        <v>87</v>
      </c>
      <c r="V81" s="4" t="str">
        <f t="shared" si="7"/>
        <v/>
      </c>
      <c r="W81" s="35" t="e">
        <f>IF($L$4=$W$3,N81,V81*(1+'Rhaniad y Ddeiliadaeth (De-ddn)'!C$109)+(V$44*(-(50-$B81)*('Rhaniad y Ddeiliadaeth (De-ddn)'!C$110/40))))</f>
        <v>#VALUE!</v>
      </c>
      <c r="X81" s="35" t="e">
        <f>W81*(1+'Rhaniad y Ddeiliadaeth (De-ddn)'!D$109)+(W$44*(-(50-$B81)*('Rhaniad y Ddeiliadaeth (De-ddn)'!D$110/40)))</f>
        <v>#VALUE!</v>
      </c>
      <c r="Y81" s="35" t="e">
        <f>X81*(1+'Rhaniad y Ddeiliadaeth (De-ddn)'!E$109)+(X$44*(-(50-$B81)*('Rhaniad y Ddeiliadaeth (De-ddn)'!E$110/40)))</f>
        <v>#VALUE!</v>
      </c>
      <c r="Z81" s="35" t="e">
        <f>Y81*(1+'Rhaniad y Ddeiliadaeth (De-ddn)'!F$109)+(Y$44*(-(50-$B81)*('Rhaniad y Ddeiliadaeth (De-ddn)'!F$110/40)))</f>
        <v>#VALUE!</v>
      </c>
      <c r="AA81" s="35" t="e">
        <f>Z81*(1+'Rhaniad y Ddeiliadaeth (De-ddn)'!G$109)+(Z$44*(-(50-$B81)*('Rhaniad y Ddeiliadaeth (De-ddn)'!G$110/40)))</f>
        <v>#VALUE!</v>
      </c>
      <c r="AC81" s="260">
        <v>87</v>
      </c>
      <c r="AD81" s="4">
        <f>IF('Rhaniad y Ddeiliadaeth (Cymru)'!$D$8="Amcangyfrifon LlC",'Incwm (De-ddwyrain)'!E81,'Incwm (De-ddwyrain)'!W81)</f>
        <v>65775.809233974243</v>
      </c>
      <c r="AE81" s="4">
        <f>IF('Rhaniad y Ddeiliadaeth (Cymru)'!$D$8="Amcangyfrifon LlC",'Incwm (De-ddwyrain)'!F81,'Incwm (De-ddwyrain)'!X81)</f>
        <v>68285.31963471981</v>
      </c>
      <c r="AF81" s="4">
        <f>IF('Rhaniad y Ddeiliadaeth (Cymru)'!$D$8="Amcangyfrifon LlC",'Incwm (De-ddwyrain)'!G81,'Incwm (De-ddwyrain)'!Y81)</f>
        <v>70883.050728052214</v>
      </c>
      <c r="AG81" s="4">
        <f>IF('Rhaniad y Ddeiliadaeth (Cymru)'!$D$8="Amcangyfrifon LlC",'Incwm (De-ddwyrain)'!H81,'Incwm (De-ddwyrain)'!Z81)</f>
        <v>73614.522154156482</v>
      </c>
      <c r="AH81" s="4">
        <f>IF('Rhaniad y Ddeiliadaeth (Cymru)'!$D$8="Amcangyfrifon LlC",'Incwm (De-ddwyrain)'!I81,'Incwm (De-ddwyrain)'!AA81)</f>
        <v>76436.422567956499</v>
      </c>
    </row>
    <row r="82" spans="2:34" x14ac:dyDescent="0.35">
      <c r="B82" s="251">
        <v>88</v>
      </c>
      <c r="C82" s="261">
        <v>64744</v>
      </c>
      <c r="D82" s="261">
        <v>66875.633736390955</v>
      </c>
      <c r="E82" s="278">
        <f>D82*(1+'Rhaniad y Ddeiliadaeth (De-ddn)'!C$109)+(D$44*(-(50-$B82)*('Rhaniad y Ddeiliadaeth (De-ddn)'!C$110/40)))</f>
        <v>68632.991625152237</v>
      </c>
      <c r="F82" s="278">
        <f>E82*(1+'Rhaniad y Ddeiliadaeth (De-ddn)'!D$109)+(E$44*(-(50-$B82)*('Rhaniad y Ddeiliadaeth (De-ddn)'!D$110/40)))</f>
        <v>71247.323940636867</v>
      </c>
      <c r="G82" s="278">
        <f>F82*(1+'Rhaniad y Ddeiliadaeth (De-ddn)'!E$109)+(F$44*(-(50-$B82)*('Rhaniad y Ddeiliadaeth (De-ddn)'!E$110/40)))</f>
        <v>73953.422508175543</v>
      </c>
      <c r="H82" s="278">
        <f>G82*(1+'Rhaniad y Ddeiliadaeth (De-ddn)'!F$109)+(G$44*(-(50-$B82)*('Rhaniad y Ddeiliadaeth (De-ddn)'!F$110/40)))</f>
        <v>76798.765569640542</v>
      </c>
      <c r="I82" s="279">
        <f>H82*(1+'Rhaniad y Ddeiliadaeth (De-ddn)'!G$109)+(H$44*(-(50-$B82)*('Rhaniad y Ddeiliadaeth (De-ddn)'!G$110/40)))</f>
        <v>79738.147133715654</v>
      </c>
      <c r="M82" s="36" t="str">
        <f t="shared" si="5"/>
        <v/>
      </c>
      <c r="N82" s="190"/>
      <c r="O82" s="13">
        <f t="shared" si="8"/>
        <v>1</v>
      </c>
      <c r="U82" s="1">
        <f t="shared" si="6"/>
        <v>88</v>
      </c>
      <c r="V82" s="4" t="str">
        <f t="shared" si="7"/>
        <v/>
      </c>
      <c r="W82" s="35" t="e">
        <f>IF($L$4=$W$3,N82,V82*(1+'Rhaniad y Ddeiliadaeth (De-ddn)'!C$109)+(V$44*(-(50-$B82)*('Rhaniad y Ddeiliadaeth (De-ddn)'!C$110/40))))</f>
        <v>#VALUE!</v>
      </c>
      <c r="X82" s="35" t="e">
        <f>W82*(1+'Rhaniad y Ddeiliadaeth (De-ddn)'!D$109)+(W$44*(-(50-$B82)*('Rhaniad y Ddeiliadaeth (De-ddn)'!D$110/40)))</f>
        <v>#VALUE!</v>
      </c>
      <c r="Y82" s="35" t="e">
        <f>X82*(1+'Rhaniad y Ddeiliadaeth (De-ddn)'!E$109)+(X$44*(-(50-$B82)*('Rhaniad y Ddeiliadaeth (De-ddn)'!E$110/40)))</f>
        <v>#VALUE!</v>
      </c>
      <c r="Z82" s="35" t="e">
        <f>Y82*(1+'Rhaniad y Ddeiliadaeth (De-ddn)'!F$109)+(Y$44*(-(50-$B82)*('Rhaniad y Ddeiliadaeth (De-ddn)'!F$110/40)))</f>
        <v>#VALUE!</v>
      </c>
      <c r="AA82" s="35" t="e">
        <f>Z82*(1+'Rhaniad y Ddeiliadaeth (De-ddn)'!G$109)+(Z$44*(-(50-$B82)*('Rhaniad y Ddeiliadaeth (De-ddn)'!G$110/40)))</f>
        <v>#VALUE!</v>
      </c>
      <c r="AC82" s="260">
        <v>88</v>
      </c>
      <c r="AD82" s="4">
        <f>IF('Rhaniad y Ddeiliadaeth (Cymru)'!$D$8="Amcangyfrifon LlC",'Incwm (De-ddwyrain)'!E82,'Incwm (De-ddwyrain)'!W82)</f>
        <v>68632.991625152237</v>
      </c>
      <c r="AE82" s="4">
        <f>IF('Rhaniad y Ddeiliadaeth (Cymru)'!$D$8="Amcangyfrifon LlC",'Incwm (De-ddwyrain)'!F82,'Incwm (De-ddwyrain)'!X82)</f>
        <v>71247.323940636867</v>
      </c>
      <c r="AF82" s="4">
        <f>IF('Rhaniad y Ddeiliadaeth (Cymru)'!$D$8="Amcangyfrifon LlC",'Incwm (De-ddwyrain)'!G82,'Incwm (De-ddwyrain)'!Y82)</f>
        <v>73953.422508175543</v>
      </c>
      <c r="AG82" s="4">
        <f>IF('Rhaniad y Ddeiliadaeth (Cymru)'!$D$8="Amcangyfrifon LlC",'Incwm (De-ddwyrain)'!H82,'Incwm (De-ddwyrain)'!Z82)</f>
        <v>76798.765569640542</v>
      </c>
      <c r="AH82" s="4">
        <f>IF('Rhaniad y Ddeiliadaeth (Cymru)'!$D$8="Amcangyfrifon LlC",'Incwm (De-ddwyrain)'!I82,'Incwm (De-ddwyrain)'!AA82)</f>
        <v>79738.147133715654</v>
      </c>
    </row>
    <row r="83" spans="2:34" x14ac:dyDescent="0.35">
      <c r="B83" s="251">
        <v>89</v>
      </c>
      <c r="C83" s="261">
        <v>67331</v>
      </c>
      <c r="D83" s="261">
        <v>69547.808215509373</v>
      </c>
      <c r="E83" s="278">
        <f>D83*(1+'Rhaniad y Ddeiliadaeth (De-ddn)'!C$109)+(D$44*(-(50-$B83)*('Rhaniad y Ddeiliadaeth (De-ddn)'!C$110/40)))</f>
        <v>71371.8897814464</v>
      </c>
      <c r="F83" s="278">
        <f>E83*(1+'Rhaniad y Ddeiliadaeth (De-ddn)'!D$109)+(E$44*(-(50-$B83)*('Rhaniad y Ddeiliadaeth (De-ddn)'!D$110/40)))</f>
        <v>74086.989940862666</v>
      </c>
      <c r="G83" s="278">
        <f>F83*(1+'Rhaniad y Ddeiliadaeth (De-ddn)'!E$109)+(F$44*(-(50-$B83)*('Rhaniad y Ddeiliadaeth (De-ddn)'!E$110/40)))</f>
        <v>76897.274668665646</v>
      </c>
      <c r="H83" s="278">
        <f>G83*(1+'Rhaniad y Ddeiliadaeth (De-ddn)'!F$109)+(G$44*(-(50-$B83)*('Rhaniad y Ddeiliadaeth (De-ddn)'!F$110/40)))</f>
        <v>79852.100998649868</v>
      </c>
      <c r="I83" s="279">
        <f>H83*(1+'Rhaniad y Ddeiliadaeth (De-ddn)'!G$109)+(H$44*(-(50-$B83)*('Rhaniad y Ddeiliadaeth (De-ddn)'!G$110/40)))</f>
        <v>82904.447634931566</v>
      </c>
      <c r="M83" s="36" t="str">
        <f t="shared" si="5"/>
        <v/>
      </c>
      <c r="N83" s="190"/>
      <c r="O83" s="13">
        <f t="shared" si="8"/>
        <v>1</v>
      </c>
      <c r="U83" s="1">
        <f t="shared" si="6"/>
        <v>89</v>
      </c>
      <c r="V83" s="4" t="str">
        <f t="shared" si="7"/>
        <v/>
      </c>
      <c r="W83" s="35" t="e">
        <f>IF($L$4=$W$3,N83,V83*(1+'Rhaniad y Ddeiliadaeth (De-ddn)'!C$109)+(V$44*(-(50-$B83)*('Rhaniad y Ddeiliadaeth (De-ddn)'!C$110/40))))</f>
        <v>#VALUE!</v>
      </c>
      <c r="X83" s="35" t="e">
        <f>W83*(1+'Rhaniad y Ddeiliadaeth (De-ddn)'!D$109)+(W$44*(-(50-$B83)*('Rhaniad y Ddeiliadaeth (De-ddn)'!D$110/40)))</f>
        <v>#VALUE!</v>
      </c>
      <c r="Y83" s="35" t="e">
        <f>X83*(1+'Rhaniad y Ddeiliadaeth (De-ddn)'!E$109)+(X$44*(-(50-$B83)*('Rhaniad y Ddeiliadaeth (De-ddn)'!E$110/40)))</f>
        <v>#VALUE!</v>
      </c>
      <c r="Z83" s="35" t="e">
        <f>Y83*(1+'Rhaniad y Ddeiliadaeth (De-ddn)'!F$109)+(Y$44*(-(50-$B83)*('Rhaniad y Ddeiliadaeth (De-ddn)'!F$110/40)))</f>
        <v>#VALUE!</v>
      </c>
      <c r="AA83" s="35" t="e">
        <f>Z83*(1+'Rhaniad y Ddeiliadaeth (De-ddn)'!G$109)+(Z$44*(-(50-$B83)*('Rhaniad y Ddeiliadaeth (De-ddn)'!G$110/40)))</f>
        <v>#VALUE!</v>
      </c>
      <c r="AC83" s="260">
        <v>89</v>
      </c>
      <c r="AD83" s="4">
        <f>IF('Rhaniad y Ddeiliadaeth (Cymru)'!$D$8="Amcangyfrifon LlC",'Incwm (De-ddwyrain)'!E83,'Incwm (De-ddwyrain)'!W83)</f>
        <v>71371.8897814464</v>
      </c>
      <c r="AE83" s="4">
        <f>IF('Rhaniad y Ddeiliadaeth (Cymru)'!$D$8="Amcangyfrifon LlC",'Incwm (De-ddwyrain)'!F83,'Incwm (De-ddwyrain)'!X83)</f>
        <v>74086.989940862666</v>
      </c>
      <c r="AF83" s="4">
        <f>IF('Rhaniad y Ddeiliadaeth (Cymru)'!$D$8="Amcangyfrifon LlC",'Incwm (De-ddwyrain)'!G83,'Incwm (De-ddwyrain)'!Y83)</f>
        <v>76897.274668665646</v>
      </c>
      <c r="AG83" s="4">
        <f>IF('Rhaniad y Ddeiliadaeth (Cymru)'!$D$8="Amcangyfrifon LlC",'Incwm (De-ddwyrain)'!H83,'Incwm (De-ddwyrain)'!Z83)</f>
        <v>79852.100998649868</v>
      </c>
      <c r="AH83" s="4">
        <f>IF('Rhaniad y Ddeiliadaeth (Cymru)'!$D$8="Amcangyfrifon LlC",'Incwm (De-ddwyrain)'!I83,'Incwm (De-ddwyrain)'!AA83)</f>
        <v>82904.447634931566</v>
      </c>
    </row>
    <row r="84" spans="2:34" x14ac:dyDescent="0.35">
      <c r="B84" s="253">
        <v>90</v>
      </c>
      <c r="C84" s="262">
        <v>70654.67</v>
      </c>
      <c r="D84" s="262">
        <v>72793.476585459022</v>
      </c>
      <c r="E84" s="286">
        <f>D84*(1+'Rhaniad y Ddeiliadaeth (De-ddn)'!C$109)+(D$44*(-(50-$B84)*('Rhaniad y Ddeiliadaeth (De-ddn)'!C$110/40)))</f>
        <v>74697.154579000897</v>
      </c>
      <c r="F84" s="286">
        <f>E84*(1+'Rhaniad y Ddeiliadaeth (De-ddn)'!D$109)+(E$44*(-(50-$B84)*('Rhaniad y Ddeiliadaeth (De-ddn)'!D$110/40)))</f>
        <v>77533.119697447153</v>
      </c>
      <c r="G84" s="286">
        <f>F84*(1+'Rhaniad y Ddeiliadaeth (De-ddn)'!E$109)+(F$44*(-(50-$B84)*('Rhaniad y Ddeiliadaeth (De-ddn)'!E$110/40)))</f>
        <v>80468.318478919842</v>
      </c>
      <c r="H84" s="286">
        <f>G84*(1+'Rhaniad y Ddeiliadaeth (De-ddn)'!F$109)+(G$44*(-(50-$B84)*('Rhaniad y Ddeiliadaeth (De-ddn)'!F$110/40)))</f>
        <v>83554.382387522084</v>
      </c>
      <c r="I84" s="287">
        <f>H84*(1+'Rhaniad y Ddeiliadaeth (De-ddn)'!G$109)+(H$44*(-(50-$B84)*('Rhaniad y Ddeiliadaeth (De-ddn)'!G$110/40)))</f>
        <v>86742.08150487591</v>
      </c>
      <c r="M84" s="37" t="str">
        <f t="shared" si="5"/>
        <v/>
      </c>
      <c r="N84" s="192"/>
      <c r="O84" s="13">
        <f t="shared" si="8"/>
        <v>1</v>
      </c>
      <c r="U84" s="1">
        <f t="shared" si="6"/>
        <v>90</v>
      </c>
      <c r="V84" s="4" t="str">
        <f t="shared" si="7"/>
        <v/>
      </c>
      <c r="W84" s="35" t="e">
        <f>IF($L$4=$W$3,N84,V84*(1+'Rhaniad y Ddeiliadaeth (De-ddn)'!C$109)+(V$44*(-(50-$B84)*('Rhaniad y Ddeiliadaeth (De-ddn)'!C$110/40))))</f>
        <v>#VALUE!</v>
      </c>
      <c r="X84" s="35" t="e">
        <f>W84*(1+'Rhaniad y Ddeiliadaeth (De-ddn)'!D$109)+(W$44*(-(50-$B84)*('Rhaniad y Ddeiliadaeth (De-ddn)'!D$110/40)))</f>
        <v>#VALUE!</v>
      </c>
      <c r="Y84" s="35" t="e">
        <f>X84*(1+'Rhaniad y Ddeiliadaeth (De-ddn)'!E$109)+(X$44*(-(50-$B84)*('Rhaniad y Ddeiliadaeth (De-ddn)'!E$110/40)))</f>
        <v>#VALUE!</v>
      </c>
      <c r="Z84" s="35" t="e">
        <f>Y84*(1+'Rhaniad y Ddeiliadaeth (De-ddn)'!F$109)+(Y$44*(-(50-$B84)*('Rhaniad y Ddeiliadaeth (De-ddn)'!F$110/40)))</f>
        <v>#VALUE!</v>
      </c>
      <c r="AA84" s="35" t="e">
        <f>Z84*(1+'Rhaniad y Ddeiliadaeth (De-ddn)'!G$109)+(Z$44*(-(50-$B84)*('Rhaniad y Ddeiliadaeth (De-ddn)'!G$110/40)))</f>
        <v>#VALUE!</v>
      </c>
      <c r="AC84" s="260">
        <v>90</v>
      </c>
      <c r="AD84" s="4">
        <f>IF('Rhaniad y Ddeiliadaeth (Cymru)'!$D$8="Amcangyfrifon LlC",'Incwm (De-ddwyrain)'!E84,'Incwm (De-ddwyrain)'!W84)</f>
        <v>74697.154579000897</v>
      </c>
      <c r="AE84" s="4">
        <f>IF('Rhaniad y Ddeiliadaeth (Cymru)'!$D$8="Amcangyfrifon LlC",'Incwm (De-ddwyrain)'!F84,'Incwm (De-ddwyrain)'!X84)</f>
        <v>77533.119697447153</v>
      </c>
      <c r="AF84" s="4">
        <f>IF('Rhaniad y Ddeiliadaeth (Cymru)'!$D$8="Amcangyfrifon LlC",'Incwm (De-ddwyrain)'!G84,'Incwm (De-ddwyrain)'!Y84)</f>
        <v>80468.318478919842</v>
      </c>
      <c r="AG84" s="4">
        <f>IF('Rhaniad y Ddeiliadaeth (Cymru)'!$D$8="Amcangyfrifon LlC",'Incwm (De-ddwyrain)'!H84,'Incwm (De-ddwyrain)'!Z84)</f>
        <v>83554.382387522084</v>
      </c>
      <c r="AH84" s="4">
        <f>IF('Rhaniad y Ddeiliadaeth (Cymru)'!$D$8="Amcangyfrifon LlC",'Incwm (De-ddwyrain)'!I84,'Incwm (De-ddwyrain)'!AA84)</f>
        <v>86742.08150487591</v>
      </c>
    </row>
    <row r="85" spans="2:34" x14ac:dyDescent="0.35">
      <c r="O85" s="13">
        <f>IF(SUM(O4:O84)&gt;0,1,0)</f>
        <v>1</v>
      </c>
    </row>
  </sheetData>
  <mergeCells count="3">
    <mergeCell ref="B2:I2"/>
    <mergeCell ref="K2:N2"/>
    <mergeCell ref="K9:K10"/>
  </mergeCells>
  <dataValidations count="2">
    <dataValidation type="list" allowBlank="1" showInputMessage="1" showErrorMessage="1" sqref="L4">
      <formula1>"2017,2018"</formula1>
    </dataValidation>
    <dataValidation type="decimal" operator="greaterThan" allowBlank="1" showInputMessage="1" showErrorMessage="1" sqref="N4:N84">
      <formula1>0</formula1>
    </dataValidation>
  </dataValidations>
  <pageMargins left="0.7" right="0.7" top="0.75" bottom="0.75" header="0.3" footer="0.3"/>
  <pageSetup paperSize="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1:AH85"/>
  <sheetViews>
    <sheetView showGridLines="0" zoomScale="80" zoomScaleNormal="80" workbookViewId="0"/>
  </sheetViews>
  <sheetFormatPr defaultColWidth="9.1796875" defaultRowHeight="14.5" x14ac:dyDescent="0.35"/>
  <cols>
    <col min="1" max="1" width="2.1796875" style="1" customWidth="1"/>
    <col min="2" max="2" width="10.1796875" style="1" bestFit="1" customWidth="1"/>
    <col min="3" max="4" width="9.1796875" style="1"/>
    <col min="5" max="6" width="10.1796875" style="1" bestFit="1" customWidth="1"/>
    <col min="7" max="7" width="10.81640625" style="1" customWidth="1"/>
    <col min="8" max="9" width="10.1796875" style="1" bestFit="1" customWidth="1"/>
    <col min="10" max="10" width="9.1796875" style="1"/>
    <col min="11" max="11" width="53.81640625" style="1" customWidth="1"/>
    <col min="12" max="12" width="9.1796875" style="1"/>
    <col min="13" max="13" width="10.1796875" style="1" customWidth="1"/>
    <col min="14" max="14" width="9.1796875" style="1"/>
    <col min="15" max="15" width="9.1796875" style="1" hidden="1" customWidth="1"/>
    <col min="16" max="19" width="9.1796875" style="1"/>
    <col min="20" max="20" width="0" style="1" hidden="1" customWidth="1"/>
    <col min="21" max="21" width="9.1796875" style="1" hidden="1" customWidth="1"/>
    <col min="22" max="27" width="10.1796875" style="1" hidden="1" customWidth="1"/>
    <col min="28" max="29" width="9.1796875" style="1" customWidth="1"/>
    <col min="30" max="30" width="10.1796875" style="1" customWidth="1"/>
    <col min="31" max="34" width="9.1796875" style="1" customWidth="1"/>
    <col min="35" max="16384" width="9.1796875" style="1"/>
  </cols>
  <sheetData>
    <row r="1" spans="2:34" ht="9.75" customHeight="1" x14ac:dyDescent="0.35"/>
    <row r="2" spans="2:34" ht="26.25" customHeight="1" x14ac:dyDescent="0.35">
      <c r="B2" s="568" t="s">
        <v>126</v>
      </c>
      <c r="C2" s="569"/>
      <c r="D2" s="569"/>
      <c r="E2" s="569"/>
      <c r="F2" s="569"/>
      <c r="G2" s="569"/>
      <c r="H2" s="569"/>
      <c r="I2" s="570"/>
      <c r="K2" s="564" t="s">
        <v>121</v>
      </c>
      <c r="L2" s="565"/>
      <c r="M2" s="565"/>
      <c r="N2" s="566"/>
      <c r="O2" s="39"/>
      <c r="V2" s="1" t="s">
        <v>6</v>
      </c>
      <c r="AC2" s="260" t="s">
        <v>127</v>
      </c>
    </row>
    <row r="3" spans="2:34" x14ac:dyDescent="0.35">
      <c r="B3" s="257" t="s">
        <v>122</v>
      </c>
      <c r="C3" s="325" t="s">
        <v>22</v>
      </c>
      <c r="D3" s="325" t="s">
        <v>21</v>
      </c>
      <c r="E3" s="323" t="str">
        <f>Year1</f>
        <v>2019/20</v>
      </c>
      <c r="F3" s="323" t="str">
        <f>Year2</f>
        <v>2020/21</v>
      </c>
      <c r="G3" s="323" t="str">
        <f>Year3</f>
        <v>2021/22</v>
      </c>
      <c r="H3" s="323" t="str">
        <f>Year4</f>
        <v>2022/23</v>
      </c>
      <c r="I3" s="329" t="str">
        <f>Year5</f>
        <v>2023/24</v>
      </c>
      <c r="M3" s="23" t="s">
        <v>122</v>
      </c>
      <c r="N3" s="38">
        <f>L4</f>
        <v>0</v>
      </c>
      <c r="O3" s="40" t="s">
        <v>5</v>
      </c>
      <c r="V3" s="1">
        <v>2017</v>
      </c>
      <c r="W3" s="1">
        <v>2018</v>
      </c>
      <c r="X3" s="1">
        <v>2019</v>
      </c>
      <c r="Y3" s="1">
        <v>2020</v>
      </c>
      <c r="Z3" s="1">
        <v>2021</v>
      </c>
      <c r="AA3" s="1">
        <v>2022</v>
      </c>
      <c r="AD3" s="323" t="str">
        <f>Year1</f>
        <v>2019/20</v>
      </c>
      <c r="AE3" s="323" t="str">
        <f>Year2</f>
        <v>2020/21</v>
      </c>
      <c r="AF3" s="323" t="str">
        <f>Year3</f>
        <v>2021/22</v>
      </c>
      <c r="AG3" s="323" t="str">
        <f>Year4</f>
        <v>2022/23</v>
      </c>
      <c r="AH3" s="323" t="str">
        <f>Year5</f>
        <v>2023/24</v>
      </c>
    </row>
    <row r="4" spans="2:34" x14ac:dyDescent="0.35">
      <c r="B4" s="251">
        <v>10</v>
      </c>
      <c r="C4" s="258">
        <v>77000</v>
      </c>
      <c r="D4" s="258">
        <v>80000</v>
      </c>
      <c r="E4" s="278">
        <f>D4*(1+'Rhaniad y Ddeiliadaeth (Cymru)'!C$118)</f>
        <v>83840</v>
      </c>
      <c r="F4" s="278">
        <f>E4*(1+'Rhaniad y Ddeiliadaeth (Cymru)'!D$118)</f>
        <v>88727.872000000003</v>
      </c>
      <c r="G4" s="278">
        <f>F4*(1+'Rhaniad y Ddeiliadaeth (Cymru)'!E$118)</f>
        <v>94995.336647655131</v>
      </c>
      <c r="H4" s="278">
        <f>G4*(1+'Rhaniad y Ddeiliadaeth (Cymru)'!F$118)</f>
        <v>100165.06563394096</v>
      </c>
      <c r="I4" s="279">
        <f>H4*(1+'Rhaniad y Ddeiliadaeth (Cymru)'!G$118)</f>
        <v>104390.40155941944</v>
      </c>
      <c r="J4" s="4"/>
      <c r="K4" s="41" t="str">
        <f>IF('Rhaniad y Ddeiliadaeth (Cymru)'!D18="Arall","Dewiswch data ar gyfer pa flwyddyn:","")</f>
        <v/>
      </c>
      <c r="L4" s="201"/>
      <c r="M4" s="36" t="str">
        <f t="shared" ref="M4:M67" si="0">IF(ISBLANK($L$4),"",B4)</f>
        <v/>
      </c>
      <c r="N4" s="202"/>
      <c r="O4" s="13">
        <f>IF(ISBLANK(N4),1,0)</f>
        <v>1</v>
      </c>
      <c r="P4" s="10" t="str">
        <f>IF(K4="","",IF(O85=1,"&lt;&lt; Nodwch y data yma.",""))</f>
        <v/>
      </c>
      <c r="U4" s="1">
        <f t="shared" ref="U4:U67" si="1">B4</f>
        <v>10</v>
      </c>
      <c r="V4" s="4" t="str">
        <f t="shared" ref="V4:V67" si="2">IF($N$3=$V$3,N4,"")</f>
        <v/>
      </c>
      <c r="W4" s="4" t="e">
        <f>IF($W$3=$N$3,N4,V4*(1+'Rhaniad y Ddeiliadaeth (Cymru)'!C$118))</f>
        <v>#VALUE!</v>
      </c>
      <c r="X4" s="4" t="e">
        <f>W4*(1+'Rhaniad y Ddeiliadaeth (Cymru)'!D$118)</f>
        <v>#VALUE!</v>
      </c>
      <c r="Y4" s="4" t="e">
        <f>X4*(1+'Rhaniad y Ddeiliadaeth (Cymru)'!E$118)</f>
        <v>#VALUE!</v>
      </c>
      <c r="Z4" s="4" t="e">
        <f>Y4*(1+'Rhaniad y Ddeiliadaeth (Cymru)'!F$118)</f>
        <v>#VALUE!</v>
      </c>
      <c r="AA4" s="4" t="e">
        <f>Z4*(1+'Rhaniad y Ddeiliadaeth (Cymru)'!G$118)</f>
        <v>#VALUE!</v>
      </c>
      <c r="AC4" s="260">
        <v>10</v>
      </c>
      <c r="AD4" s="4">
        <f>IF('Rhaniad y Ddeiliadaeth (Cymru)'!$D$18="Data Cofrestrfa Tir",'Prisiau Tai (Cymru)'!E4,'Prisiau Tai (Cymru)'!W4)</f>
        <v>83840</v>
      </c>
      <c r="AE4" s="4">
        <f>IF('Rhaniad y Ddeiliadaeth (Cymru)'!$D$18="Data Cofrestrfa Tir",'Prisiau Tai (Cymru)'!F4,'Prisiau Tai (Cymru)'!X4)</f>
        <v>88727.872000000003</v>
      </c>
      <c r="AF4" s="4">
        <f>IF('Rhaniad y Ddeiliadaeth (Cymru)'!$D$18="Data Cofrestrfa Tir",'Prisiau Tai (Cymru)'!G4,'Prisiau Tai (Cymru)'!Y4)</f>
        <v>94995.336647655131</v>
      </c>
      <c r="AG4" s="4">
        <f>IF('Rhaniad y Ddeiliadaeth (Cymru)'!$D$18="Data Cofrestrfa Tir",'Prisiau Tai (Cymru)'!H4,'Prisiau Tai (Cymru)'!Z4)</f>
        <v>100165.06563394096</v>
      </c>
      <c r="AH4" s="4">
        <f>IF('Rhaniad y Ddeiliadaeth (Cymru)'!$D$18="Data Cofrestrfa Tir",'Prisiau Tai (Cymru)'!I4,'Prisiau Tai (Cymru)'!AA4)</f>
        <v>104390.40155941944</v>
      </c>
    </row>
    <row r="5" spans="2:34" x14ac:dyDescent="0.35">
      <c r="B5" s="251">
        <v>11</v>
      </c>
      <c r="C5" s="258">
        <v>79950</v>
      </c>
      <c r="D5" s="258">
        <v>81500</v>
      </c>
      <c r="E5" s="278">
        <f>D5*(1+'Rhaniad y Ddeiliadaeth (Cymru)'!C$118)</f>
        <v>85412</v>
      </c>
      <c r="F5" s="278">
        <f>E5*(1+'Rhaniad y Ddeiliadaeth (Cymru)'!D$118)</f>
        <v>90391.5196</v>
      </c>
      <c r="G5" s="278">
        <f>F5*(1+'Rhaniad y Ddeiliadaeth (Cymru)'!E$118)</f>
        <v>96776.499209798654</v>
      </c>
      <c r="H5" s="278">
        <f>G5*(1+'Rhaniad y Ddeiliadaeth (Cymru)'!F$118)</f>
        <v>102043.16061457735</v>
      </c>
      <c r="I5" s="279">
        <f>H5*(1+'Rhaniad y Ddeiliadaeth (Cymru)'!G$118)</f>
        <v>106347.72158865856</v>
      </c>
      <c r="K5" s="42" t="str">
        <f>IF(K4="","","Dim ond data ar gyfer un blwyddyn sydd angen (naill ai 2017 neu 2018)")</f>
        <v/>
      </c>
      <c r="M5" s="36" t="str">
        <f t="shared" si="0"/>
        <v/>
      </c>
      <c r="N5" s="202"/>
      <c r="O5" s="13">
        <f t="shared" ref="O5:O68" si="3">IF(ISBLANK(N5),1,0)</f>
        <v>1</v>
      </c>
      <c r="U5" s="1">
        <f t="shared" si="1"/>
        <v>11</v>
      </c>
      <c r="V5" s="4" t="str">
        <f t="shared" si="2"/>
        <v/>
      </c>
      <c r="W5" s="4" t="e">
        <f>IF($W$3=$N$3,N5,V5*(1+'Rhaniad y Ddeiliadaeth (Cymru)'!C$118))</f>
        <v>#VALUE!</v>
      </c>
      <c r="X5" s="4" t="e">
        <f>W5*(1+'Rhaniad y Ddeiliadaeth (Cymru)'!D$118)</f>
        <v>#VALUE!</v>
      </c>
      <c r="Y5" s="4" t="e">
        <f>X5*(1+'Rhaniad y Ddeiliadaeth (Cymru)'!E$118)</f>
        <v>#VALUE!</v>
      </c>
      <c r="Z5" s="4" t="e">
        <f>Y5*(1+'Rhaniad y Ddeiliadaeth (Cymru)'!F$118)</f>
        <v>#VALUE!</v>
      </c>
      <c r="AA5" s="4" t="e">
        <f>Z5*(1+'Rhaniad y Ddeiliadaeth (Cymru)'!G$118)</f>
        <v>#VALUE!</v>
      </c>
      <c r="AC5" s="260">
        <v>11</v>
      </c>
      <c r="AD5" s="4">
        <f>IF('Rhaniad y Ddeiliadaeth (Cymru)'!$D$18="Data Cofrestrfa Tir",'Prisiau Tai (Cymru)'!E5,'Prisiau Tai (Cymru)'!W5)</f>
        <v>85412</v>
      </c>
      <c r="AE5" s="4">
        <f>IF('Rhaniad y Ddeiliadaeth (Cymru)'!$D$18="Data Cofrestrfa Tir",'Prisiau Tai (Cymru)'!F5,'Prisiau Tai (Cymru)'!X5)</f>
        <v>90391.5196</v>
      </c>
      <c r="AF5" s="4">
        <f>IF('Rhaniad y Ddeiliadaeth (Cymru)'!$D$18="Data Cofrestrfa Tir",'Prisiau Tai (Cymru)'!G5,'Prisiau Tai (Cymru)'!Y5)</f>
        <v>96776.499209798654</v>
      </c>
      <c r="AG5" s="4">
        <f>IF('Rhaniad y Ddeiliadaeth (Cymru)'!$D$18="Data Cofrestrfa Tir",'Prisiau Tai (Cymru)'!H5,'Prisiau Tai (Cymru)'!Z5)</f>
        <v>102043.16061457735</v>
      </c>
      <c r="AH5" s="4">
        <f>IF('Rhaniad y Ddeiliadaeth (Cymru)'!$D$18="Data Cofrestrfa Tir",'Prisiau Tai (Cymru)'!I5,'Prisiau Tai (Cymru)'!AA5)</f>
        <v>106347.72158865856</v>
      </c>
    </row>
    <row r="6" spans="2:34" x14ac:dyDescent="0.35">
      <c r="B6" s="251">
        <v>12</v>
      </c>
      <c r="C6" s="258">
        <v>80000</v>
      </c>
      <c r="D6" s="258">
        <v>84500</v>
      </c>
      <c r="E6" s="278">
        <f>D6*(1+'Rhaniad y Ddeiliadaeth (Cymru)'!C$118)</f>
        <v>88556</v>
      </c>
      <c r="F6" s="278">
        <f>E6*(1+'Rhaniad y Ddeiliadaeth (Cymru)'!D$118)</f>
        <v>93718.814800000007</v>
      </c>
      <c r="G6" s="278">
        <f>F6*(1+'Rhaniad y Ddeiliadaeth (Cymru)'!E$118)</f>
        <v>100338.82433408573</v>
      </c>
      <c r="H6" s="278">
        <f>G6*(1+'Rhaniad y Ddeiliadaeth (Cymru)'!F$118)</f>
        <v>105799.35057585014</v>
      </c>
      <c r="I6" s="279">
        <f>H6*(1+'Rhaniad y Ddeiliadaeth (Cymru)'!G$118)</f>
        <v>110262.36164713679</v>
      </c>
      <c r="M6" s="36" t="str">
        <f t="shared" si="0"/>
        <v/>
      </c>
      <c r="N6" s="202"/>
      <c r="O6" s="13">
        <f t="shared" si="3"/>
        <v>1</v>
      </c>
      <c r="U6" s="1">
        <f t="shared" si="1"/>
        <v>12</v>
      </c>
      <c r="V6" s="4" t="str">
        <f t="shared" si="2"/>
        <v/>
      </c>
      <c r="W6" s="4" t="e">
        <f>IF($W$3=$N$3,N6,V6*(1+'Rhaniad y Ddeiliadaeth (Cymru)'!C$118))</f>
        <v>#VALUE!</v>
      </c>
      <c r="X6" s="4" t="e">
        <f>W6*(1+'Rhaniad y Ddeiliadaeth (Cymru)'!D$118)</f>
        <v>#VALUE!</v>
      </c>
      <c r="Y6" s="4" t="e">
        <f>X6*(1+'Rhaniad y Ddeiliadaeth (Cymru)'!E$118)</f>
        <v>#VALUE!</v>
      </c>
      <c r="Z6" s="4" t="e">
        <f>Y6*(1+'Rhaniad y Ddeiliadaeth (Cymru)'!F$118)</f>
        <v>#VALUE!</v>
      </c>
      <c r="AA6" s="4" t="e">
        <f>Z6*(1+'Rhaniad y Ddeiliadaeth (Cymru)'!G$118)</f>
        <v>#VALUE!</v>
      </c>
      <c r="AC6" s="260">
        <v>12</v>
      </c>
      <c r="AD6" s="4">
        <f>IF('Rhaniad y Ddeiliadaeth (Cymru)'!$D$18="Data Cofrestrfa Tir",'Prisiau Tai (Cymru)'!E6,'Prisiau Tai (Cymru)'!W6)</f>
        <v>88556</v>
      </c>
      <c r="AE6" s="4">
        <f>IF('Rhaniad y Ddeiliadaeth (Cymru)'!$D$18="Data Cofrestrfa Tir",'Prisiau Tai (Cymru)'!F6,'Prisiau Tai (Cymru)'!X6)</f>
        <v>93718.814800000007</v>
      </c>
      <c r="AF6" s="4">
        <f>IF('Rhaniad y Ddeiliadaeth (Cymru)'!$D$18="Data Cofrestrfa Tir",'Prisiau Tai (Cymru)'!G6,'Prisiau Tai (Cymru)'!Y6)</f>
        <v>100338.82433408573</v>
      </c>
      <c r="AG6" s="4">
        <f>IF('Rhaniad y Ddeiliadaeth (Cymru)'!$D$18="Data Cofrestrfa Tir",'Prisiau Tai (Cymru)'!H6,'Prisiau Tai (Cymru)'!Z6)</f>
        <v>105799.35057585014</v>
      </c>
      <c r="AH6" s="4">
        <f>IF('Rhaniad y Ddeiliadaeth (Cymru)'!$D$18="Data Cofrestrfa Tir",'Prisiau Tai (Cymru)'!I6,'Prisiau Tai (Cymru)'!AA6)</f>
        <v>110262.36164713679</v>
      </c>
    </row>
    <row r="7" spans="2:34" x14ac:dyDescent="0.35">
      <c r="B7" s="251">
        <v>13</v>
      </c>
      <c r="C7" s="258">
        <v>83000</v>
      </c>
      <c r="D7" s="258">
        <v>85500</v>
      </c>
      <c r="E7" s="278">
        <f>D7*(1+'Rhaniad y Ddeiliadaeth (Cymru)'!C$118)</f>
        <v>89604</v>
      </c>
      <c r="F7" s="278">
        <f>E7*(1+'Rhaniad y Ddeiliadaeth (Cymru)'!D$118)</f>
        <v>94827.913199999995</v>
      </c>
      <c r="G7" s="278">
        <f>F7*(1+'Rhaniad y Ddeiliadaeth (Cymru)'!E$118)</f>
        <v>101526.26604218141</v>
      </c>
      <c r="H7" s="278">
        <f>G7*(1+'Rhaniad y Ddeiliadaeth (Cymru)'!F$118)</f>
        <v>107051.41389627439</v>
      </c>
      <c r="I7" s="279">
        <f>H7*(1+'Rhaniad y Ddeiliadaeth (Cymru)'!G$118)</f>
        <v>111567.24166662952</v>
      </c>
      <c r="K7" s="10" t="str">
        <f>IF(K4="","",IF(O85=1,"Dewis defnyddiwr anghyflawn",IF(O85=0,"Dewis defnyddiwr yn gyflawn","")))</f>
        <v/>
      </c>
      <c r="M7" s="36" t="str">
        <f t="shared" si="0"/>
        <v/>
      </c>
      <c r="N7" s="202"/>
      <c r="O7" s="13">
        <f t="shared" si="3"/>
        <v>1</v>
      </c>
      <c r="U7" s="1">
        <f t="shared" si="1"/>
        <v>13</v>
      </c>
      <c r="V7" s="4" t="str">
        <f t="shared" si="2"/>
        <v/>
      </c>
      <c r="W7" s="4" t="e">
        <f>IF($W$3=$N$3,N7,V7*(1+'Rhaniad y Ddeiliadaeth (Cymru)'!C$118))</f>
        <v>#VALUE!</v>
      </c>
      <c r="X7" s="4" t="e">
        <f>W7*(1+'Rhaniad y Ddeiliadaeth (Cymru)'!D$118)</f>
        <v>#VALUE!</v>
      </c>
      <c r="Y7" s="4" t="e">
        <f>X7*(1+'Rhaniad y Ddeiliadaeth (Cymru)'!E$118)</f>
        <v>#VALUE!</v>
      </c>
      <c r="Z7" s="4" t="e">
        <f>Y7*(1+'Rhaniad y Ddeiliadaeth (Cymru)'!F$118)</f>
        <v>#VALUE!</v>
      </c>
      <c r="AA7" s="4" t="e">
        <f>Z7*(1+'Rhaniad y Ddeiliadaeth (Cymru)'!G$118)</f>
        <v>#VALUE!</v>
      </c>
      <c r="AC7" s="260">
        <v>13</v>
      </c>
      <c r="AD7" s="4">
        <f>IF('Rhaniad y Ddeiliadaeth (Cymru)'!$D$18="Data Cofrestrfa Tir",'Prisiau Tai (Cymru)'!E7,'Prisiau Tai (Cymru)'!W7)</f>
        <v>89604</v>
      </c>
      <c r="AE7" s="4">
        <f>IF('Rhaniad y Ddeiliadaeth (Cymru)'!$D$18="Data Cofrestrfa Tir",'Prisiau Tai (Cymru)'!F7,'Prisiau Tai (Cymru)'!X7)</f>
        <v>94827.913199999995</v>
      </c>
      <c r="AF7" s="4">
        <f>IF('Rhaniad y Ddeiliadaeth (Cymru)'!$D$18="Data Cofrestrfa Tir",'Prisiau Tai (Cymru)'!G7,'Prisiau Tai (Cymru)'!Y7)</f>
        <v>101526.26604218141</v>
      </c>
      <c r="AG7" s="4">
        <f>IF('Rhaniad y Ddeiliadaeth (Cymru)'!$D$18="Data Cofrestrfa Tir",'Prisiau Tai (Cymru)'!H7,'Prisiau Tai (Cymru)'!Z7)</f>
        <v>107051.41389627439</v>
      </c>
      <c r="AH7" s="4">
        <f>IF('Rhaniad y Ddeiliadaeth (Cymru)'!$D$18="Data Cofrestrfa Tir",'Prisiau Tai (Cymru)'!I7,'Prisiau Tai (Cymru)'!AA7)</f>
        <v>111567.24166662952</v>
      </c>
    </row>
    <row r="8" spans="2:34" x14ac:dyDescent="0.35">
      <c r="B8" s="251">
        <v>14</v>
      </c>
      <c r="C8" s="258">
        <v>85000</v>
      </c>
      <c r="D8" s="258">
        <v>88500</v>
      </c>
      <c r="E8" s="278">
        <f>D8*(1+'Rhaniad y Ddeiliadaeth (Cymru)'!C$118)</f>
        <v>92748</v>
      </c>
      <c r="F8" s="278">
        <f>E8*(1+'Rhaniad y Ddeiliadaeth (Cymru)'!D$118)</f>
        <v>98155.208400000003</v>
      </c>
      <c r="G8" s="278">
        <f>F8*(1+'Rhaniad y Ddeiliadaeth (Cymru)'!E$118)</f>
        <v>105088.59116646848</v>
      </c>
      <c r="H8" s="278">
        <f>G8*(1+'Rhaniad y Ddeiliadaeth (Cymru)'!F$118)</f>
        <v>110807.60385754719</v>
      </c>
      <c r="I8" s="279">
        <f>H8*(1+'Rhaniad y Ddeiliadaeth (Cymru)'!G$118)</f>
        <v>115481.88172510776</v>
      </c>
      <c r="M8" s="36" t="str">
        <f t="shared" si="0"/>
        <v/>
      </c>
      <c r="N8" s="202"/>
      <c r="O8" s="13">
        <f t="shared" si="3"/>
        <v>1</v>
      </c>
      <c r="U8" s="1">
        <f t="shared" si="1"/>
        <v>14</v>
      </c>
      <c r="V8" s="4" t="str">
        <f t="shared" si="2"/>
        <v/>
      </c>
      <c r="W8" s="4" t="e">
        <f>IF($W$3=$N$3,N8,V8*(1+'Rhaniad y Ddeiliadaeth (Cymru)'!C$118))</f>
        <v>#VALUE!</v>
      </c>
      <c r="X8" s="4" t="e">
        <f>W8*(1+'Rhaniad y Ddeiliadaeth (Cymru)'!D$118)</f>
        <v>#VALUE!</v>
      </c>
      <c r="Y8" s="4" t="e">
        <f>X8*(1+'Rhaniad y Ddeiliadaeth (Cymru)'!E$118)</f>
        <v>#VALUE!</v>
      </c>
      <c r="Z8" s="4" t="e">
        <f>Y8*(1+'Rhaniad y Ddeiliadaeth (Cymru)'!F$118)</f>
        <v>#VALUE!</v>
      </c>
      <c r="AA8" s="4" t="e">
        <f>Z8*(1+'Rhaniad y Ddeiliadaeth (Cymru)'!G$118)</f>
        <v>#VALUE!</v>
      </c>
      <c r="AC8" s="260">
        <v>14</v>
      </c>
      <c r="AD8" s="4">
        <f>IF('Rhaniad y Ddeiliadaeth (Cymru)'!$D$18="Data Cofrestrfa Tir",'Prisiau Tai (Cymru)'!E8,'Prisiau Tai (Cymru)'!W8)</f>
        <v>92748</v>
      </c>
      <c r="AE8" s="4">
        <f>IF('Rhaniad y Ddeiliadaeth (Cymru)'!$D$18="Data Cofrestrfa Tir",'Prisiau Tai (Cymru)'!F8,'Prisiau Tai (Cymru)'!X8)</f>
        <v>98155.208400000003</v>
      </c>
      <c r="AF8" s="4">
        <f>IF('Rhaniad y Ddeiliadaeth (Cymru)'!$D$18="Data Cofrestrfa Tir",'Prisiau Tai (Cymru)'!G8,'Prisiau Tai (Cymru)'!Y8)</f>
        <v>105088.59116646848</v>
      </c>
      <c r="AG8" s="4">
        <f>IF('Rhaniad y Ddeiliadaeth (Cymru)'!$D$18="Data Cofrestrfa Tir",'Prisiau Tai (Cymru)'!H8,'Prisiau Tai (Cymru)'!Z8)</f>
        <v>110807.60385754719</v>
      </c>
      <c r="AH8" s="4">
        <f>IF('Rhaniad y Ddeiliadaeth (Cymru)'!$D$18="Data Cofrestrfa Tir",'Prisiau Tai (Cymru)'!I8,'Prisiau Tai (Cymru)'!AA8)</f>
        <v>115481.88172510776</v>
      </c>
    </row>
    <row r="9" spans="2:34" ht="14.5" customHeight="1" x14ac:dyDescent="0.35">
      <c r="B9" s="251">
        <v>15</v>
      </c>
      <c r="C9" s="258">
        <v>87000</v>
      </c>
      <c r="D9" s="258">
        <v>90000</v>
      </c>
      <c r="E9" s="278">
        <f>D9*(1+'Rhaniad y Ddeiliadaeth (Cymru)'!C$118)</f>
        <v>94320</v>
      </c>
      <c r="F9" s="278">
        <f>E9*(1+'Rhaniad y Ddeiliadaeth (Cymru)'!D$118)</f>
        <v>99818.856</v>
      </c>
      <c r="G9" s="278">
        <f>F9*(1+'Rhaniad y Ddeiliadaeth (Cymru)'!E$118)</f>
        <v>106869.75372861202</v>
      </c>
      <c r="H9" s="278">
        <f>G9*(1+'Rhaniad y Ddeiliadaeth (Cymru)'!F$118)</f>
        <v>112685.69883818358</v>
      </c>
      <c r="I9" s="279">
        <f>H9*(1+'Rhaniad y Ddeiliadaeth (Cymru)'!G$118)</f>
        <v>117439.20175434687</v>
      </c>
      <c r="K9" s="567"/>
      <c r="M9" s="36" t="str">
        <f t="shared" si="0"/>
        <v/>
      </c>
      <c r="N9" s="202"/>
      <c r="O9" s="13">
        <f t="shared" si="3"/>
        <v>1</v>
      </c>
      <c r="U9" s="1">
        <f t="shared" si="1"/>
        <v>15</v>
      </c>
      <c r="V9" s="4" t="str">
        <f t="shared" si="2"/>
        <v/>
      </c>
      <c r="W9" s="4" t="e">
        <f>IF($W$3=$N$3,N9,V9*(1+'Rhaniad y Ddeiliadaeth (Cymru)'!C$118))</f>
        <v>#VALUE!</v>
      </c>
      <c r="X9" s="4" t="e">
        <f>W9*(1+'Rhaniad y Ddeiliadaeth (Cymru)'!D$118)</f>
        <v>#VALUE!</v>
      </c>
      <c r="Y9" s="4" t="e">
        <f>X9*(1+'Rhaniad y Ddeiliadaeth (Cymru)'!E$118)</f>
        <v>#VALUE!</v>
      </c>
      <c r="Z9" s="4" t="e">
        <f>Y9*(1+'Rhaniad y Ddeiliadaeth (Cymru)'!F$118)</f>
        <v>#VALUE!</v>
      </c>
      <c r="AA9" s="4" t="e">
        <f>Z9*(1+'Rhaniad y Ddeiliadaeth (Cymru)'!G$118)</f>
        <v>#VALUE!</v>
      </c>
      <c r="AC9" s="260">
        <v>15</v>
      </c>
      <c r="AD9" s="4">
        <f>IF('Rhaniad y Ddeiliadaeth (Cymru)'!$D$18="Data Cofrestrfa Tir",'Prisiau Tai (Cymru)'!E9,'Prisiau Tai (Cymru)'!W9)</f>
        <v>94320</v>
      </c>
      <c r="AE9" s="4">
        <f>IF('Rhaniad y Ddeiliadaeth (Cymru)'!$D$18="Data Cofrestrfa Tir",'Prisiau Tai (Cymru)'!F9,'Prisiau Tai (Cymru)'!X9)</f>
        <v>99818.856</v>
      </c>
      <c r="AF9" s="4">
        <f>IF('Rhaniad y Ddeiliadaeth (Cymru)'!$D$18="Data Cofrestrfa Tir",'Prisiau Tai (Cymru)'!G9,'Prisiau Tai (Cymru)'!Y9)</f>
        <v>106869.75372861202</v>
      </c>
      <c r="AG9" s="4">
        <f>IF('Rhaniad y Ddeiliadaeth (Cymru)'!$D$18="Data Cofrestrfa Tir",'Prisiau Tai (Cymru)'!H9,'Prisiau Tai (Cymru)'!Z9)</f>
        <v>112685.69883818358</v>
      </c>
      <c r="AH9" s="4">
        <f>IF('Rhaniad y Ddeiliadaeth (Cymru)'!$D$18="Data Cofrestrfa Tir",'Prisiau Tai (Cymru)'!I9,'Prisiau Tai (Cymru)'!AA9)</f>
        <v>117439.20175434687</v>
      </c>
    </row>
    <row r="10" spans="2:34" x14ac:dyDescent="0.35">
      <c r="B10" s="251">
        <v>16</v>
      </c>
      <c r="C10" s="258">
        <v>90000</v>
      </c>
      <c r="D10" s="258">
        <v>92313.12000000017</v>
      </c>
      <c r="E10" s="278">
        <f>D10*(1+'Rhaniad y Ddeiliadaeth (Cymru)'!C$118)</f>
        <v>96744.149760000175</v>
      </c>
      <c r="F10" s="278">
        <f>E10*(1+'Rhaniad y Ddeiliadaeth (Cymru)'!D$118)</f>
        <v>102384.33369100819</v>
      </c>
      <c r="G10" s="278">
        <f>F10*(1+'Rhaniad y Ddeiliadaeth (Cymru)'!E$118)</f>
        <v>109616.44889244252</v>
      </c>
      <c r="H10" s="278">
        <f>G10*(1+'Rhaniad y Ddeiliadaeth (Cymru)'!F$118)</f>
        <v>115581.87154592357</v>
      </c>
      <c r="I10" s="279">
        <f>H10*(1+'Rhaniad y Ddeiliadaeth (Cymru)'!G$118)</f>
        <v>120457.54582503616</v>
      </c>
      <c r="K10" s="567"/>
      <c r="M10" s="36" t="str">
        <f t="shared" si="0"/>
        <v/>
      </c>
      <c r="N10" s="202"/>
      <c r="O10" s="13">
        <f t="shared" si="3"/>
        <v>1</v>
      </c>
      <c r="U10" s="1">
        <f t="shared" si="1"/>
        <v>16</v>
      </c>
      <c r="V10" s="4" t="str">
        <f t="shared" si="2"/>
        <v/>
      </c>
      <c r="W10" s="4" t="e">
        <f>IF($W$3=$N$3,N10,V10*(1+'Rhaniad y Ddeiliadaeth (Cymru)'!C$118))</f>
        <v>#VALUE!</v>
      </c>
      <c r="X10" s="4" t="e">
        <f>W10*(1+'Rhaniad y Ddeiliadaeth (Cymru)'!D$118)</f>
        <v>#VALUE!</v>
      </c>
      <c r="Y10" s="4" t="e">
        <f>X10*(1+'Rhaniad y Ddeiliadaeth (Cymru)'!E$118)</f>
        <v>#VALUE!</v>
      </c>
      <c r="Z10" s="4" t="e">
        <f>Y10*(1+'Rhaniad y Ddeiliadaeth (Cymru)'!F$118)</f>
        <v>#VALUE!</v>
      </c>
      <c r="AA10" s="4" t="e">
        <f>Z10*(1+'Rhaniad y Ddeiliadaeth (Cymru)'!G$118)</f>
        <v>#VALUE!</v>
      </c>
      <c r="AC10" s="260">
        <v>16</v>
      </c>
      <c r="AD10" s="4">
        <f>IF('Rhaniad y Ddeiliadaeth (Cymru)'!$D$18="Data Cofrestrfa Tir",'Prisiau Tai (Cymru)'!E10,'Prisiau Tai (Cymru)'!W10)</f>
        <v>96744.149760000175</v>
      </c>
      <c r="AE10" s="4">
        <f>IF('Rhaniad y Ddeiliadaeth (Cymru)'!$D$18="Data Cofrestrfa Tir",'Prisiau Tai (Cymru)'!F10,'Prisiau Tai (Cymru)'!X10)</f>
        <v>102384.33369100819</v>
      </c>
      <c r="AF10" s="4">
        <f>IF('Rhaniad y Ddeiliadaeth (Cymru)'!$D$18="Data Cofrestrfa Tir",'Prisiau Tai (Cymru)'!G10,'Prisiau Tai (Cymru)'!Y10)</f>
        <v>109616.44889244252</v>
      </c>
      <c r="AG10" s="4">
        <f>IF('Rhaniad y Ddeiliadaeth (Cymru)'!$D$18="Data Cofrestrfa Tir",'Prisiau Tai (Cymru)'!H10,'Prisiau Tai (Cymru)'!Z10)</f>
        <v>115581.87154592357</v>
      </c>
      <c r="AH10" s="4">
        <f>IF('Rhaniad y Ddeiliadaeth (Cymru)'!$D$18="Data Cofrestrfa Tir",'Prisiau Tai (Cymru)'!I10,'Prisiau Tai (Cymru)'!AA10)</f>
        <v>120457.54582503616</v>
      </c>
    </row>
    <row r="11" spans="2:34" x14ac:dyDescent="0.35">
      <c r="B11" s="251">
        <v>17</v>
      </c>
      <c r="C11" s="258">
        <v>91000</v>
      </c>
      <c r="D11" s="258">
        <v>95000</v>
      </c>
      <c r="E11" s="278">
        <f>D11*(1+'Rhaniad y Ddeiliadaeth (Cymru)'!C$118)</f>
        <v>99560</v>
      </c>
      <c r="F11" s="278">
        <f>E11*(1+'Rhaniad y Ddeiliadaeth (Cymru)'!D$118)</f>
        <v>105364.348</v>
      </c>
      <c r="G11" s="278">
        <f>F11*(1+'Rhaniad y Ddeiliadaeth (Cymru)'!E$118)</f>
        <v>112806.96226909047</v>
      </c>
      <c r="H11" s="278">
        <f>G11*(1+'Rhaniad y Ddeiliadaeth (Cymru)'!F$118)</f>
        <v>118946.01544030489</v>
      </c>
      <c r="I11" s="279">
        <f>H11*(1+'Rhaniad y Ddeiliadaeth (Cymru)'!G$118)</f>
        <v>123963.60185181058</v>
      </c>
      <c r="K11" s="246"/>
      <c r="M11" s="36" t="str">
        <f t="shared" si="0"/>
        <v/>
      </c>
      <c r="N11" s="202"/>
      <c r="O11" s="13">
        <f t="shared" si="3"/>
        <v>1</v>
      </c>
      <c r="U11" s="1">
        <f t="shared" si="1"/>
        <v>17</v>
      </c>
      <c r="V11" s="4" t="str">
        <f t="shared" si="2"/>
        <v/>
      </c>
      <c r="W11" s="4" t="e">
        <f>IF($W$3=$N$3,N11,V11*(1+'Rhaniad y Ddeiliadaeth (Cymru)'!C$118))</f>
        <v>#VALUE!</v>
      </c>
      <c r="X11" s="4" t="e">
        <f>W11*(1+'Rhaniad y Ddeiliadaeth (Cymru)'!D$118)</f>
        <v>#VALUE!</v>
      </c>
      <c r="Y11" s="4" t="e">
        <f>X11*(1+'Rhaniad y Ddeiliadaeth (Cymru)'!E$118)</f>
        <v>#VALUE!</v>
      </c>
      <c r="Z11" s="4" t="e">
        <f>Y11*(1+'Rhaniad y Ddeiliadaeth (Cymru)'!F$118)</f>
        <v>#VALUE!</v>
      </c>
      <c r="AA11" s="4" t="e">
        <f>Z11*(1+'Rhaniad y Ddeiliadaeth (Cymru)'!G$118)</f>
        <v>#VALUE!</v>
      </c>
      <c r="AC11" s="260">
        <v>17</v>
      </c>
      <c r="AD11" s="4">
        <f>IF('Rhaniad y Ddeiliadaeth (Cymru)'!$D$18="Data Cofrestrfa Tir",'Prisiau Tai (Cymru)'!E11,'Prisiau Tai (Cymru)'!W11)</f>
        <v>99560</v>
      </c>
      <c r="AE11" s="4">
        <f>IF('Rhaniad y Ddeiliadaeth (Cymru)'!$D$18="Data Cofrestrfa Tir",'Prisiau Tai (Cymru)'!F11,'Prisiau Tai (Cymru)'!X11)</f>
        <v>105364.348</v>
      </c>
      <c r="AF11" s="4">
        <f>IF('Rhaniad y Ddeiliadaeth (Cymru)'!$D$18="Data Cofrestrfa Tir",'Prisiau Tai (Cymru)'!G11,'Prisiau Tai (Cymru)'!Y11)</f>
        <v>112806.96226909047</v>
      </c>
      <c r="AG11" s="4">
        <f>IF('Rhaniad y Ddeiliadaeth (Cymru)'!$D$18="Data Cofrestrfa Tir",'Prisiau Tai (Cymru)'!H11,'Prisiau Tai (Cymru)'!Z11)</f>
        <v>118946.01544030489</v>
      </c>
      <c r="AH11" s="4">
        <f>IF('Rhaniad y Ddeiliadaeth (Cymru)'!$D$18="Data Cofrestrfa Tir",'Prisiau Tai (Cymru)'!I11,'Prisiau Tai (Cymru)'!AA11)</f>
        <v>123963.60185181058</v>
      </c>
    </row>
    <row r="12" spans="2:34" x14ac:dyDescent="0.35">
      <c r="B12" s="251">
        <v>18</v>
      </c>
      <c r="C12" s="258">
        <v>94000</v>
      </c>
      <c r="D12" s="258">
        <v>97000</v>
      </c>
      <c r="E12" s="278">
        <f>D12*(1+'Rhaniad y Ddeiliadaeth (Cymru)'!C$118)</f>
        <v>101656</v>
      </c>
      <c r="F12" s="278">
        <f>E12*(1+'Rhaniad y Ddeiliadaeth (Cymru)'!D$118)</f>
        <v>107582.5448</v>
      </c>
      <c r="G12" s="278">
        <f>F12*(1+'Rhaniad y Ddeiliadaeth (Cymru)'!E$118)</f>
        <v>115181.84568528185</v>
      </c>
      <c r="H12" s="278">
        <f>G12*(1+'Rhaniad y Ddeiliadaeth (Cymru)'!F$118)</f>
        <v>121450.14208115342</v>
      </c>
      <c r="I12" s="279">
        <f>H12*(1+'Rhaniad y Ddeiliadaeth (Cymru)'!G$118)</f>
        <v>126573.36189079608</v>
      </c>
      <c r="M12" s="36" t="str">
        <f t="shared" si="0"/>
        <v/>
      </c>
      <c r="N12" s="202"/>
      <c r="O12" s="13">
        <f t="shared" si="3"/>
        <v>1</v>
      </c>
      <c r="U12" s="1">
        <f t="shared" si="1"/>
        <v>18</v>
      </c>
      <c r="V12" s="4" t="str">
        <f t="shared" si="2"/>
        <v/>
      </c>
      <c r="W12" s="4" t="e">
        <f>IF($W$3=$N$3,N12,V12*(1+'Rhaniad y Ddeiliadaeth (Cymru)'!C$118))</f>
        <v>#VALUE!</v>
      </c>
      <c r="X12" s="4" t="e">
        <f>W12*(1+'Rhaniad y Ddeiliadaeth (Cymru)'!D$118)</f>
        <v>#VALUE!</v>
      </c>
      <c r="Y12" s="4" t="e">
        <f>X12*(1+'Rhaniad y Ddeiliadaeth (Cymru)'!E$118)</f>
        <v>#VALUE!</v>
      </c>
      <c r="Z12" s="4" t="e">
        <f>Y12*(1+'Rhaniad y Ddeiliadaeth (Cymru)'!F$118)</f>
        <v>#VALUE!</v>
      </c>
      <c r="AA12" s="4" t="e">
        <f>Z12*(1+'Rhaniad y Ddeiliadaeth (Cymru)'!G$118)</f>
        <v>#VALUE!</v>
      </c>
      <c r="AC12" s="260">
        <v>18</v>
      </c>
      <c r="AD12" s="4">
        <f>IF('Rhaniad y Ddeiliadaeth (Cymru)'!$D$18="Data Cofrestrfa Tir",'Prisiau Tai (Cymru)'!E12,'Prisiau Tai (Cymru)'!W12)</f>
        <v>101656</v>
      </c>
      <c r="AE12" s="4">
        <f>IF('Rhaniad y Ddeiliadaeth (Cymru)'!$D$18="Data Cofrestrfa Tir",'Prisiau Tai (Cymru)'!F12,'Prisiau Tai (Cymru)'!X12)</f>
        <v>107582.5448</v>
      </c>
      <c r="AF12" s="4">
        <f>IF('Rhaniad y Ddeiliadaeth (Cymru)'!$D$18="Data Cofrestrfa Tir",'Prisiau Tai (Cymru)'!G12,'Prisiau Tai (Cymru)'!Y12)</f>
        <v>115181.84568528185</v>
      </c>
      <c r="AG12" s="4">
        <f>IF('Rhaniad y Ddeiliadaeth (Cymru)'!$D$18="Data Cofrestrfa Tir",'Prisiau Tai (Cymru)'!H12,'Prisiau Tai (Cymru)'!Z12)</f>
        <v>121450.14208115342</v>
      </c>
      <c r="AH12" s="4">
        <f>IF('Rhaniad y Ddeiliadaeth (Cymru)'!$D$18="Data Cofrestrfa Tir",'Prisiau Tai (Cymru)'!I12,'Prisiau Tai (Cymru)'!AA12)</f>
        <v>126573.36189079608</v>
      </c>
    </row>
    <row r="13" spans="2:34" x14ac:dyDescent="0.35">
      <c r="B13" s="251">
        <v>19</v>
      </c>
      <c r="C13" s="258">
        <v>95000</v>
      </c>
      <c r="D13" s="258">
        <v>99950</v>
      </c>
      <c r="E13" s="278">
        <f>D13*(1+'Rhaniad y Ddeiliadaeth (Cymru)'!C$118)</f>
        <v>104747.6</v>
      </c>
      <c r="F13" s="278">
        <f>E13*(1+'Rhaniad y Ddeiliadaeth (Cymru)'!D$118)</f>
        <v>110854.38508000001</v>
      </c>
      <c r="G13" s="278">
        <f>F13*(1+'Rhaniad y Ddeiliadaeth (Cymru)'!E$118)</f>
        <v>118684.79872416414</v>
      </c>
      <c r="H13" s="278">
        <f>G13*(1+'Rhaniad y Ddeiliadaeth (Cymru)'!F$118)</f>
        <v>125143.728876405</v>
      </c>
      <c r="I13" s="279">
        <f>H13*(1+'Rhaniad y Ddeiliadaeth (Cymru)'!G$118)</f>
        <v>130422.75794829968</v>
      </c>
      <c r="M13" s="36" t="str">
        <f t="shared" si="0"/>
        <v/>
      </c>
      <c r="N13" s="202"/>
      <c r="O13" s="13">
        <f t="shared" si="3"/>
        <v>1</v>
      </c>
      <c r="U13" s="1">
        <f t="shared" si="1"/>
        <v>19</v>
      </c>
      <c r="V13" s="4" t="str">
        <f t="shared" si="2"/>
        <v/>
      </c>
      <c r="W13" s="4" t="e">
        <f>IF($W$3=$N$3,N13,V13*(1+'Rhaniad y Ddeiliadaeth (Cymru)'!C$118))</f>
        <v>#VALUE!</v>
      </c>
      <c r="X13" s="4" t="e">
        <f>W13*(1+'Rhaniad y Ddeiliadaeth (Cymru)'!D$118)</f>
        <v>#VALUE!</v>
      </c>
      <c r="Y13" s="4" t="e">
        <f>X13*(1+'Rhaniad y Ddeiliadaeth (Cymru)'!E$118)</f>
        <v>#VALUE!</v>
      </c>
      <c r="Z13" s="4" t="e">
        <f>Y13*(1+'Rhaniad y Ddeiliadaeth (Cymru)'!F$118)</f>
        <v>#VALUE!</v>
      </c>
      <c r="AA13" s="4" t="e">
        <f>Z13*(1+'Rhaniad y Ddeiliadaeth (Cymru)'!G$118)</f>
        <v>#VALUE!</v>
      </c>
      <c r="AC13" s="260">
        <v>19</v>
      </c>
      <c r="AD13" s="4">
        <f>IF('Rhaniad y Ddeiliadaeth (Cymru)'!$D$18="Data Cofrestrfa Tir",'Prisiau Tai (Cymru)'!E13,'Prisiau Tai (Cymru)'!W13)</f>
        <v>104747.6</v>
      </c>
      <c r="AE13" s="4">
        <f>IF('Rhaniad y Ddeiliadaeth (Cymru)'!$D$18="Data Cofrestrfa Tir",'Prisiau Tai (Cymru)'!F13,'Prisiau Tai (Cymru)'!X13)</f>
        <v>110854.38508000001</v>
      </c>
      <c r="AF13" s="4">
        <f>IF('Rhaniad y Ddeiliadaeth (Cymru)'!$D$18="Data Cofrestrfa Tir",'Prisiau Tai (Cymru)'!G13,'Prisiau Tai (Cymru)'!Y13)</f>
        <v>118684.79872416414</v>
      </c>
      <c r="AG13" s="4">
        <f>IF('Rhaniad y Ddeiliadaeth (Cymru)'!$D$18="Data Cofrestrfa Tir",'Prisiau Tai (Cymru)'!H13,'Prisiau Tai (Cymru)'!Z13)</f>
        <v>125143.728876405</v>
      </c>
      <c r="AH13" s="4">
        <f>IF('Rhaniad y Ddeiliadaeth (Cymru)'!$D$18="Data Cofrestrfa Tir",'Prisiau Tai (Cymru)'!I13,'Prisiau Tai (Cymru)'!AA13)</f>
        <v>130422.75794829968</v>
      </c>
    </row>
    <row r="14" spans="2:34" x14ac:dyDescent="0.35">
      <c r="B14" s="251">
        <v>20</v>
      </c>
      <c r="C14" s="258">
        <v>97500</v>
      </c>
      <c r="D14" s="258">
        <v>100000</v>
      </c>
      <c r="E14" s="278">
        <f>D14*(1+'Rhaniad y Ddeiliadaeth (Cymru)'!C$118)</f>
        <v>104800</v>
      </c>
      <c r="F14" s="278">
        <f>E14*(1+'Rhaniad y Ddeiliadaeth (Cymru)'!D$118)</f>
        <v>110909.84</v>
      </c>
      <c r="G14" s="278">
        <f>F14*(1+'Rhaniad y Ddeiliadaeth (Cymru)'!E$118)</f>
        <v>118744.17080956891</v>
      </c>
      <c r="H14" s="278">
        <f>G14*(1+'Rhaniad y Ddeiliadaeth (Cymru)'!F$118)</f>
        <v>125206.33204242621</v>
      </c>
      <c r="I14" s="279">
        <f>H14*(1+'Rhaniad y Ddeiliadaeth (Cymru)'!G$118)</f>
        <v>130488.0019492743</v>
      </c>
      <c r="M14" s="36" t="str">
        <f t="shared" si="0"/>
        <v/>
      </c>
      <c r="N14" s="202"/>
      <c r="O14" s="13">
        <f t="shared" si="3"/>
        <v>1</v>
      </c>
      <c r="U14" s="1">
        <f t="shared" si="1"/>
        <v>20</v>
      </c>
      <c r="V14" s="4" t="str">
        <f t="shared" si="2"/>
        <v/>
      </c>
      <c r="W14" s="4" t="e">
        <f>IF($W$3=$N$3,N14,V14*(1+'Rhaniad y Ddeiliadaeth (Cymru)'!C$118))</f>
        <v>#VALUE!</v>
      </c>
      <c r="X14" s="4" t="e">
        <f>W14*(1+'Rhaniad y Ddeiliadaeth (Cymru)'!D$118)</f>
        <v>#VALUE!</v>
      </c>
      <c r="Y14" s="4" t="e">
        <f>X14*(1+'Rhaniad y Ddeiliadaeth (Cymru)'!E$118)</f>
        <v>#VALUE!</v>
      </c>
      <c r="Z14" s="4" t="e">
        <f>Y14*(1+'Rhaniad y Ddeiliadaeth (Cymru)'!F$118)</f>
        <v>#VALUE!</v>
      </c>
      <c r="AA14" s="4" t="e">
        <f>Z14*(1+'Rhaniad y Ddeiliadaeth (Cymru)'!G$118)</f>
        <v>#VALUE!</v>
      </c>
      <c r="AC14" s="260">
        <v>20</v>
      </c>
      <c r="AD14" s="4">
        <f>IF('Rhaniad y Ddeiliadaeth (Cymru)'!$D$18="Data Cofrestrfa Tir",'Prisiau Tai (Cymru)'!E14,'Prisiau Tai (Cymru)'!W14)</f>
        <v>104800</v>
      </c>
      <c r="AE14" s="4">
        <f>IF('Rhaniad y Ddeiliadaeth (Cymru)'!$D$18="Data Cofrestrfa Tir",'Prisiau Tai (Cymru)'!F14,'Prisiau Tai (Cymru)'!X14)</f>
        <v>110909.84</v>
      </c>
      <c r="AF14" s="4">
        <f>IF('Rhaniad y Ddeiliadaeth (Cymru)'!$D$18="Data Cofrestrfa Tir",'Prisiau Tai (Cymru)'!G14,'Prisiau Tai (Cymru)'!Y14)</f>
        <v>118744.17080956891</v>
      </c>
      <c r="AG14" s="4">
        <f>IF('Rhaniad y Ddeiliadaeth (Cymru)'!$D$18="Data Cofrestrfa Tir",'Prisiau Tai (Cymru)'!H14,'Prisiau Tai (Cymru)'!Z14)</f>
        <v>125206.33204242621</v>
      </c>
      <c r="AH14" s="4">
        <f>IF('Rhaniad y Ddeiliadaeth (Cymru)'!$D$18="Data Cofrestrfa Tir",'Prisiau Tai (Cymru)'!I14,'Prisiau Tai (Cymru)'!AA14)</f>
        <v>130488.0019492743</v>
      </c>
    </row>
    <row r="15" spans="2:34" x14ac:dyDescent="0.35">
      <c r="B15" s="251">
        <v>21</v>
      </c>
      <c r="C15" s="258">
        <v>100000</v>
      </c>
      <c r="D15" s="258">
        <v>103500</v>
      </c>
      <c r="E15" s="278">
        <f>D15*(1+'Rhaniad y Ddeiliadaeth (Cymru)'!C$118)</f>
        <v>108468</v>
      </c>
      <c r="F15" s="278">
        <f>E15*(1+'Rhaniad y Ddeiliadaeth (Cymru)'!D$118)</f>
        <v>114791.6844</v>
      </c>
      <c r="G15" s="278">
        <f>F15*(1+'Rhaniad y Ddeiliadaeth (Cymru)'!E$118)</f>
        <v>122900.21678790382</v>
      </c>
      <c r="H15" s="278">
        <f>G15*(1+'Rhaniad y Ddeiliadaeth (Cymru)'!F$118)</f>
        <v>129588.55366391111</v>
      </c>
      <c r="I15" s="279">
        <f>H15*(1+'Rhaniad y Ddeiliadaeth (Cymru)'!G$118)</f>
        <v>135055.08201749888</v>
      </c>
      <c r="M15" s="36" t="str">
        <f t="shared" si="0"/>
        <v/>
      </c>
      <c r="N15" s="202"/>
      <c r="O15" s="13">
        <f t="shared" si="3"/>
        <v>1</v>
      </c>
      <c r="U15" s="1">
        <f t="shared" si="1"/>
        <v>21</v>
      </c>
      <c r="V15" s="4" t="str">
        <f t="shared" si="2"/>
        <v/>
      </c>
      <c r="W15" s="4" t="e">
        <f>IF($W$3=$N$3,N15,V15*(1+'Rhaniad y Ddeiliadaeth (Cymru)'!C$118))</f>
        <v>#VALUE!</v>
      </c>
      <c r="X15" s="4" t="e">
        <f>W15*(1+'Rhaniad y Ddeiliadaeth (Cymru)'!D$118)</f>
        <v>#VALUE!</v>
      </c>
      <c r="Y15" s="4" t="e">
        <f>X15*(1+'Rhaniad y Ddeiliadaeth (Cymru)'!E$118)</f>
        <v>#VALUE!</v>
      </c>
      <c r="Z15" s="4" t="e">
        <f>Y15*(1+'Rhaniad y Ddeiliadaeth (Cymru)'!F$118)</f>
        <v>#VALUE!</v>
      </c>
      <c r="AA15" s="4" t="e">
        <f>Z15*(1+'Rhaniad y Ddeiliadaeth (Cymru)'!G$118)</f>
        <v>#VALUE!</v>
      </c>
      <c r="AC15" s="260">
        <v>21</v>
      </c>
      <c r="AD15" s="4">
        <f>IF('Rhaniad y Ddeiliadaeth (Cymru)'!$D$18="Data Cofrestrfa Tir",'Prisiau Tai (Cymru)'!E15,'Prisiau Tai (Cymru)'!W15)</f>
        <v>108468</v>
      </c>
      <c r="AE15" s="4">
        <f>IF('Rhaniad y Ddeiliadaeth (Cymru)'!$D$18="Data Cofrestrfa Tir",'Prisiau Tai (Cymru)'!F15,'Prisiau Tai (Cymru)'!X15)</f>
        <v>114791.6844</v>
      </c>
      <c r="AF15" s="4">
        <f>IF('Rhaniad y Ddeiliadaeth (Cymru)'!$D$18="Data Cofrestrfa Tir",'Prisiau Tai (Cymru)'!G15,'Prisiau Tai (Cymru)'!Y15)</f>
        <v>122900.21678790382</v>
      </c>
      <c r="AG15" s="4">
        <f>IF('Rhaniad y Ddeiliadaeth (Cymru)'!$D$18="Data Cofrestrfa Tir",'Prisiau Tai (Cymru)'!H15,'Prisiau Tai (Cymru)'!Z15)</f>
        <v>129588.55366391111</v>
      </c>
      <c r="AH15" s="4">
        <f>IF('Rhaniad y Ddeiliadaeth (Cymru)'!$D$18="Data Cofrestrfa Tir",'Prisiau Tai (Cymru)'!I15,'Prisiau Tai (Cymru)'!AA15)</f>
        <v>135055.08201749888</v>
      </c>
    </row>
    <row r="16" spans="2:34" x14ac:dyDescent="0.35">
      <c r="B16" s="251">
        <v>22</v>
      </c>
      <c r="C16" s="258">
        <v>101500</v>
      </c>
      <c r="D16" s="258">
        <v>105000</v>
      </c>
      <c r="E16" s="278">
        <f>D16*(1+'Rhaniad y Ddeiliadaeth (Cymru)'!C$118)</f>
        <v>110040</v>
      </c>
      <c r="F16" s="278">
        <f>E16*(1+'Rhaniad y Ddeiliadaeth (Cymru)'!D$118)</f>
        <v>116455.33199999999</v>
      </c>
      <c r="G16" s="278">
        <f>F16*(1+'Rhaniad y Ddeiliadaeth (Cymru)'!E$118)</f>
        <v>124681.37935004735</v>
      </c>
      <c r="H16" s="278">
        <f>G16*(1+'Rhaniad y Ddeiliadaeth (Cymru)'!F$118)</f>
        <v>131466.6486445475</v>
      </c>
      <c r="I16" s="279">
        <f>H16*(1+'Rhaniad y Ddeiliadaeth (Cymru)'!G$118)</f>
        <v>137012.40204673802</v>
      </c>
      <c r="M16" s="36" t="str">
        <f t="shared" si="0"/>
        <v/>
      </c>
      <c r="N16" s="202"/>
      <c r="O16" s="13">
        <f t="shared" si="3"/>
        <v>1</v>
      </c>
      <c r="U16" s="1">
        <f t="shared" si="1"/>
        <v>22</v>
      </c>
      <c r="V16" s="4" t="str">
        <f t="shared" si="2"/>
        <v/>
      </c>
      <c r="W16" s="4" t="e">
        <f>IF($W$3=$N$3,N16,V16*(1+'Rhaniad y Ddeiliadaeth (Cymru)'!C$118))</f>
        <v>#VALUE!</v>
      </c>
      <c r="X16" s="4" t="e">
        <f>W16*(1+'Rhaniad y Ddeiliadaeth (Cymru)'!D$118)</f>
        <v>#VALUE!</v>
      </c>
      <c r="Y16" s="4" t="e">
        <f>X16*(1+'Rhaniad y Ddeiliadaeth (Cymru)'!E$118)</f>
        <v>#VALUE!</v>
      </c>
      <c r="Z16" s="4" t="e">
        <f>Y16*(1+'Rhaniad y Ddeiliadaeth (Cymru)'!F$118)</f>
        <v>#VALUE!</v>
      </c>
      <c r="AA16" s="4" t="e">
        <f>Z16*(1+'Rhaniad y Ddeiliadaeth (Cymru)'!G$118)</f>
        <v>#VALUE!</v>
      </c>
      <c r="AC16" s="260">
        <v>22</v>
      </c>
      <c r="AD16" s="4">
        <f>IF('Rhaniad y Ddeiliadaeth (Cymru)'!$D$18="Data Cofrestrfa Tir",'Prisiau Tai (Cymru)'!E16,'Prisiau Tai (Cymru)'!W16)</f>
        <v>110040</v>
      </c>
      <c r="AE16" s="4">
        <f>IF('Rhaniad y Ddeiliadaeth (Cymru)'!$D$18="Data Cofrestrfa Tir",'Prisiau Tai (Cymru)'!F16,'Prisiau Tai (Cymru)'!X16)</f>
        <v>116455.33199999999</v>
      </c>
      <c r="AF16" s="4">
        <f>IF('Rhaniad y Ddeiliadaeth (Cymru)'!$D$18="Data Cofrestrfa Tir",'Prisiau Tai (Cymru)'!G16,'Prisiau Tai (Cymru)'!Y16)</f>
        <v>124681.37935004735</v>
      </c>
      <c r="AG16" s="4">
        <f>IF('Rhaniad y Ddeiliadaeth (Cymru)'!$D$18="Data Cofrestrfa Tir",'Prisiau Tai (Cymru)'!H16,'Prisiau Tai (Cymru)'!Z16)</f>
        <v>131466.6486445475</v>
      </c>
      <c r="AH16" s="4">
        <f>IF('Rhaniad y Ddeiliadaeth (Cymru)'!$D$18="Data Cofrestrfa Tir",'Prisiau Tai (Cymru)'!I16,'Prisiau Tai (Cymru)'!AA16)</f>
        <v>137012.40204673802</v>
      </c>
    </row>
    <row r="17" spans="2:34" x14ac:dyDescent="0.35">
      <c r="B17" s="251">
        <v>23</v>
      </c>
      <c r="C17" s="258">
        <v>104995</v>
      </c>
      <c r="D17" s="258">
        <v>108000</v>
      </c>
      <c r="E17" s="278">
        <f>D17*(1+'Rhaniad y Ddeiliadaeth (Cymru)'!C$118)</f>
        <v>113184</v>
      </c>
      <c r="F17" s="278">
        <f>E17*(1+'Rhaniad y Ddeiliadaeth (Cymru)'!D$118)</f>
        <v>119782.6272</v>
      </c>
      <c r="G17" s="278">
        <f>F17*(1+'Rhaniad y Ddeiliadaeth (Cymru)'!E$118)</f>
        <v>128243.70447433443</v>
      </c>
      <c r="H17" s="278">
        <f>G17*(1+'Rhaniad y Ddeiliadaeth (Cymru)'!F$118)</f>
        <v>135222.83860582032</v>
      </c>
      <c r="I17" s="279">
        <f>H17*(1+'Rhaniad y Ddeiliadaeth (Cymru)'!G$118)</f>
        <v>140927.04210521627</v>
      </c>
      <c r="M17" s="36" t="str">
        <f t="shared" si="0"/>
        <v/>
      </c>
      <c r="N17" s="202"/>
      <c r="O17" s="13">
        <f t="shared" si="3"/>
        <v>1</v>
      </c>
      <c r="U17" s="1">
        <f t="shared" si="1"/>
        <v>23</v>
      </c>
      <c r="V17" s="4" t="str">
        <f t="shared" si="2"/>
        <v/>
      </c>
      <c r="W17" s="4" t="e">
        <f>IF($W$3=$N$3,N17,V17*(1+'Rhaniad y Ddeiliadaeth (Cymru)'!C$118))</f>
        <v>#VALUE!</v>
      </c>
      <c r="X17" s="4" t="e">
        <f>W17*(1+'Rhaniad y Ddeiliadaeth (Cymru)'!D$118)</f>
        <v>#VALUE!</v>
      </c>
      <c r="Y17" s="4" t="e">
        <f>X17*(1+'Rhaniad y Ddeiliadaeth (Cymru)'!E$118)</f>
        <v>#VALUE!</v>
      </c>
      <c r="Z17" s="4" t="e">
        <f>Y17*(1+'Rhaniad y Ddeiliadaeth (Cymru)'!F$118)</f>
        <v>#VALUE!</v>
      </c>
      <c r="AA17" s="4" t="e">
        <f>Z17*(1+'Rhaniad y Ddeiliadaeth (Cymru)'!G$118)</f>
        <v>#VALUE!</v>
      </c>
      <c r="AC17" s="260">
        <v>23</v>
      </c>
      <c r="AD17" s="4">
        <f>IF('Rhaniad y Ddeiliadaeth (Cymru)'!$D$18="Data Cofrestrfa Tir",'Prisiau Tai (Cymru)'!E17,'Prisiau Tai (Cymru)'!W17)</f>
        <v>113184</v>
      </c>
      <c r="AE17" s="4">
        <f>IF('Rhaniad y Ddeiliadaeth (Cymru)'!$D$18="Data Cofrestrfa Tir",'Prisiau Tai (Cymru)'!F17,'Prisiau Tai (Cymru)'!X17)</f>
        <v>119782.6272</v>
      </c>
      <c r="AF17" s="4">
        <f>IF('Rhaniad y Ddeiliadaeth (Cymru)'!$D$18="Data Cofrestrfa Tir",'Prisiau Tai (Cymru)'!G17,'Prisiau Tai (Cymru)'!Y17)</f>
        <v>128243.70447433443</v>
      </c>
      <c r="AG17" s="4">
        <f>IF('Rhaniad y Ddeiliadaeth (Cymru)'!$D$18="Data Cofrestrfa Tir",'Prisiau Tai (Cymru)'!H17,'Prisiau Tai (Cymru)'!Z17)</f>
        <v>135222.83860582032</v>
      </c>
      <c r="AH17" s="4">
        <f>IF('Rhaniad y Ddeiliadaeth (Cymru)'!$D$18="Data Cofrestrfa Tir",'Prisiau Tai (Cymru)'!I17,'Prisiau Tai (Cymru)'!AA17)</f>
        <v>140927.04210521627</v>
      </c>
    </row>
    <row r="18" spans="2:34" x14ac:dyDescent="0.35">
      <c r="B18" s="251">
        <v>24</v>
      </c>
      <c r="C18" s="258">
        <v>105000</v>
      </c>
      <c r="D18" s="258">
        <v>110000</v>
      </c>
      <c r="E18" s="278">
        <f>D18*(1+'Rhaniad y Ddeiliadaeth (Cymru)'!C$118)</f>
        <v>115280</v>
      </c>
      <c r="F18" s="278">
        <f>E18*(1+'Rhaniad y Ddeiliadaeth (Cymru)'!D$118)</f>
        <v>122000.82400000001</v>
      </c>
      <c r="G18" s="278">
        <f>F18*(1+'Rhaniad y Ddeiliadaeth (Cymru)'!E$118)</f>
        <v>130618.58789052581</v>
      </c>
      <c r="H18" s="278">
        <f>G18*(1+'Rhaniad y Ddeiliadaeth (Cymru)'!F$118)</f>
        <v>137726.96524666884</v>
      </c>
      <c r="I18" s="279">
        <f>H18*(1+'Rhaniad y Ddeiliadaeth (Cymru)'!G$118)</f>
        <v>143536.80214420176</v>
      </c>
      <c r="M18" s="36" t="str">
        <f t="shared" si="0"/>
        <v/>
      </c>
      <c r="N18" s="202"/>
      <c r="O18" s="13">
        <f t="shared" si="3"/>
        <v>1</v>
      </c>
      <c r="U18" s="1">
        <f t="shared" si="1"/>
        <v>24</v>
      </c>
      <c r="V18" s="4" t="str">
        <f t="shared" si="2"/>
        <v/>
      </c>
      <c r="W18" s="4" t="e">
        <f>IF($W$3=$N$3,N18,V18*(1+'Rhaniad y Ddeiliadaeth (Cymru)'!C$118))</f>
        <v>#VALUE!</v>
      </c>
      <c r="X18" s="4" t="e">
        <f>W18*(1+'Rhaniad y Ddeiliadaeth (Cymru)'!D$118)</f>
        <v>#VALUE!</v>
      </c>
      <c r="Y18" s="4" t="e">
        <f>X18*(1+'Rhaniad y Ddeiliadaeth (Cymru)'!E$118)</f>
        <v>#VALUE!</v>
      </c>
      <c r="Z18" s="4" t="e">
        <f>Y18*(1+'Rhaniad y Ddeiliadaeth (Cymru)'!F$118)</f>
        <v>#VALUE!</v>
      </c>
      <c r="AA18" s="4" t="e">
        <f>Z18*(1+'Rhaniad y Ddeiliadaeth (Cymru)'!G$118)</f>
        <v>#VALUE!</v>
      </c>
      <c r="AC18" s="260">
        <v>24</v>
      </c>
      <c r="AD18" s="4">
        <f>IF('Rhaniad y Ddeiliadaeth (Cymru)'!$D$18="Data Cofrestrfa Tir",'Prisiau Tai (Cymru)'!E18,'Prisiau Tai (Cymru)'!W18)</f>
        <v>115280</v>
      </c>
      <c r="AE18" s="4">
        <f>IF('Rhaniad y Ddeiliadaeth (Cymru)'!$D$18="Data Cofrestrfa Tir",'Prisiau Tai (Cymru)'!F18,'Prisiau Tai (Cymru)'!X18)</f>
        <v>122000.82400000001</v>
      </c>
      <c r="AF18" s="4">
        <f>IF('Rhaniad y Ddeiliadaeth (Cymru)'!$D$18="Data Cofrestrfa Tir",'Prisiau Tai (Cymru)'!G18,'Prisiau Tai (Cymru)'!Y18)</f>
        <v>130618.58789052581</v>
      </c>
      <c r="AG18" s="4">
        <f>IF('Rhaniad y Ddeiliadaeth (Cymru)'!$D$18="Data Cofrestrfa Tir",'Prisiau Tai (Cymru)'!H18,'Prisiau Tai (Cymru)'!Z18)</f>
        <v>137726.96524666884</v>
      </c>
      <c r="AH18" s="4">
        <f>IF('Rhaniad y Ddeiliadaeth (Cymru)'!$D$18="Data Cofrestrfa Tir",'Prisiau Tai (Cymru)'!I18,'Prisiau Tai (Cymru)'!AA18)</f>
        <v>143536.80214420176</v>
      </c>
    </row>
    <row r="19" spans="2:34" x14ac:dyDescent="0.35">
      <c r="B19" s="251">
        <v>25</v>
      </c>
      <c r="C19" s="258">
        <v>108000</v>
      </c>
      <c r="D19" s="258">
        <v>111790.25000000015</v>
      </c>
      <c r="E19" s="278">
        <f>D19*(1+'Rhaniad y Ddeiliadaeth (Cymru)'!C$118)</f>
        <v>117156.18200000016</v>
      </c>
      <c r="F19" s="278">
        <f>E19*(1+'Rhaniad y Ddeiliadaeth (Cymru)'!D$118)</f>
        <v>123986.38741060017</v>
      </c>
      <c r="G19" s="278">
        <f>F19*(1+'Rhaniad y Ddeiliadaeth (Cymru)'!E$118)</f>
        <v>132744.40540844429</v>
      </c>
      <c r="H19" s="278">
        <f>G19*(1+'Rhaniad y Ddeiliadaeth (Cymru)'!F$118)</f>
        <v>139968.47160605856</v>
      </c>
      <c r="I19" s="279">
        <f>H19*(1+'Rhaniad y Ddeiliadaeth (Cymru)'!G$118)</f>
        <v>145872.86359909884</v>
      </c>
      <c r="M19" s="36" t="str">
        <f t="shared" si="0"/>
        <v/>
      </c>
      <c r="N19" s="202"/>
      <c r="O19" s="13">
        <f t="shared" si="3"/>
        <v>1</v>
      </c>
      <c r="U19" s="1">
        <f t="shared" si="1"/>
        <v>25</v>
      </c>
      <c r="V19" s="4" t="str">
        <f t="shared" si="2"/>
        <v/>
      </c>
      <c r="W19" s="4" t="e">
        <f>IF($W$3=$N$3,N19,V19*(1+'Rhaniad y Ddeiliadaeth (Cymru)'!C$118))</f>
        <v>#VALUE!</v>
      </c>
      <c r="X19" s="4" t="e">
        <f>W19*(1+'Rhaniad y Ddeiliadaeth (Cymru)'!D$118)</f>
        <v>#VALUE!</v>
      </c>
      <c r="Y19" s="4" t="e">
        <f>X19*(1+'Rhaniad y Ddeiliadaeth (Cymru)'!E$118)</f>
        <v>#VALUE!</v>
      </c>
      <c r="Z19" s="4" t="e">
        <f>Y19*(1+'Rhaniad y Ddeiliadaeth (Cymru)'!F$118)</f>
        <v>#VALUE!</v>
      </c>
      <c r="AA19" s="4" t="e">
        <f>Z19*(1+'Rhaniad y Ddeiliadaeth (Cymru)'!G$118)</f>
        <v>#VALUE!</v>
      </c>
      <c r="AC19" s="260">
        <v>25</v>
      </c>
      <c r="AD19" s="4">
        <f>IF('Rhaniad y Ddeiliadaeth (Cymru)'!$D$18="Data Cofrestrfa Tir",'Prisiau Tai (Cymru)'!E19,'Prisiau Tai (Cymru)'!W19)</f>
        <v>117156.18200000016</v>
      </c>
      <c r="AE19" s="4">
        <f>IF('Rhaniad y Ddeiliadaeth (Cymru)'!$D$18="Data Cofrestrfa Tir",'Prisiau Tai (Cymru)'!F19,'Prisiau Tai (Cymru)'!X19)</f>
        <v>123986.38741060017</v>
      </c>
      <c r="AF19" s="4">
        <f>IF('Rhaniad y Ddeiliadaeth (Cymru)'!$D$18="Data Cofrestrfa Tir",'Prisiau Tai (Cymru)'!G19,'Prisiau Tai (Cymru)'!Y19)</f>
        <v>132744.40540844429</v>
      </c>
      <c r="AG19" s="4">
        <f>IF('Rhaniad y Ddeiliadaeth (Cymru)'!$D$18="Data Cofrestrfa Tir",'Prisiau Tai (Cymru)'!H19,'Prisiau Tai (Cymru)'!Z19)</f>
        <v>139968.47160605856</v>
      </c>
      <c r="AH19" s="4">
        <f>IF('Rhaniad y Ddeiliadaeth (Cymru)'!$D$18="Data Cofrestrfa Tir",'Prisiau Tai (Cymru)'!I19,'Prisiau Tai (Cymru)'!AA19)</f>
        <v>145872.86359909884</v>
      </c>
    </row>
    <row r="20" spans="2:34" x14ac:dyDescent="0.35">
      <c r="B20" s="251">
        <v>26</v>
      </c>
      <c r="C20" s="258">
        <v>110000</v>
      </c>
      <c r="D20" s="258">
        <v>114000</v>
      </c>
      <c r="E20" s="278">
        <f>D20*(1+'Rhaniad y Ddeiliadaeth (Cymru)'!C$118)</f>
        <v>119472</v>
      </c>
      <c r="F20" s="278">
        <f>E20*(1+'Rhaniad y Ddeiliadaeth (Cymru)'!D$118)</f>
        <v>126437.2176</v>
      </c>
      <c r="G20" s="278">
        <f>F20*(1+'Rhaniad y Ddeiliadaeth (Cymru)'!E$118)</f>
        <v>135368.35472290855</v>
      </c>
      <c r="H20" s="278">
        <f>G20*(1+'Rhaniad y Ddeiliadaeth (Cymru)'!F$118)</f>
        <v>142735.21852836586</v>
      </c>
      <c r="I20" s="279">
        <f>H20*(1+'Rhaniad y Ddeiliadaeth (Cymru)'!G$118)</f>
        <v>148756.32222217269</v>
      </c>
      <c r="M20" s="36" t="str">
        <f t="shared" si="0"/>
        <v/>
      </c>
      <c r="N20" s="202"/>
      <c r="O20" s="13">
        <f t="shared" si="3"/>
        <v>1</v>
      </c>
      <c r="U20" s="1">
        <f t="shared" si="1"/>
        <v>26</v>
      </c>
      <c r="V20" s="4" t="str">
        <f t="shared" si="2"/>
        <v/>
      </c>
      <c r="W20" s="4" t="e">
        <f>IF($W$3=$N$3,N20,V20*(1+'Rhaniad y Ddeiliadaeth (Cymru)'!C$118))</f>
        <v>#VALUE!</v>
      </c>
      <c r="X20" s="4" t="e">
        <f>W20*(1+'Rhaniad y Ddeiliadaeth (Cymru)'!D$118)</f>
        <v>#VALUE!</v>
      </c>
      <c r="Y20" s="4" t="e">
        <f>X20*(1+'Rhaniad y Ddeiliadaeth (Cymru)'!E$118)</f>
        <v>#VALUE!</v>
      </c>
      <c r="Z20" s="4" t="e">
        <f>Y20*(1+'Rhaniad y Ddeiliadaeth (Cymru)'!F$118)</f>
        <v>#VALUE!</v>
      </c>
      <c r="AA20" s="4" t="e">
        <f>Z20*(1+'Rhaniad y Ddeiliadaeth (Cymru)'!G$118)</f>
        <v>#VALUE!</v>
      </c>
      <c r="AC20" s="260">
        <v>26</v>
      </c>
      <c r="AD20" s="4">
        <f>IF('Rhaniad y Ddeiliadaeth (Cymru)'!$D$18="Data Cofrestrfa Tir",'Prisiau Tai (Cymru)'!E20,'Prisiau Tai (Cymru)'!W20)</f>
        <v>119472</v>
      </c>
      <c r="AE20" s="4">
        <f>IF('Rhaniad y Ddeiliadaeth (Cymru)'!$D$18="Data Cofrestrfa Tir",'Prisiau Tai (Cymru)'!F20,'Prisiau Tai (Cymru)'!X20)</f>
        <v>126437.2176</v>
      </c>
      <c r="AF20" s="4">
        <f>IF('Rhaniad y Ddeiliadaeth (Cymru)'!$D$18="Data Cofrestrfa Tir",'Prisiau Tai (Cymru)'!G20,'Prisiau Tai (Cymru)'!Y20)</f>
        <v>135368.35472290855</v>
      </c>
      <c r="AG20" s="4">
        <f>IF('Rhaniad y Ddeiliadaeth (Cymru)'!$D$18="Data Cofrestrfa Tir",'Prisiau Tai (Cymru)'!H20,'Prisiau Tai (Cymru)'!Z20)</f>
        <v>142735.21852836586</v>
      </c>
      <c r="AH20" s="4">
        <f>IF('Rhaniad y Ddeiliadaeth (Cymru)'!$D$18="Data Cofrestrfa Tir",'Prisiau Tai (Cymru)'!I20,'Prisiau Tai (Cymru)'!AA20)</f>
        <v>148756.32222217269</v>
      </c>
    </row>
    <row r="21" spans="2:34" x14ac:dyDescent="0.35">
      <c r="B21" s="251">
        <v>27</v>
      </c>
      <c r="C21" s="258">
        <v>111000</v>
      </c>
      <c r="D21" s="258">
        <v>115000</v>
      </c>
      <c r="E21" s="278">
        <f>D21*(1+'Rhaniad y Ddeiliadaeth (Cymru)'!C$118)</f>
        <v>120520</v>
      </c>
      <c r="F21" s="278">
        <f>E21*(1+'Rhaniad y Ddeiliadaeth (Cymru)'!D$118)</f>
        <v>127546.31600000001</v>
      </c>
      <c r="G21" s="278">
        <f>F21*(1+'Rhaniad y Ddeiliadaeth (Cymru)'!E$118)</f>
        <v>136555.79643100424</v>
      </c>
      <c r="H21" s="278">
        <f>G21*(1+'Rhaniad y Ddeiliadaeth (Cymru)'!F$118)</f>
        <v>143987.28184879012</v>
      </c>
      <c r="I21" s="279">
        <f>H21*(1+'Rhaniad y Ddeiliadaeth (Cymru)'!G$118)</f>
        <v>150061.20224166545</v>
      </c>
      <c r="M21" s="36" t="str">
        <f t="shared" si="0"/>
        <v/>
      </c>
      <c r="N21" s="202"/>
      <c r="O21" s="13">
        <f t="shared" si="3"/>
        <v>1</v>
      </c>
      <c r="U21" s="1">
        <f t="shared" si="1"/>
        <v>27</v>
      </c>
      <c r="V21" s="4" t="str">
        <f t="shared" si="2"/>
        <v/>
      </c>
      <c r="W21" s="4" t="e">
        <f>IF($W$3=$N$3,N21,V21*(1+'Rhaniad y Ddeiliadaeth (Cymru)'!C$118))</f>
        <v>#VALUE!</v>
      </c>
      <c r="X21" s="4" t="e">
        <f>W21*(1+'Rhaniad y Ddeiliadaeth (Cymru)'!D$118)</f>
        <v>#VALUE!</v>
      </c>
      <c r="Y21" s="4" t="e">
        <f>X21*(1+'Rhaniad y Ddeiliadaeth (Cymru)'!E$118)</f>
        <v>#VALUE!</v>
      </c>
      <c r="Z21" s="4" t="e">
        <f>Y21*(1+'Rhaniad y Ddeiliadaeth (Cymru)'!F$118)</f>
        <v>#VALUE!</v>
      </c>
      <c r="AA21" s="4" t="e">
        <f>Z21*(1+'Rhaniad y Ddeiliadaeth (Cymru)'!G$118)</f>
        <v>#VALUE!</v>
      </c>
      <c r="AC21" s="260">
        <v>27</v>
      </c>
      <c r="AD21" s="4">
        <f>IF('Rhaniad y Ddeiliadaeth (Cymru)'!$D$18="Data Cofrestrfa Tir",'Prisiau Tai (Cymru)'!E21,'Prisiau Tai (Cymru)'!W21)</f>
        <v>120520</v>
      </c>
      <c r="AE21" s="4">
        <f>IF('Rhaniad y Ddeiliadaeth (Cymru)'!$D$18="Data Cofrestrfa Tir",'Prisiau Tai (Cymru)'!F21,'Prisiau Tai (Cymru)'!X21)</f>
        <v>127546.31600000001</v>
      </c>
      <c r="AF21" s="4">
        <f>IF('Rhaniad y Ddeiliadaeth (Cymru)'!$D$18="Data Cofrestrfa Tir",'Prisiau Tai (Cymru)'!G21,'Prisiau Tai (Cymru)'!Y21)</f>
        <v>136555.79643100424</v>
      </c>
      <c r="AG21" s="4">
        <f>IF('Rhaniad y Ddeiliadaeth (Cymru)'!$D$18="Data Cofrestrfa Tir",'Prisiau Tai (Cymru)'!H21,'Prisiau Tai (Cymru)'!Z21)</f>
        <v>143987.28184879012</v>
      </c>
      <c r="AH21" s="4">
        <f>IF('Rhaniad y Ddeiliadaeth (Cymru)'!$D$18="Data Cofrestrfa Tir",'Prisiau Tai (Cymru)'!I21,'Prisiau Tai (Cymru)'!AA21)</f>
        <v>150061.20224166545</v>
      </c>
    </row>
    <row r="22" spans="2:34" x14ac:dyDescent="0.35">
      <c r="B22" s="251">
        <v>28</v>
      </c>
      <c r="C22" s="258">
        <v>114000</v>
      </c>
      <c r="D22" s="258">
        <v>117000</v>
      </c>
      <c r="E22" s="278">
        <f>D22*(1+'Rhaniad y Ddeiliadaeth (Cymru)'!C$118)</f>
        <v>122616</v>
      </c>
      <c r="F22" s="278">
        <f>E22*(1+'Rhaniad y Ddeiliadaeth (Cymru)'!D$118)</f>
        <v>129764.5128</v>
      </c>
      <c r="G22" s="278">
        <f>F22*(1+'Rhaniad y Ddeiliadaeth (Cymru)'!E$118)</f>
        <v>138930.67984719563</v>
      </c>
      <c r="H22" s="278">
        <f>G22*(1+'Rhaniad y Ddeiliadaeth (Cymru)'!F$118)</f>
        <v>146491.40848963865</v>
      </c>
      <c r="I22" s="279">
        <f>H22*(1+'Rhaniad y Ddeiliadaeth (Cymru)'!G$118)</f>
        <v>152670.96228065091</v>
      </c>
      <c r="M22" s="36" t="str">
        <f t="shared" si="0"/>
        <v/>
      </c>
      <c r="N22" s="202"/>
      <c r="O22" s="13">
        <f t="shared" si="3"/>
        <v>1</v>
      </c>
      <c r="U22" s="1">
        <f t="shared" si="1"/>
        <v>28</v>
      </c>
      <c r="V22" s="4" t="str">
        <f t="shared" si="2"/>
        <v/>
      </c>
      <c r="W22" s="4" t="e">
        <f>IF($W$3=$N$3,N22,V22*(1+'Rhaniad y Ddeiliadaeth (Cymru)'!C$118))</f>
        <v>#VALUE!</v>
      </c>
      <c r="X22" s="4" t="e">
        <f>W22*(1+'Rhaniad y Ddeiliadaeth (Cymru)'!D$118)</f>
        <v>#VALUE!</v>
      </c>
      <c r="Y22" s="4" t="e">
        <f>X22*(1+'Rhaniad y Ddeiliadaeth (Cymru)'!E$118)</f>
        <v>#VALUE!</v>
      </c>
      <c r="Z22" s="4" t="e">
        <f>Y22*(1+'Rhaniad y Ddeiliadaeth (Cymru)'!F$118)</f>
        <v>#VALUE!</v>
      </c>
      <c r="AA22" s="4" t="e">
        <f>Z22*(1+'Rhaniad y Ddeiliadaeth (Cymru)'!G$118)</f>
        <v>#VALUE!</v>
      </c>
      <c r="AC22" s="260">
        <v>28</v>
      </c>
      <c r="AD22" s="4">
        <f>IF('Rhaniad y Ddeiliadaeth (Cymru)'!$D$18="Data Cofrestrfa Tir",'Prisiau Tai (Cymru)'!E22,'Prisiau Tai (Cymru)'!W22)</f>
        <v>122616</v>
      </c>
      <c r="AE22" s="4">
        <f>IF('Rhaniad y Ddeiliadaeth (Cymru)'!$D$18="Data Cofrestrfa Tir",'Prisiau Tai (Cymru)'!F22,'Prisiau Tai (Cymru)'!X22)</f>
        <v>129764.5128</v>
      </c>
      <c r="AF22" s="4">
        <f>IF('Rhaniad y Ddeiliadaeth (Cymru)'!$D$18="Data Cofrestrfa Tir",'Prisiau Tai (Cymru)'!G22,'Prisiau Tai (Cymru)'!Y22)</f>
        <v>138930.67984719563</v>
      </c>
      <c r="AG22" s="4">
        <f>IF('Rhaniad y Ddeiliadaeth (Cymru)'!$D$18="Data Cofrestrfa Tir",'Prisiau Tai (Cymru)'!H22,'Prisiau Tai (Cymru)'!Z22)</f>
        <v>146491.40848963865</v>
      </c>
      <c r="AH22" s="4">
        <f>IF('Rhaniad y Ddeiliadaeth (Cymru)'!$D$18="Data Cofrestrfa Tir",'Prisiau Tai (Cymru)'!I22,'Prisiau Tai (Cymru)'!AA22)</f>
        <v>152670.96228065091</v>
      </c>
    </row>
    <row r="23" spans="2:34" x14ac:dyDescent="0.35">
      <c r="B23" s="251">
        <v>29</v>
      </c>
      <c r="C23" s="258">
        <v>115000</v>
      </c>
      <c r="D23" s="258">
        <v>119950</v>
      </c>
      <c r="E23" s="278">
        <f>D23*(1+'Rhaniad y Ddeiliadaeth (Cymru)'!C$118)</f>
        <v>125707.6</v>
      </c>
      <c r="F23" s="278">
        <f>E23*(1+'Rhaniad y Ddeiliadaeth (Cymru)'!D$118)</f>
        <v>133036.35308</v>
      </c>
      <c r="G23" s="278">
        <f>F23*(1+'Rhaniad y Ddeiliadaeth (Cymru)'!E$118)</f>
        <v>142433.63288607792</v>
      </c>
      <c r="H23" s="278">
        <f>G23*(1+'Rhaniad y Ddeiliadaeth (Cymru)'!F$118)</f>
        <v>150184.99528489023</v>
      </c>
      <c r="I23" s="279">
        <f>H23*(1+'Rhaniad y Ddeiliadaeth (Cymru)'!G$118)</f>
        <v>156520.35833815453</v>
      </c>
      <c r="M23" s="36" t="str">
        <f t="shared" si="0"/>
        <v/>
      </c>
      <c r="N23" s="202"/>
      <c r="O23" s="13">
        <f t="shared" si="3"/>
        <v>1</v>
      </c>
      <c r="U23" s="1">
        <f t="shared" si="1"/>
        <v>29</v>
      </c>
      <c r="V23" s="4" t="str">
        <f t="shared" si="2"/>
        <v/>
      </c>
      <c r="W23" s="4" t="e">
        <f>IF($W$3=$N$3,N23,V23*(1+'Rhaniad y Ddeiliadaeth (Cymru)'!C$118))</f>
        <v>#VALUE!</v>
      </c>
      <c r="X23" s="4" t="e">
        <f>W23*(1+'Rhaniad y Ddeiliadaeth (Cymru)'!D$118)</f>
        <v>#VALUE!</v>
      </c>
      <c r="Y23" s="4" t="e">
        <f>X23*(1+'Rhaniad y Ddeiliadaeth (Cymru)'!E$118)</f>
        <v>#VALUE!</v>
      </c>
      <c r="Z23" s="4" t="e">
        <f>Y23*(1+'Rhaniad y Ddeiliadaeth (Cymru)'!F$118)</f>
        <v>#VALUE!</v>
      </c>
      <c r="AA23" s="4" t="e">
        <f>Z23*(1+'Rhaniad y Ddeiliadaeth (Cymru)'!G$118)</f>
        <v>#VALUE!</v>
      </c>
      <c r="AC23" s="260">
        <v>29</v>
      </c>
      <c r="AD23" s="4">
        <f>IF('Rhaniad y Ddeiliadaeth (Cymru)'!$D$18="Data Cofrestrfa Tir",'Prisiau Tai (Cymru)'!E23,'Prisiau Tai (Cymru)'!W23)</f>
        <v>125707.6</v>
      </c>
      <c r="AE23" s="4">
        <f>IF('Rhaniad y Ddeiliadaeth (Cymru)'!$D$18="Data Cofrestrfa Tir",'Prisiau Tai (Cymru)'!F23,'Prisiau Tai (Cymru)'!X23)</f>
        <v>133036.35308</v>
      </c>
      <c r="AF23" s="4">
        <f>IF('Rhaniad y Ddeiliadaeth (Cymru)'!$D$18="Data Cofrestrfa Tir",'Prisiau Tai (Cymru)'!G23,'Prisiau Tai (Cymru)'!Y23)</f>
        <v>142433.63288607792</v>
      </c>
      <c r="AG23" s="4">
        <f>IF('Rhaniad y Ddeiliadaeth (Cymru)'!$D$18="Data Cofrestrfa Tir",'Prisiau Tai (Cymru)'!H23,'Prisiau Tai (Cymru)'!Z23)</f>
        <v>150184.99528489023</v>
      </c>
      <c r="AH23" s="4">
        <f>IF('Rhaniad y Ddeiliadaeth (Cymru)'!$D$18="Data Cofrestrfa Tir",'Prisiau Tai (Cymru)'!I23,'Prisiau Tai (Cymru)'!AA23)</f>
        <v>156520.35833815453</v>
      </c>
    </row>
    <row r="24" spans="2:34" x14ac:dyDescent="0.35">
      <c r="B24" s="251">
        <v>30</v>
      </c>
      <c r="C24" s="258">
        <v>117000</v>
      </c>
      <c r="D24" s="258">
        <v>120000</v>
      </c>
      <c r="E24" s="278">
        <f>D24*(1+'Rhaniad y Ddeiliadaeth (Cymru)'!C$118)</f>
        <v>125760</v>
      </c>
      <c r="F24" s="278">
        <f>E24*(1+'Rhaniad y Ddeiliadaeth (Cymru)'!D$118)</f>
        <v>133091.80799999999</v>
      </c>
      <c r="G24" s="278">
        <f>F24*(1+'Rhaniad y Ddeiliadaeth (Cymru)'!E$118)</f>
        <v>142493.00497148267</v>
      </c>
      <c r="H24" s="278">
        <f>G24*(1+'Rhaniad y Ddeiliadaeth (Cymru)'!F$118)</f>
        <v>150247.59845091144</v>
      </c>
      <c r="I24" s="279">
        <f>H24*(1+'Rhaniad y Ddeiliadaeth (Cymru)'!G$118)</f>
        <v>156585.60233912914</v>
      </c>
      <c r="M24" s="36" t="str">
        <f t="shared" si="0"/>
        <v/>
      </c>
      <c r="N24" s="202"/>
      <c r="O24" s="13">
        <f t="shared" si="3"/>
        <v>1</v>
      </c>
      <c r="U24" s="1">
        <f t="shared" si="1"/>
        <v>30</v>
      </c>
      <c r="V24" s="4" t="str">
        <f t="shared" si="2"/>
        <v/>
      </c>
      <c r="W24" s="4" t="e">
        <f>IF($W$3=$N$3,N24,V24*(1+'Rhaniad y Ddeiliadaeth (Cymru)'!C$118))</f>
        <v>#VALUE!</v>
      </c>
      <c r="X24" s="4" t="e">
        <f>W24*(1+'Rhaniad y Ddeiliadaeth (Cymru)'!D$118)</f>
        <v>#VALUE!</v>
      </c>
      <c r="Y24" s="4" t="e">
        <f>X24*(1+'Rhaniad y Ddeiliadaeth (Cymru)'!E$118)</f>
        <v>#VALUE!</v>
      </c>
      <c r="Z24" s="4" t="e">
        <f>Y24*(1+'Rhaniad y Ddeiliadaeth (Cymru)'!F$118)</f>
        <v>#VALUE!</v>
      </c>
      <c r="AA24" s="4" t="e">
        <f>Z24*(1+'Rhaniad y Ddeiliadaeth (Cymru)'!G$118)</f>
        <v>#VALUE!</v>
      </c>
      <c r="AC24" s="260">
        <v>30</v>
      </c>
      <c r="AD24" s="4">
        <f>IF('Rhaniad y Ddeiliadaeth (Cymru)'!$D$18="Data Cofrestrfa Tir",'Prisiau Tai (Cymru)'!E24,'Prisiau Tai (Cymru)'!W24)</f>
        <v>125760</v>
      </c>
      <c r="AE24" s="4">
        <f>IF('Rhaniad y Ddeiliadaeth (Cymru)'!$D$18="Data Cofrestrfa Tir",'Prisiau Tai (Cymru)'!F24,'Prisiau Tai (Cymru)'!X24)</f>
        <v>133091.80799999999</v>
      </c>
      <c r="AF24" s="4">
        <f>IF('Rhaniad y Ddeiliadaeth (Cymru)'!$D$18="Data Cofrestrfa Tir",'Prisiau Tai (Cymru)'!G24,'Prisiau Tai (Cymru)'!Y24)</f>
        <v>142493.00497148267</v>
      </c>
      <c r="AG24" s="4">
        <f>IF('Rhaniad y Ddeiliadaeth (Cymru)'!$D$18="Data Cofrestrfa Tir",'Prisiau Tai (Cymru)'!H24,'Prisiau Tai (Cymru)'!Z24)</f>
        <v>150247.59845091144</v>
      </c>
      <c r="AH24" s="4">
        <f>IF('Rhaniad y Ddeiliadaeth (Cymru)'!$D$18="Data Cofrestrfa Tir",'Prisiau Tai (Cymru)'!I24,'Prisiau Tai (Cymru)'!AA24)</f>
        <v>156585.60233912914</v>
      </c>
    </row>
    <row r="25" spans="2:34" x14ac:dyDescent="0.35">
      <c r="B25" s="251">
        <v>31</v>
      </c>
      <c r="C25" s="258">
        <v>118950</v>
      </c>
      <c r="D25" s="258">
        <v>122000</v>
      </c>
      <c r="E25" s="278">
        <f>D25*(1+'Rhaniad y Ddeiliadaeth (Cymru)'!C$118)</f>
        <v>127856</v>
      </c>
      <c r="F25" s="278">
        <f>E25*(1+'Rhaniad y Ddeiliadaeth (Cymru)'!D$118)</f>
        <v>135310.0048</v>
      </c>
      <c r="G25" s="278">
        <f>F25*(1+'Rhaniad y Ddeiliadaeth (Cymru)'!E$118)</f>
        <v>144867.88838767406</v>
      </c>
      <c r="H25" s="278">
        <f>G25*(1+'Rhaniad y Ddeiliadaeth (Cymru)'!F$118)</f>
        <v>152751.72509175996</v>
      </c>
      <c r="I25" s="279">
        <f>H25*(1+'Rhaniad y Ddeiliadaeth (Cymru)'!G$118)</f>
        <v>159195.36237811463</v>
      </c>
      <c r="M25" s="36" t="str">
        <f t="shared" si="0"/>
        <v/>
      </c>
      <c r="N25" s="202"/>
      <c r="O25" s="13">
        <f t="shared" si="3"/>
        <v>1</v>
      </c>
      <c r="U25" s="1">
        <f t="shared" si="1"/>
        <v>31</v>
      </c>
      <c r="V25" s="4" t="str">
        <f t="shared" si="2"/>
        <v/>
      </c>
      <c r="W25" s="4" t="e">
        <f>IF($W$3=$N$3,N25,V25*(1+'Rhaniad y Ddeiliadaeth (Cymru)'!C$118))</f>
        <v>#VALUE!</v>
      </c>
      <c r="X25" s="4" t="e">
        <f>W25*(1+'Rhaniad y Ddeiliadaeth (Cymru)'!D$118)</f>
        <v>#VALUE!</v>
      </c>
      <c r="Y25" s="4" t="e">
        <f>X25*(1+'Rhaniad y Ddeiliadaeth (Cymru)'!E$118)</f>
        <v>#VALUE!</v>
      </c>
      <c r="Z25" s="4" t="e">
        <f>Y25*(1+'Rhaniad y Ddeiliadaeth (Cymru)'!F$118)</f>
        <v>#VALUE!</v>
      </c>
      <c r="AA25" s="4" t="e">
        <f>Z25*(1+'Rhaniad y Ddeiliadaeth (Cymru)'!G$118)</f>
        <v>#VALUE!</v>
      </c>
      <c r="AC25" s="260">
        <v>31</v>
      </c>
      <c r="AD25" s="4">
        <f>IF('Rhaniad y Ddeiliadaeth (Cymru)'!$D$18="Data Cofrestrfa Tir",'Prisiau Tai (Cymru)'!E25,'Prisiau Tai (Cymru)'!W25)</f>
        <v>127856</v>
      </c>
      <c r="AE25" s="4">
        <f>IF('Rhaniad y Ddeiliadaeth (Cymru)'!$D$18="Data Cofrestrfa Tir",'Prisiau Tai (Cymru)'!F25,'Prisiau Tai (Cymru)'!X25)</f>
        <v>135310.0048</v>
      </c>
      <c r="AF25" s="4">
        <f>IF('Rhaniad y Ddeiliadaeth (Cymru)'!$D$18="Data Cofrestrfa Tir",'Prisiau Tai (Cymru)'!G25,'Prisiau Tai (Cymru)'!Y25)</f>
        <v>144867.88838767406</v>
      </c>
      <c r="AG25" s="4">
        <f>IF('Rhaniad y Ddeiliadaeth (Cymru)'!$D$18="Data Cofrestrfa Tir",'Prisiau Tai (Cymru)'!H25,'Prisiau Tai (Cymru)'!Z25)</f>
        <v>152751.72509175996</v>
      </c>
      <c r="AH25" s="4">
        <f>IF('Rhaniad y Ddeiliadaeth (Cymru)'!$D$18="Data Cofrestrfa Tir",'Prisiau Tai (Cymru)'!I25,'Prisiau Tai (Cymru)'!AA25)</f>
        <v>159195.36237811463</v>
      </c>
    </row>
    <row r="26" spans="2:34" x14ac:dyDescent="0.35">
      <c r="B26" s="251">
        <v>32</v>
      </c>
      <c r="C26" s="258">
        <v>120000</v>
      </c>
      <c r="D26" s="258">
        <v>124950</v>
      </c>
      <c r="E26" s="278">
        <f>D26*(1+'Rhaniad y Ddeiliadaeth (Cymru)'!C$118)</f>
        <v>130947.6</v>
      </c>
      <c r="F26" s="278">
        <f>E26*(1+'Rhaniad y Ddeiliadaeth (Cymru)'!D$118)</f>
        <v>138581.84508</v>
      </c>
      <c r="G26" s="278">
        <f>F26*(1+'Rhaniad y Ddeiliadaeth (Cymru)'!E$118)</f>
        <v>148370.84142655635</v>
      </c>
      <c r="H26" s="278">
        <f>G26*(1+'Rhaniad y Ddeiliadaeth (Cymru)'!F$118)</f>
        <v>156445.31188701154</v>
      </c>
      <c r="I26" s="279">
        <f>H26*(1+'Rhaniad y Ddeiliadaeth (Cymru)'!G$118)</f>
        <v>163044.75843561825</v>
      </c>
      <c r="M26" s="36" t="str">
        <f t="shared" si="0"/>
        <v/>
      </c>
      <c r="N26" s="202"/>
      <c r="O26" s="13">
        <f t="shared" si="3"/>
        <v>1</v>
      </c>
      <c r="U26" s="1">
        <f t="shared" si="1"/>
        <v>32</v>
      </c>
      <c r="V26" s="4" t="str">
        <f t="shared" si="2"/>
        <v/>
      </c>
      <c r="W26" s="4" t="e">
        <f>IF($W$3=$N$3,N26,V26*(1+'Rhaniad y Ddeiliadaeth (Cymru)'!C$118))</f>
        <v>#VALUE!</v>
      </c>
      <c r="X26" s="4" t="e">
        <f>W26*(1+'Rhaniad y Ddeiliadaeth (Cymru)'!D$118)</f>
        <v>#VALUE!</v>
      </c>
      <c r="Y26" s="4" t="e">
        <f>X26*(1+'Rhaniad y Ddeiliadaeth (Cymru)'!E$118)</f>
        <v>#VALUE!</v>
      </c>
      <c r="Z26" s="4" t="e">
        <f>Y26*(1+'Rhaniad y Ddeiliadaeth (Cymru)'!F$118)</f>
        <v>#VALUE!</v>
      </c>
      <c r="AA26" s="4" t="e">
        <f>Z26*(1+'Rhaniad y Ddeiliadaeth (Cymru)'!G$118)</f>
        <v>#VALUE!</v>
      </c>
      <c r="AC26" s="260">
        <v>32</v>
      </c>
      <c r="AD26" s="4">
        <f>IF('Rhaniad y Ddeiliadaeth (Cymru)'!$D$18="Data Cofrestrfa Tir",'Prisiau Tai (Cymru)'!E26,'Prisiau Tai (Cymru)'!W26)</f>
        <v>130947.6</v>
      </c>
      <c r="AE26" s="4">
        <f>IF('Rhaniad y Ddeiliadaeth (Cymru)'!$D$18="Data Cofrestrfa Tir",'Prisiau Tai (Cymru)'!F26,'Prisiau Tai (Cymru)'!X26)</f>
        <v>138581.84508</v>
      </c>
      <c r="AF26" s="4">
        <f>IF('Rhaniad y Ddeiliadaeth (Cymru)'!$D$18="Data Cofrestrfa Tir",'Prisiau Tai (Cymru)'!G26,'Prisiau Tai (Cymru)'!Y26)</f>
        <v>148370.84142655635</v>
      </c>
      <c r="AG26" s="4">
        <f>IF('Rhaniad y Ddeiliadaeth (Cymru)'!$D$18="Data Cofrestrfa Tir",'Prisiau Tai (Cymru)'!H26,'Prisiau Tai (Cymru)'!Z26)</f>
        <v>156445.31188701154</v>
      </c>
      <c r="AH26" s="4">
        <f>IF('Rhaniad y Ddeiliadaeth (Cymru)'!$D$18="Data Cofrestrfa Tir",'Prisiau Tai (Cymru)'!I26,'Prisiau Tai (Cymru)'!AA26)</f>
        <v>163044.75843561825</v>
      </c>
    </row>
    <row r="27" spans="2:34" x14ac:dyDescent="0.35">
      <c r="B27" s="251">
        <v>33</v>
      </c>
      <c r="C27" s="258">
        <v>121000</v>
      </c>
      <c r="D27" s="258">
        <v>125000</v>
      </c>
      <c r="E27" s="278">
        <f>D27*(1+'Rhaniad y Ddeiliadaeth (Cymru)'!C$118)</f>
        <v>131000</v>
      </c>
      <c r="F27" s="278">
        <f>E27*(1+'Rhaniad y Ddeiliadaeth (Cymru)'!D$118)</f>
        <v>138637.29999999999</v>
      </c>
      <c r="G27" s="278">
        <f>F27*(1+'Rhaniad y Ddeiliadaeth (Cymru)'!E$118)</f>
        <v>148430.21351196113</v>
      </c>
      <c r="H27" s="278">
        <f>G27*(1+'Rhaniad y Ddeiliadaeth (Cymru)'!F$118)</f>
        <v>156507.91505303275</v>
      </c>
      <c r="I27" s="279">
        <f>H27*(1+'Rhaniad y Ddeiliadaeth (Cymru)'!G$118)</f>
        <v>163110.00243659285</v>
      </c>
      <c r="M27" s="36" t="str">
        <f t="shared" si="0"/>
        <v/>
      </c>
      <c r="N27" s="202"/>
      <c r="O27" s="13">
        <f t="shared" si="3"/>
        <v>1</v>
      </c>
      <c r="U27" s="1">
        <f t="shared" si="1"/>
        <v>33</v>
      </c>
      <c r="V27" s="4" t="str">
        <f t="shared" si="2"/>
        <v/>
      </c>
      <c r="W27" s="4" t="e">
        <f>IF($W$3=$N$3,N27,V27*(1+'Rhaniad y Ddeiliadaeth (Cymru)'!C$118))</f>
        <v>#VALUE!</v>
      </c>
      <c r="X27" s="4" t="e">
        <f>W27*(1+'Rhaniad y Ddeiliadaeth (Cymru)'!D$118)</f>
        <v>#VALUE!</v>
      </c>
      <c r="Y27" s="4" t="e">
        <f>X27*(1+'Rhaniad y Ddeiliadaeth (Cymru)'!E$118)</f>
        <v>#VALUE!</v>
      </c>
      <c r="Z27" s="4" t="e">
        <f>Y27*(1+'Rhaniad y Ddeiliadaeth (Cymru)'!F$118)</f>
        <v>#VALUE!</v>
      </c>
      <c r="AA27" s="4" t="e">
        <f>Z27*(1+'Rhaniad y Ddeiliadaeth (Cymru)'!G$118)</f>
        <v>#VALUE!</v>
      </c>
      <c r="AC27" s="260">
        <v>33</v>
      </c>
      <c r="AD27" s="4">
        <f>IF('Rhaniad y Ddeiliadaeth (Cymru)'!$D$18="Data Cofrestrfa Tir",'Prisiau Tai (Cymru)'!E27,'Prisiau Tai (Cymru)'!W27)</f>
        <v>131000</v>
      </c>
      <c r="AE27" s="4">
        <f>IF('Rhaniad y Ddeiliadaeth (Cymru)'!$D$18="Data Cofrestrfa Tir",'Prisiau Tai (Cymru)'!F27,'Prisiau Tai (Cymru)'!X27)</f>
        <v>138637.29999999999</v>
      </c>
      <c r="AF27" s="4">
        <f>IF('Rhaniad y Ddeiliadaeth (Cymru)'!$D$18="Data Cofrestrfa Tir",'Prisiau Tai (Cymru)'!G27,'Prisiau Tai (Cymru)'!Y27)</f>
        <v>148430.21351196113</v>
      </c>
      <c r="AG27" s="4">
        <f>IF('Rhaniad y Ddeiliadaeth (Cymru)'!$D$18="Data Cofrestrfa Tir",'Prisiau Tai (Cymru)'!H27,'Prisiau Tai (Cymru)'!Z27)</f>
        <v>156507.91505303275</v>
      </c>
      <c r="AH27" s="4">
        <f>IF('Rhaniad y Ddeiliadaeth (Cymru)'!$D$18="Data Cofrestrfa Tir",'Prisiau Tai (Cymru)'!I27,'Prisiau Tai (Cymru)'!AA27)</f>
        <v>163110.00243659285</v>
      </c>
    </row>
    <row r="28" spans="2:34" x14ac:dyDescent="0.35">
      <c r="B28" s="251">
        <v>34</v>
      </c>
      <c r="C28" s="258">
        <v>123000</v>
      </c>
      <c r="D28" s="258">
        <v>127000</v>
      </c>
      <c r="E28" s="278">
        <f>D28*(1+'Rhaniad y Ddeiliadaeth (Cymru)'!C$118)</f>
        <v>133096</v>
      </c>
      <c r="F28" s="278">
        <f>E28*(1+'Rhaniad y Ddeiliadaeth (Cymru)'!D$118)</f>
        <v>140855.49679999999</v>
      </c>
      <c r="G28" s="278">
        <f>F28*(1+'Rhaniad y Ddeiliadaeth (Cymru)'!E$118)</f>
        <v>150805.09692815252</v>
      </c>
      <c r="H28" s="278">
        <f>G28*(1+'Rhaniad y Ddeiliadaeth (Cymru)'!F$118)</f>
        <v>159012.04169388127</v>
      </c>
      <c r="I28" s="279">
        <f>H28*(1+'Rhaniad y Ddeiliadaeth (Cymru)'!G$118)</f>
        <v>165719.76247557835</v>
      </c>
      <c r="M28" s="36" t="str">
        <f t="shared" si="0"/>
        <v/>
      </c>
      <c r="N28" s="202"/>
      <c r="O28" s="13">
        <f t="shared" si="3"/>
        <v>1</v>
      </c>
      <c r="U28" s="1">
        <f t="shared" si="1"/>
        <v>34</v>
      </c>
      <c r="V28" s="4" t="str">
        <f t="shared" si="2"/>
        <v/>
      </c>
      <c r="W28" s="4" t="e">
        <f>IF($W$3=$N$3,N28,V28*(1+'Rhaniad y Ddeiliadaeth (Cymru)'!C$118))</f>
        <v>#VALUE!</v>
      </c>
      <c r="X28" s="4" t="e">
        <f>W28*(1+'Rhaniad y Ddeiliadaeth (Cymru)'!D$118)</f>
        <v>#VALUE!</v>
      </c>
      <c r="Y28" s="4" t="e">
        <f>X28*(1+'Rhaniad y Ddeiliadaeth (Cymru)'!E$118)</f>
        <v>#VALUE!</v>
      </c>
      <c r="Z28" s="4" t="e">
        <f>Y28*(1+'Rhaniad y Ddeiliadaeth (Cymru)'!F$118)</f>
        <v>#VALUE!</v>
      </c>
      <c r="AA28" s="4" t="e">
        <f>Z28*(1+'Rhaniad y Ddeiliadaeth (Cymru)'!G$118)</f>
        <v>#VALUE!</v>
      </c>
      <c r="AC28" s="260">
        <v>34</v>
      </c>
      <c r="AD28" s="4">
        <f>IF('Rhaniad y Ddeiliadaeth (Cymru)'!$D$18="Data Cofrestrfa Tir",'Prisiau Tai (Cymru)'!E28,'Prisiau Tai (Cymru)'!W28)</f>
        <v>133096</v>
      </c>
      <c r="AE28" s="4">
        <f>IF('Rhaniad y Ddeiliadaeth (Cymru)'!$D$18="Data Cofrestrfa Tir",'Prisiau Tai (Cymru)'!F28,'Prisiau Tai (Cymru)'!X28)</f>
        <v>140855.49679999999</v>
      </c>
      <c r="AF28" s="4">
        <f>IF('Rhaniad y Ddeiliadaeth (Cymru)'!$D$18="Data Cofrestrfa Tir",'Prisiau Tai (Cymru)'!G28,'Prisiau Tai (Cymru)'!Y28)</f>
        <v>150805.09692815252</v>
      </c>
      <c r="AG28" s="4">
        <f>IF('Rhaniad y Ddeiliadaeth (Cymru)'!$D$18="Data Cofrestrfa Tir",'Prisiau Tai (Cymru)'!H28,'Prisiau Tai (Cymru)'!Z28)</f>
        <v>159012.04169388127</v>
      </c>
      <c r="AH28" s="4">
        <f>IF('Rhaniad y Ddeiliadaeth (Cymru)'!$D$18="Data Cofrestrfa Tir",'Prisiau Tai (Cymru)'!I28,'Prisiau Tai (Cymru)'!AA28)</f>
        <v>165719.76247557835</v>
      </c>
    </row>
    <row r="29" spans="2:34" x14ac:dyDescent="0.35">
      <c r="B29" s="251">
        <v>35</v>
      </c>
      <c r="C29" s="258">
        <v>125000</v>
      </c>
      <c r="D29" s="258">
        <v>129000</v>
      </c>
      <c r="E29" s="278">
        <f>D29*(1+'Rhaniad y Ddeiliadaeth (Cymru)'!C$118)</f>
        <v>135192</v>
      </c>
      <c r="F29" s="278">
        <f>E29*(1+'Rhaniad y Ddeiliadaeth (Cymru)'!D$118)</f>
        <v>143073.6936</v>
      </c>
      <c r="G29" s="278">
        <f>F29*(1+'Rhaniad y Ddeiliadaeth (Cymru)'!E$118)</f>
        <v>153179.9803443439</v>
      </c>
      <c r="H29" s="278">
        <f>G29*(1+'Rhaniad y Ddeiliadaeth (Cymru)'!F$118)</f>
        <v>161516.16833472982</v>
      </c>
      <c r="I29" s="279">
        <f>H29*(1+'Rhaniad y Ddeiliadaeth (Cymru)'!G$118)</f>
        <v>168329.52251456387</v>
      </c>
      <c r="M29" s="36" t="str">
        <f t="shared" si="0"/>
        <v/>
      </c>
      <c r="N29" s="202"/>
      <c r="O29" s="13">
        <f t="shared" si="3"/>
        <v>1</v>
      </c>
      <c r="U29" s="1">
        <f t="shared" si="1"/>
        <v>35</v>
      </c>
      <c r="V29" s="4" t="str">
        <f t="shared" si="2"/>
        <v/>
      </c>
      <c r="W29" s="4" t="e">
        <f>IF($W$3=$N$3,N29,V29*(1+'Rhaniad y Ddeiliadaeth (Cymru)'!C$118))</f>
        <v>#VALUE!</v>
      </c>
      <c r="X29" s="4" t="e">
        <f>W29*(1+'Rhaniad y Ddeiliadaeth (Cymru)'!D$118)</f>
        <v>#VALUE!</v>
      </c>
      <c r="Y29" s="4" t="e">
        <f>X29*(1+'Rhaniad y Ddeiliadaeth (Cymru)'!E$118)</f>
        <v>#VALUE!</v>
      </c>
      <c r="Z29" s="4" t="e">
        <f>Y29*(1+'Rhaniad y Ddeiliadaeth (Cymru)'!F$118)</f>
        <v>#VALUE!</v>
      </c>
      <c r="AA29" s="4" t="e">
        <f>Z29*(1+'Rhaniad y Ddeiliadaeth (Cymru)'!G$118)</f>
        <v>#VALUE!</v>
      </c>
      <c r="AC29" s="260">
        <v>35</v>
      </c>
      <c r="AD29" s="4">
        <f>IF('Rhaniad y Ddeiliadaeth (Cymru)'!$D$18="Data Cofrestrfa Tir",'Prisiau Tai (Cymru)'!E29,'Prisiau Tai (Cymru)'!W29)</f>
        <v>135192</v>
      </c>
      <c r="AE29" s="4">
        <f>IF('Rhaniad y Ddeiliadaeth (Cymru)'!$D$18="Data Cofrestrfa Tir",'Prisiau Tai (Cymru)'!F29,'Prisiau Tai (Cymru)'!X29)</f>
        <v>143073.6936</v>
      </c>
      <c r="AF29" s="4">
        <f>IF('Rhaniad y Ddeiliadaeth (Cymru)'!$D$18="Data Cofrestrfa Tir",'Prisiau Tai (Cymru)'!G29,'Prisiau Tai (Cymru)'!Y29)</f>
        <v>153179.9803443439</v>
      </c>
      <c r="AG29" s="4">
        <f>IF('Rhaniad y Ddeiliadaeth (Cymru)'!$D$18="Data Cofrestrfa Tir",'Prisiau Tai (Cymru)'!H29,'Prisiau Tai (Cymru)'!Z29)</f>
        <v>161516.16833472982</v>
      </c>
      <c r="AH29" s="4">
        <f>IF('Rhaniad y Ddeiliadaeth (Cymru)'!$D$18="Data Cofrestrfa Tir",'Prisiau Tai (Cymru)'!I29,'Prisiau Tai (Cymru)'!AA29)</f>
        <v>168329.52251456387</v>
      </c>
    </row>
    <row r="30" spans="2:34" x14ac:dyDescent="0.35">
      <c r="B30" s="251">
        <v>36</v>
      </c>
      <c r="C30" s="258">
        <v>125000</v>
      </c>
      <c r="D30" s="258">
        <v>130000</v>
      </c>
      <c r="E30" s="278">
        <f>D30*(1+'Rhaniad y Ddeiliadaeth (Cymru)'!C$118)</f>
        <v>136240</v>
      </c>
      <c r="F30" s="278">
        <f>E30*(1+'Rhaniad y Ddeiliadaeth (Cymru)'!D$118)</f>
        <v>144182.79200000002</v>
      </c>
      <c r="G30" s="278">
        <f>F30*(1+'Rhaniad y Ddeiliadaeth (Cymru)'!E$118)</f>
        <v>154367.42205243959</v>
      </c>
      <c r="H30" s="278">
        <f>G30*(1+'Rhaniad y Ddeiliadaeth (Cymru)'!F$118)</f>
        <v>162768.23165515409</v>
      </c>
      <c r="I30" s="279">
        <f>H30*(1+'Rhaniad y Ddeiliadaeth (Cymru)'!G$118)</f>
        <v>169634.4025340566</v>
      </c>
      <c r="M30" s="36" t="str">
        <f t="shared" si="0"/>
        <v/>
      </c>
      <c r="N30" s="202"/>
      <c r="O30" s="13">
        <f t="shared" si="3"/>
        <v>1</v>
      </c>
      <c r="U30" s="1">
        <f t="shared" si="1"/>
        <v>36</v>
      </c>
      <c r="V30" s="4" t="str">
        <f t="shared" si="2"/>
        <v/>
      </c>
      <c r="W30" s="4" t="e">
        <f>IF($W$3=$N$3,N30,V30*(1+'Rhaniad y Ddeiliadaeth (Cymru)'!C$118))</f>
        <v>#VALUE!</v>
      </c>
      <c r="X30" s="4" t="e">
        <f>W30*(1+'Rhaniad y Ddeiliadaeth (Cymru)'!D$118)</f>
        <v>#VALUE!</v>
      </c>
      <c r="Y30" s="4" t="e">
        <f>X30*(1+'Rhaniad y Ddeiliadaeth (Cymru)'!E$118)</f>
        <v>#VALUE!</v>
      </c>
      <c r="Z30" s="4" t="e">
        <f>Y30*(1+'Rhaniad y Ddeiliadaeth (Cymru)'!F$118)</f>
        <v>#VALUE!</v>
      </c>
      <c r="AA30" s="4" t="e">
        <f>Z30*(1+'Rhaniad y Ddeiliadaeth (Cymru)'!G$118)</f>
        <v>#VALUE!</v>
      </c>
      <c r="AC30" s="260">
        <v>36</v>
      </c>
      <c r="AD30" s="4">
        <f>IF('Rhaniad y Ddeiliadaeth (Cymru)'!$D$18="Data Cofrestrfa Tir",'Prisiau Tai (Cymru)'!E30,'Prisiau Tai (Cymru)'!W30)</f>
        <v>136240</v>
      </c>
      <c r="AE30" s="4">
        <f>IF('Rhaniad y Ddeiliadaeth (Cymru)'!$D$18="Data Cofrestrfa Tir",'Prisiau Tai (Cymru)'!F30,'Prisiau Tai (Cymru)'!X30)</f>
        <v>144182.79200000002</v>
      </c>
      <c r="AF30" s="4">
        <f>IF('Rhaniad y Ddeiliadaeth (Cymru)'!$D$18="Data Cofrestrfa Tir",'Prisiau Tai (Cymru)'!G30,'Prisiau Tai (Cymru)'!Y30)</f>
        <v>154367.42205243959</v>
      </c>
      <c r="AG30" s="4">
        <f>IF('Rhaniad y Ddeiliadaeth (Cymru)'!$D$18="Data Cofrestrfa Tir",'Prisiau Tai (Cymru)'!H30,'Prisiau Tai (Cymru)'!Z30)</f>
        <v>162768.23165515409</v>
      </c>
      <c r="AH30" s="4">
        <f>IF('Rhaniad y Ddeiliadaeth (Cymru)'!$D$18="Data Cofrestrfa Tir",'Prisiau Tai (Cymru)'!I30,'Prisiau Tai (Cymru)'!AA30)</f>
        <v>169634.4025340566</v>
      </c>
    </row>
    <row r="31" spans="2:34" x14ac:dyDescent="0.35">
      <c r="B31" s="251">
        <v>37</v>
      </c>
      <c r="C31" s="258">
        <v>127500</v>
      </c>
      <c r="D31" s="258">
        <v>132000</v>
      </c>
      <c r="E31" s="278">
        <f>D31*(1+'Rhaniad y Ddeiliadaeth (Cymru)'!C$118)</f>
        <v>138336</v>
      </c>
      <c r="F31" s="278">
        <f>E31*(1+'Rhaniad y Ddeiliadaeth (Cymru)'!D$118)</f>
        <v>146400.98879999999</v>
      </c>
      <c r="G31" s="278">
        <f>F31*(1+'Rhaniad y Ddeiliadaeth (Cymru)'!E$118)</f>
        <v>156742.30546863095</v>
      </c>
      <c r="H31" s="278">
        <f>G31*(1+'Rhaniad y Ddeiliadaeth (Cymru)'!F$118)</f>
        <v>165272.35829600258</v>
      </c>
      <c r="I31" s="279">
        <f>H31*(1+'Rhaniad y Ddeiliadaeth (Cymru)'!G$118)</f>
        <v>172244.16257304206</v>
      </c>
      <c r="M31" s="36" t="str">
        <f t="shared" si="0"/>
        <v/>
      </c>
      <c r="N31" s="202"/>
      <c r="O31" s="13">
        <f t="shared" si="3"/>
        <v>1</v>
      </c>
      <c r="U31" s="1">
        <f t="shared" si="1"/>
        <v>37</v>
      </c>
      <c r="V31" s="4" t="str">
        <f t="shared" si="2"/>
        <v/>
      </c>
      <c r="W31" s="4" t="e">
        <f>IF($W$3=$N$3,N31,V31*(1+'Rhaniad y Ddeiliadaeth (Cymru)'!C$118))</f>
        <v>#VALUE!</v>
      </c>
      <c r="X31" s="4" t="e">
        <f>W31*(1+'Rhaniad y Ddeiliadaeth (Cymru)'!D$118)</f>
        <v>#VALUE!</v>
      </c>
      <c r="Y31" s="4" t="e">
        <f>X31*(1+'Rhaniad y Ddeiliadaeth (Cymru)'!E$118)</f>
        <v>#VALUE!</v>
      </c>
      <c r="Z31" s="4" t="e">
        <f>Y31*(1+'Rhaniad y Ddeiliadaeth (Cymru)'!F$118)</f>
        <v>#VALUE!</v>
      </c>
      <c r="AA31" s="4" t="e">
        <f>Z31*(1+'Rhaniad y Ddeiliadaeth (Cymru)'!G$118)</f>
        <v>#VALUE!</v>
      </c>
      <c r="AC31" s="260">
        <v>37</v>
      </c>
      <c r="AD31" s="4">
        <f>IF('Rhaniad y Ddeiliadaeth (Cymru)'!$D$18="Data Cofrestrfa Tir",'Prisiau Tai (Cymru)'!E31,'Prisiau Tai (Cymru)'!W31)</f>
        <v>138336</v>
      </c>
      <c r="AE31" s="4">
        <f>IF('Rhaniad y Ddeiliadaeth (Cymru)'!$D$18="Data Cofrestrfa Tir",'Prisiau Tai (Cymru)'!F31,'Prisiau Tai (Cymru)'!X31)</f>
        <v>146400.98879999999</v>
      </c>
      <c r="AF31" s="4">
        <f>IF('Rhaniad y Ddeiliadaeth (Cymru)'!$D$18="Data Cofrestrfa Tir",'Prisiau Tai (Cymru)'!G31,'Prisiau Tai (Cymru)'!Y31)</f>
        <v>156742.30546863095</v>
      </c>
      <c r="AG31" s="4">
        <f>IF('Rhaniad y Ddeiliadaeth (Cymru)'!$D$18="Data Cofrestrfa Tir",'Prisiau Tai (Cymru)'!H31,'Prisiau Tai (Cymru)'!Z31)</f>
        <v>165272.35829600258</v>
      </c>
      <c r="AH31" s="4">
        <f>IF('Rhaniad y Ddeiliadaeth (Cymru)'!$D$18="Data Cofrestrfa Tir",'Prisiau Tai (Cymru)'!I31,'Prisiau Tai (Cymru)'!AA31)</f>
        <v>172244.16257304206</v>
      </c>
    </row>
    <row r="32" spans="2:34" x14ac:dyDescent="0.35">
      <c r="B32" s="251">
        <v>38</v>
      </c>
      <c r="C32" s="258">
        <v>130000</v>
      </c>
      <c r="D32" s="258">
        <v>134000</v>
      </c>
      <c r="E32" s="278">
        <f>D32*(1+'Rhaniad y Ddeiliadaeth (Cymru)'!C$118)</f>
        <v>140432</v>
      </c>
      <c r="F32" s="278">
        <f>E32*(1+'Rhaniad y Ddeiliadaeth (Cymru)'!D$118)</f>
        <v>148619.1856</v>
      </c>
      <c r="G32" s="278">
        <f>F32*(1+'Rhaniad y Ddeiliadaeth (Cymru)'!E$118)</f>
        <v>159117.18888482233</v>
      </c>
      <c r="H32" s="278">
        <f>G32*(1+'Rhaniad y Ddeiliadaeth (Cymru)'!F$118)</f>
        <v>167776.48493685111</v>
      </c>
      <c r="I32" s="279">
        <f>H32*(1+'Rhaniad y Ddeiliadaeth (Cymru)'!G$118)</f>
        <v>174853.92261202756</v>
      </c>
      <c r="M32" s="36" t="str">
        <f t="shared" si="0"/>
        <v/>
      </c>
      <c r="N32" s="202"/>
      <c r="O32" s="13">
        <f t="shared" si="3"/>
        <v>1</v>
      </c>
      <c r="U32" s="1">
        <f t="shared" si="1"/>
        <v>38</v>
      </c>
      <c r="V32" s="4" t="str">
        <f t="shared" si="2"/>
        <v/>
      </c>
      <c r="W32" s="4" t="e">
        <f>IF($W$3=$N$3,N32,V32*(1+'Rhaniad y Ddeiliadaeth (Cymru)'!C$118))</f>
        <v>#VALUE!</v>
      </c>
      <c r="X32" s="4" t="e">
        <f>W32*(1+'Rhaniad y Ddeiliadaeth (Cymru)'!D$118)</f>
        <v>#VALUE!</v>
      </c>
      <c r="Y32" s="4" t="e">
        <f>X32*(1+'Rhaniad y Ddeiliadaeth (Cymru)'!E$118)</f>
        <v>#VALUE!</v>
      </c>
      <c r="Z32" s="4" t="e">
        <f>Y32*(1+'Rhaniad y Ddeiliadaeth (Cymru)'!F$118)</f>
        <v>#VALUE!</v>
      </c>
      <c r="AA32" s="4" t="e">
        <f>Z32*(1+'Rhaniad y Ddeiliadaeth (Cymru)'!G$118)</f>
        <v>#VALUE!</v>
      </c>
      <c r="AC32" s="260">
        <v>38</v>
      </c>
      <c r="AD32" s="4">
        <f>IF('Rhaniad y Ddeiliadaeth (Cymru)'!$D$18="Data Cofrestrfa Tir",'Prisiau Tai (Cymru)'!E32,'Prisiau Tai (Cymru)'!W32)</f>
        <v>140432</v>
      </c>
      <c r="AE32" s="4">
        <f>IF('Rhaniad y Ddeiliadaeth (Cymru)'!$D$18="Data Cofrestrfa Tir",'Prisiau Tai (Cymru)'!F32,'Prisiau Tai (Cymru)'!X32)</f>
        <v>148619.1856</v>
      </c>
      <c r="AF32" s="4">
        <f>IF('Rhaniad y Ddeiliadaeth (Cymru)'!$D$18="Data Cofrestrfa Tir",'Prisiau Tai (Cymru)'!G32,'Prisiau Tai (Cymru)'!Y32)</f>
        <v>159117.18888482233</v>
      </c>
      <c r="AG32" s="4">
        <f>IF('Rhaniad y Ddeiliadaeth (Cymru)'!$D$18="Data Cofrestrfa Tir",'Prisiau Tai (Cymru)'!H32,'Prisiau Tai (Cymru)'!Z32)</f>
        <v>167776.48493685111</v>
      </c>
      <c r="AH32" s="4">
        <f>IF('Rhaniad y Ddeiliadaeth (Cymru)'!$D$18="Data Cofrestrfa Tir",'Prisiau Tai (Cymru)'!I32,'Prisiau Tai (Cymru)'!AA32)</f>
        <v>174853.92261202756</v>
      </c>
    </row>
    <row r="33" spans="2:34" x14ac:dyDescent="0.35">
      <c r="B33" s="251">
        <v>39</v>
      </c>
      <c r="C33" s="258">
        <v>130000</v>
      </c>
      <c r="D33" s="258">
        <v>135000</v>
      </c>
      <c r="E33" s="278">
        <f>D33*(1+'Rhaniad y Ddeiliadaeth (Cymru)'!C$118)</f>
        <v>141480</v>
      </c>
      <c r="F33" s="278">
        <f>E33*(1+'Rhaniad y Ddeiliadaeth (Cymru)'!D$118)</f>
        <v>149728.28400000001</v>
      </c>
      <c r="G33" s="278">
        <f>F33*(1+'Rhaniad y Ddeiliadaeth (Cymru)'!E$118)</f>
        <v>160304.63059291805</v>
      </c>
      <c r="H33" s="278">
        <f>G33*(1+'Rhaniad y Ddeiliadaeth (Cymru)'!F$118)</f>
        <v>169028.5482572754</v>
      </c>
      <c r="I33" s="279">
        <f>H33*(1+'Rhaniad y Ddeiliadaeth (Cymru)'!G$118)</f>
        <v>176158.80263152032</v>
      </c>
      <c r="M33" s="36" t="str">
        <f t="shared" si="0"/>
        <v/>
      </c>
      <c r="N33" s="202"/>
      <c r="O33" s="13">
        <f t="shared" si="3"/>
        <v>1</v>
      </c>
      <c r="U33" s="1">
        <f t="shared" si="1"/>
        <v>39</v>
      </c>
      <c r="V33" s="4" t="str">
        <f t="shared" si="2"/>
        <v/>
      </c>
      <c r="W33" s="4" t="e">
        <f>IF($W$3=$N$3,N33,V33*(1+'Rhaniad y Ddeiliadaeth (Cymru)'!C$118))</f>
        <v>#VALUE!</v>
      </c>
      <c r="X33" s="4" t="e">
        <f>W33*(1+'Rhaniad y Ddeiliadaeth (Cymru)'!D$118)</f>
        <v>#VALUE!</v>
      </c>
      <c r="Y33" s="4" t="e">
        <f>X33*(1+'Rhaniad y Ddeiliadaeth (Cymru)'!E$118)</f>
        <v>#VALUE!</v>
      </c>
      <c r="Z33" s="4" t="e">
        <f>Y33*(1+'Rhaniad y Ddeiliadaeth (Cymru)'!F$118)</f>
        <v>#VALUE!</v>
      </c>
      <c r="AA33" s="4" t="e">
        <f>Z33*(1+'Rhaniad y Ddeiliadaeth (Cymru)'!G$118)</f>
        <v>#VALUE!</v>
      </c>
      <c r="AC33" s="260">
        <v>39</v>
      </c>
      <c r="AD33" s="4">
        <f>IF('Rhaniad y Ddeiliadaeth (Cymru)'!$D$18="Data Cofrestrfa Tir",'Prisiau Tai (Cymru)'!E33,'Prisiau Tai (Cymru)'!W33)</f>
        <v>141480</v>
      </c>
      <c r="AE33" s="4">
        <f>IF('Rhaniad y Ddeiliadaeth (Cymru)'!$D$18="Data Cofrestrfa Tir",'Prisiau Tai (Cymru)'!F33,'Prisiau Tai (Cymru)'!X33)</f>
        <v>149728.28400000001</v>
      </c>
      <c r="AF33" s="4">
        <f>IF('Rhaniad y Ddeiliadaeth (Cymru)'!$D$18="Data Cofrestrfa Tir",'Prisiau Tai (Cymru)'!G33,'Prisiau Tai (Cymru)'!Y33)</f>
        <v>160304.63059291805</v>
      </c>
      <c r="AG33" s="4">
        <f>IF('Rhaniad y Ddeiliadaeth (Cymru)'!$D$18="Data Cofrestrfa Tir",'Prisiau Tai (Cymru)'!H33,'Prisiau Tai (Cymru)'!Z33)</f>
        <v>169028.5482572754</v>
      </c>
      <c r="AH33" s="4">
        <f>IF('Rhaniad y Ddeiliadaeth (Cymru)'!$D$18="Data Cofrestrfa Tir",'Prisiau Tai (Cymru)'!I33,'Prisiau Tai (Cymru)'!AA33)</f>
        <v>176158.80263152032</v>
      </c>
    </row>
    <row r="34" spans="2:34" x14ac:dyDescent="0.35">
      <c r="B34" s="251">
        <v>40</v>
      </c>
      <c r="C34" s="258">
        <v>132500</v>
      </c>
      <c r="D34" s="258">
        <v>137000</v>
      </c>
      <c r="E34" s="278">
        <f>D34*(1+'Rhaniad y Ddeiliadaeth (Cymru)'!C$118)</f>
        <v>143576</v>
      </c>
      <c r="F34" s="278">
        <f>E34*(1+'Rhaniad y Ddeiliadaeth (Cymru)'!D$118)</f>
        <v>151946.48079999999</v>
      </c>
      <c r="G34" s="278">
        <f>F34*(1+'Rhaniad y Ddeiliadaeth (Cymru)'!E$118)</f>
        <v>162679.51400910941</v>
      </c>
      <c r="H34" s="278">
        <f>G34*(1+'Rhaniad y Ddeiliadaeth (Cymru)'!F$118)</f>
        <v>171532.67489812389</v>
      </c>
      <c r="I34" s="279">
        <f>H34*(1+'Rhaniad y Ddeiliadaeth (Cymru)'!G$118)</f>
        <v>178768.56267050578</v>
      </c>
      <c r="M34" s="36" t="str">
        <f t="shared" si="0"/>
        <v/>
      </c>
      <c r="N34" s="202"/>
      <c r="O34" s="13">
        <f t="shared" si="3"/>
        <v>1</v>
      </c>
      <c r="U34" s="1">
        <f t="shared" si="1"/>
        <v>40</v>
      </c>
      <c r="V34" s="4" t="str">
        <f t="shared" si="2"/>
        <v/>
      </c>
      <c r="W34" s="4" t="e">
        <f>IF($W$3=$N$3,N34,V34*(1+'Rhaniad y Ddeiliadaeth (Cymru)'!C$118))</f>
        <v>#VALUE!</v>
      </c>
      <c r="X34" s="4" t="e">
        <f>W34*(1+'Rhaniad y Ddeiliadaeth (Cymru)'!D$118)</f>
        <v>#VALUE!</v>
      </c>
      <c r="Y34" s="4" t="e">
        <f>X34*(1+'Rhaniad y Ddeiliadaeth (Cymru)'!E$118)</f>
        <v>#VALUE!</v>
      </c>
      <c r="Z34" s="4" t="e">
        <f>Y34*(1+'Rhaniad y Ddeiliadaeth (Cymru)'!F$118)</f>
        <v>#VALUE!</v>
      </c>
      <c r="AA34" s="4" t="e">
        <f>Z34*(1+'Rhaniad y Ddeiliadaeth (Cymru)'!G$118)</f>
        <v>#VALUE!</v>
      </c>
      <c r="AC34" s="260">
        <v>40</v>
      </c>
      <c r="AD34" s="4">
        <f>IF('Rhaniad y Ddeiliadaeth (Cymru)'!$D$18="Data Cofrestrfa Tir",'Prisiau Tai (Cymru)'!E34,'Prisiau Tai (Cymru)'!W34)</f>
        <v>143576</v>
      </c>
      <c r="AE34" s="4">
        <f>IF('Rhaniad y Ddeiliadaeth (Cymru)'!$D$18="Data Cofrestrfa Tir",'Prisiau Tai (Cymru)'!F34,'Prisiau Tai (Cymru)'!X34)</f>
        <v>151946.48079999999</v>
      </c>
      <c r="AF34" s="4">
        <f>IF('Rhaniad y Ddeiliadaeth (Cymru)'!$D$18="Data Cofrestrfa Tir",'Prisiau Tai (Cymru)'!G34,'Prisiau Tai (Cymru)'!Y34)</f>
        <v>162679.51400910941</v>
      </c>
      <c r="AG34" s="4">
        <f>IF('Rhaniad y Ddeiliadaeth (Cymru)'!$D$18="Data Cofrestrfa Tir",'Prisiau Tai (Cymru)'!H34,'Prisiau Tai (Cymru)'!Z34)</f>
        <v>171532.67489812389</v>
      </c>
      <c r="AH34" s="4">
        <f>IF('Rhaniad y Ddeiliadaeth (Cymru)'!$D$18="Data Cofrestrfa Tir",'Prisiau Tai (Cymru)'!I34,'Prisiau Tai (Cymru)'!AA34)</f>
        <v>178768.56267050578</v>
      </c>
    </row>
    <row r="35" spans="2:34" x14ac:dyDescent="0.35">
      <c r="B35" s="251">
        <v>41</v>
      </c>
      <c r="C35" s="258">
        <v>135000</v>
      </c>
      <c r="D35" s="258">
        <v>139000</v>
      </c>
      <c r="E35" s="278">
        <f>D35*(1+'Rhaniad y Ddeiliadaeth (Cymru)'!C$118)</f>
        <v>145672</v>
      </c>
      <c r="F35" s="278">
        <f>E35*(1+'Rhaniad y Ddeiliadaeth (Cymru)'!D$118)</f>
        <v>154164.6776</v>
      </c>
      <c r="G35" s="278">
        <f>F35*(1+'Rhaniad y Ddeiliadaeth (Cymru)'!E$118)</f>
        <v>165054.39742530079</v>
      </c>
      <c r="H35" s="278">
        <f>G35*(1+'Rhaniad y Ddeiliadaeth (Cymru)'!F$118)</f>
        <v>174036.80153897242</v>
      </c>
      <c r="I35" s="279">
        <f>H35*(1+'Rhaniad y Ddeiliadaeth (Cymru)'!G$118)</f>
        <v>181378.32270949127</v>
      </c>
      <c r="M35" s="36" t="str">
        <f t="shared" si="0"/>
        <v/>
      </c>
      <c r="N35" s="202"/>
      <c r="O35" s="13">
        <f t="shared" si="3"/>
        <v>1</v>
      </c>
      <c r="U35" s="1">
        <f t="shared" si="1"/>
        <v>41</v>
      </c>
      <c r="V35" s="4" t="str">
        <f t="shared" si="2"/>
        <v/>
      </c>
      <c r="W35" s="4" t="e">
        <f>IF($W$3=$N$3,N35,V35*(1+'Rhaniad y Ddeiliadaeth (Cymru)'!C$118))</f>
        <v>#VALUE!</v>
      </c>
      <c r="X35" s="4" t="e">
        <f>W35*(1+'Rhaniad y Ddeiliadaeth (Cymru)'!D$118)</f>
        <v>#VALUE!</v>
      </c>
      <c r="Y35" s="4" t="e">
        <f>X35*(1+'Rhaniad y Ddeiliadaeth (Cymru)'!E$118)</f>
        <v>#VALUE!</v>
      </c>
      <c r="Z35" s="4" t="e">
        <f>Y35*(1+'Rhaniad y Ddeiliadaeth (Cymru)'!F$118)</f>
        <v>#VALUE!</v>
      </c>
      <c r="AA35" s="4" t="e">
        <f>Z35*(1+'Rhaniad y Ddeiliadaeth (Cymru)'!G$118)</f>
        <v>#VALUE!</v>
      </c>
      <c r="AC35" s="260">
        <v>41</v>
      </c>
      <c r="AD35" s="4">
        <f>IF('Rhaniad y Ddeiliadaeth (Cymru)'!$D$18="Data Cofrestrfa Tir",'Prisiau Tai (Cymru)'!E35,'Prisiau Tai (Cymru)'!W35)</f>
        <v>145672</v>
      </c>
      <c r="AE35" s="4">
        <f>IF('Rhaniad y Ddeiliadaeth (Cymru)'!$D$18="Data Cofrestrfa Tir",'Prisiau Tai (Cymru)'!F35,'Prisiau Tai (Cymru)'!X35)</f>
        <v>154164.6776</v>
      </c>
      <c r="AF35" s="4">
        <f>IF('Rhaniad y Ddeiliadaeth (Cymru)'!$D$18="Data Cofrestrfa Tir",'Prisiau Tai (Cymru)'!G35,'Prisiau Tai (Cymru)'!Y35)</f>
        <v>165054.39742530079</v>
      </c>
      <c r="AG35" s="4">
        <f>IF('Rhaniad y Ddeiliadaeth (Cymru)'!$D$18="Data Cofrestrfa Tir",'Prisiau Tai (Cymru)'!H35,'Prisiau Tai (Cymru)'!Z35)</f>
        <v>174036.80153897242</v>
      </c>
      <c r="AH35" s="4">
        <f>IF('Rhaniad y Ddeiliadaeth (Cymru)'!$D$18="Data Cofrestrfa Tir",'Prisiau Tai (Cymru)'!I35,'Prisiau Tai (Cymru)'!AA35)</f>
        <v>181378.32270949127</v>
      </c>
    </row>
    <row r="36" spans="2:34" x14ac:dyDescent="0.35">
      <c r="B36" s="251">
        <v>42</v>
      </c>
      <c r="C36" s="258">
        <v>135500</v>
      </c>
      <c r="D36" s="258">
        <v>140000</v>
      </c>
      <c r="E36" s="278">
        <f>D36*(1+'Rhaniad y Ddeiliadaeth (Cymru)'!C$118)</f>
        <v>146720</v>
      </c>
      <c r="F36" s="278">
        <f>E36*(1+'Rhaniad y Ddeiliadaeth (Cymru)'!D$118)</f>
        <v>155273.77600000001</v>
      </c>
      <c r="G36" s="278">
        <f>F36*(1+'Rhaniad y Ddeiliadaeth (Cymru)'!E$118)</f>
        <v>166241.83913339648</v>
      </c>
      <c r="H36" s="278">
        <f>G36*(1+'Rhaniad y Ddeiliadaeth (Cymru)'!F$118)</f>
        <v>175288.86485939671</v>
      </c>
      <c r="I36" s="279">
        <f>H36*(1+'Rhaniad y Ddeiliadaeth (Cymru)'!G$118)</f>
        <v>182683.20272898403</v>
      </c>
      <c r="M36" s="36" t="str">
        <f t="shared" si="0"/>
        <v/>
      </c>
      <c r="N36" s="202"/>
      <c r="O36" s="13">
        <f t="shared" si="3"/>
        <v>1</v>
      </c>
      <c r="U36" s="1">
        <f t="shared" si="1"/>
        <v>42</v>
      </c>
      <c r="V36" s="4" t="str">
        <f t="shared" si="2"/>
        <v/>
      </c>
      <c r="W36" s="4" t="e">
        <f>IF($W$3=$N$3,N36,V36*(1+'Rhaniad y Ddeiliadaeth (Cymru)'!C$118))</f>
        <v>#VALUE!</v>
      </c>
      <c r="X36" s="4" t="e">
        <f>W36*(1+'Rhaniad y Ddeiliadaeth (Cymru)'!D$118)</f>
        <v>#VALUE!</v>
      </c>
      <c r="Y36" s="4" t="e">
        <f>X36*(1+'Rhaniad y Ddeiliadaeth (Cymru)'!E$118)</f>
        <v>#VALUE!</v>
      </c>
      <c r="Z36" s="4" t="e">
        <f>Y36*(1+'Rhaniad y Ddeiliadaeth (Cymru)'!F$118)</f>
        <v>#VALUE!</v>
      </c>
      <c r="AA36" s="4" t="e">
        <f>Z36*(1+'Rhaniad y Ddeiliadaeth (Cymru)'!G$118)</f>
        <v>#VALUE!</v>
      </c>
      <c r="AC36" s="260">
        <v>42</v>
      </c>
      <c r="AD36" s="4">
        <f>IF('Rhaniad y Ddeiliadaeth (Cymru)'!$D$18="Data Cofrestrfa Tir",'Prisiau Tai (Cymru)'!E36,'Prisiau Tai (Cymru)'!W36)</f>
        <v>146720</v>
      </c>
      <c r="AE36" s="4">
        <f>IF('Rhaniad y Ddeiliadaeth (Cymru)'!$D$18="Data Cofrestrfa Tir",'Prisiau Tai (Cymru)'!F36,'Prisiau Tai (Cymru)'!X36)</f>
        <v>155273.77600000001</v>
      </c>
      <c r="AF36" s="4">
        <f>IF('Rhaniad y Ddeiliadaeth (Cymru)'!$D$18="Data Cofrestrfa Tir",'Prisiau Tai (Cymru)'!G36,'Prisiau Tai (Cymru)'!Y36)</f>
        <v>166241.83913339648</v>
      </c>
      <c r="AG36" s="4">
        <f>IF('Rhaniad y Ddeiliadaeth (Cymru)'!$D$18="Data Cofrestrfa Tir",'Prisiau Tai (Cymru)'!H36,'Prisiau Tai (Cymru)'!Z36)</f>
        <v>175288.86485939671</v>
      </c>
      <c r="AH36" s="4">
        <f>IF('Rhaniad y Ddeiliadaeth (Cymru)'!$D$18="Data Cofrestrfa Tir",'Prisiau Tai (Cymru)'!I36,'Prisiau Tai (Cymru)'!AA36)</f>
        <v>182683.20272898403</v>
      </c>
    </row>
    <row r="37" spans="2:34" x14ac:dyDescent="0.35">
      <c r="B37" s="251">
        <v>43</v>
      </c>
      <c r="C37" s="258">
        <v>138000</v>
      </c>
      <c r="D37" s="258">
        <v>142500</v>
      </c>
      <c r="E37" s="278">
        <f>D37*(1+'Rhaniad y Ddeiliadaeth (Cymru)'!C$118)</f>
        <v>149340</v>
      </c>
      <c r="F37" s="278">
        <f>E37*(1+'Rhaniad y Ddeiliadaeth (Cymru)'!D$118)</f>
        <v>158046.522</v>
      </c>
      <c r="G37" s="278">
        <f>F37*(1+'Rhaniad y Ddeiliadaeth (Cymru)'!E$118)</f>
        <v>169210.4434036357</v>
      </c>
      <c r="H37" s="278">
        <f>G37*(1+'Rhaniad y Ddeiliadaeth (Cymru)'!F$118)</f>
        <v>178419.02316045735</v>
      </c>
      <c r="I37" s="279">
        <f>H37*(1+'Rhaniad y Ddeiliadaeth (Cymru)'!G$118)</f>
        <v>185945.40277771588</v>
      </c>
      <c r="M37" s="36" t="str">
        <f t="shared" si="0"/>
        <v/>
      </c>
      <c r="N37" s="202"/>
      <c r="O37" s="13">
        <f t="shared" si="3"/>
        <v>1</v>
      </c>
      <c r="U37" s="1">
        <f t="shared" si="1"/>
        <v>43</v>
      </c>
      <c r="V37" s="4" t="str">
        <f t="shared" si="2"/>
        <v/>
      </c>
      <c r="W37" s="4" t="e">
        <f>IF($W$3=$N$3,N37,V37*(1+'Rhaniad y Ddeiliadaeth (Cymru)'!C$118))</f>
        <v>#VALUE!</v>
      </c>
      <c r="X37" s="4" t="e">
        <f>W37*(1+'Rhaniad y Ddeiliadaeth (Cymru)'!D$118)</f>
        <v>#VALUE!</v>
      </c>
      <c r="Y37" s="4" t="e">
        <f>X37*(1+'Rhaniad y Ddeiliadaeth (Cymru)'!E$118)</f>
        <v>#VALUE!</v>
      </c>
      <c r="Z37" s="4" t="e">
        <f>Y37*(1+'Rhaniad y Ddeiliadaeth (Cymru)'!F$118)</f>
        <v>#VALUE!</v>
      </c>
      <c r="AA37" s="4" t="e">
        <f>Z37*(1+'Rhaniad y Ddeiliadaeth (Cymru)'!G$118)</f>
        <v>#VALUE!</v>
      </c>
      <c r="AC37" s="260">
        <v>43</v>
      </c>
      <c r="AD37" s="4">
        <f>IF('Rhaniad y Ddeiliadaeth (Cymru)'!$D$18="Data Cofrestrfa Tir",'Prisiau Tai (Cymru)'!E37,'Prisiau Tai (Cymru)'!W37)</f>
        <v>149340</v>
      </c>
      <c r="AE37" s="4">
        <f>IF('Rhaniad y Ddeiliadaeth (Cymru)'!$D$18="Data Cofrestrfa Tir",'Prisiau Tai (Cymru)'!F37,'Prisiau Tai (Cymru)'!X37)</f>
        <v>158046.522</v>
      </c>
      <c r="AF37" s="4">
        <f>IF('Rhaniad y Ddeiliadaeth (Cymru)'!$D$18="Data Cofrestrfa Tir",'Prisiau Tai (Cymru)'!G37,'Prisiau Tai (Cymru)'!Y37)</f>
        <v>169210.4434036357</v>
      </c>
      <c r="AG37" s="4">
        <f>IF('Rhaniad y Ddeiliadaeth (Cymru)'!$D$18="Data Cofrestrfa Tir",'Prisiau Tai (Cymru)'!H37,'Prisiau Tai (Cymru)'!Z37)</f>
        <v>178419.02316045735</v>
      </c>
      <c r="AH37" s="4">
        <f>IF('Rhaniad y Ddeiliadaeth (Cymru)'!$D$18="Data Cofrestrfa Tir",'Prisiau Tai (Cymru)'!I37,'Prisiau Tai (Cymru)'!AA37)</f>
        <v>185945.40277771588</v>
      </c>
    </row>
    <row r="38" spans="2:34" x14ac:dyDescent="0.35">
      <c r="B38" s="251">
        <v>44</v>
      </c>
      <c r="C38" s="258">
        <v>140000</v>
      </c>
      <c r="D38" s="258">
        <v>145000</v>
      </c>
      <c r="E38" s="278">
        <f>D38*(1+'Rhaniad y Ddeiliadaeth (Cymru)'!C$118)</f>
        <v>151960</v>
      </c>
      <c r="F38" s="278">
        <f>E38*(1+'Rhaniad y Ddeiliadaeth (Cymru)'!D$118)</f>
        <v>160819.26800000001</v>
      </c>
      <c r="G38" s="278">
        <f>F38*(1+'Rhaniad y Ddeiliadaeth (Cymru)'!E$118)</f>
        <v>172179.04767387494</v>
      </c>
      <c r="H38" s="278">
        <f>G38*(1+'Rhaniad y Ddeiliadaeth (Cymru)'!F$118)</f>
        <v>181549.18146151802</v>
      </c>
      <c r="I38" s="279">
        <f>H38*(1+'Rhaniad y Ddeiliadaeth (Cymru)'!G$118)</f>
        <v>189207.60282644775</v>
      </c>
      <c r="M38" s="36" t="str">
        <f t="shared" si="0"/>
        <v/>
      </c>
      <c r="N38" s="202"/>
      <c r="O38" s="13">
        <f t="shared" si="3"/>
        <v>1</v>
      </c>
      <c r="U38" s="1">
        <f t="shared" si="1"/>
        <v>44</v>
      </c>
      <c r="V38" s="4" t="str">
        <f t="shared" si="2"/>
        <v/>
      </c>
      <c r="W38" s="4" t="e">
        <f>IF($W$3=$N$3,N38,V38*(1+'Rhaniad y Ddeiliadaeth (Cymru)'!C$118))</f>
        <v>#VALUE!</v>
      </c>
      <c r="X38" s="4" t="e">
        <f>W38*(1+'Rhaniad y Ddeiliadaeth (Cymru)'!D$118)</f>
        <v>#VALUE!</v>
      </c>
      <c r="Y38" s="4" t="e">
        <f>X38*(1+'Rhaniad y Ddeiliadaeth (Cymru)'!E$118)</f>
        <v>#VALUE!</v>
      </c>
      <c r="Z38" s="4" t="e">
        <f>Y38*(1+'Rhaniad y Ddeiliadaeth (Cymru)'!F$118)</f>
        <v>#VALUE!</v>
      </c>
      <c r="AA38" s="4" t="e">
        <f>Z38*(1+'Rhaniad y Ddeiliadaeth (Cymru)'!G$118)</f>
        <v>#VALUE!</v>
      </c>
      <c r="AC38" s="260">
        <v>44</v>
      </c>
      <c r="AD38" s="4">
        <f>IF('Rhaniad y Ddeiliadaeth (Cymru)'!$D$18="Data Cofrestrfa Tir",'Prisiau Tai (Cymru)'!E38,'Prisiau Tai (Cymru)'!W38)</f>
        <v>151960</v>
      </c>
      <c r="AE38" s="4">
        <f>IF('Rhaniad y Ddeiliadaeth (Cymru)'!$D$18="Data Cofrestrfa Tir",'Prisiau Tai (Cymru)'!F38,'Prisiau Tai (Cymru)'!X38)</f>
        <v>160819.26800000001</v>
      </c>
      <c r="AF38" s="4">
        <f>IF('Rhaniad y Ddeiliadaeth (Cymru)'!$D$18="Data Cofrestrfa Tir",'Prisiau Tai (Cymru)'!G38,'Prisiau Tai (Cymru)'!Y38)</f>
        <v>172179.04767387494</v>
      </c>
      <c r="AG38" s="4">
        <f>IF('Rhaniad y Ddeiliadaeth (Cymru)'!$D$18="Data Cofrestrfa Tir",'Prisiau Tai (Cymru)'!H38,'Prisiau Tai (Cymru)'!Z38)</f>
        <v>181549.18146151802</v>
      </c>
      <c r="AH38" s="4">
        <f>IF('Rhaniad y Ddeiliadaeth (Cymru)'!$D$18="Data Cofrestrfa Tir",'Prisiau Tai (Cymru)'!I38,'Prisiau Tai (Cymru)'!AA38)</f>
        <v>189207.60282644775</v>
      </c>
    </row>
    <row r="39" spans="2:34" x14ac:dyDescent="0.35">
      <c r="B39" s="251">
        <v>45</v>
      </c>
      <c r="C39" s="258">
        <v>140166.75</v>
      </c>
      <c r="D39" s="258">
        <v>146000</v>
      </c>
      <c r="E39" s="278">
        <f>D39*(1+'Rhaniad y Ddeiliadaeth (Cymru)'!C$118)</f>
        <v>153008</v>
      </c>
      <c r="F39" s="278">
        <f>E39*(1+'Rhaniad y Ddeiliadaeth (Cymru)'!D$118)</f>
        <v>161928.3664</v>
      </c>
      <c r="G39" s="278">
        <f>F39*(1+'Rhaniad y Ddeiliadaeth (Cymru)'!E$118)</f>
        <v>173366.4893819706</v>
      </c>
      <c r="H39" s="278">
        <f>G39*(1+'Rhaniad y Ddeiliadaeth (Cymru)'!F$118)</f>
        <v>182801.24478194225</v>
      </c>
      <c r="I39" s="279">
        <f>H39*(1+'Rhaniad y Ddeiliadaeth (Cymru)'!G$118)</f>
        <v>190512.48284594048</v>
      </c>
      <c r="M39" s="36" t="str">
        <f t="shared" si="0"/>
        <v/>
      </c>
      <c r="N39" s="202"/>
      <c r="O39" s="13">
        <f t="shared" si="3"/>
        <v>1</v>
      </c>
      <c r="U39" s="1">
        <f t="shared" si="1"/>
        <v>45</v>
      </c>
      <c r="V39" s="4" t="str">
        <f t="shared" si="2"/>
        <v/>
      </c>
      <c r="W39" s="4" t="e">
        <f>IF($W$3=$N$3,N39,V39*(1+'Rhaniad y Ddeiliadaeth (Cymru)'!C$118))</f>
        <v>#VALUE!</v>
      </c>
      <c r="X39" s="4" t="e">
        <f>W39*(1+'Rhaniad y Ddeiliadaeth (Cymru)'!D$118)</f>
        <v>#VALUE!</v>
      </c>
      <c r="Y39" s="4" t="e">
        <f>X39*(1+'Rhaniad y Ddeiliadaeth (Cymru)'!E$118)</f>
        <v>#VALUE!</v>
      </c>
      <c r="Z39" s="4" t="e">
        <f>Y39*(1+'Rhaniad y Ddeiliadaeth (Cymru)'!F$118)</f>
        <v>#VALUE!</v>
      </c>
      <c r="AA39" s="4" t="e">
        <f>Z39*(1+'Rhaniad y Ddeiliadaeth (Cymru)'!G$118)</f>
        <v>#VALUE!</v>
      </c>
      <c r="AC39" s="260">
        <v>45</v>
      </c>
      <c r="AD39" s="4">
        <f>IF('Rhaniad y Ddeiliadaeth (Cymru)'!$D$18="Data Cofrestrfa Tir",'Prisiau Tai (Cymru)'!E39,'Prisiau Tai (Cymru)'!W39)</f>
        <v>153008</v>
      </c>
      <c r="AE39" s="4">
        <f>IF('Rhaniad y Ddeiliadaeth (Cymru)'!$D$18="Data Cofrestrfa Tir",'Prisiau Tai (Cymru)'!F39,'Prisiau Tai (Cymru)'!X39)</f>
        <v>161928.3664</v>
      </c>
      <c r="AF39" s="4">
        <f>IF('Rhaniad y Ddeiliadaeth (Cymru)'!$D$18="Data Cofrestrfa Tir",'Prisiau Tai (Cymru)'!G39,'Prisiau Tai (Cymru)'!Y39)</f>
        <v>173366.4893819706</v>
      </c>
      <c r="AG39" s="4">
        <f>IF('Rhaniad y Ddeiliadaeth (Cymru)'!$D$18="Data Cofrestrfa Tir",'Prisiau Tai (Cymru)'!H39,'Prisiau Tai (Cymru)'!Z39)</f>
        <v>182801.24478194225</v>
      </c>
      <c r="AH39" s="4">
        <f>IF('Rhaniad y Ddeiliadaeth (Cymru)'!$D$18="Data Cofrestrfa Tir",'Prisiau Tai (Cymru)'!I39,'Prisiau Tai (Cymru)'!AA39)</f>
        <v>190512.48284594048</v>
      </c>
    </row>
    <row r="40" spans="2:34" x14ac:dyDescent="0.35">
      <c r="B40" s="251">
        <v>46</v>
      </c>
      <c r="C40" s="258">
        <v>143500</v>
      </c>
      <c r="D40" s="258">
        <v>149000</v>
      </c>
      <c r="E40" s="278">
        <f>D40*(1+'Rhaniad y Ddeiliadaeth (Cymru)'!C$118)</f>
        <v>156152</v>
      </c>
      <c r="F40" s="278">
        <f>E40*(1+'Rhaniad y Ddeiliadaeth (Cymru)'!D$118)</f>
        <v>165255.66159999999</v>
      </c>
      <c r="G40" s="278">
        <f>F40*(1+'Rhaniad y Ddeiliadaeth (Cymru)'!E$118)</f>
        <v>176928.81450625768</v>
      </c>
      <c r="H40" s="278">
        <f>G40*(1+'Rhaniad y Ddeiliadaeth (Cymru)'!F$118)</f>
        <v>186557.43474321504</v>
      </c>
      <c r="I40" s="279">
        <f>H40*(1+'Rhaniad y Ddeiliadaeth (Cymru)'!G$118)</f>
        <v>194427.12290441871</v>
      </c>
      <c r="M40" s="36" t="str">
        <f t="shared" si="0"/>
        <v/>
      </c>
      <c r="N40" s="202"/>
      <c r="O40" s="13">
        <f t="shared" si="3"/>
        <v>1</v>
      </c>
      <c r="U40" s="1">
        <f t="shared" si="1"/>
        <v>46</v>
      </c>
      <c r="V40" s="4" t="str">
        <f t="shared" si="2"/>
        <v/>
      </c>
      <c r="W40" s="4" t="e">
        <f>IF($W$3=$N$3,N40,V40*(1+'Rhaniad y Ddeiliadaeth (Cymru)'!C$118))</f>
        <v>#VALUE!</v>
      </c>
      <c r="X40" s="4" t="e">
        <f>W40*(1+'Rhaniad y Ddeiliadaeth (Cymru)'!D$118)</f>
        <v>#VALUE!</v>
      </c>
      <c r="Y40" s="4" t="e">
        <f>X40*(1+'Rhaniad y Ddeiliadaeth (Cymru)'!E$118)</f>
        <v>#VALUE!</v>
      </c>
      <c r="Z40" s="4" t="e">
        <f>Y40*(1+'Rhaniad y Ddeiliadaeth (Cymru)'!F$118)</f>
        <v>#VALUE!</v>
      </c>
      <c r="AA40" s="4" t="e">
        <f>Z40*(1+'Rhaniad y Ddeiliadaeth (Cymru)'!G$118)</f>
        <v>#VALUE!</v>
      </c>
      <c r="AC40" s="260">
        <v>46</v>
      </c>
      <c r="AD40" s="4">
        <f>IF('Rhaniad y Ddeiliadaeth (Cymru)'!$D$18="Data Cofrestrfa Tir",'Prisiau Tai (Cymru)'!E40,'Prisiau Tai (Cymru)'!W40)</f>
        <v>156152</v>
      </c>
      <c r="AE40" s="4">
        <f>IF('Rhaniad y Ddeiliadaeth (Cymru)'!$D$18="Data Cofrestrfa Tir",'Prisiau Tai (Cymru)'!F40,'Prisiau Tai (Cymru)'!X40)</f>
        <v>165255.66159999999</v>
      </c>
      <c r="AF40" s="4">
        <f>IF('Rhaniad y Ddeiliadaeth (Cymru)'!$D$18="Data Cofrestrfa Tir",'Prisiau Tai (Cymru)'!G40,'Prisiau Tai (Cymru)'!Y40)</f>
        <v>176928.81450625768</v>
      </c>
      <c r="AG40" s="4">
        <f>IF('Rhaniad y Ddeiliadaeth (Cymru)'!$D$18="Data Cofrestrfa Tir",'Prisiau Tai (Cymru)'!H40,'Prisiau Tai (Cymru)'!Z40)</f>
        <v>186557.43474321504</v>
      </c>
      <c r="AH40" s="4">
        <f>IF('Rhaniad y Ddeiliadaeth (Cymru)'!$D$18="Data Cofrestrfa Tir",'Prisiau Tai (Cymru)'!I40,'Prisiau Tai (Cymru)'!AA40)</f>
        <v>194427.12290441871</v>
      </c>
    </row>
    <row r="41" spans="2:34" x14ac:dyDescent="0.35">
      <c r="B41" s="251">
        <v>47</v>
      </c>
      <c r="C41" s="258">
        <v>145000</v>
      </c>
      <c r="D41" s="258">
        <v>150000</v>
      </c>
      <c r="E41" s="278">
        <f>D41*(1+'Rhaniad y Ddeiliadaeth (Cymru)'!C$118)</f>
        <v>157200</v>
      </c>
      <c r="F41" s="278">
        <f>E41*(1+'Rhaniad y Ddeiliadaeth (Cymru)'!D$118)</f>
        <v>166364.76</v>
      </c>
      <c r="G41" s="278">
        <f>F41*(1+'Rhaniad y Ddeiliadaeth (Cymru)'!E$118)</f>
        <v>178116.25621435337</v>
      </c>
      <c r="H41" s="278">
        <f>G41*(1+'Rhaniad y Ddeiliadaeth (Cymru)'!F$118)</f>
        <v>187809.4980636393</v>
      </c>
      <c r="I41" s="279">
        <f>H41*(1+'Rhaniad y Ddeiliadaeth (Cymru)'!G$118)</f>
        <v>195732.00292391144</v>
      </c>
      <c r="M41" s="36" t="str">
        <f t="shared" si="0"/>
        <v/>
      </c>
      <c r="N41" s="202"/>
      <c r="O41" s="13">
        <f t="shared" si="3"/>
        <v>1</v>
      </c>
      <c r="U41" s="1">
        <f t="shared" si="1"/>
        <v>47</v>
      </c>
      <c r="V41" s="4" t="str">
        <f t="shared" si="2"/>
        <v/>
      </c>
      <c r="W41" s="4" t="e">
        <f>IF($W$3=$N$3,N41,V41*(1+'Rhaniad y Ddeiliadaeth (Cymru)'!C$118))</f>
        <v>#VALUE!</v>
      </c>
      <c r="X41" s="4" t="e">
        <f>W41*(1+'Rhaniad y Ddeiliadaeth (Cymru)'!D$118)</f>
        <v>#VALUE!</v>
      </c>
      <c r="Y41" s="4" t="e">
        <f>X41*(1+'Rhaniad y Ddeiliadaeth (Cymru)'!E$118)</f>
        <v>#VALUE!</v>
      </c>
      <c r="Z41" s="4" t="e">
        <f>Y41*(1+'Rhaniad y Ddeiliadaeth (Cymru)'!F$118)</f>
        <v>#VALUE!</v>
      </c>
      <c r="AA41" s="4" t="e">
        <f>Z41*(1+'Rhaniad y Ddeiliadaeth (Cymru)'!G$118)</f>
        <v>#VALUE!</v>
      </c>
      <c r="AC41" s="260">
        <v>47</v>
      </c>
      <c r="AD41" s="4">
        <f>IF('Rhaniad y Ddeiliadaeth (Cymru)'!$D$18="Data Cofrestrfa Tir",'Prisiau Tai (Cymru)'!E41,'Prisiau Tai (Cymru)'!W41)</f>
        <v>157200</v>
      </c>
      <c r="AE41" s="4">
        <f>IF('Rhaniad y Ddeiliadaeth (Cymru)'!$D$18="Data Cofrestrfa Tir",'Prisiau Tai (Cymru)'!F41,'Prisiau Tai (Cymru)'!X41)</f>
        <v>166364.76</v>
      </c>
      <c r="AF41" s="4">
        <f>IF('Rhaniad y Ddeiliadaeth (Cymru)'!$D$18="Data Cofrestrfa Tir",'Prisiau Tai (Cymru)'!G41,'Prisiau Tai (Cymru)'!Y41)</f>
        <v>178116.25621435337</v>
      </c>
      <c r="AG41" s="4">
        <f>IF('Rhaniad y Ddeiliadaeth (Cymru)'!$D$18="Data Cofrestrfa Tir",'Prisiau Tai (Cymru)'!H41,'Prisiau Tai (Cymru)'!Z41)</f>
        <v>187809.4980636393</v>
      </c>
      <c r="AH41" s="4">
        <f>IF('Rhaniad y Ddeiliadaeth (Cymru)'!$D$18="Data Cofrestrfa Tir",'Prisiau Tai (Cymru)'!I41,'Prisiau Tai (Cymru)'!AA41)</f>
        <v>195732.00292391144</v>
      </c>
    </row>
    <row r="42" spans="2:34" x14ac:dyDescent="0.35">
      <c r="B42" s="251">
        <v>48</v>
      </c>
      <c r="C42" s="258">
        <v>147000</v>
      </c>
      <c r="D42" s="258">
        <v>151950</v>
      </c>
      <c r="E42" s="278">
        <f>D42*(1+'Rhaniad y Ddeiliadaeth (Cymru)'!C$118)</f>
        <v>159243.6</v>
      </c>
      <c r="F42" s="278">
        <f>E42*(1+'Rhaniad y Ddeiliadaeth (Cymru)'!D$118)</f>
        <v>168527.50188</v>
      </c>
      <c r="G42" s="278">
        <f>F42*(1+'Rhaniad y Ddeiliadaeth (Cymru)'!E$118)</f>
        <v>180431.76754513994</v>
      </c>
      <c r="H42" s="278">
        <f>G42*(1+'Rhaniad y Ddeiliadaeth (Cymru)'!F$118)</f>
        <v>190251.02153846659</v>
      </c>
      <c r="I42" s="279">
        <f>H42*(1+'Rhaniad y Ddeiliadaeth (Cymru)'!G$118)</f>
        <v>198276.51896192227</v>
      </c>
      <c r="M42" s="36" t="str">
        <f t="shared" si="0"/>
        <v/>
      </c>
      <c r="N42" s="202"/>
      <c r="O42" s="13">
        <f t="shared" si="3"/>
        <v>1</v>
      </c>
      <c r="U42" s="1">
        <f t="shared" si="1"/>
        <v>48</v>
      </c>
      <c r="V42" s="4" t="str">
        <f t="shared" si="2"/>
        <v/>
      </c>
      <c r="W42" s="4" t="e">
        <f>IF($W$3=$N$3,N42,V42*(1+'Rhaniad y Ddeiliadaeth (Cymru)'!C$118))</f>
        <v>#VALUE!</v>
      </c>
      <c r="X42" s="4" t="e">
        <f>W42*(1+'Rhaniad y Ddeiliadaeth (Cymru)'!D$118)</f>
        <v>#VALUE!</v>
      </c>
      <c r="Y42" s="4" t="e">
        <f>X42*(1+'Rhaniad y Ddeiliadaeth (Cymru)'!E$118)</f>
        <v>#VALUE!</v>
      </c>
      <c r="Z42" s="4" t="e">
        <f>Y42*(1+'Rhaniad y Ddeiliadaeth (Cymru)'!F$118)</f>
        <v>#VALUE!</v>
      </c>
      <c r="AA42" s="4" t="e">
        <f>Z42*(1+'Rhaniad y Ddeiliadaeth (Cymru)'!G$118)</f>
        <v>#VALUE!</v>
      </c>
      <c r="AC42" s="260">
        <v>48</v>
      </c>
      <c r="AD42" s="4">
        <f>IF('Rhaniad y Ddeiliadaeth (Cymru)'!$D$18="Data Cofrestrfa Tir",'Prisiau Tai (Cymru)'!E42,'Prisiau Tai (Cymru)'!W42)</f>
        <v>159243.6</v>
      </c>
      <c r="AE42" s="4">
        <f>IF('Rhaniad y Ddeiliadaeth (Cymru)'!$D$18="Data Cofrestrfa Tir",'Prisiau Tai (Cymru)'!F42,'Prisiau Tai (Cymru)'!X42)</f>
        <v>168527.50188</v>
      </c>
      <c r="AF42" s="4">
        <f>IF('Rhaniad y Ddeiliadaeth (Cymru)'!$D$18="Data Cofrestrfa Tir",'Prisiau Tai (Cymru)'!G42,'Prisiau Tai (Cymru)'!Y42)</f>
        <v>180431.76754513994</v>
      </c>
      <c r="AG42" s="4">
        <f>IF('Rhaniad y Ddeiliadaeth (Cymru)'!$D$18="Data Cofrestrfa Tir",'Prisiau Tai (Cymru)'!H42,'Prisiau Tai (Cymru)'!Z42)</f>
        <v>190251.02153846659</v>
      </c>
      <c r="AH42" s="4">
        <f>IF('Rhaniad y Ddeiliadaeth (Cymru)'!$D$18="Data Cofrestrfa Tir",'Prisiau Tai (Cymru)'!I42,'Prisiau Tai (Cymru)'!AA42)</f>
        <v>198276.51896192227</v>
      </c>
    </row>
    <row r="43" spans="2:34" x14ac:dyDescent="0.35">
      <c r="B43" s="251">
        <v>49</v>
      </c>
      <c r="C43" s="258">
        <v>149995</v>
      </c>
      <c r="D43" s="258">
        <v>155000</v>
      </c>
      <c r="E43" s="278">
        <f>D43*(1+'Rhaniad y Ddeiliadaeth (Cymru)'!C$118)</f>
        <v>162440</v>
      </c>
      <c r="F43" s="278">
        <f>E43*(1+'Rhaniad y Ddeiliadaeth (Cymru)'!D$118)</f>
        <v>171910.25200000001</v>
      </c>
      <c r="G43" s="278">
        <f>F43*(1+'Rhaniad y Ddeiliadaeth (Cymru)'!E$118)</f>
        <v>184053.46475483183</v>
      </c>
      <c r="H43" s="278">
        <f>G43*(1+'Rhaniad y Ddeiliadaeth (Cymru)'!F$118)</f>
        <v>194069.81466576064</v>
      </c>
      <c r="I43" s="279">
        <f>H43*(1+'Rhaniad y Ddeiliadaeth (Cymru)'!G$118)</f>
        <v>202256.40302137518</v>
      </c>
      <c r="M43" s="36" t="str">
        <f t="shared" si="0"/>
        <v/>
      </c>
      <c r="N43" s="202"/>
      <c r="O43" s="13">
        <f t="shared" si="3"/>
        <v>1</v>
      </c>
      <c r="U43" s="1">
        <f t="shared" si="1"/>
        <v>49</v>
      </c>
      <c r="V43" s="4" t="str">
        <f t="shared" si="2"/>
        <v/>
      </c>
      <c r="W43" s="4" t="e">
        <f>IF($W$3=$N$3,N43,V43*(1+'Rhaniad y Ddeiliadaeth (Cymru)'!C$118))</f>
        <v>#VALUE!</v>
      </c>
      <c r="X43" s="4" t="e">
        <f>W43*(1+'Rhaniad y Ddeiliadaeth (Cymru)'!D$118)</f>
        <v>#VALUE!</v>
      </c>
      <c r="Y43" s="4" t="e">
        <f>X43*(1+'Rhaniad y Ddeiliadaeth (Cymru)'!E$118)</f>
        <v>#VALUE!</v>
      </c>
      <c r="Z43" s="4" t="e">
        <f>Y43*(1+'Rhaniad y Ddeiliadaeth (Cymru)'!F$118)</f>
        <v>#VALUE!</v>
      </c>
      <c r="AA43" s="4" t="e">
        <f>Z43*(1+'Rhaniad y Ddeiliadaeth (Cymru)'!G$118)</f>
        <v>#VALUE!</v>
      </c>
      <c r="AC43" s="260">
        <v>49</v>
      </c>
      <c r="AD43" s="4">
        <f>IF('Rhaniad y Ddeiliadaeth (Cymru)'!$D$18="Data Cofrestrfa Tir",'Prisiau Tai (Cymru)'!E43,'Prisiau Tai (Cymru)'!W43)</f>
        <v>162440</v>
      </c>
      <c r="AE43" s="4">
        <f>IF('Rhaniad y Ddeiliadaeth (Cymru)'!$D$18="Data Cofrestrfa Tir",'Prisiau Tai (Cymru)'!F43,'Prisiau Tai (Cymru)'!X43)</f>
        <v>171910.25200000001</v>
      </c>
      <c r="AF43" s="4">
        <f>IF('Rhaniad y Ddeiliadaeth (Cymru)'!$D$18="Data Cofrestrfa Tir",'Prisiau Tai (Cymru)'!G43,'Prisiau Tai (Cymru)'!Y43)</f>
        <v>184053.46475483183</v>
      </c>
      <c r="AG43" s="4">
        <f>IF('Rhaniad y Ddeiliadaeth (Cymru)'!$D$18="Data Cofrestrfa Tir",'Prisiau Tai (Cymru)'!H43,'Prisiau Tai (Cymru)'!Z43)</f>
        <v>194069.81466576064</v>
      </c>
      <c r="AH43" s="4">
        <f>IF('Rhaniad y Ddeiliadaeth (Cymru)'!$D$18="Data Cofrestrfa Tir",'Prisiau Tai (Cymru)'!I43,'Prisiau Tai (Cymru)'!AA43)</f>
        <v>202256.40302137518</v>
      </c>
    </row>
    <row r="44" spans="2:34" x14ac:dyDescent="0.35">
      <c r="B44" s="251">
        <v>50</v>
      </c>
      <c r="C44" s="258">
        <v>150000</v>
      </c>
      <c r="D44" s="258">
        <v>155000</v>
      </c>
      <c r="E44" s="278">
        <f>D44*(1+'Rhaniad y Ddeiliadaeth (Cymru)'!C$118)</f>
        <v>162440</v>
      </c>
      <c r="F44" s="278">
        <f>E44*(1+'Rhaniad y Ddeiliadaeth (Cymru)'!D$118)</f>
        <v>171910.25200000001</v>
      </c>
      <c r="G44" s="278">
        <f>F44*(1+'Rhaniad y Ddeiliadaeth (Cymru)'!E$118)</f>
        <v>184053.46475483183</v>
      </c>
      <c r="H44" s="278">
        <f>G44*(1+'Rhaniad y Ddeiliadaeth (Cymru)'!F$118)</f>
        <v>194069.81466576064</v>
      </c>
      <c r="I44" s="279">
        <f>H44*(1+'Rhaniad y Ddeiliadaeth (Cymru)'!G$118)</f>
        <v>202256.40302137518</v>
      </c>
      <c r="M44" s="36" t="str">
        <f t="shared" si="0"/>
        <v/>
      </c>
      <c r="N44" s="202"/>
      <c r="O44" s="13">
        <f t="shared" si="3"/>
        <v>1</v>
      </c>
      <c r="U44" s="1">
        <f t="shared" si="1"/>
        <v>50</v>
      </c>
      <c r="V44" s="4" t="str">
        <f t="shared" si="2"/>
        <v/>
      </c>
      <c r="W44" s="4" t="e">
        <f>IF($W$3=$N$3,N44,V44*(1+'Rhaniad y Ddeiliadaeth (Cymru)'!C$118))</f>
        <v>#VALUE!</v>
      </c>
      <c r="X44" s="4" t="e">
        <f>W44*(1+'Rhaniad y Ddeiliadaeth (Cymru)'!D$118)</f>
        <v>#VALUE!</v>
      </c>
      <c r="Y44" s="4" t="e">
        <f>X44*(1+'Rhaniad y Ddeiliadaeth (Cymru)'!E$118)</f>
        <v>#VALUE!</v>
      </c>
      <c r="Z44" s="4" t="e">
        <f>Y44*(1+'Rhaniad y Ddeiliadaeth (Cymru)'!F$118)</f>
        <v>#VALUE!</v>
      </c>
      <c r="AA44" s="4" t="e">
        <f>Z44*(1+'Rhaniad y Ddeiliadaeth (Cymru)'!G$118)</f>
        <v>#VALUE!</v>
      </c>
      <c r="AC44" s="260">
        <v>50</v>
      </c>
      <c r="AD44" s="4">
        <f>IF('Rhaniad y Ddeiliadaeth (Cymru)'!$D$18="Data Cofrestrfa Tir",'Prisiau Tai (Cymru)'!E44,'Prisiau Tai (Cymru)'!W44)</f>
        <v>162440</v>
      </c>
      <c r="AE44" s="4">
        <f>IF('Rhaniad y Ddeiliadaeth (Cymru)'!$D$18="Data Cofrestrfa Tir",'Prisiau Tai (Cymru)'!F44,'Prisiau Tai (Cymru)'!X44)</f>
        <v>171910.25200000001</v>
      </c>
      <c r="AF44" s="4">
        <f>IF('Rhaniad y Ddeiliadaeth (Cymru)'!$D$18="Data Cofrestrfa Tir",'Prisiau Tai (Cymru)'!G44,'Prisiau Tai (Cymru)'!Y44)</f>
        <v>184053.46475483183</v>
      </c>
      <c r="AG44" s="4">
        <f>IF('Rhaniad y Ddeiliadaeth (Cymru)'!$D$18="Data Cofrestrfa Tir",'Prisiau Tai (Cymru)'!H44,'Prisiau Tai (Cymru)'!Z44)</f>
        <v>194069.81466576064</v>
      </c>
      <c r="AH44" s="4">
        <f>IF('Rhaniad y Ddeiliadaeth (Cymru)'!$D$18="Data Cofrestrfa Tir",'Prisiau Tai (Cymru)'!I44,'Prisiau Tai (Cymru)'!AA44)</f>
        <v>202256.40302137518</v>
      </c>
    </row>
    <row r="45" spans="2:34" x14ac:dyDescent="0.35">
      <c r="B45" s="251">
        <v>51</v>
      </c>
      <c r="C45" s="258">
        <v>153000</v>
      </c>
      <c r="D45" s="258">
        <v>158000</v>
      </c>
      <c r="E45" s="278">
        <f>D45*(1+'Rhaniad y Ddeiliadaeth (Cymru)'!C$118)</f>
        <v>165584</v>
      </c>
      <c r="F45" s="278">
        <f>E45*(1+'Rhaniad y Ddeiliadaeth (Cymru)'!D$118)</f>
        <v>175237.5472</v>
      </c>
      <c r="G45" s="278">
        <f>F45*(1+'Rhaniad y Ddeiliadaeth (Cymru)'!E$118)</f>
        <v>187615.78987911888</v>
      </c>
      <c r="H45" s="278">
        <f>G45*(1+'Rhaniad y Ddeiliadaeth (Cymru)'!F$118)</f>
        <v>197826.0046270334</v>
      </c>
      <c r="I45" s="279">
        <f>H45*(1+'Rhaniad y Ddeiliadaeth (Cymru)'!G$118)</f>
        <v>206171.04307985341</v>
      </c>
      <c r="M45" s="36" t="str">
        <f t="shared" si="0"/>
        <v/>
      </c>
      <c r="N45" s="202"/>
      <c r="O45" s="13">
        <f t="shared" si="3"/>
        <v>1</v>
      </c>
      <c r="U45" s="1">
        <f t="shared" si="1"/>
        <v>51</v>
      </c>
      <c r="V45" s="4" t="str">
        <f t="shared" si="2"/>
        <v/>
      </c>
      <c r="W45" s="4" t="e">
        <f>IF($W$3=$N$3,N45,V45*(1+'Rhaniad y Ddeiliadaeth (Cymru)'!C$118))</f>
        <v>#VALUE!</v>
      </c>
      <c r="X45" s="4" t="e">
        <f>W45*(1+'Rhaniad y Ddeiliadaeth (Cymru)'!D$118)</f>
        <v>#VALUE!</v>
      </c>
      <c r="Y45" s="4" t="e">
        <f>X45*(1+'Rhaniad y Ddeiliadaeth (Cymru)'!E$118)</f>
        <v>#VALUE!</v>
      </c>
      <c r="Z45" s="4" t="e">
        <f>Y45*(1+'Rhaniad y Ddeiliadaeth (Cymru)'!F$118)</f>
        <v>#VALUE!</v>
      </c>
      <c r="AA45" s="4" t="e">
        <f>Z45*(1+'Rhaniad y Ddeiliadaeth (Cymru)'!G$118)</f>
        <v>#VALUE!</v>
      </c>
      <c r="AC45" s="260">
        <v>51</v>
      </c>
      <c r="AD45" s="4">
        <f>IF('Rhaniad y Ddeiliadaeth (Cymru)'!$D$18="Data Cofrestrfa Tir",'Prisiau Tai (Cymru)'!E45,'Prisiau Tai (Cymru)'!W45)</f>
        <v>165584</v>
      </c>
      <c r="AE45" s="4">
        <f>IF('Rhaniad y Ddeiliadaeth (Cymru)'!$D$18="Data Cofrestrfa Tir",'Prisiau Tai (Cymru)'!F45,'Prisiau Tai (Cymru)'!X45)</f>
        <v>175237.5472</v>
      </c>
      <c r="AF45" s="4">
        <f>IF('Rhaniad y Ddeiliadaeth (Cymru)'!$D$18="Data Cofrestrfa Tir",'Prisiau Tai (Cymru)'!G45,'Prisiau Tai (Cymru)'!Y45)</f>
        <v>187615.78987911888</v>
      </c>
      <c r="AG45" s="4">
        <f>IF('Rhaniad y Ddeiliadaeth (Cymru)'!$D$18="Data Cofrestrfa Tir",'Prisiau Tai (Cymru)'!H45,'Prisiau Tai (Cymru)'!Z45)</f>
        <v>197826.0046270334</v>
      </c>
      <c r="AH45" s="4">
        <f>IF('Rhaniad y Ddeiliadaeth (Cymru)'!$D$18="Data Cofrestrfa Tir",'Prisiau Tai (Cymru)'!I45,'Prisiau Tai (Cymru)'!AA45)</f>
        <v>206171.04307985341</v>
      </c>
    </row>
    <row r="46" spans="2:34" x14ac:dyDescent="0.35">
      <c r="B46" s="251">
        <v>52</v>
      </c>
      <c r="C46" s="258">
        <v>155000</v>
      </c>
      <c r="D46" s="258">
        <v>160000</v>
      </c>
      <c r="E46" s="278">
        <f>D46*(1+'Rhaniad y Ddeiliadaeth (Cymru)'!C$118)</f>
        <v>167680</v>
      </c>
      <c r="F46" s="278">
        <f>E46*(1+'Rhaniad y Ddeiliadaeth (Cymru)'!D$118)</f>
        <v>177455.74400000001</v>
      </c>
      <c r="G46" s="278">
        <f>F46*(1+'Rhaniad y Ddeiliadaeth (Cymru)'!E$118)</f>
        <v>189990.67329531026</v>
      </c>
      <c r="H46" s="278">
        <f>G46*(1+'Rhaniad y Ddeiliadaeth (Cymru)'!F$118)</f>
        <v>200330.13126788192</v>
      </c>
      <c r="I46" s="279">
        <f>H46*(1+'Rhaniad y Ddeiliadaeth (Cymru)'!G$118)</f>
        <v>208780.80311883887</v>
      </c>
      <c r="M46" s="36" t="str">
        <f t="shared" si="0"/>
        <v/>
      </c>
      <c r="N46" s="202"/>
      <c r="O46" s="13">
        <f t="shared" si="3"/>
        <v>1</v>
      </c>
      <c r="U46" s="1">
        <f t="shared" si="1"/>
        <v>52</v>
      </c>
      <c r="V46" s="4" t="str">
        <f t="shared" si="2"/>
        <v/>
      </c>
      <c r="W46" s="4" t="e">
        <f>IF($W$3=$N$3,N46,V46*(1+'Rhaniad y Ddeiliadaeth (Cymru)'!C$118))</f>
        <v>#VALUE!</v>
      </c>
      <c r="X46" s="4" t="e">
        <f>W46*(1+'Rhaniad y Ddeiliadaeth (Cymru)'!D$118)</f>
        <v>#VALUE!</v>
      </c>
      <c r="Y46" s="4" t="e">
        <f>X46*(1+'Rhaniad y Ddeiliadaeth (Cymru)'!E$118)</f>
        <v>#VALUE!</v>
      </c>
      <c r="Z46" s="4" t="e">
        <f>Y46*(1+'Rhaniad y Ddeiliadaeth (Cymru)'!F$118)</f>
        <v>#VALUE!</v>
      </c>
      <c r="AA46" s="4" t="e">
        <f>Z46*(1+'Rhaniad y Ddeiliadaeth (Cymru)'!G$118)</f>
        <v>#VALUE!</v>
      </c>
      <c r="AC46" s="260">
        <v>52</v>
      </c>
      <c r="AD46" s="4">
        <f>IF('Rhaniad y Ddeiliadaeth (Cymru)'!$D$18="Data Cofrestrfa Tir",'Prisiau Tai (Cymru)'!E46,'Prisiau Tai (Cymru)'!W46)</f>
        <v>167680</v>
      </c>
      <c r="AE46" s="4">
        <f>IF('Rhaniad y Ddeiliadaeth (Cymru)'!$D$18="Data Cofrestrfa Tir",'Prisiau Tai (Cymru)'!F46,'Prisiau Tai (Cymru)'!X46)</f>
        <v>177455.74400000001</v>
      </c>
      <c r="AF46" s="4">
        <f>IF('Rhaniad y Ddeiliadaeth (Cymru)'!$D$18="Data Cofrestrfa Tir",'Prisiau Tai (Cymru)'!G46,'Prisiau Tai (Cymru)'!Y46)</f>
        <v>189990.67329531026</v>
      </c>
      <c r="AG46" s="4">
        <f>IF('Rhaniad y Ddeiliadaeth (Cymru)'!$D$18="Data Cofrestrfa Tir",'Prisiau Tai (Cymru)'!H46,'Prisiau Tai (Cymru)'!Z46)</f>
        <v>200330.13126788192</v>
      </c>
      <c r="AH46" s="4">
        <f>IF('Rhaniad y Ddeiliadaeth (Cymru)'!$D$18="Data Cofrestrfa Tir",'Prisiau Tai (Cymru)'!I46,'Prisiau Tai (Cymru)'!AA46)</f>
        <v>208780.80311883887</v>
      </c>
    </row>
    <row r="47" spans="2:34" x14ac:dyDescent="0.35">
      <c r="B47" s="251">
        <v>53</v>
      </c>
      <c r="C47" s="258">
        <v>157500</v>
      </c>
      <c r="D47" s="258">
        <v>161500</v>
      </c>
      <c r="E47" s="278">
        <f>D47*(1+'Rhaniad y Ddeiliadaeth (Cymru)'!C$118)</f>
        <v>169252</v>
      </c>
      <c r="F47" s="278">
        <f>E47*(1+'Rhaniad y Ddeiliadaeth (Cymru)'!D$118)</f>
        <v>179119.3916</v>
      </c>
      <c r="G47" s="278">
        <f>F47*(1+'Rhaniad y Ddeiliadaeth (Cymru)'!E$118)</f>
        <v>191771.83585745379</v>
      </c>
      <c r="H47" s="278">
        <f>G47*(1+'Rhaniad y Ddeiliadaeth (Cymru)'!F$118)</f>
        <v>202208.2262485183</v>
      </c>
      <c r="I47" s="279">
        <f>H47*(1+'Rhaniad y Ddeiliadaeth (Cymru)'!G$118)</f>
        <v>210738.12314807798</v>
      </c>
      <c r="M47" s="36" t="str">
        <f t="shared" si="0"/>
        <v/>
      </c>
      <c r="N47" s="202"/>
      <c r="O47" s="13">
        <f t="shared" si="3"/>
        <v>1</v>
      </c>
      <c r="U47" s="1">
        <f t="shared" si="1"/>
        <v>53</v>
      </c>
      <c r="V47" s="4" t="str">
        <f t="shared" si="2"/>
        <v/>
      </c>
      <c r="W47" s="4" t="e">
        <f>IF($W$3=$N$3,N47,V47*(1+'Rhaniad y Ddeiliadaeth (Cymru)'!C$118))</f>
        <v>#VALUE!</v>
      </c>
      <c r="X47" s="4" t="e">
        <f>W47*(1+'Rhaniad y Ddeiliadaeth (Cymru)'!D$118)</f>
        <v>#VALUE!</v>
      </c>
      <c r="Y47" s="4" t="e">
        <f>X47*(1+'Rhaniad y Ddeiliadaeth (Cymru)'!E$118)</f>
        <v>#VALUE!</v>
      </c>
      <c r="Z47" s="4" t="e">
        <f>Y47*(1+'Rhaniad y Ddeiliadaeth (Cymru)'!F$118)</f>
        <v>#VALUE!</v>
      </c>
      <c r="AA47" s="4" t="e">
        <f>Z47*(1+'Rhaniad y Ddeiliadaeth (Cymru)'!G$118)</f>
        <v>#VALUE!</v>
      </c>
      <c r="AC47" s="260">
        <v>53</v>
      </c>
      <c r="AD47" s="4">
        <f>IF('Rhaniad y Ddeiliadaeth (Cymru)'!$D$18="Data Cofrestrfa Tir",'Prisiau Tai (Cymru)'!E47,'Prisiau Tai (Cymru)'!W47)</f>
        <v>169252</v>
      </c>
      <c r="AE47" s="4">
        <f>IF('Rhaniad y Ddeiliadaeth (Cymru)'!$D$18="Data Cofrestrfa Tir",'Prisiau Tai (Cymru)'!F47,'Prisiau Tai (Cymru)'!X47)</f>
        <v>179119.3916</v>
      </c>
      <c r="AF47" s="4">
        <f>IF('Rhaniad y Ddeiliadaeth (Cymru)'!$D$18="Data Cofrestrfa Tir",'Prisiau Tai (Cymru)'!G47,'Prisiau Tai (Cymru)'!Y47)</f>
        <v>191771.83585745379</v>
      </c>
      <c r="AG47" s="4">
        <f>IF('Rhaniad y Ddeiliadaeth (Cymru)'!$D$18="Data Cofrestrfa Tir",'Prisiau Tai (Cymru)'!H47,'Prisiau Tai (Cymru)'!Z47)</f>
        <v>202208.2262485183</v>
      </c>
      <c r="AH47" s="4">
        <f>IF('Rhaniad y Ddeiliadaeth (Cymru)'!$D$18="Data Cofrestrfa Tir",'Prisiau Tai (Cymru)'!I47,'Prisiau Tai (Cymru)'!AA47)</f>
        <v>210738.12314807798</v>
      </c>
    </row>
    <row r="48" spans="2:34" x14ac:dyDescent="0.35">
      <c r="B48" s="251">
        <v>54</v>
      </c>
      <c r="C48" s="258">
        <v>160000</v>
      </c>
      <c r="D48" s="258">
        <v>164995</v>
      </c>
      <c r="E48" s="278">
        <f>D48*(1+'Rhaniad y Ddeiliadaeth (Cymru)'!C$118)</f>
        <v>172914.76</v>
      </c>
      <c r="F48" s="278">
        <f>E48*(1+'Rhaniad y Ddeiliadaeth (Cymru)'!D$118)</f>
        <v>182995.690508</v>
      </c>
      <c r="G48" s="278">
        <f>F48*(1+'Rhaniad y Ddeiliadaeth (Cymru)'!E$118)</f>
        <v>195921.94462724822</v>
      </c>
      <c r="H48" s="278">
        <f>G48*(1+'Rhaniad y Ddeiliadaeth (Cymru)'!F$118)</f>
        <v>206584.18755340111</v>
      </c>
      <c r="I48" s="279">
        <f>H48*(1+'Rhaniad y Ddeiliadaeth (Cymru)'!G$118)</f>
        <v>215298.67881620512</v>
      </c>
      <c r="M48" s="36" t="str">
        <f t="shared" si="0"/>
        <v/>
      </c>
      <c r="N48" s="202"/>
      <c r="O48" s="13">
        <f t="shared" si="3"/>
        <v>1</v>
      </c>
      <c r="U48" s="1">
        <f t="shared" si="1"/>
        <v>54</v>
      </c>
      <c r="V48" s="4" t="str">
        <f t="shared" si="2"/>
        <v/>
      </c>
      <c r="W48" s="4" t="e">
        <f>IF($W$3=$N$3,N48,V48*(1+'Rhaniad y Ddeiliadaeth (Cymru)'!C$118))</f>
        <v>#VALUE!</v>
      </c>
      <c r="X48" s="4" t="e">
        <f>W48*(1+'Rhaniad y Ddeiliadaeth (Cymru)'!D$118)</f>
        <v>#VALUE!</v>
      </c>
      <c r="Y48" s="4" t="e">
        <f>X48*(1+'Rhaniad y Ddeiliadaeth (Cymru)'!E$118)</f>
        <v>#VALUE!</v>
      </c>
      <c r="Z48" s="4" t="e">
        <f>Y48*(1+'Rhaniad y Ddeiliadaeth (Cymru)'!F$118)</f>
        <v>#VALUE!</v>
      </c>
      <c r="AA48" s="4" t="e">
        <f>Z48*(1+'Rhaniad y Ddeiliadaeth (Cymru)'!G$118)</f>
        <v>#VALUE!</v>
      </c>
      <c r="AC48" s="260">
        <v>54</v>
      </c>
      <c r="AD48" s="4">
        <f>IF('Rhaniad y Ddeiliadaeth (Cymru)'!$D$18="Data Cofrestrfa Tir",'Prisiau Tai (Cymru)'!E48,'Prisiau Tai (Cymru)'!W48)</f>
        <v>172914.76</v>
      </c>
      <c r="AE48" s="4">
        <f>IF('Rhaniad y Ddeiliadaeth (Cymru)'!$D$18="Data Cofrestrfa Tir",'Prisiau Tai (Cymru)'!F48,'Prisiau Tai (Cymru)'!X48)</f>
        <v>182995.690508</v>
      </c>
      <c r="AF48" s="4">
        <f>IF('Rhaniad y Ddeiliadaeth (Cymru)'!$D$18="Data Cofrestrfa Tir",'Prisiau Tai (Cymru)'!G48,'Prisiau Tai (Cymru)'!Y48)</f>
        <v>195921.94462724822</v>
      </c>
      <c r="AG48" s="4">
        <f>IF('Rhaniad y Ddeiliadaeth (Cymru)'!$D$18="Data Cofrestrfa Tir",'Prisiau Tai (Cymru)'!H48,'Prisiau Tai (Cymru)'!Z48)</f>
        <v>206584.18755340111</v>
      </c>
      <c r="AH48" s="4">
        <f>IF('Rhaniad y Ddeiliadaeth (Cymru)'!$D$18="Data Cofrestrfa Tir",'Prisiau Tai (Cymru)'!I48,'Prisiau Tai (Cymru)'!AA48)</f>
        <v>215298.67881620512</v>
      </c>
    </row>
    <row r="49" spans="2:34" x14ac:dyDescent="0.35">
      <c r="B49" s="251">
        <v>55</v>
      </c>
      <c r="C49" s="258">
        <v>160000</v>
      </c>
      <c r="D49" s="258">
        <v>165000</v>
      </c>
      <c r="E49" s="278">
        <f>D49*(1+'Rhaniad y Ddeiliadaeth (Cymru)'!C$118)</f>
        <v>172920</v>
      </c>
      <c r="F49" s="278">
        <f>E49*(1+'Rhaniad y Ddeiliadaeth (Cymru)'!D$118)</f>
        <v>183001.236</v>
      </c>
      <c r="G49" s="278">
        <f>F49*(1+'Rhaniad y Ddeiliadaeth (Cymru)'!E$118)</f>
        <v>195927.88183578869</v>
      </c>
      <c r="H49" s="278">
        <f>G49*(1+'Rhaniad y Ddeiliadaeth (Cymru)'!F$118)</f>
        <v>206590.44787000323</v>
      </c>
      <c r="I49" s="279">
        <f>H49*(1+'Rhaniad y Ddeiliadaeth (Cymru)'!G$118)</f>
        <v>215305.20321630259</v>
      </c>
      <c r="M49" s="36" t="str">
        <f t="shared" si="0"/>
        <v/>
      </c>
      <c r="N49" s="202"/>
      <c r="O49" s="13">
        <f t="shared" si="3"/>
        <v>1</v>
      </c>
      <c r="U49" s="1">
        <f t="shared" si="1"/>
        <v>55</v>
      </c>
      <c r="V49" s="4" t="str">
        <f t="shared" si="2"/>
        <v/>
      </c>
      <c r="W49" s="4" t="e">
        <f>IF($W$3=$N$3,N49,V49*(1+'Rhaniad y Ddeiliadaeth (Cymru)'!C$118))</f>
        <v>#VALUE!</v>
      </c>
      <c r="X49" s="4" t="e">
        <f>W49*(1+'Rhaniad y Ddeiliadaeth (Cymru)'!D$118)</f>
        <v>#VALUE!</v>
      </c>
      <c r="Y49" s="4" t="e">
        <f>X49*(1+'Rhaniad y Ddeiliadaeth (Cymru)'!E$118)</f>
        <v>#VALUE!</v>
      </c>
      <c r="Z49" s="4" t="e">
        <f>Y49*(1+'Rhaniad y Ddeiliadaeth (Cymru)'!F$118)</f>
        <v>#VALUE!</v>
      </c>
      <c r="AA49" s="4" t="e">
        <f>Z49*(1+'Rhaniad y Ddeiliadaeth (Cymru)'!G$118)</f>
        <v>#VALUE!</v>
      </c>
      <c r="AC49" s="260">
        <v>55</v>
      </c>
      <c r="AD49" s="4">
        <f>IF('Rhaniad y Ddeiliadaeth (Cymru)'!$D$18="Data Cofrestrfa Tir",'Prisiau Tai (Cymru)'!E49,'Prisiau Tai (Cymru)'!W49)</f>
        <v>172920</v>
      </c>
      <c r="AE49" s="4">
        <f>IF('Rhaniad y Ddeiliadaeth (Cymru)'!$D$18="Data Cofrestrfa Tir",'Prisiau Tai (Cymru)'!F49,'Prisiau Tai (Cymru)'!X49)</f>
        <v>183001.236</v>
      </c>
      <c r="AF49" s="4">
        <f>IF('Rhaniad y Ddeiliadaeth (Cymru)'!$D$18="Data Cofrestrfa Tir",'Prisiau Tai (Cymru)'!G49,'Prisiau Tai (Cymru)'!Y49)</f>
        <v>195927.88183578869</v>
      </c>
      <c r="AG49" s="4">
        <f>IF('Rhaniad y Ddeiliadaeth (Cymru)'!$D$18="Data Cofrestrfa Tir",'Prisiau Tai (Cymru)'!H49,'Prisiau Tai (Cymru)'!Z49)</f>
        <v>206590.44787000323</v>
      </c>
      <c r="AH49" s="4">
        <f>IF('Rhaniad y Ddeiliadaeth (Cymru)'!$D$18="Data Cofrestrfa Tir",'Prisiau Tai (Cymru)'!I49,'Prisiau Tai (Cymru)'!AA49)</f>
        <v>215305.20321630259</v>
      </c>
    </row>
    <row r="50" spans="2:34" x14ac:dyDescent="0.35">
      <c r="B50" s="251">
        <v>56</v>
      </c>
      <c r="C50" s="258">
        <v>163590.00000000032</v>
      </c>
      <c r="D50" s="258">
        <v>168000</v>
      </c>
      <c r="E50" s="278">
        <f>D50*(1+'Rhaniad y Ddeiliadaeth (Cymru)'!C$118)</f>
        <v>176064</v>
      </c>
      <c r="F50" s="278">
        <f>E50*(1+'Rhaniad y Ddeiliadaeth (Cymru)'!D$118)</f>
        <v>186328.5312</v>
      </c>
      <c r="G50" s="278">
        <f>F50*(1+'Rhaniad y Ddeiliadaeth (Cymru)'!E$118)</f>
        <v>199490.20696007577</v>
      </c>
      <c r="H50" s="278">
        <f>G50*(1+'Rhaniad y Ddeiliadaeth (Cymru)'!F$118)</f>
        <v>210346.63783127602</v>
      </c>
      <c r="I50" s="279">
        <f>H50*(1+'Rhaniad y Ddeiliadaeth (Cymru)'!G$118)</f>
        <v>219219.84327478081</v>
      </c>
      <c r="M50" s="36" t="str">
        <f t="shared" si="0"/>
        <v/>
      </c>
      <c r="N50" s="202"/>
      <c r="O50" s="13">
        <f t="shared" si="3"/>
        <v>1</v>
      </c>
      <c r="U50" s="1">
        <f t="shared" si="1"/>
        <v>56</v>
      </c>
      <c r="V50" s="4" t="str">
        <f t="shared" si="2"/>
        <v/>
      </c>
      <c r="W50" s="4" t="e">
        <f>IF($W$3=$N$3,N50,V50*(1+'Rhaniad y Ddeiliadaeth (Cymru)'!C$118))</f>
        <v>#VALUE!</v>
      </c>
      <c r="X50" s="4" t="e">
        <f>W50*(1+'Rhaniad y Ddeiliadaeth (Cymru)'!D$118)</f>
        <v>#VALUE!</v>
      </c>
      <c r="Y50" s="4" t="e">
        <f>X50*(1+'Rhaniad y Ddeiliadaeth (Cymru)'!E$118)</f>
        <v>#VALUE!</v>
      </c>
      <c r="Z50" s="4" t="e">
        <f>Y50*(1+'Rhaniad y Ddeiliadaeth (Cymru)'!F$118)</f>
        <v>#VALUE!</v>
      </c>
      <c r="AA50" s="4" t="e">
        <f>Z50*(1+'Rhaniad y Ddeiliadaeth (Cymru)'!G$118)</f>
        <v>#VALUE!</v>
      </c>
      <c r="AC50" s="260">
        <v>56</v>
      </c>
      <c r="AD50" s="4">
        <f>IF('Rhaniad y Ddeiliadaeth (Cymru)'!$D$18="Data Cofrestrfa Tir",'Prisiau Tai (Cymru)'!E50,'Prisiau Tai (Cymru)'!W50)</f>
        <v>176064</v>
      </c>
      <c r="AE50" s="4">
        <f>IF('Rhaniad y Ddeiliadaeth (Cymru)'!$D$18="Data Cofrestrfa Tir",'Prisiau Tai (Cymru)'!F50,'Prisiau Tai (Cymru)'!X50)</f>
        <v>186328.5312</v>
      </c>
      <c r="AF50" s="4">
        <f>IF('Rhaniad y Ddeiliadaeth (Cymru)'!$D$18="Data Cofrestrfa Tir",'Prisiau Tai (Cymru)'!G50,'Prisiau Tai (Cymru)'!Y50)</f>
        <v>199490.20696007577</v>
      </c>
      <c r="AG50" s="4">
        <f>IF('Rhaniad y Ddeiliadaeth (Cymru)'!$D$18="Data Cofrestrfa Tir",'Prisiau Tai (Cymru)'!H50,'Prisiau Tai (Cymru)'!Z50)</f>
        <v>210346.63783127602</v>
      </c>
      <c r="AH50" s="4">
        <f>IF('Rhaniad y Ddeiliadaeth (Cymru)'!$D$18="Data Cofrestrfa Tir",'Prisiau Tai (Cymru)'!I50,'Prisiau Tai (Cymru)'!AA50)</f>
        <v>219219.84327478081</v>
      </c>
    </row>
    <row r="51" spans="2:34" x14ac:dyDescent="0.35">
      <c r="B51" s="251">
        <v>57</v>
      </c>
      <c r="C51" s="258">
        <v>165000</v>
      </c>
      <c r="D51" s="258">
        <v>170000</v>
      </c>
      <c r="E51" s="278">
        <f>D51*(1+'Rhaniad y Ddeiliadaeth (Cymru)'!C$118)</f>
        <v>178160</v>
      </c>
      <c r="F51" s="278">
        <f>E51*(1+'Rhaniad y Ddeiliadaeth (Cymru)'!D$118)</f>
        <v>188546.728</v>
      </c>
      <c r="G51" s="278">
        <f>F51*(1+'Rhaniad y Ddeiliadaeth (Cymru)'!E$118)</f>
        <v>201865.09037626715</v>
      </c>
      <c r="H51" s="278">
        <f>G51*(1+'Rhaniad y Ddeiliadaeth (Cymru)'!F$118)</f>
        <v>212850.76447212455</v>
      </c>
      <c r="I51" s="279">
        <f>H51*(1+'Rhaniad y Ddeiliadaeth (Cymru)'!G$118)</f>
        <v>221829.6033137663</v>
      </c>
      <c r="M51" s="36" t="str">
        <f t="shared" si="0"/>
        <v/>
      </c>
      <c r="N51" s="202"/>
      <c r="O51" s="13">
        <f t="shared" si="3"/>
        <v>1</v>
      </c>
      <c r="U51" s="1">
        <f t="shared" si="1"/>
        <v>57</v>
      </c>
      <c r="V51" s="4" t="str">
        <f t="shared" si="2"/>
        <v/>
      </c>
      <c r="W51" s="4" t="e">
        <f>IF($W$3=$N$3,N51,V51*(1+'Rhaniad y Ddeiliadaeth (Cymru)'!C$118))</f>
        <v>#VALUE!</v>
      </c>
      <c r="X51" s="4" t="e">
        <f>W51*(1+'Rhaniad y Ddeiliadaeth (Cymru)'!D$118)</f>
        <v>#VALUE!</v>
      </c>
      <c r="Y51" s="4" t="e">
        <f>X51*(1+'Rhaniad y Ddeiliadaeth (Cymru)'!E$118)</f>
        <v>#VALUE!</v>
      </c>
      <c r="Z51" s="4" t="e">
        <f>Y51*(1+'Rhaniad y Ddeiliadaeth (Cymru)'!F$118)</f>
        <v>#VALUE!</v>
      </c>
      <c r="AA51" s="4" t="e">
        <f>Z51*(1+'Rhaniad y Ddeiliadaeth (Cymru)'!G$118)</f>
        <v>#VALUE!</v>
      </c>
      <c r="AC51" s="260">
        <v>57</v>
      </c>
      <c r="AD51" s="4">
        <f>IF('Rhaniad y Ddeiliadaeth (Cymru)'!$D$18="Data Cofrestrfa Tir",'Prisiau Tai (Cymru)'!E51,'Prisiau Tai (Cymru)'!W51)</f>
        <v>178160</v>
      </c>
      <c r="AE51" s="4">
        <f>IF('Rhaniad y Ddeiliadaeth (Cymru)'!$D$18="Data Cofrestrfa Tir",'Prisiau Tai (Cymru)'!F51,'Prisiau Tai (Cymru)'!X51)</f>
        <v>188546.728</v>
      </c>
      <c r="AF51" s="4">
        <f>IF('Rhaniad y Ddeiliadaeth (Cymru)'!$D$18="Data Cofrestrfa Tir",'Prisiau Tai (Cymru)'!G51,'Prisiau Tai (Cymru)'!Y51)</f>
        <v>201865.09037626715</v>
      </c>
      <c r="AG51" s="4">
        <f>IF('Rhaniad y Ddeiliadaeth (Cymru)'!$D$18="Data Cofrestrfa Tir",'Prisiau Tai (Cymru)'!H51,'Prisiau Tai (Cymru)'!Z51)</f>
        <v>212850.76447212455</v>
      </c>
      <c r="AH51" s="4">
        <f>IF('Rhaniad y Ddeiliadaeth (Cymru)'!$D$18="Data Cofrestrfa Tir",'Prisiau Tai (Cymru)'!I51,'Prisiau Tai (Cymru)'!AA51)</f>
        <v>221829.6033137663</v>
      </c>
    </row>
    <row r="52" spans="2:34" x14ac:dyDescent="0.35">
      <c r="B52" s="251">
        <v>58</v>
      </c>
      <c r="C52" s="258">
        <v>167500</v>
      </c>
      <c r="D52" s="258">
        <v>172500</v>
      </c>
      <c r="E52" s="278">
        <f>D52*(1+'Rhaniad y Ddeiliadaeth (Cymru)'!C$118)</f>
        <v>180780</v>
      </c>
      <c r="F52" s="278">
        <f>E52*(1+'Rhaniad y Ddeiliadaeth (Cymru)'!D$118)</f>
        <v>191319.47400000002</v>
      </c>
      <c r="G52" s="278">
        <f>F52*(1+'Rhaniad y Ddeiliadaeth (Cymru)'!E$118)</f>
        <v>204833.6946465064</v>
      </c>
      <c r="H52" s="278">
        <f>G52*(1+'Rhaniad y Ddeiliadaeth (Cymru)'!F$118)</f>
        <v>215980.92277318522</v>
      </c>
      <c r="I52" s="279">
        <f>H52*(1+'Rhaniad y Ddeiliadaeth (Cymru)'!G$118)</f>
        <v>225091.80336249818</v>
      </c>
      <c r="M52" s="36" t="str">
        <f t="shared" si="0"/>
        <v/>
      </c>
      <c r="N52" s="202"/>
      <c r="O52" s="13">
        <f t="shared" si="3"/>
        <v>1</v>
      </c>
      <c r="U52" s="1">
        <f t="shared" si="1"/>
        <v>58</v>
      </c>
      <c r="V52" s="4" t="str">
        <f t="shared" si="2"/>
        <v/>
      </c>
      <c r="W52" s="4" t="e">
        <f>IF($W$3=$N$3,N52,V52*(1+'Rhaniad y Ddeiliadaeth (Cymru)'!C$118))</f>
        <v>#VALUE!</v>
      </c>
      <c r="X52" s="4" t="e">
        <f>W52*(1+'Rhaniad y Ddeiliadaeth (Cymru)'!D$118)</f>
        <v>#VALUE!</v>
      </c>
      <c r="Y52" s="4" t="e">
        <f>X52*(1+'Rhaniad y Ddeiliadaeth (Cymru)'!E$118)</f>
        <v>#VALUE!</v>
      </c>
      <c r="Z52" s="4" t="e">
        <f>Y52*(1+'Rhaniad y Ddeiliadaeth (Cymru)'!F$118)</f>
        <v>#VALUE!</v>
      </c>
      <c r="AA52" s="4" t="e">
        <f>Z52*(1+'Rhaniad y Ddeiliadaeth (Cymru)'!G$118)</f>
        <v>#VALUE!</v>
      </c>
      <c r="AC52" s="260">
        <v>58</v>
      </c>
      <c r="AD52" s="4">
        <f>IF('Rhaniad y Ddeiliadaeth (Cymru)'!$D$18="Data Cofrestrfa Tir",'Prisiau Tai (Cymru)'!E52,'Prisiau Tai (Cymru)'!W52)</f>
        <v>180780</v>
      </c>
      <c r="AE52" s="4">
        <f>IF('Rhaniad y Ddeiliadaeth (Cymru)'!$D$18="Data Cofrestrfa Tir",'Prisiau Tai (Cymru)'!F52,'Prisiau Tai (Cymru)'!X52)</f>
        <v>191319.47400000002</v>
      </c>
      <c r="AF52" s="4">
        <f>IF('Rhaniad y Ddeiliadaeth (Cymru)'!$D$18="Data Cofrestrfa Tir",'Prisiau Tai (Cymru)'!G52,'Prisiau Tai (Cymru)'!Y52)</f>
        <v>204833.6946465064</v>
      </c>
      <c r="AG52" s="4">
        <f>IF('Rhaniad y Ddeiliadaeth (Cymru)'!$D$18="Data Cofrestrfa Tir",'Prisiau Tai (Cymru)'!H52,'Prisiau Tai (Cymru)'!Z52)</f>
        <v>215980.92277318522</v>
      </c>
      <c r="AH52" s="4">
        <f>IF('Rhaniad y Ddeiliadaeth (Cymru)'!$D$18="Data Cofrestrfa Tir",'Prisiau Tai (Cymru)'!I52,'Prisiau Tai (Cymru)'!AA52)</f>
        <v>225091.80336249818</v>
      </c>
    </row>
    <row r="53" spans="2:34" x14ac:dyDescent="0.35">
      <c r="B53" s="251">
        <v>59</v>
      </c>
      <c r="C53" s="258">
        <v>170000</v>
      </c>
      <c r="D53" s="258">
        <v>175000</v>
      </c>
      <c r="E53" s="278">
        <f>D53*(1+'Rhaniad y Ddeiliadaeth (Cymru)'!C$118)</f>
        <v>183400</v>
      </c>
      <c r="F53" s="278">
        <f>E53*(1+'Rhaniad y Ddeiliadaeth (Cymru)'!D$118)</f>
        <v>194092.22</v>
      </c>
      <c r="G53" s="278">
        <f>F53*(1+'Rhaniad y Ddeiliadaeth (Cymru)'!E$118)</f>
        <v>207802.29891674558</v>
      </c>
      <c r="H53" s="278">
        <f>G53*(1+'Rhaniad y Ddeiliadaeth (Cymru)'!F$118)</f>
        <v>219111.08107424586</v>
      </c>
      <c r="I53" s="279">
        <f>H53*(1+'Rhaniad y Ddeiliadaeth (Cymru)'!G$118)</f>
        <v>228354.00341123002</v>
      </c>
      <c r="M53" s="36" t="str">
        <f t="shared" si="0"/>
        <v/>
      </c>
      <c r="N53" s="202"/>
      <c r="O53" s="13">
        <f t="shared" si="3"/>
        <v>1</v>
      </c>
      <c r="U53" s="1">
        <f t="shared" si="1"/>
        <v>59</v>
      </c>
      <c r="V53" s="4" t="str">
        <f t="shared" si="2"/>
        <v/>
      </c>
      <c r="W53" s="4" t="e">
        <f>IF($W$3=$N$3,N53,V53*(1+'Rhaniad y Ddeiliadaeth (Cymru)'!C$118))</f>
        <v>#VALUE!</v>
      </c>
      <c r="X53" s="4" t="e">
        <f>W53*(1+'Rhaniad y Ddeiliadaeth (Cymru)'!D$118)</f>
        <v>#VALUE!</v>
      </c>
      <c r="Y53" s="4" t="e">
        <f>X53*(1+'Rhaniad y Ddeiliadaeth (Cymru)'!E$118)</f>
        <v>#VALUE!</v>
      </c>
      <c r="Z53" s="4" t="e">
        <f>Y53*(1+'Rhaniad y Ddeiliadaeth (Cymru)'!F$118)</f>
        <v>#VALUE!</v>
      </c>
      <c r="AA53" s="4" t="e">
        <f>Z53*(1+'Rhaniad y Ddeiliadaeth (Cymru)'!G$118)</f>
        <v>#VALUE!</v>
      </c>
      <c r="AC53" s="260">
        <v>59</v>
      </c>
      <c r="AD53" s="4">
        <f>IF('Rhaniad y Ddeiliadaeth (Cymru)'!$D$18="Data Cofrestrfa Tir",'Prisiau Tai (Cymru)'!E53,'Prisiau Tai (Cymru)'!W53)</f>
        <v>183400</v>
      </c>
      <c r="AE53" s="4">
        <f>IF('Rhaniad y Ddeiliadaeth (Cymru)'!$D$18="Data Cofrestrfa Tir",'Prisiau Tai (Cymru)'!F53,'Prisiau Tai (Cymru)'!X53)</f>
        <v>194092.22</v>
      </c>
      <c r="AF53" s="4">
        <f>IF('Rhaniad y Ddeiliadaeth (Cymru)'!$D$18="Data Cofrestrfa Tir",'Prisiau Tai (Cymru)'!G53,'Prisiau Tai (Cymru)'!Y53)</f>
        <v>207802.29891674558</v>
      </c>
      <c r="AG53" s="4">
        <f>IF('Rhaniad y Ddeiliadaeth (Cymru)'!$D$18="Data Cofrestrfa Tir",'Prisiau Tai (Cymru)'!H53,'Prisiau Tai (Cymru)'!Z53)</f>
        <v>219111.08107424586</v>
      </c>
      <c r="AH53" s="4">
        <f>IF('Rhaniad y Ddeiliadaeth (Cymru)'!$D$18="Data Cofrestrfa Tir",'Prisiau Tai (Cymru)'!I53,'Prisiau Tai (Cymru)'!AA53)</f>
        <v>228354.00341123002</v>
      </c>
    </row>
    <row r="54" spans="2:34" x14ac:dyDescent="0.35">
      <c r="B54" s="251">
        <v>60</v>
      </c>
      <c r="C54" s="258">
        <v>172000</v>
      </c>
      <c r="D54" s="258">
        <v>177000</v>
      </c>
      <c r="E54" s="278">
        <f>D54*(1+'Rhaniad y Ddeiliadaeth (Cymru)'!C$118)</f>
        <v>185496</v>
      </c>
      <c r="F54" s="278">
        <f>E54*(1+'Rhaniad y Ddeiliadaeth (Cymru)'!D$118)</f>
        <v>196310.41680000001</v>
      </c>
      <c r="G54" s="278">
        <f>F54*(1+'Rhaniad y Ddeiliadaeth (Cymru)'!E$118)</f>
        <v>210177.18233293697</v>
      </c>
      <c r="H54" s="278">
        <f>G54*(1+'Rhaniad y Ddeiliadaeth (Cymru)'!F$118)</f>
        <v>221615.20771509438</v>
      </c>
      <c r="I54" s="279">
        <f>H54*(1+'Rhaniad y Ddeiliadaeth (Cymru)'!G$118)</f>
        <v>230963.76345021551</v>
      </c>
      <c r="M54" s="36" t="str">
        <f t="shared" si="0"/>
        <v/>
      </c>
      <c r="N54" s="202"/>
      <c r="O54" s="13">
        <f t="shared" si="3"/>
        <v>1</v>
      </c>
      <c r="U54" s="1">
        <f t="shared" si="1"/>
        <v>60</v>
      </c>
      <c r="V54" s="4" t="str">
        <f t="shared" si="2"/>
        <v/>
      </c>
      <c r="W54" s="4" t="e">
        <f>IF($W$3=$N$3,N54,V54*(1+'Rhaniad y Ddeiliadaeth (Cymru)'!C$118))</f>
        <v>#VALUE!</v>
      </c>
      <c r="X54" s="4" t="e">
        <f>W54*(1+'Rhaniad y Ddeiliadaeth (Cymru)'!D$118)</f>
        <v>#VALUE!</v>
      </c>
      <c r="Y54" s="4" t="e">
        <f>X54*(1+'Rhaniad y Ddeiliadaeth (Cymru)'!E$118)</f>
        <v>#VALUE!</v>
      </c>
      <c r="Z54" s="4" t="e">
        <f>Y54*(1+'Rhaniad y Ddeiliadaeth (Cymru)'!F$118)</f>
        <v>#VALUE!</v>
      </c>
      <c r="AA54" s="4" t="e">
        <f>Z54*(1+'Rhaniad y Ddeiliadaeth (Cymru)'!G$118)</f>
        <v>#VALUE!</v>
      </c>
      <c r="AC54" s="260">
        <v>60</v>
      </c>
      <c r="AD54" s="4">
        <f>IF('Rhaniad y Ddeiliadaeth (Cymru)'!$D$18="Data Cofrestrfa Tir",'Prisiau Tai (Cymru)'!E54,'Prisiau Tai (Cymru)'!W54)</f>
        <v>185496</v>
      </c>
      <c r="AE54" s="4">
        <f>IF('Rhaniad y Ddeiliadaeth (Cymru)'!$D$18="Data Cofrestrfa Tir",'Prisiau Tai (Cymru)'!F54,'Prisiau Tai (Cymru)'!X54)</f>
        <v>196310.41680000001</v>
      </c>
      <c r="AF54" s="4">
        <f>IF('Rhaniad y Ddeiliadaeth (Cymru)'!$D$18="Data Cofrestrfa Tir",'Prisiau Tai (Cymru)'!G54,'Prisiau Tai (Cymru)'!Y54)</f>
        <v>210177.18233293697</v>
      </c>
      <c r="AG54" s="4">
        <f>IF('Rhaniad y Ddeiliadaeth (Cymru)'!$D$18="Data Cofrestrfa Tir",'Prisiau Tai (Cymru)'!H54,'Prisiau Tai (Cymru)'!Z54)</f>
        <v>221615.20771509438</v>
      </c>
      <c r="AH54" s="4">
        <f>IF('Rhaniad y Ddeiliadaeth (Cymru)'!$D$18="Data Cofrestrfa Tir",'Prisiau Tai (Cymru)'!I54,'Prisiau Tai (Cymru)'!AA54)</f>
        <v>230963.76345021551</v>
      </c>
    </row>
    <row r="55" spans="2:34" x14ac:dyDescent="0.35">
      <c r="B55" s="251">
        <v>61</v>
      </c>
      <c r="C55" s="258">
        <v>175000</v>
      </c>
      <c r="D55" s="258">
        <v>180000</v>
      </c>
      <c r="E55" s="278">
        <f>D55*(1+'Rhaniad y Ddeiliadaeth (Cymru)'!C$118)</f>
        <v>188640</v>
      </c>
      <c r="F55" s="278">
        <f>E55*(1+'Rhaniad y Ddeiliadaeth (Cymru)'!D$118)</f>
        <v>199637.712</v>
      </c>
      <c r="G55" s="278">
        <f>F55*(1+'Rhaniad y Ddeiliadaeth (Cymru)'!E$118)</f>
        <v>213739.50745722404</v>
      </c>
      <c r="H55" s="278">
        <f>G55*(1+'Rhaniad y Ddeiliadaeth (Cymru)'!F$118)</f>
        <v>225371.39767636717</v>
      </c>
      <c r="I55" s="279">
        <f>H55*(1+'Rhaniad y Ddeiliadaeth (Cymru)'!G$118)</f>
        <v>234878.40350869374</v>
      </c>
      <c r="M55" s="36" t="str">
        <f t="shared" si="0"/>
        <v/>
      </c>
      <c r="N55" s="202"/>
      <c r="O55" s="13">
        <f t="shared" si="3"/>
        <v>1</v>
      </c>
      <c r="U55" s="1">
        <f t="shared" si="1"/>
        <v>61</v>
      </c>
      <c r="V55" s="4" t="str">
        <f t="shared" si="2"/>
        <v/>
      </c>
      <c r="W55" s="4" t="e">
        <f>IF($W$3=$N$3,N55,V55*(1+'Rhaniad y Ddeiliadaeth (Cymru)'!C$118))</f>
        <v>#VALUE!</v>
      </c>
      <c r="X55" s="4" t="e">
        <f>W55*(1+'Rhaniad y Ddeiliadaeth (Cymru)'!D$118)</f>
        <v>#VALUE!</v>
      </c>
      <c r="Y55" s="4" t="e">
        <f>X55*(1+'Rhaniad y Ddeiliadaeth (Cymru)'!E$118)</f>
        <v>#VALUE!</v>
      </c>
      <c r="Z55" s="4" t="e">
        <f>Y55*(1+'Rhaniad y Ddeiliadaeth (Cymru)'!F$118)</f>
        <v>#VALUE!</v>
      </c>
      <c r="AA55" s="4" t="e">
        <f>Z55*(1+'Rhaniad y Ddeiliadaeth (Cymru)'!G$118)</f>
        <v>#VALUE!</v>
      </c>
      <c r="AC55" s="260">
        <v>61</v>
      </c>
      <c r="AD55" s="4">
        <f>IF('Rhaniad y Ddeiliadaeth (Cymru)'!$D$18="Data Cofrestrfa Tir",'Prisiau Tai (Cymru)'!E55,'Prisiau Tai (Cymru)'!W55)</f>
        <v>188640</v>
      </c>
      <c r="AE55" s="4">
        <f>IF('Rhaniad y Ddeiliadaeth (Cymru)'!$D$18="Data Cofrestrfa Tir",'Prisiau Tai (Cymru)'!F55,'Prisiau Tai (Cymru)'!X55)</f>
        <v>199637.712</v>
      </c>
      <c r="AF55" s="4">
        <f>IF('Rhaniad y Ddeiliadaeth (Cymru)'!$D$18="Data Cofrestrfa Tir",'Prisiau Tai (Cymru)'!G55,'Prisiau Tai (Cymru)'!Y55)</f>
        <v>213739.50745722404</v>
      </c>
      <c r="AG55" s="4">
        <f>IF('Rhaniad y Ddeiliadaeth (Cymru)'!$D$18="Data Cofrestrfa Tir",'Prisiau Tai (Cymru)'!H55,'Prisiau Tai (Cymru)'!Z55)</f>
        <v>225371.39767636717</v>
      </c>
      <c r="AH55" s="4">
        <f>IF('Rhaniad y Ddeiliadaeth (Cymru)'!$D$18="Data Cofrestrfa Tir",'Prisiau Tai (Cymru)'!I55,'Prisiau Tai (Cymru)'!AA55)</f>
        <v>234878.40350869374</v>
      </c>
    </row>
    <row r="56" spans="2:34" x14ac:dyDescent="0.35">
      <c r="B56" s="251">
        <v>62</v>
      </c>
      <c r="C56" s="258">
        <v>176000</v>
      </c>
      <c r="D56" s="258">
        <v>180995.10000000006</v>
      </c>
      <c r="E56" s="278">
        <f>D56*(1+'Rhaniad y Ddeiliadaeth (Cymru)'!C$118)</f>
        <v>189682.86480000007</v>
      </c>
      <c r="F56" s="278">
        <f>E56*(1+'Rhaniad y Ddeiliadaeth (Cymru)'!D$118)</f>
        <v>200741.37581784007</v>
      </c>
      <c r="G56" s="278">
        <f>F56*(1+'Rhaniad y Ddeiliadaeth (Cymru)'!E$118)</f>
        <v>214921.13070095013</v>
      </c>
      <c r="H56" s="278">
        <f>G56*(1+'Rhaniad y Ddeiliadaeth (Cymru)'!F$118)</f>
        <v>226617.32588652143</v>
      </c>
      <c r="I56" s="279">
        <f>H56*(1+'Rhaniad y Ddeiliadaeth (Cymru)'!G$118)</f>
        <v>236176.88961609107</v>
      </c>
      <c r="M56" s="36" t="str">
        <f t="shared" si="0"/>
        <v/>
      </c>
      <c r="N56" s="202"/>
      <c r="O56" s="13">
        <f t="shared" si="3"/>
        <v>1</v>
      </c>
      <c r="U56" s="1">
        <f t="shared" si="1"/>
        <v>62</v>
      </c>
      <c r="V56" s="4" t="str">
        <f t="shared" si="2"/>
        <v/>
      </c>
      <c r="W56" s="4" t="e">
        <f>IF($W$3=$N$3,N56,V56*(1+'Rhaniad y Ddeiliadaeth (Cymru)'!C$118))</f>
        <v>#VALUE!</v>
      </c>
      <c r="X56" s="4" t="e">
        <f>W56*(1+'Rhaniad y Ddeiliadaeth (Cymru)'!D$118)</f>
        <v>#VALUE!</v>
      </c>
      <c r="Y56" s="4" t="e">
        <f>X56*(1+'Rhaniad y Ddeiliadaeth (Cymru)'!E$118)</f>
        <v>#VALUE!</v>
      </c>
      <c r="Z56" s="4" t="e">
        <f>Y56*(1+'Rhaniad y Ddeiliadaeth (Cymru)'!F$118)</f>
        <v>#VALUE!</v>
      </c>
      <c r="AA56" s="4" t="e">
        <f>Z56*(1+'Rhaniad y Ddeiliadaeth (Cymru)'!G$118)</f>
        <v>#VALUE!</v>
      </c>
      <c r="AC56" s="260">
        <v>62</v>
      </c>
      <c r="AD56" s="4">
        <f>IF('Rhaniad y Ddeiliadaeth (Cymru)'!$D$18="Data Cofrestrfa Tir",'Prisiau Tai (Cymru)'!E56,'Prisiau Tai (Cymru)'!W56)</f>
        <v>189682.86480000007</v>
      </c>
      <c r="AE56" s="4">
        <f>IF('Rhaniad y Ddeiliadaeth (Cymru)'!$D$18="Data Cofrestrfa Tir",'Prisiau Tai (Cymru)'!F56,'Prisiau Tai (Cymru)'!X56)</f>
        <v>200741.37581784007</v>
      </c>
      <c r="AF56" s="4">
        <f>IF('Rhaniad y Ddeiliadaeth (Cymru)'!$D$18="Data Cofrestrfa Tir",'Prisiau Tai (Cymru)'!G56,'Prisiau Tai (Cymru)'!Y56)</f>
        <v>214921.13070095013</v>
      </c>
      <c r="AG56" s="4">
        <f>IF('Rhaniad y Ddeiliadaeth (Cymru)'!$D$18="Data Cofrestrfa Tir",'Prisiau Tai (Cymru)'!H56,'Prisiau Tai (Cymru)'!Z56)</f>
        <v>226617.32588652143</v>
      </c>
      <c r="AH56" s="4">
        <f>IF('Rhaniad y Ddeiliadaeth (Cymru)'!$D$18="Data Cofrestrfa Tir",'Prisiau Tai (Cymru)'!I56,'Prisiau Tai (Cymru)'!AA56)</f>
        <v>236176.88961609107</v>
      </c>
    </row>
    <row r="57" spans="2:34" x14ac:dyDescent="0.35">
      <c r="B57" s="251">
        <v>63</v>
      </c>
      <c r="C57" s="258">
        <v>179950</v>
      </c>
      <c r="D57" s="258">
        <v>185000</v>
      </c>
      <c r="E57" s="278">
        <f>D57*(1+'Rhaniad y Ddeiliadaeth (Cymru)'!C$118)</f>
        <v>193880</v>
      </c>
      <c r="F57" s="278">
        <f>E57*(1+'Rhaniad y Ddeiliadaeth (Cymru)'!D$118)</f>
        <v>205183.204</v>
      </c>
      <c r="G57" s="278">
        <f>F57*(1+'Rhaniad y Ddeiliadaeth (Cymru)'!E$118)</f>
        <v>219676.71599770247</v>
      </c>
      <c r="H57" s="278">
        <f>G57*(1+'Rhaniad y Ddeiliadaeth (Cymru)'!F$118)</f>
        <v>231631.71427848845</v>
      </c>
      <c r="I57" s="279">
        <f>H57*(1+'Rhaniad y Ddeiliadaeth (Cymru)'!G$118)</f>
        <v>241402.80360615742</v>
      </c>
      <c r="M57" s="36" t="str">
        <f t="shared" si="0"/>
        <v/>
      </c>
      <c r="N57" s="202"/>
      <c r="O57" s="13">
        <f t="shared" si="3"/>
        <v>1</v>
      </c>
      <c r="U57" s="1">
        <f t="shared" si="1"/>
        <v>63</v>
      </c>
      <c r="V57" s="4" t="str">
        <f t="shared" si="2"/>
        <v/>
      </c>
      <c r="W57" s="4" t="e">
        <f>IF($W$3=$N$3,N57,V57*(1+'Rhaniad y Ddeiliadaeth (Cymru)'!C$118))</f>
        <v>#VALUE!</v>
      </c>
      <c r="X57" s="4" t="e">
        <f>W57*(1+'Rhaniad y Ddeiliadaeth (Cymru)'!D$118)</f>
        <v>#VALUE!</v>
      </c>
      <c r="Y57" s="4" t="e">
        <f>X57*(1+'Rhaniad y Ddeiliadaeth (Cymru)'!E$118)</f>
        <v>#VALUE!</v>
      </c>
      <c r="Z57" s="4" t="e">
        <f>Y57*(1+'Rhaniad y Ddeiliadaeth (Cymru)'!F$118)</f>
        <v>#VALUE!</v>
      </c>
      <c r="AA57" s="4" t="e">
        <f>Z57*(1+'Rhaniad y Ddeiliadaeth (Cymru)'!G$118)</f>
        <v>#VALUE!</v>
      </c>
      <c r="AC57" s="260">
        <v>63</v>
      </c>
      <c r="AD57" s="4">
        <f>IF('Rhaniad y Ddeiliadaeth (Cymru)'!$D$18="Data Cofrestrfa Tir",'Prisiau Tai (Cymru)'!E57,'Prisiau Tai (Cymru)'!W57)</f>
        <v>193880</v>
      </c>
      <c r="AE57" s="4">
        <f>IF('Rhaniad y Ddeiliadaeth (Cymru)'!$D$18="Data Cofrestrfa Tir",'Prisiau Tai (Cymru)'!F57,'Prisiau Tai (Cymru)'!X57)</f>
        <v>205183.204</v>
      </c>
      <c r="AF57" s="4">
        <f>IF('Rhaniad y Ddeiliadaeth (Cymru)'!$D$18="Data Cofrestrfa Tir",'Prisiau Tai (Cymru)'!G57,'Prisiau Tai (Cymru)'!Y57)</f>
        <v>219676.71599770247</v>
      </c>
      <c r="AG57" s="4">
        <f>IF('Rhaniad y Ddeiliadaeth (Cymru)'!$D$18="Data Cofrestrfa Tir",'Prisiau Tai (Cymru)'!H57,'Prisiau Tai (Cymru)'!Z57)</f>
        <v>231631.71427848845</v>
      </c>
      <c r="AH57" s="4">
        <f>IF('Rhaniad y Ddeiliadaeth (Cymru)'!$D$18="Data Cofrestrfa Tir",'Prisiau Tai (Cymru)'!I57,'Prisiau Tai (Cymru)'!AA57)</f>
        <v>241402.80360615742</v>
      </c>
    </row>
    <row r="58" spans="2:34" x14ac:dyDescent="0.35">
      <c r="B58" s="251">
        <v>64</v>
      </c>
      <c r="C58" s="258">
        <v>180000</v>
      </c>
      <c r="D58" s="258">
        <v>186500</v>
      </c>
      <c r="E58" s="278">
        <f>D58*(1+'Rhaniad y Ddeiliadaeth (Cymru)'!C$118)</f>
        <v>195452</v>
      </c>
      <c r="F58" s="278">
        <f>E58*(1+'Rhaniad y Ddeiliadaeth (Cymru)'!D$118)</f>
        <v>206846.85159999999</v>
      </c>
      <c r="G58" s="278">
        <f>F58*(1+'Rhaniad y Ddeiliadaeth (Cymru)'!E$118)</f>
        <v>221457.87855984602</v>
      </c>
      <c r="H58" s="278">
        <f>G58*(1+'Rhaniad y Ddeiliadaeth (Cymru)'!F$118)</f>
        <v>233509.80925912489</v>
      </c>
      <c r="I58" s="279">
        <f>H58*(1+'Rhaniad y Ddeiliadaeth (Cymru)'!G$118)</f>
        <v>243360.12363539659</v>
      </c>
      <c r="M58" s="36" t="str">
        <f t="shared" si="0"/>
        <v/>
      </c>
      <c r="N58" s="202"/>
      <c r="O58" s="13">
        <f t="shared" si="3"/>
        <v>1</v>
      </c>
      <c r="U58" s="1">
        <f t="shared" si="1"/>
        <v>64</v>
      </c>
      <c r="V58" s="4" t="str">
        <f t="shared" si="2"/>
        <v/>
      </c>
      <c r="W58" s="4" t="e">
        <f>IF($W$3=$N$3,N58,V58*(1+'Rhaniad y Ddeiliadaeth (Cymru)'!C$118))</f>
        <v>#VALUE!</v>
      </c>
      <c r="X58" s="4" t="e">
        <f>W58*(1+'Rhaniad y Ddeiliadaeth (Cymru)'!D$118)</f>
        <v>#VALUE!</v>
      </c>
      <c r="Y58" s="4" t="e">
        <f>X58*(1+'Rhaniad y Ddeiliadaeth (Cymru)'!E$118)</f>
        <v>#VALUE!</v>
      </c>
      <c r="Z58" s="4" t="e">
        <f>Y58*(1+'Rhaniad y Ddeiliadaeth (Cymru)'!F$118)</f>
        <v>#VALUE!</v>
      </c>
      <c r="AA58" s="4" t="e">
        <f>Z58*(1+'Rhaniad y Ddeiliadaeth (Cymru)'!G$118)</f>
        <v>#VALUE!</v>
      </c>
      <c r="AC58" s="260">
        <v>64</v>
      </c>
      <c r="AD58" s="4">
        <f>IF('Rhaniad y Ddeiliadaeth (Cymru)'!$D$18="Data Cofrestrfa Tir",'Prisiau Tai (Cymru)'!E58,'Prisiau Tai (Cymru)'!W58)</f>
        <v>195452</v>
      </c>
      <c r="AE58" s="4">
        <f>IF('Rhaniad y Ddeiliadaeth (Cymru)'!$D$18="Data Cofrestrfa Tir",'Prisiau Tai (Cymru)'!F58,'Prisiau Tai (Cymru)'!X58)</f>
        <v>206846.85159999999</v>
      </c>
      <c r="AF58" s="4">
        <f>IF('Rhaniad y Ddeiliadaeth (Cymru)'!$D$18="Data Cofrestrfa Tir",'Prisiau Tai (Cymru)'!G58,'Prisiau Tai (Cymru)'!Y58)</f>
        <v>221457.87855984602</v>
      </c>
      <c r="AG58" s="4">
        <f>IF('Rhaniad y Ddeiliadaeth (Cymru)'!$D$18="Data Cofrestrfa Tir",'Prisiau Tai (Cymru)'!H58,'Prisiau Tai (Cymru)'!Z58)</f>
        <v>233509.80925912489</v>
      </c>
      <c r="AH58" s="4">
        <f>IF('Rhaniad y Ddeiliadaeth (Cymru)'!$D$18="Data Cofrestrfa Tir",'Prisiau Tai (Cymru)'!I58,'Prisiau Tai (Cymru)'!AA58)</f>
        <v>243360.12363539659</v>
      </c>
    </row>
    <row r="59" spans="2:34" x14ac:dyDescent="0.35">
      <c r="B59" s="251">
        <v>65</v>
      </c>
      <c r="C59" s="258">
        <v>185000</v>
      </c>
      <c r="D59" s="258">
        <v>190000</v>
      </c>
      <c r="E59" s="278">
        <f>D59*(1+'Rhaniad y Ddeiliadaeth (Cymru)'!C$118)</f>
        <v>199120</v>
      </c>
      <c r="F59" s="278">
        <f>E59*(1+'Rhaniad y Ddeiliadaeth (Cymru)'!D$118)</f>
        <v>210728.696</v>
      </c>
      <c r="G59" s="278">
        <f>F59*(1+'Rhaniad y Ddeiliadaeth (Cymru)'!E$118)</f>
        <v>225613.92453818093</v>
      </c>
      <c r="H59" s="278">
        <f>G59*(1+'Rhaniad y Ddeiliadaeth (Cymru)'!F$118)</f>
        <v>237892.03088060979</v>
      </c>
      <c r="I59" s="279">
        <f>H59*(1+'Rhaniad y Ddeiliadaeth (Cymru)'!G$118)</f>
        <v>247927.20370362117</v>
      </c>
      <c r="M59" s="36" t="str">
        <f t="shared" si="0"/>
        <v/>
      </c>
      <c r="N59" s="202"/>
      <c r="O59" s="13">
        <f t="shared" si="3"/>
        <v>1</v>
      </c>
      <c r="U59" s="1">
        <f t="shared" si="1"/>
        <v>65</v>
      </c>
      <c r="V59" s="4" t="str">
        <f t="shared" si="2"/>
        <v/>
      </c>
      <c r="W59" s="4" t="e">
        <f>IF($W$3=$N$3,N59,V59*(1+'Rhaniad y Ddeiliadaeth (Cymru)'!C$118))</f>
        <v>#VALUE!</v>
      </c>
      <c r="X59" s="4" t="e">
        <f>W59*(1+'Rhaniad y Ddeiliadaeth (Cymru)'!D$118)</f>
        <v>#VALUE!</v>
      </c>
      <c r="Y59" s="4" t="e">
        <f>X59*(1+'Rhaniad y Ddeiliadaeth (Cymru)'!E$118)</f>
        <v>#VALUE!</v>
      </c>
      <c r="Z59" s="4" t="e">
        <f>Y59*(1+'Rhaniad y Ddeiliadaeth (Cymru)'!F$118)</f>
        <v>#VALUE!</v>
      </c>
      <c r="AA59" s="4" t="e">
        <f>Z59*(1+'Rhaniad y Ddeiliadaeth (Cymru)'!G$118)</f>
        <v>#VALUE!</v>
      </c>
      <c r="AC59" s="260">
        <v>65</v>
      </c>
      <c r="AD59" s="4">
        <f>IF('Rhaniad y Ddeiliadaeth (Cymru)'!$D$18="Data Cofrestrfa Tir",'Prisiau Tai (Cymru)'!E59,'Prisiau Tai (Cymru)'!W59)</f>
        <v>199120</v>
      </c>
      <c r="AE59" s="4">
        <f>IF('Rhaniad y Ddeiliadaeth (Cymru)'!$D$18="Data Cofrestrfa Tir",'Prisiau Tai (Cymru)'!F59,'Prisiau Tai (Cymru)'!X59)</f>
        <v>210728.696</v>
      </c>
      <c r="AF59" s="4">
        <f>IF('Rhaniad y Ddeiliadaeth (Cymru)'!$D$18="Data Cofrestrfa Tir",'Prisiau Tai (Cymru)'!G59,'Prisiau Tai (Cymru)'!Y59)</f>
        <v>225613.92453818093</v>
      </c>
      <c r="AG59" s="4">
        <f>IF('Rhaniad y Ddeiliadaeth (Cymru)'!$D$18="Data Cofrestrfa Tir",'Prisiau Tai (Cymru)'!H59,'Prisiau Tai (Cymru)'!Z59)</f>
        <v>237892.03088060979</v>
      </c>
      <c r="AH59" s="4">
        <f>IF('Rhaniad y Ddeiliadaeth (Cymru)'!$D$18="Data Cofrestrfa Tir",'Prisiau Tai (Cymru)'!I59,'Prisiau Tai (Cymru)'!AA59)</f>
        <v>247927.20370362117</v>
      </c>
    </row>
    <row r="60" spans="2:34" x14ac:dyDescent="0.35">
      <c r="B60" s="251">
        <v>66</v>
      </c>
      <c r="C60" s="258">
        <v>186000</v>
      </c>
      <c r="D60" s="258">
        <v>192215.00000000378</v>
      </c>
      <c r="E60" s="278">
        <f>D60*(1+'Rhaniad y Ddeiliadaeth (Cymru)'!C$118)</f>
        <v>201441.32000000397</v>
      </c>
      <c r="F60" s="278">
        <f>E60*(1+'Rhaniad y Ddeiliadaeth (Cymru)'!D$118)</f>
        <v>213185.34895600419</v>
      </c>
      <c r="G60" s="278">
        <f>F60*(1+'Rhaniad y Ddeiliadaeth (Cymru)'!E$118)</f>
        <v>228244.10792161737</v>
      </c>
      <c r="H60" s="278">
        <f>G60*(1+'Rhaniad y Ddeiliadaeth (Cymru)'!F$118)</f>
        <v>240665.35113535426</v>
      </c>
      <c r="I60" s="279">
        <f>H60*(1+'Rhaniad y Ddeiliadaeth (Cymru)'!G$118)</f>
        <v>250817.51294680254</v>
      </c>
      <c r="M60" s="36" t="str">
        <f t="shared" si="0"/>
        <v/>
      </c>
      <c r="N60" s="202"/>
      <c r="O60" s="13">
        <f t="shared" si="3"/>
        <v>1</v>
      </c>
      <c r="U60" s="1">
        <f t="shared" si="1"/>
        <v>66</v>
      </c>
      <c r="V60" s="4" t="str">
        <f t="shared" si="2"/>
        <v/>
      </c>
      <c r="W60" s="4" t="e">
        <f>IF($W$3=$N$3,N60,V60*(1+'Rhaniad y Ddeiliadaeth (Cymru)'!C$118))</f>
        <v>#VALUE!</v>
      </c>
      <c r="X60" s="4" t="e">
        <f>W60*(1+'Rhaniad y Ddeiliadaeth (Cymru)'!D$118)</f>
        <v>#VALUE!</v>
      </c>
      <c r="Y60" s="4" t="e">
        <f>X60*(1+'Rhaniad y Ddeiliadaeth (Cymru)'!E$118)</f>
        <v>#VALUE!</v>
      </c>
      <c r="Z60" s="4" t="e">
        <f>Y60*(1+'Rhaniad y Ddeiliadaeth (Cymru)'!F$118)</f>
        <v>#VALUE!</v>
      </c>
      <c r="AA60" s="4" t="e">
        <f>Z60*(1+'Rhaniad y Ddeiliadaeth (Cymru)'!G$118)</f>
        <v>#VALUE!</v>
      </c>
      <c r="AC60" s="260">
        <v>66</v>
      </c>
      <c r="AD60" s="4">
        <f>IF('Rhaniad y Ddeiliadaeth (Cymru)'!$D$18="Data Cofrestrfa Tir",'Prisiau Tai (Cymru)'!E60,'Prisiau Tai (Cymru)'!W60)</f>
        <v>201441.32000000397</v>
      </c>
      <c r="AE60" s="4">
        <f>IF('Rhaniad y Ddeiliadaeth (Cymru)'!$D$18="Data Cofrestrfa Tir",'Prisiau Tai (Cymru)'!F60,'Prisiau Tai (Cymru)'!X60)</f>
        <v>213185.34895600419</v>
      </c>
      <c r="AF60" s="4">
        <f>IF('Rhaniad y Ddeiliadaeth (Cymru)'!$D$18="Data Cofrestrfa Tir",'Prisiau Tai (Cymru)'!G60,'Prisiau Tai (Cymru)'!Y60)</f>
        <v>228244.10792161737</v>
      </c>
      <c r="AG60" s="4">
        <f>IF('Rhaniad y Ddeiliadaeth (Cymru)'!$D$18="Data Cofrestrfa Tir",'Prisiau Tai (Cymru)'!H60,'Prisiau Tai (Cymru)'!Z60)</f>
        <v>240665.35113535426</v>
      </c>
      <c r="AH60" s="4">
        <f>IF('Rhaniad y Ddeiliadaeth (Cymru)'!$D$18="Data Cofrestrfa Tir",'Prisiau Tai (Cymru)'!I60,'Prisiau Tai (Cymru)'!AA60)</f>
        <v>250817.51294680254</v>
      </c>
    </row>
    <row r="61" spans="2:34" x14ac:dyDescent="0.35">
      <c r="B61" s="251">
        <v>67</v>
      </c>
      <c r="C61" s="258">
        <v>190000</v>
      </c>
      <c r="D61" s="258">
        <v>195000</v>
      </c>
      <c r="E61" s="278">
        <f>D61*(1+'Rhaniad y Ddeiliadaeth (Cymru)'!C$118)</f>
        <v>204360</v>
      </c>
      <c r="F61" s="278">
        <f>E61*(1+'Rhaniad y Ddeiliadaeth (Cymru)'!D$118)</f>
        <v>216274.18799999999</v>
      </c>
      <c r="G61" s="278">
        <f>F61*(1+'Rhaniad y Ddeiliadaeth (Cymru)'!E$118)</f>
        <v>231551.13307865936</v>
      </c>
      <c r="H61" s="278">
        <f>G61*(1+'Rhaniad y Ddeiliadaeth (Cymru)'!F$118)</f>
        <v>244152.34748273107</v>
      </c>
      <c r="I61" s="279">
        <f>H61*(1+'Rhaniad y Ddeiliadaeth (Cymru)'!G$118)</f>
        <v>254451.60380108486</v>
      </c>
      <c r="M61" s="36" t="str">
        <f t="shared" si="0"/>
        <v/>
      </c>
      <c r="N61" s="202"/>
      <c r="O61" s="13">
        <f t="shared" si="3"/>
        <v>1</v>
      </c>
      <c r="U61" s="1">
        <f t="shared" si="1"/>
        <v>67</v>
      </c>
      <c r="V61" s="4" t="str">
        <f t="shared" si="2"/>
        <v/>
      </c>
      <c r="W61" s="4" t="e">
        <f>IF($W$3=$N$3,N61,V61*(1+'Rhaniad y Ddeiliadaeth (Cymru)'!C$118))</f>
        <v>#VALUE!</v>
      </c>
      <c r="X61" s="4" t="e">
        <f>W61*(1+'Rhaniad y Ddeiliadaeth (Cymru)'!D$118)</f>
        <v>#VALUE!</v>
      </c>
      <c r="Y61" s="4" t="e">
        <f>X61*(1+'Rhaniad y Ddeiliadaeth (Cymru)'!E$118)</f>
        <v>#VALUE!</v>
      </c>
      <c r="Z61" s="4" t="e">
        <f>Y61*(1+'Rhaniad y Ddeiliadaeth (Cymru)'!F$118)</f>
        <v>#VALUE!</v>
      </c>
      <c r="AA61" s="4" t="e">
        <f>Z61*(1+'Rhaniad y Ddeiliadaeth (Cymru)'!G$118)</f>
        <v>#VALUE!</v>
      </c>
      <c r="AC61" s="260">
        <v>67</v>
      </c>
      <c r="AD61" s="4">
        <f>IF('Rhaniad y Ddeiliadaeth (Cymru)'!$D$18="Data Cofrestrfa Tir",'Prisiau Tai (Cymru)'!E61,'Prisiau Tai (Cymru)'!W61)</f>
        <v>204360</v>
      </c>
      <c r="AE61" s="4">
        <f>IF('Rhaniad y Ddeiliadaeth (Cymru)'!$D$18="Data Cofrestrfa Tir",'Prisiau Tai (Cymru)'!F61,'Prisiau Tai (Cymru)'!X61)</f>
        <v>216274.18799999999</v>
      </c>
      <c r="AF61" s="4">
        <f>IF('Rhaniad y Ddeiliadaeth (Cymru)'!$D$18="Data Cofrestrfa Tir",'Prisiau Tai (Cymru)'!G61,'Prisiau Tai (Cymru)'!Y61)</f>
        <v>231551.13307865936</v>
      </c>
      <c r="AG61" s="4">
        <f>IF('Rhaniad y Ddeiliadaeth (Cymru)'!$D$18="Data Cofrestrfa Tir",'Prisiau Tai (Cymru)'!H61,'Prisiau Tai (Cymru)'!Z61)</f>
        <v>244152.34748273107</v>
      </c>
      <c r="AH61" s="4">
        <f>IF('Rhaniad y Ddeiliadaeth (Cymru)'!$D$18="Data Cofrestrfa Tir",'Prisiau Tai (Cymru)'!I61,'Prisiau Tai (Cymru)'!AA61)</f>
        <v>254451.60380108486</v>
      </c>
    </row>
    <row r="62" spans="2:34" x14ac:dyDescent="0.35">
      <c r="B62" s="251">
        <v>68</v>
      </c>
      <c r="C62" s="258">
        <v>192000</v>
      </c>
      <c r="D62" s="258">
        <v>199995</v>
      </c>
      <c r="E62" s="278">
        <f>D62*(1+'Rhaniad y Ddeiliadaeth (Cymru)'!C$118)</f>
        <v>209594.76</v>
      </c>
      <c r="F62" s="278">
        <f>E62*(1+'Rhaniad y Ddeiliadaeth (Cymru)'!D$118)</f>
        <v>221814.13450800002</v>
      </c>
      <c r="G62" s="278">
        <f>F62*(1+'Rhaniad y Ddeiliadaeth (Cymru)'!E$118)</f>
        <v>237482.40441059734</v>
      </c>
      <c r="H62" s="278">
        <f>G62*(1+'Rhaniad y Ddeiliadaeth (Cymru)'!F$118)</f>
        <v>250406.40376825028</v>
      </c>
      <c r="I62" s="279">
        <f>H62*(1+'Rhaniad y Ddeiliadaeth (Cymru)'!G$118)</f>
        <v>260969.47949845114</v>
      </c>
      <c r="M62" s="36" t="str">
        <f t="shared" si="0"/>
        <v/>
      </c>
      <c r="N62" s="202"/>
      <c r="O62" s="13">
        <f t="shared" si="3"/>
        <v>1</v>
      </c>
      <c r="U62" s="1">
        <f t="shared" si="1"/>
        <v>68</v>
      </c>
      <c r="V62" s="4" t="str">
        <f t="shared" si="2"/>
        <v/>
      </c>
      <c r="W62" s="4" t="e">
        <f>IF($W$3=$N$3,N62,V62*(1+'Rhaniad y Ddeiliadaeth (Cymru)'!C$118))</f>
        <v>#VALUE!</v>
      </c>
      <c r="X62" s="4" t="e">
        <f>W62*(1+'Rhaniad y Ddeiliadaeth (Cymru)'!D$118)</f>
        <v>#VALUE!</v>
      </c>
      <c r="Y62" s="4" t="e">
        <f>X62*(1+'Rhaniad y Ddeiliadaeth (Cymru)'!E$118)</f>
        <v>#VALUE!</v>
      </c>
      <c r="Z62" s="4" t="e">
        <f>Y62*(1+'Rhaniad y Ddeiliadaeth (Cymru)'!F$118)</f>
        <v>#VALUE!</v>
      </c>
      <c r="AA62" s="4" t="e">
        <f>Z62*(1+'Rhaniad y Ddeiliadaeth (Cymru)'!G$118)</f>
        <v>#VALUE!</v>
      </c>
      <c r="AC62" s="260">
        <v>68</v>
      </c>
      <c r="AD62" s="4">
        <f>IF('Rhaniad y Ddeiliadaeth (Cymru)'!$D$18="Data Cofrestrfa Tir",'Prisiau Tai (Cymru)'!E62,'Prisiau Tai (Cymru)'!W62)</f>
        <v>209594.76</v>
      </c>
      <c r="AE62" s="4">
        <f>IF('Rhaniad y Ddeiliadaeth (Cymru)'!$D$18="Data Cofrestrfa Tir",'Prisiau Tai (Cymru)'!F62,'Prisiau Tai (Cymru)'!X62)</f>
        <v>221814.13450800002</v>
      </c>
      <c r="AF62" s="4">
        <f>IF('Rhaniad y Ddeiliadaeth (Cymru)'!$D$18="Data Cofrestrfa Tir",'Prisiau Tai (Cymru)'!G62,'Prisiau Tai (Cymru)'!Y62)</f>
        <v>237482.40441059734</v>
      </c>
      <c r="AG62" s="4">
        <f>IF('Rhaniad y Ddeiliadaeth (Cymru)'!$D$18="Data Cofrestrfa Tir",'Prisiau Tai (Cymru)'!H62,'Prisiau Tai (Cymru)'!Z62)</f>
        <v>250406.40376825028</v>
      </c>
      <c r="AH62" s="4">
        <f>IF('Rhaniad y Ddeiliadaeth (Cymru)'!$D$18="Data Cofrestrfa Tir",'Prisiau Tai (Cymru)'!I62,'Prisiau Tai (Cymru)'!AA62)</f>
        <v>260969.47949845114</v>
      </c>
    </row>
    <row r="63" spans="2:34" x14ac:dyDescent="0.35">
      <c r="B63" s="251">
        <v>69</v>
      </c>
      <c r="C63" s="258">
        <v>195000</v>
      </c>
      <c r="D63" s="258">
        <v>202500</v>
      </c>
      <c r="E63" s="278">
        <f>D63*(1+'Rhaniad y Ddeiliadaeth (Cymru)'!C$118)</f>
        <v>212220</v>
      </c>
      <c r="F63" s="278">
        <f>E63*(1+'Rhaniad y Ddeiliadaeth (Cymru)'!D$118)</f>
        <v>224592.42600000001</v>
      </c>
      <c r="G63" s="278">
        <f>F63*(1+'Rhaniad y Ddeiliadaeth (Cymru)'!E$118)</f>
        <v>240456.94588937704</v>
      </c>
      <c r="H63" s="278">
        <f>G63*(1+'Rhaniad y Ddeiliadaeth (Cymru)'!F$118)</f>
        <v>253542.82238591305</v>
      </c>
      <c r="I63" s="279">
        <f>H63*(1+'Rhaniad y Ddeiliadaeth (Cymru)'!G$118)</f>
        <v>264238.20394728048</v>
      </c>
      <c r="M63" s="36" t="str">
        <f t="shared" si="0"/>
        <v/>
      </c>
      <c r="N63" s="202"/>
      <c r="O63" s="13">
        <f t="shared" si="3"/>
        <v>1</v>
      </c>
      <c r="U63" s="1">
        <f t="shared" si="1"/>
        <v>69</v>
      </c>
      <c r="V63" s="4" t="str">
        <f t="shared" si="2"/>
        <v/>
      </c>
      <c r="W63" s="4" t="e">
        <f>IF($W$3=$N$3,N63,V63*(1+'Rhaniad y Ddeiliadaeth (Cymru)'!C$118))</f>
        <v>#VALUE!</v>
      </c>
      <c r="X63" s="4" t="e">
        <f>W63*(1+'Rhaniad y Ddeiliadaeth (Cymru)'!D$118)</f>
        <v>#VALUE!</v>
      </c>
      <c r="Y63" s="4" t="e">
        <f>X63*(1+'Rhaniad y Ddeiliadaeth (Cymru)'!E$118)</f>
        <v>#VALUE!</v>
      </c>
      <c r="Z63" s="4" t="e">
        <f>Y63*(1+'Rhaniad y Ddeiliadaeth (Cymru)'!F$118)</f>
        <v>#VALUE!</v>
      </c>
      <c r="AA63" s="4" t="e">
        <f>Z63*(1+'Rhaniad y Ddeiliadaeth (Cymru)'!G$118)</f>
        <v>#VALUE!</v>
      </c>
      <c r="AC63" s="260">
        <v>69</v>
      </c>
      <c r="AD63" s="4">
        <f>IF('Rhaniad y Ddeiliadaeth (Cymru)'!$D$18="Data Cofrestrfa Tir",'Prisiau Tai (Cymru)'!E63,'Prisiau Tai (Cymru)'!W63)</f>
        <v>212220</v>
      </c>
      <c r="AE63" s="4">
        <f>IF('Rhaniad y Ddeiliadaeth (Cymru)'!$D$18="Data Cofrestrfa Tir",'Prisiau Tai (Cymru)'!F63,'Prisiau Tai (Cymru)'!X63)</f>
        <v>224592.42600000001</v>
      </c>
      <c r="AF63" s="4">
        <f>IF('Rhaniad y Ddeiliadaeth (Cymru)'!$D$18="Data Cofrestrfa Tir",'Prisiau Tai (Cymru)'!G63,'Prisiau Tai (Cymru)'!Y63)</f>
        <v>240456.94588937704</v>
      </c>
      <c r="AG63" s="4">
        <f>IF('Rhaniad y Ddeiliadaeth (Cymru)'!$D$18="Data Cofrestrfa Tir",'Prisiau Tai (Cymru)'!H63,'Prisiau Tai (Cymru)'!Z63)</f>
        <v>253542.82238591305</v>
      </c>
      <c r="AH63" s="4">
        <f>IF('Rhaniad y Ddeiliadaeth (Cymru)'!$D$18="Data Cofrestrfa Tir",'Prisiau Tai (Cymru)'!I63,'Prisiau Tai (Cymru)'!AA63)</f>
        <v>264238.20394728048</v>
      </c>
    </row>
    <row r="64" spans="2:34" x14ac:dyDescent="0.35">
      <c r="B64" s="251">
        <v>70</v>
      </c>
      <c r="C64" s="258">
        <v>199950</v>
      </c>
      <c r="D64" s="258">
        <v>206000</v>
      </c>
      <c r="E64" s="278">
        <f>D64*(1+'Rhaniad y Ddeiliadaeth (Cymru)'!C$118)</f>
        <v>215888</v>
      </c>
      <c r="F64" s="278">
        <f>E64*(1+'Rhaniad y Ddeiliadaeth (Cymru)'!D$118)</f>
        <v>228474.27040000001</v>
      </c>
      <c r="G64" s="278">
        <f>F64*(1+'Rhaniad y Ddeiliadaeth (Cymru)'!E$118)</f>
        <v>244612.99186771197</v>
      </c>
      <c r="H64" s="278">
        <f>G64*(1+'Rhaniad y Ddeiliadaeth (Cymru)'!F$118)</f>
        <v>257925.04400739798</v>
      </c>
      <c r="I64" s="279">
        <f>H64*(1+'Rhaniad y Ddeiliadaeth (Cymru)'!G$118)</f>
        <v>268805.28401550505</v>
      </c>
      <c r="M64" s="36" t="str">
        <f t="shared" si="0"/>
        <v/>
      </c>
      <c r="N64" s="202"/>
      <c r="O64" s="13">
        <f t="shared" si="3"/>
        <v>1</v>
      </c>
      <c r="U64" s="1">
        <f t="shared" si="1"/>
        <v>70</v>
      </c>
      <c r="V64" s="4" t="str">
        <f t="shared" si="2"/>
        <v/>
      </c>
      <c r="W64" s="4" t="e">
        <f>IF($W$3=$N$3,N64,V64*(1+'Rhaniad y Ddeiliadaeth (Cymru)'!C$118))</f>
        <v>#VALUE!</v>
      </c>
      <c r="X64" s="4" t="e">
        <f>W64*(1+'Rhaniad y Ddeiliadaeth (Cymru)'!D$118)</f>
        <v>#VALUE!</v>
      </c>
      <c r="Y64" s="4" t="e">
        <f>X64*(1+'Rhaniad y Ddeiliadaeth (Cymru)'!E$118)</f>
        <v>#VALUE!</v>
      </c>
      <c r="Z64" s="4" t="e">
        <f>Y64*(1+'Rhaniad y Ddeiliadaeth (Cymru)'!F$118)</f>
        <v>#VALUE!</v>
      </c>
      <c r="AA64" s="4" t="e">
        <f>Z64*(1+'Rhaniad y Ddeiliadaeth (Cymru)'!G$118)</f>
        <v>#VALUE!</v>
      </c>
      <c r="AC64" s="260">
        <v>70</v>
      </c>
      <c r="AD64" s="4">
        <f>IF('Rhaniad y Ddeiliadaeth (Cymru)'!$D$18="Data Cofrestrfa Tir",'Prisiau Tai (Cymru)'!E64,'Prisiau Tai (Cymru)'!W64)</f>
        <v>215888</v>
      </c>
      <c r="AE64" s="4">
        <f>IF('Rhaniad y Ddeiliadaeth (Cymru)'!$D$18="Data Cofrestrfa Tir",'Prisiau Tai (Cymru)'!F64,'Prisiau Tai (Cymru)'!X64)</f>
        <v>228474.27040000001</v>
      </c>
      <c r="AF64" s="4">
        <f>IF('Rhaniad y Ddeiliadaeth (Cymru)'!$D$18="Data Cofrestrfa Tir",'Prisiau Tai (Cymru)'!G64,'Prisiau Tai (Cymru)'!Y64)</f>
        <v>244612.99186771197</v>
      </c>
      <c r="AG64" s="4">
        <f>IF('Rhaniad y Ddeiliadaeth (Cymru)'!$D$18="Data Cofrestrfa Tir",'Prisiau Tai (Cymru)'!H64,'Prisiau Tai (Cymru)'!Z64)</f>
        <v>257925.04400739798</v>
      </c>
      <c r="AH64" s="4">
        <f>IF('Rhaniad y Ddeiliadaeth (Cymru)'!$D$18="Data Cofrestrfa Tir",'Prisiau Tai (Cymru)'!I64,'Prisiau Tai (Cymru)'!AA64)</f>
        <v>268805.28401550505</v>
      </c>
    </row>
    <row r="65" spans="2:34" x14ac:dyDescent="0.35">
      <c r="B65" s="251">
        <v>71</v>
      </c>
      <c r="C65" s="258">
        <v>201500</v>
      </c>
      <c r="D65" s="258">
        <v>210000</v>
      </c>
      <c r="E65" s="278">
        <f>D65*(1+'Rhaniad y Ddeiliadaeth (Cymru)'!C$118)</f>
        <v>220080</v>
      </c>
      <c r="F65" s="278">
        <f>E65*(1+'Rhaniad y Ddeiliadaeth (Cymru)'!D$118)</f>
        <v>232910.66399999999</v>
      </c>
      <c r="G65" s="278">
        <f>F65*(1+'Rhaniad y Ddeiliadaeth (Cymru)'!E$118)</f>
        <v>249362.75870009471</v>
      </c>
      <c r="H65" s="278">
        <f>G65*(1+'Rhaniad y Ddeiliadaeth (Cymru)'!F$118)</f>
        <v>262933.297289095</v>
      </c>
      <c r="I65" s="279">
        <f>H65*(1+'Rhaniad y Ddeiliadaeth (Cymru)'!G$118)</f>
        <v>274024.80409347604</v>
      </c>
      <c r="M65" s="36" t="str">
        <f t="shared" si="0"/>
        <v/>
      </c>
      <c r="N65" s="202"/>
      <c r="O65" s="13">
        <f t="shared" si="3"/>
        <v>1</v>
      </c>
      <c r="U65" s="1">
        <f t="shared" si="1"/>
        <v>71</v>
      </c>
      <c r="V65" s="4" t="str">
        <f t="shared" si="2"/>
        <v/>
      </c>
      <c r="W65" s="4" t="e">
        <f>IF($W$3=$N$3,N65,V65*(1+'Rhaniad y Ddeiliadaeth (Cymru)'!C$118))</f>
        <v>#VALUE!</v>
      </c>
      <c r="X65" s="4" t="e">
        <f>W65*(1+'Rhaniad y Ddeiliadaeth (Cymru)'!D$118)</f>
        <v>#VALUE!</v>
      </c>
      <c r="Y65" s="4" t="e">
        <f>X65*(1+'Rhaniad y Ddeiliadaeth (Cymru)'!E$118)</f>
        <v>#VALUE!</v>
      </c>
      <c r="Z65" s="4" t="e">
        <f>Y65*(1+'Rhaniad y Ddeiliadaeth (Cymru)'!F$118)</f>
        <v>#VALUE!</v>
      </c>
      <c r="AA65" s="4" t="e">
        <f>Z65*(1+'Rhaniad y Ddeiliadaeth (Cymru)'!G$118)</f>
        <v>#VALUE!</v>
      </c>
      <c r="AC65" s="260">
        <v>71</v>
      </c>
      <c r="AD65" s="4">
        <f>IF('Rhaniad y Ddeiliadaeth (Cymru)'!$D$18="Data Cofrestrfa Tir",'Prisiau Tai (Cymru)'!E65,'Prisiau Tai (Cymru)'!W65)</f>
        <v>220080</v>
      </c>
      <c r="AE65" s="4">
        <f>IF('Rhaniad y Ddeiliadaeth (Cymru)'!$D$18="Data Cofrestrfa Tir",'Prisiau Tai (Cymru)'!F65,'Prisiau Tai (Cymru)'!X65)</f>
        <v>232910.66399999999</v>
      </c>
      <c r="AF65" s="4">
        <f>IF('Rhaniad y Ddeiliadaeth (Cymru)'!$D$18="Data Cofrestrfa Tir",'Prisiau Tai (Cymru)'!G65,'Prisiau Tai (Cymru)'!Y65)</f>
        <v>249362.75870009471</v>
      </c>
      <c r="AG65" s="4">
        <f>IF('Rhaniad y Ddeiliadaeth (Cymru)'!$D$18="Data Cofrestrfa Tir",'Prisiau Tai (Cymru)'!H65,'Prisiau Tai (Cymru)'!Z65)</f>
        <v>262933.297289095</v>
      </c>
      <c r="AH65" s="4">
        <f>IF('Rhaniad y Ddeiliadaeth (Cymru)'!$D$18="Data Cofrestrfa Tir",'Prisiau Tai (Cymru)'!I65,'Prisiau Tai (Cymru)'!AA65)</f>
        <v>274024.80409347604</v>
      </c>
    </row>
    <row r="66" spans="2:34" x14ac:dyDescent="0.35">
      <c r="B66" s="251">
        <v>72</v>
      </c>
      <c r="C66" s="258">
        <v>205000</v>
      </c>
      <c r="D66" s="258">
        <v>214950</v>
      </c>
      <c r="E66" s="278">
        <f>D66*(1+'Rhaniad y Ddeiliadaeth (Cymru)'!C$118)</f>
        <v>225267.6</v>
      </c>
      <c r="F66" s="278">
        <f>E66*(1+'Rhaniad y Ddeiliadaeth (Cymru)'!D$118)</f>
        <v>238400.70108</v>
      </c>
      <c r="G66" s="278">
        <f>F66*(1+'Rhaniad y Ddeiliadaeth (Cymru)'!E$118)</f>
        <v>255240.59515516838</v>
      </c>
      <c r="H66" s="278">
        <f>G66*(1+'Rhaniad y Ddeiliadaeth (Cymru)'!F$118)</f>
        <v>269131.01072519511</v>
      </c>
      <c r="I66" s="279">
        <f>H66*(1+'Rhaniad y Ddeiliadaeth (Cymru)'!G$118)</f>
        <v>280483.96018996509</v>
      </c>
      <c r="M66" s="36" t="str">
        <f t="shared" si="0"/>
        <v/>
      </c>
      <c r="N66" s="202"/>
      <c r="O66" s="13">
        <f t="shared" si="3"/>
        <v>1</v>
      </c>
      <c r="U66" s="1">
        <f t="shared" si="1"/>
        <v>72</v>
      </c>
      <c r="V66" s="4" t="str">
        <f t="shared" si="2"/>
        <v/>
      </c>
      <c r="W66" s="4" t="e">
        <f>IF($W$3=$N$3,N66,V66*(1+'Rhaniad y Ddeiliadaeth (Cymru)'!C$118))</f>
        <v>#VALUE!</v>
      </c>
      <c r="X66" s="4" t="e">
        <f>W66*(1+'Rhaniad y Ddeiliadaeth (Cymru)'!D$118)</f>
        <v>#VALUE!</v>
      </c>
      <c r="Y66" s="4" t="e">
        <f>X66*(1+'Rhaniad y Ddeiliadaeth (Cymru)'!E$118)</f>
        <v>#VALUE!</v>
      </c>
      <c r="Z66" s="4" t="e">
        <f>Y66*(1+'Rhaniad y Ddeiliadaeth (Cymru)'!F$118)</f>
        <v>#VALUE!</v>
      </c>
      <c r="AA66" s="4" t="e">
        <f>Z66*(1+'Rhaniad y Ddeiliadaeth (Cymru)'!G$118)</f>
        <v>#VALUE!</v>
      </c>
      <c r="AC66" s="260">
        <v>72</v>
      </c>
      <c r="AD66" s="4">
        <f>IF('Rhaniad y Ddeiliadaeth (Cymru)'!$D$18="Data Cofrestrfa Tir",'Prisiau Tai (Cymru)'!E66,'Prisiau Tai (Cymru)'!W66)</f>
        <v>225267.6</v>
      </c>
      <c r="AE66" s="4">
        <f>IF('Rhaniad y Ddeiliadaeth (Cymru)'!$D$18="Data Cofrestrfa Tir",'Prisiau Tai (Cymru)'!F66,'Prisiau Tai (Cymru)'!X66)</f>
        <v>238400.70108</v>
      </c>
      <c r="AF66" s="4">
        <f>IF('Rhaniad y Ddeiliadaeth (Cymru)'!$D$18="Data Cofrestrfa Tir",'Prisiau Tai (Cymru)'!G66,'Prisiau Tai (Cymru)'!Y66)</f>
        <v>255240.59515516838</v>
      </c>
      <c r="AG66" s="4">
        <f>IF('Rhaniad y Ddeiliadaeth (Cymru)'!$D$18="Data Cofrestrfa Tir",'Prisiau Tai (Cymru)'!H66,'Prisiau Tai (Cymru)'!Z66)</f>
        <v>269131.01072519511</v>
      </c>
      <c r="AH66" s="4">
        <f>IF('Rhaniad y Ddeiliadaeth (Cymru)'!$D$18="Data Cofrestrfa Tir",'Prisiau Tai (Cymru)'!I66,'Prisiau Tai (Cymru)'!AA66)</f>
        <v>280483.96018996509</v>
      </c>
    </row>
    <row r="67" spans="2:34" x14ac:dyDescent="0.35">
      <c r="B67" s="251">
        <v>73</v>
      </c>
      <c r="C67" s="258">
        <v>210000</v>
      </c>
      <c r="D67" s="258">
        <v>217500</v>
      </c>
      <c r="E67" s="278">
        <f>D67*(1+'Rhaniad y Ddeiliadaeth (Cymru)'!C$118)</f>
        <v>227940</v>
      </c>
      <c r="F67" s="278">
        <f>E67*(1+'Rhaniad y Ddeiliadaeth (Cymru)'!D$118)</f>
        <v>241228.902</v>
      </c>
      <c r="G67" s="278">
        <f>F67*(1+'Rhaniad y Ddeiliadaeth (Cymru)'!E$118)</f>
        <v>258268.57151081238</v>
      </c>
      <c r="H67" s="278">
        <f>G67*(1+'Rhaniad y Ddeiliadaeth (Cymru)'!F$118)</f>
        <v>272323.77219227701</v>
      </c>
      <c r="I67" s="279">
        <f>H67*(1+'Rhaniad y Ddeiliadaeth (Cymru)'!G$118)</f>
        <v>283811.40423967165</v>
      </c>
      <c r="M67" s="36" t="str">
        <f t="shared" si="0"/>
        <v/>
      </c>
      <c r="N67" s="202"/>
      <c r="O67" s="13">
        <f t="shared" si="3"/>
        <v>1</v>
      </c>
      <c r="U67" s="1">
        <f t="shared" si="1"/>
        <v>73</v>
      </c>
      <c r="V67" s="4" t="str">
        <f t="shared" si="2"/>
        <v/>
      </c>
      <c r="W67" s="4" t="e">
        <f>IF($W$3=$N$3,N67,V67*(1+'Rhaniad y Ddeiliadaeth (Cymru)'!C$118))</f>
        <v>#VALUE!</v>
      </c>
      <c r="X67" s="4" t="e">
        <f>W67*(1+'Rhaniad y Ddeiliadaeth (Cymru)'!D$118)</f>
        <v>#VALUE!</v>
      </c>
      <c r="Y67" s="4" t="e">
        <f>X67*(1+'Rhaniad y Ddeiliadaeth (Cymru)'!E$118)</f>
        <v>#VALUE!</v>
      </c>
      <c r="Z67" s="4" t="e">
        <f>Y67*(1+'Rhaniad y Ddeiliadaeth (Cymru)'!F$118)</f>
        <v>#VALUE!</v>
      </c>
      <c r="AA67" s="4" t="e">
        <f>Z67*(1+'Rhaniad y Ddeiliadaeth (Cymru)'!G$118)</f>
        <v>#VALUE!</v>
      </c>
      <c r="AC67" s="260">
        <v>73</v>
      </c>
      <c r="AD67" s="4">
        <f>IF('Rhaniad y Ddeiliadaeth (Cymru)'!$D$18="Data Cofrestrfa Tir",'Prisiau Tai (Cymru)'!E67,'Prisiau Tai (Cymru)'!W67)</f>
        <v>227940</v>
      </c>
      <c r="AE67" s="4">
        <f>IF('Rhaniad y Ddeiliadaeth (Cymru)'!$D$18="Data Cofrestrfa Tir",'Prisiau Tai (Cymru)'!F67,'Prisiau Tai (Cymru)'!X67)</f>
        <v>241228.902</v>
      </c>
      <c r="AF67" s="4">
        <f>IF('Rhaniad y Ddeiliadaeth (Cymru)'!$D$18="Data Cofrestrfa Tir",'Prisiau Tai (Cymru)'!G67,'Prisiau Tai (Cymru)'!Y67)</f>
        <v>258268.57151081238</v>
      </c>
      <c r="AG67" s="4">
        <f>IF('Rhaniad y Ddeiliadaeth (Cymru)'!$D$18="Data Cofrestrfa Tir",'Prisiau Tai (Cymru)'!H67,'Prisiau Tai (Cymru)'!Z67)</f>
        <v>272323.77219227701</v>
      </c>
      <c r="AH67" s="4">
        <f>IF('Rhaniad y Ddeiliadaeth (Cymru)'!$D$18="Data Cofrestrfa Tir",'Prisiau Tai (Cymru)'!I67,'Prisiau Tai (Cymru)'!AA67)</f>
        <v>283811.40423967165</v>
      </c>
    </row>
    <row r="68" spans="2:34" x14ac:dyDescent="0.35">
      <c r="B68" s="251">
        <v>74</v>
      </c>
      <c r="C68" s="258">
        <v>215000</v>
      </c>
      <c r="D68" s="258">
        <v>220000</v>
      </c>
      <c r="E68" s="278">
        <f>D68*(1+'Rhaniad y Ddeiliadaeth (Cymru)'!C$118)</f>
        <v>230560</v>
      </c>
      <c r="F68" s="278">
        <f>E68*(1+'Rhaniad y Ddeiliadaeth (Cymru)'!D$118)</f>
        <v>244001.64800000002</v>
      </c>
      <c r="G68" s="278">
        <f>F68*(1+'Rhaniad y Ddeiliadaeth (Cymru)'!E$118)</f>
        <v>261237.17578105163</v>
      </c>
      <c r="H68" s="278">
        <f>G68*(1+'Rhaniad y Ddeiliadaeth (Cymru)'!F$118)</f>
        <v>275453.93049333768</v>
      </c>
      <c r="I68" s="279">
        <f>H68*(1+'Rhaniad y Ddeiliadaeth (Cymru)'!G$118)</f>
        <v>287073.60428840353</v>
      </c>
      <c r="M68" s="36" t="str">
        <f t="shared" ref="M68:M84" si="4">IF(ISBLANK($L$4),"",B68)</f>
        <v/>
      </c>
      <c r="N68" s="202"/>
      <c r="O68" s="13">
        <f t="shared" si="3"/>
        <v>1</v>
      </c>
      <c r="U68" s="1">
        <f t="shared" ref="U68:U84" si="5">B68</f>
        <v>74</v>
      </c>
      <c r="V68" s="4" t="str">
        <f t="shared" ref="V68:V84" si="6">IF($N$3=$V$3,N68,"")</f>
        <v/>
      </c>
      <c r="W68" s="4" t="e">
        <f>IF($W$3=$N$3,N68,V68*(1+'Rhaniad y Ddeiliadaeth (Cymru)'!C$118))</f>
        <v>#VALUE!</v>
      </c>
      <c r="X68" s="4" t="e">
        <f>W68*(1+'Rhaniad y Ddeiliadaeth (Cymru)'!D$118)</f>
        <v>#VALUE!</v>
      </c>
      <c r="Y68" s="4" t="e">
        <f>X68*(1+'Rhaniad y Ddeiliadaeth (Cymru)'!E$118)</f>
        <v>#VALUE!</v>
      </c>
      <c r="Z68" s="4" t="e">
        <f>Y68*(1+'Rhaniad y Ddeiliadaeth (Cymru)'!F$118)</f>
        <v>#VALUE!</v>
      </c>
      <c r="AA68" s="4" t="e">
        <f>Z68*(1+'Rhaniad y Ddeiliadaeth (Cymru)'!G$118)</f>
        <v>#VALUE!</v>
      </c>
      <c r="AC68" s="260">
        <v>74</v>
      </c>
      <c r="AD68" s="4">
        <f>IF('Rhaniad y Ddeiliadaeth (Cymru)'!$D$18="Data Cofrestrfa Tir",'Prisiau Tai (Cymru)'!E68,'Prisiau Tai (Cymru)'!W68)</f>
        <v>230560</v>
      </c>
      <c r="AE68" s="4">
        <f>IF('Rhaniad y Ddeiliadaeth (Cymru)'!$D$18="Data Cofrestrfa Tir",'Prisiau Tai (Cymru)'!F68,'Prisiau Tai (Cymru)'!X68)</f>
        <v>244001.64800000002</v>
      </c>
      <c r="AF68" s="4">
        <f>IF('Rhaniad y Ddeiliadaeth (Cymru)'!$D$18="Data Cofrestrfa Tir",'Prisiau Tai (Cymru)'!G68,'Prisiau Tai (Cymru)'!Y68)</f>
        <v>261237.17578105163</v>
      </c>
      <c r="AG68" s="4">
        <f>IF('Rhaniad y Ddeiliadaeth (Cymru)'!$D$18="Data Cofrestrfa Tir",'Prisiau Tai (Cymru)'!H68,'Prisiau Tai (Cymru)'!Z68)</f>
        <v>275453.93049333768</v>
      </c>
      <c r="AH68" s="4">
        <f>IF('Rhaniad y Ddeiliadaeth (Cymru)'!$D$18="Data Cofrestrfa Tir",'Prisiau Tai (Cymru)'!I68,'Prisiau Tai (Cymru)'!AA68)</f>
        <v>287073.60428840353</v>
      </c>
    </row>
    <row r="69" spans="2:34" x14ac:dyDescent="0.35">
      <c r="B69" s="251">
        <v>75</v>
      </c>
      <c r="C69" s="258">
        <v>218000</v>
      </c>
      <c r="D69" s="258">
        <v>225000</v>
      </c>
      <c r="E69" s="278">
        <f>D69*(1+'Rhaniad y Ddeiliadaeth (Cymru)'!C$118)</f>
        <v>235800</v>
      </c>
      <c r="F69" s="278">
        <f>E69*(1+'Rhaniad y Ddeiliadaeth (Cymru)'!D$118)</f>
        <v>249547.14</v>
      </c>
      <c r="G69" s="278">
        <f>F69*(1+'Rhaniad y Ddeiliadaeth (Cymru)'!E$118)</f>
        <v>267174.38432153006</v>
      </c>
      <c r="H69" s="278">
        <f>G69*(1+'Rhaniad y Ddeiliadaeth (Cymru)'!F$118)</f>
        <v>281714.24709545897</v>
      </c>
      <c r="I69" s="279">
        <f>H69*(1+'Rhaniad y Ddeiliadaeth (Cymru)'!G$118)</f>
        <v>293598.00438586721</v>
      </c>
      <c r="M69" s="36" t="str">
        <f t="shared" si="4"/>
        <v/>
      </c>
      <c r="N69" s="202"/>
      <c r="O69" s="13">
        <f t="shared" ref="O69:O84" si="7">IF(ISBLANK(N69),1,0)</f>
        <v>1</v>
      </c>
      <c r="U69" s="1">
        <f t="shared" si="5"/>
        <v>75</v>
      </c>
      <c r="V69" s="4" t="str">
        <f t="shared" si="6"/>
        <v/>
      </c>
      <c r="W69" s="4" t="e">
        <f>IF($W$3=$N$3,N69,V69*(1+'Rhaniad y Ddeiliadaeth (Cymru)'!C$118))</f>
        <v>#VALUE!</v>
      </c>
      <c r="X69" s="4" t="e">
        <f>W69*(1+'Rhaniad y Ddeiliadaeth (Cymru)'!D$118)</f>
        <v>#VALUE!</v>
      </c>
      <c r="Y69" s="4" t="e">
        <f>X69*(1+'Rhaniad y Ddeiliadaeth (Cymru)'!E$118)</f>
        <v>#VALUE!</v>
      </c>
      <c r="Z69" s="4" t="e">
        <f>Y69*(1+'Rhaniad y Ddeiliadaeth (Cymru)'!F$118)</f>
        <v>#VALUE!</v>
      </c>
      <c r="AA69" s="4" t="e">
        <f>Z69*(1+'Rhaniad y Ddeiliadaeth (Cymru)'!G$118)</f>
        <v>#VALUE!</v>
      </c>
      <c r="AC69" s="260">
        <v>75</v>
      </c>
      <c r="AD69" s="4">
        <f>IF('Rhaniad y Ddeiliadaeth (Cymru)'!$D$18="Data Cofrestrfa Tir",'Prisiau Tai (Cymru)'!E69,'Prisiau Tai (Cymru)'!W69)</f>
        <v>235800</v>
      </c>
      <c r="AE69" s="4">
        <f>IF('Rhaniad y Ddeiliadaeth (Cymru)'!$D$18="Data Cofrestrfa Tir",'Prisiau Tai (Cymru)'!F69,'Prisiau Tai (Cymru)'!X69)</f>
        <v>249547.14</v>
      </c>
      <c r="AF69" s="4">
        <f>IF('Rhaniad y Ddeiliadaeth (Cymru)'!$D$18="Data Cofrestrfa Tir",'Prisiau Tai (Cymru)'!G69,'Prisiau Tai (Cymru)'!Y69)</f>
        <v>267174.38432153006</v>
      </c>
      <c r="AG69" s="4">
        <f>IF('Rhaniad y Ddeiliadaeth (Cymru)'!$D$18="Data Cofrestrfa Tir",'Prisiau Tai (Cymru)'!H69,'Prisiau Tai (Cymru)'!Z69)</f>
        <v>281714.24709545897</v>
      </c>
      <c r="AH69" s="4">
        <f>IF('Rhaniad y Ddeiliadaeth (Cymru)'!$D$18="Data Cofrestrfa Tir",'Prisiau Tai (Cymru)'!I69,'Prisiau Tai (Cymru)'!AA69)</f>
        <v>293598.00438586721</v>
      </c>
    </row>
    <row r="70" spans="2:34" x14ac:dyDescent="0.35">
      <c r="B70" s="251">
        <v>76</v>
      </c>
      <c r="C70" s="258">
        <v>220995</v>
      </c>
      <c r="D70" s="258">
        <v>229000</v>
      </c>
      <c r="E70" s="278">
        <f>D70*(1+'Rhaniad y Ddeiliadaeth (Cymru)'!C$118)</f>
        <v>239992</v>
      </c>
      <c r="F70" s="278">
        <f>E70*(1+'Rhaniad y Ddeiliadaeth (Cymru)'!D$118)</f>
        <v>253983.5336</v>
      </c>
      <c r="G70" s="278">
        <f>F70*(1+'Rhaniad y Ddeiliadaeth (Cymru)'!E$118)</f>
        <v>271924.15115391283</v>
      </c>
      <c r="H70" s="278">
        <f>G70*(1+'Rhaniad y Ddeiliadaeth (Cymru)'!F$118)</f>
        <v>286722.50037715602</v>
      </c>
      <c r="I70" s="279">
        <f>H70*(1+'Rhaniad y Ddeiliadaeth (Cymru)'!G$118)</f>
        <v>298817.52446383814</v>
      </c>
      <c r="M70" s="36" t="str">
        <f t="shared" si="4"/>
        <v/>
      </c>
      <c r="N70" s="202"/>
      <c r="O70" s="13">
        <f t="shared" si="7"/>
        <v>1</v>
      </c>
      <c r="U70" s="1">
        <f t="shared" si="5"/>
        <v>76</v>
      </c>
      <c r="V70" s="4" t="str">
        <f t="shared" si="6"/>
        <v/>
      </c>
      <c r="W70" s="4" t="e">
        <f>IF($W$3=$N$3,N70,V70*(1+'Rhaniad y Ddeiliadaeth (Cymru)'!C$118))</f>
        <v>#VALUE!</v>
      </c>
      <c r="X70" s="4" t="e">
        <f>W70*(1+'Rhaniad y Ddeiliadaeth (Cymru)'!D$118)</f>
        <v>#VALUE!</v>
      </c>
      <c r="Y70" s="4" t="e">
        <f>X70*(1+'Rhaniad y Ddeiliadaeth (Cymru)'!E$118)</f>
        <v>#VALUE!</v>
      </c>
      <c r="Z70" s="4" t="e">
        <f>Y70*(1+'Rhaniad y Ddeiliadaeth (Cymru)'!F$118)</f>
        <v>#VALUE!</v>
      </c>
      <c r="AA70" s="4" t="e">
        <f>Z70*(1+'Rhaniad y Ddeiliadaeth (Cymru)'!G$118)</f>
        <v>#VALUE!</v>
      </c>
      <c r="AC70" s="260">
        <v>76</v>
      </c>
      <c r="AD70" s="4">
        <f>IF('Rhaniad y Ddeiliadaeth (Cymru)'!$D$18="Data Cofrestrfa Tir",'Prisiau Tai (Cymru)'!E70,'Prisiau Tai (Cymru)'!W70)</f>
        <v>239992</v>
      </c>
      <c r="AE70" s="4">
        <f>IF('Rhaniad y Ddeiliadaeth (Cymru)'!$D$18="Data Cofrestrfa Tir",'Prisiau Tai (Cymru)'!F70,'Prisiau Tai (Cymru)'!X70)</f>
        <v>253983.5336</v>
      </c>
      <c r="AF70" s="4">
        <f>IF('Rhaniad y Ddeiliadaeth (Cymru)'!$D$18="Data Cofrestrfa Tir",'Prisiau Tai (Cymru)'!G70,'Prisiau Tai (Cymru)'!Y70)</f>
        <v>271924.15115391283</v>
      </c>
      <c r="AG70" s="4">
        <f>IF('Rhaniad y Ddeiliadaeth (Cymru)'!$D$18="Data Cofrestrfa Tir",'Prisiau Tai (Cymru)'!H70,'Prisiau Tai (Cymru)'!Z70)</f>
        <v>286722.50037715602</v>
      </c>
      <c r="AH70" s="4">
        <f>IF('Rhaniad y Ddeiliadaeth (Cymru)'!$D$18="Data Cofrestrfa Tir",'Prisiau Tai (Cymru)'!I70,'Prisiau Tai (Cymru)'!AA70)</f>
        <v>298817.52446383814</v>
      </c>
    </row>
    <row r="71" spans="2:34" x14ac:dyDescent="0.35">
      <c r="B71" s="251">
        <v>77</v>
      </c>
      <c r="C71" s="258">
        <v>225000</v>
      </c>
      <c r="D71" s="258">
        <v>232000</v>
      </c>
      <c r="E71" s="278">
        <f>D71*(1+'Rhaniad y Ddeiliadaeth (Cymru)'!C$118)</f>
        <v>243136</v>
      </c>
      <c r="F71" s="278">
        <f>E71*(1+'Rhaniad y Ddeiliadaeth (Cymru)'!D$118)</f>
        <v>257310.82880000002</v>
      </c>
      <c r="G71" s="278">
        <f>F71*(1+'Rhaniad y Ddeiliadaeth (Cymru)'!E$118)</f>
        <v>275486.47627819987</v>
      </c>
      <c r="H71" s="278">
        <f>G71*(1+'Rhaniad y Ddeiliadaeth (Cymru)'!F$118)</f>
        <v>290478.69033842877</v>
      </c>
      <c r="I71" s="279">
        <f>H71*(1+'Rhaniad y Ddeiliadaeth (Cymru)'!G$118)</f>
        <v>302732.16452231637</v>
      </c>
      <c r="M71" s="36" t="str">
        <f t="shared" si="4"/>
        <v/>
      </c>
      <c r="N71" s="202"/>
      <c r="O71" s="13">
        <f t="shared" si="7"/>
        <v>1</v>
      </c>
      <c r="U71" s="1">
        <f t="shared" si="5"/>
        <v>77</v>
      </c>
      <c r="V71" s="4" t="str">
        <f t="shared" si="6"/>
        <v/>
      </c>
      <c r="W71" s="4" t="e">
        <f>IF($W$3=$N$3,N71,V71*(1+'Rhaniad y Ddeiliadaeth (Cymru)'!C$118))</f>
        <v>#VALUE!</v>
      </c>
      <c r="X71" s="4" t="e">
        <f>W71*(1+'Rhaniad y Ddeiliadaeth (Cymru)'!D$118)</f>
        <v>#VALUE!</v>
      </c>
      <c r="Y71" s="4" t="e">
        <f>X71*(1+'Rhaniad y Ddeiliadaeth (Cymru)'!E$118)</f>
        <v>#VALUE!</v>
      </c>
      <c r="Z71" s="4" t="e">
        <f>Y71*(1+'Rhaniad y Ddeiliadaeth (Cymru)'!F$118)</f>
        <v>#VALUE!</v>
      </c>
      <c r="AA71" s="4" t="e">
        <f>Z71*(1+'Rhaniad y Ddeiliadaeth (Cymru)'!G$118)</f>
        <v>#VALUE!</v>
      </c>
      <c r="AC71" s="260">
        <v>77</v>
      </c>
      <c r="AD71" s="4">
        <f>IF('Rhaniad y Ddeiliadaeth (Cymru)'!$D$18="Data Cofrestrfa Tir",'Prisiau Tai (Cymru)'!E71,'Prisiau Tai (Cymru)'!W71)</f>
        <v>243136</v>
      </c>
      <c r="AE71" s="4">
        <f>IF('Rhaniad y Ddeiliadaeth (Cymru)'!$D$18="Data Cofrestrfa Tir",'Prisiau Tai (Cymru)'!F71,'Prisiau Tai (Cymru)'!X71)</f>
        <v>257310.82880000002</v>
      </c>
      <c r="AF71" s="4">
        <f>IF('Rhaniad y Ddeiliadaeth (Cymru)'!$D$18="Data Cofrestrfa Tir",'Prisiau Tai (Cymru)'!G71,'Prisiau Tai (Cymru)'!Y71)</f>
        <v>275486.47627819987</v>
      </c>
      <c r="AG71" s="4">
        <f>IF('Rhaniad y Ddeiliadaeth (Cymru)'!$D$18="Data Cofrestrfa Tir",'Prisiau Tai (Cymru)'!H71,'Prisiau Tai (Cymru)'!Z71)</f>
        <v>290478.69033842877</v>
      </c>
      <c r="AH71" s="4">
        <f>IF('Rhaniad y Ddeiliadaeth (Cymru)'!$D$18="Data Cofrestrfa Tir",'Prisiau Tai (Cymru)'!I71,'Prisiau Tai (Cymru)'!AA71)</f>
        <v>302732.16452231637</v>
      </c>
    </row>
    <row r="72" spans="2:34" x14ac:dyDescent="0.35">
      <c r="B72" s="251">
        <v>78</v>
      </c>
      <c r="C72" s="258">
        <v>230000</v>
      </c>
      <c r="D72" s="258">
        <v>237000</v>
      </c>
      <c r="E72" s="278">
        <f>D72*(1+'Rhaniad y Ddeiliadaeth (Cymru)'!C$118)</f>
        <v>248376</v>
      </c>
      <c r="F72" s="278">
        <f>E72*(1+'Rhaniad y Ddeiliadaeth (Cymru)'!D$118)</f>
        <v>262856.32079999999</v>
      </c>
      <c r="G72" s="278">
        <f>F72*(1+'Rhaniad y Ddeiliadaeth (Cymru)'!E$118)</f>
        <v>281423.6848186783</v>
      </c>
      <c r="H72" s="278">
        <f>G72*(1+'Rhaniad y Ddeiliadaeth (Cymru)'!F$118)</f>
        <v>296739.00694055011</v>
      </c>
      <c r="I72" s="279">
        <f>H72*(1+'Rhaniad y Ddeiliadaeth (Cymru)'!G$118)</f>
        <v>309256.56461978011</v>
      </c>
      <c r="M72" s="36" t="str">
        <f t="shared" si="4"/>
        <v/>
      </c>
      <c r="N72" s="202"/>
      <c r="O72" s="13">
        <f t="shared" si="7"/>
        <v>1</v>
      </c>
      <c r="U72" s="1">
        <f t="shared" si="5"/>
        <v>78</v>
      </c>
      <c r="V72" s="4" t="str">
        <f t="shared" si="6"/>
        <v/>
      </c>
      <c r="W72" s="4" t="e">
        <f>IF($W$3=$N$3,N72,V72*(1+'Rhaniad y Ddeiliadaeth (Cymru)'!C$118))</f>
        <v>#VALUE!</v>
      </c>
      <c r="X72" s="4" t="e">
        <f>W72*(1+'Rhaniad y Ddeiliadaeth (Cymru)'!D$118)</f>
        <v>#VALUE!</v>
      </c>
      <c r="Y72" s="4" t="e">
        <f>X72*(1+'Rhaniad y Ddeiliadaeth (Cymru)'!E$118)</f>
        <v>#VALUE!</v>
      </c>
      <c r="Z72" s="4" t="e">
        <f>Y72*(1+'Rhaniad y Ddeiliadaeth (Cymru)'!F$118)</f>
        <v>#VALUE!</v>
      </c>
      <c r="AA72" s="4" t="e">
        <f>Z72*(1+'Rhaniad y Ddeiliadaeth (Cymru)'!G$118)</f>
        <v>#VALUE!</v>
      </c>
      <c r="AC72" s="260">
        <v>78</v>
      </c>
      <c r="AD72" s="4">
        <f>IF('Rhaniad y Ddeiliadaeth (Cymru)'!$D$18="Data Cofrestrfa Tir",'Prisiau Tai (Cymru)'!E72,'Prisiau Tai (Cymru)'!W72)</f>
        <v>248376</v>
      </c>
      <c r="AE72" s="4">
        <f>IF('Rhaniad y Ddeiliadaeth (Cymru)'!$D$18="Data Cofrestrfa Tir",'Prisiau Tai (Cymru)'!F72,'Prisiau Tai (Cymru)'!X72)</f>
        <v>262856.32079999999</v>
      </c>
      <c r="AF72" s="4">
        <f>IF('Rhaniad y Ddeiliadaeth (Cymru)'!$D$18="Data Cofrestrfa Tir",'Prisiau Tai (Cymru)'!G72,'Prisiau Tai (Cymru)'!Y72)</f>
        <v>281423.6848186783</v>
      </c>
      <c r="AG72" s="4">
        <f>IF('Rhaniad y Ddeiliadaeth (Cymru)'!$D$18="Data Cofrestrfa Tir",'Prisiau Tai (Cymru)'!H72,'Prisiau Tai (Cymru)'!Z72)</f>
        <v>296739.00694055011</v>
      </c>
      <c r="AH72" s="4">
        <f>IF('Rhaniad y Ddeiliadaeth (Cymru)'!$D$18="Data Cofrestrfa Tir",'Prisiau Tai (Cymru)'!I72,'Prisiau Tai (Cymru)'!AA72)</f>
        <v>309256.56461978011</v>
      </c>
    </row>
    <row r="73" spans="2:34" x14ac:dyDescent="0.35">
      <c r="B73" s="251">
        <v>79</v>
      </c>
      <c r="C73" s="258">
        <v>235000</v>
      </c>
      <c r="D73" s="258">
        <v>240000</v>
      </c>
      <c r="E73" s="278">
        <f>D73*(1+'Rhaniad y Ddeiliadaeth (Cymru)'!C$118)</f>
        <v>251520</v>
      </c>
      <c r="F73" s="278">
        <f>E73*(1+'Rhaniad y Ddeiliadaeth (Cymru)'!D$118)</f>
        <v>266183.61599999998</v>
      </c>
      <c r="G73" s="278">
        <f>F73*(1+'Rhaniad y Ddeiliadaeth (Cymru)'!E$118)</f>
        <v>284986.00994296535</v>
      </c>
      <c r="H73" s="278">
        <f>G73*(1+'Rhaniad y Ddeiliadaeth (Cymru)'!F$118)</f>
        <v>300495.19690182287</v>
      </c>
      <c r="I73" s="279">
        <f>H73*(1+'Rhaniad y Ddeiliadaeth (Cymru)'!G$118)</f>
        <v>313171.20467825828</v>
      </c>
      <c r="M73" s="36" t="str">
        <f t="shared" si="4"/>
        <v/>
      </c>
      <c r="N73" s="202"/>
      <c r="O73" s="13">
        <f t="shared" si="7"/>
        <v>1</v>
      </c>
      <c r="U73" s="1">
        <f t="shared" si="5"/>
        <v>79</v>
      </c>
      <c r="V73" s="4" t="str">
        <f t="shared" si="6"/>
        <v/>
      </c>
      <c r="W73" s="4" t="e">
        <f>IF($W$3=$N$3,N73,V73*(1+'Rhaniad y Ddeiliadaeth (Cymru)'!C$118))</f>
        <v>#VALUE!</v>
      </c>
      <c r="X73" s="4" t="e">
        <f>W73*(1+'Rhaniad y Ddeiliadaeth (Cymru)'!D$118)</f>
        <v>#VALUE!</v>
      </c>
      <c r="Y73" s="4" t="e">
        <f>X73*(1+'Rhaniad y Ddeiliadaeth (Cymru)'!E$118)</f>
        <v>#VALUE!</v>
      </c>
      <c r="Z73" s="4" t="e">
        <f>Y73*(1+'Rhaniad y Ddeiliadaeth (Cymru)'!F$118)</f>
        <v>#VALUE!</v>
      </c>
      <c r="AA73" s="4" t="e">
        <f>Z73*(1+'Rhaniad y Ddeiliadaeth (Cymru)'!G$118)</f>
        <v>#VALUE!</v>
      </c>
      <c r="AC73" s="260">
        <v>79</v>
      </c>
      <c r="AD73" s="4">
        <f>IF('Rhaniad y Ddeiliadaeth (Cymru)'!$D$18="Data Cofrestrfa Tir",'Prisiau Tai (Cymru)'!E73,'Prisiau Tai (Cymru)'!W73)</f>
        <v>251520</v>
      </c>
      <c r="AE73" s="4">
        <f>IF('Rhaniad y Ddeiliadaeth (Cymru)'!$D$18="Data Cofrestrfa Tir",'Prisiau Tai (Cymru)'!F73,'Prisiau Tai (Cymru)'!X73)</f>
        <v>266183.61599999998</v>
      </c>
      <c r="AF73" s="4">
        <f>IF('Rhaniad y Ddeiliadaeth (Cymru)'!$D$18="Data Cofrestrfa Tir",'Prisiau Tai (Cymru)'!G73,'Prisiau Tai (Cymru)'!Y73)</f>
        <v>284986.00994296535</v>
      </c>
      <c r="AG73" s="4">
        <f>IF('Rhaniad y Ddeiliadaeth (Cymru)'!$D$18="Data Cofrestrfa Tir",'Prisiau Tai (Cymru)'!H73,'Prisiau Tai (Cymru)'!Z73)</f>
        <v>300495.19690182287</v>
      </c>
      <c r="AH73" s="4">
        <f>IF('Rhaniad y Ddeiliadaeth (Cymru)'!$D$18="Data Cofrestrfa Tir",'Prisiau Tai (Cymru)'!I73,'Prisiau Tai (Cymru)'!AA73)</f>
        <v>313171.20467825828</v>
      </c>
    </row>
    <row r="74" spans="2:34" x14ac:dyDescent="0.35">
      <c r="B74" s="251">
        <v>80</v>
      </c>
      <c r="C74" s="258">
        <v>239950</v>
      </c>
      <c r="D74" s="258">
        <v>245000</v>
      </c>
      <c r="E74" s="278">
        <f>D74*(1+'Rhaniad y Ddeiliadaeth (Cymru)'!C$118)</f>
        <v>256760</v>
      </c>
      <c r="F74" s="278">
        <f>E74*(1+'Rhaniad y Ddeiliadaeth (Cymru)'!D$118)</f>
        <v>271729.10800000001</v>
      </c>
      <c r="G74" s="278">
        <f>F74*(1+'Rhaniad y Ddeiliadaeth (Cymru)'!E$118)</f>
        <v>290923.21848344384</v>
      </c>
      <c r="H74" s="278">
        <f>G74*(1+'Rhaniad y Ddeiliadaeth (Cymru)'!F$118)</f>
        <v>306755.51350394421</v>
      </c>
      <c r="I74" s="279">
        <f>H74*(1+'Rhaniad y Ddeiliadaeth (Cymru)'!G$118)</f>
        <v>319695.60477572202</v>
      </c>
      <c r="M74" s="36" t="str">
        <f t="shared" si="4"/>
        <v/>
      </c>
      <c r="N74" s="202"/>
      <c r="O74" s="13">
        <f t="shared" si="7"/>
        <v>1</v>
      </c>
      <c r="U74" s="1">
        <f t="shared" si="5"/>
        <v>80</v>
      </c>
      <c r="V74" s="4" t="str">
        <f t="shared" si="6"/>
        <v/>
      </c>
      <c r="W74" s="4" t="e">
        <f>IF($W$3=$N$3,N74,V74*(1+'Rhaniad y Ddeiliadaeth (Cymru)'!C$118))</f>
        <v>#VALUE!</v>
      </c>
      <c r="X74" s="4" t="e">
        <f>W74*(1+'Rhaniad y Ddeiliadaeth (Cymru)'!D$118)</f>
        <v>#VALUE!</v>
      </c>
      <c r="Y74" s="4" t="e">
        <f>X74*(1+'Rhaniad y Ddeiliadaeth (Cymru)'!E$118)</f>
        <v>#VALUE!</v>
      </c>
      <c r="Z74" s="4" t="e">
        <f>Y74*(1+'Rhaniad y Ddeiliadaeth (Cymru)'!F$118)</f>
        <v>#VALUE!</v>
      </c>
      <c r="AA74" s="4" t="e">
        <f>Z74*(1+'Rhaniad y Ddeiliadaeth (Cymru)'!G$118)</f>
        <v>#VALUE!</v>
      </c>
      <c r="AC74" s="260">
        <v>80</v>
      </c>
      <c r="AD74" s="4">
        <f>IF('Rhaniad y Ddeiliadaeth (Cymru)'!$D$18="Data Cofrestrfa Tir",'Prisiau Tai (Cymru)'!E74,'Prisiau Tai (Cymru)'!W74)</f>
        <v>256760</v>
      </c>
      <c r="AE74" s="4">
        <f>IF('Rhaniad y Ddeiliadaeth (Cymru)'!$D$18="Data Cofrestrfa Tir",'Prisiau Tai (Cymru)'!F74,'Prisiau Tai (Cymru)'!X74)</f>
        <v>271729.10800000001</v>
      </c>
      <c r="AF74" s="4">
        <f>IF('Rhaniad y Ddeiliadaeth (Cymru)'!$D$18="Data Cofrestrfa Tir",'Prisiau Tai (Cymru)'!G74,'Prisiau Tai (Cymru)'!Y74)</f>
        <v>290923.21848344384</v>
      </c>
      <c r="AG74" s="4">
        <f>IF('Rhaniad y Ddeiliadaeth (Cymru)'!$D$18="Data Cofrestrfa Tir",'Prisiau Tai (Cymru)'!H74,'Prisiau Tai (Cymru)'!Z74)</f>
        <v>306755.51350394421</v>
      </c>
      <c r="AH74" s="4">
        <f>IF('Rhaniad y Ddeiliadaeth (Cymru)'!$D$18="Data Cofrestrfa Tir",'Prisiau Tai (Cymru)'!I74,'Prisiau Tai (Cymru)'!AA74)</f>
        <v>319695.60477572202</v>
      </c>
    </row>
    <row r="75" spans="2:34" x14ac:dyDescent="0.35">
      <c r="B75" s="251">
        <v>81</v>
      </c>
      <c r="C75" s="258">
        <v>244000</v>
      </c>
      <c r="D75" s="258">
        <v>250000</v>
      </c>
      <c r="E75" s="278">
        <f>D75*(1+'Rhaniad y Ddeiliadaeth (Cymru)'!C$118)</f>
        <v>262000</v>
      </c>
      <c r="F75" s="278">
        <f>E75*(1+'Rhaniad y Ddeiliadaeth (Cymru)'!D$118)</f>
        <v>277274.59999999998</v>
      </c>
      <c r="G75" s="278">
        <f>F75*(1+'Rhaniad y Ddeiliadaeth (Cymru)'!E$118)</f>
        <v>296860.42702392227</v>
      </c>
      <c r="H75" s="278">
        <f>G75*(1+'Rhaniad y Ddeiliadaeth (Cymru)'!F$118)</f>
        <v>313015.83010606549</v>
      </c>
      <c r="I75" s="279">
        <f>H75*(1+'Rhaniad y Ddeiliadaeth (Cymru)'!G$118)</f>
        <v>326220.00487318571</v>
      </c>
      <c r="M75" s="36" t="str">
        <f t="shared" si="4"/>
        <v/>
      </c>
      <c r="N75" s="202"/>
      <c r="O75" s="13">
        <f t="shared" si="7"/>
        <v>1</v>
      </c>
      <c r="U75" s="1">
        <f t="shared" si="5"/>
        <v>81</v>
      </c>
      <c r="V75" s="4" t="str">
        <f t="shared" si="6"/>
        <v/>
      </c>
      <c r="W75" s="4" t="e">
        <f>IF($W$3=$N$3,N75,V75*(1+'Rhaniad y Ddeiliadaeth (Cymru)'!C$118))</f>
        <v>#VALUE!</v>
      </c>
      <c r="X75" s="4" t="e">
        <f>W75*(1+'Rhaniad y Ddeiliadaeth (Cymru)'!D$118)</f>
        <v>#VALUE!</v>
      </c>
      <c r="Y75" s="4" t="e">
        <f>X75*(1+'Rhaniad y Ddeiliadaeth (Cymru)'!E$118)</f>
        <v>#VALUE!</v>
      </c>
      <c r="Z75" s="4" t="e">
        <f>Y75*(1+'Rhaniad y Ddeiliadaeth (Cymru)'!F$118)</f>
        <v>#VALUE!</v>
      </c>
      <c r="AA75" s="4" t="e">
        <f>Z75*(1+'Rhaniad y Ddeiliadaeth (Cymru)'!G$118)</f>
        <v>#VALUE!</v>
      </c>
      <c r="AC75" s="260">
        <v>81</v>
      </c>
      <c r="AD75" s="4">
        <f>IF('Rhaniad y Ddeiliadaeth (Cymru)'!$D$18="Data Cofrestrfa Tir",'Prisiau Tai (Cymru)'!E75,'Prisiau Tai (Cymru)'!W75)</f>
        <v>262000</v>
      </c>
      <c r="AE75" s="4">
        <f>IF('Rhaniad y Ddeiliadaeth (Cymru)'!$D$18="Data Cofrestrfa Tir",'Prisiau Tai (Cymru)'!F75,'Prisiau Tai (Cymru)'!X75)</f>
        <v>277274.59999999998</v>
      </c>
      <c r="AF75" s="4">
        <f>IF('Rhaniad y Ddeiliadaeth (Cymru)'!$D$18="Data Cofrestrfa Tir",'Prisiau Tai (Cymru)'!G75,'Prisiau Tai (Cymru)'!Y75)</f>
        <v>296860.42702392227</v>
      </c>
      <c r="AG75" s="4">
        <f>IF('Rhaniad y Ddeiliadaeth (Cymru)'!$D$18="Data Cofrestrfa Tir",'Prisiau Tai (Cymru)'!H75,'Prisiau Tai (Cymru)'!Z75)</f>
        <v>313015.83010606549</v>
      </c>
      <c r="AH75" s="4">
        <f>IF('Rhaniad y Ddeiliadaeth (Cymru)'!$D$18="Data Cofrestrfa Tir",'Prisiau Tai (Cymru)'!I75,'Prisiau Tai (Cymru)'!AA75)</f>
        <v>326220.00487318571</v>
      </c>
    </row>
    <row r="76" spans="2:34" x14ac:dyDescent="0.35">
      <c r="B76" s="251">
        <v>82</v>
      </c>
      <c r="C76" s="258">
        <v>249000</v>
      </c>
      <c r="D76" s="258">
        <v>255000</v>
      </c>
      <c r="E76" s="278">
        <f>D76*(1+'Rhaniad y Ddeiliadaeth (Cymru)'!C$118)</f>
        <v>267240</v>
      </c>
      <c r="F76" s="278">
        <f>E76*(1+'Rhaniad y Ddeiliadaeth (Cymru)'!D$118)</f>
        <v>282820.092</v>
      </c>
      <c r="G76" s="278">
        <f>F76*(1+'Rhaniad y Ddeiliadaeth (Cymru)'!E$118)</f>
        <v>302797.6355644007</v>
      </c>
      <c r="H76" s="278">
        <f>G76*(1+'Rhaniad y Ddeiliadaeth (Cymru)'!F$118)</f>
        <v>319276.14670818677</v>
      </c>
      <c r="I76" s="279">
        <f>H76*(1+'Rhaniad y Ddeiliadaeth (Cymru)'!G$118)</f>
        <v>332744.4049706494</v>
      </c>
      <c r="M76" s="36" t="str">
        <f t="shared" si="4"/>
        <v/>
      </c>
      <c r="N76" s="202"/>
      <c r="O76" s="13">
        <f t="shared" si="7"/>
        <v>1</v>
      </c>
      <c r="U76" s="1">
        <f t="shared" si="5"/>
        <v>82</v>
      </c>
      <c r="V76" s="4" t="str">
        <f t="shared" si="6"/>
        <v/>
      </c>
      <c r="W76" s="4" t="e">
        <f>IF($W$3=$N$3,N76,V76*(1+'Rhaniad y Ddeiliadaeth (Cymru)'!C$118))</f>
        <v>#VALUE!</v>
      </c>
      <c r="X76" s="4" t="e">
        <f>W76*(1+'Rhaniad y Ddeiliadaeth (Cymru)'!D$118)</f>
        <v>#VALUE!</v>
      </c>
      <c r="Y76" s="4" t="e">
        <f>X76*(1+'Rhaniad y Ddeiliadaeth (Cymru)'!E$118)</f>
        <v>#VALUE!</v>
      </c>
      <c r="Z76" s="4" t="e">
        <f>Y76*(1+'Rhaniad y Ddeiliadaeth (Cymru)'!F$118)</f>
        <v>#VALUE!</v>
      </c>
      <c r="AA76" s="4" t="e">
        <f>Z76*(1+'Rhaniad y Ddeiliadaeth (Cymru)'!G$118)</f>
        <v>#VALUE!</v>
      </c>
      <c r="AC76" s="260">
        <v>82</v>
      </c>
      <c r="AD76" s="4">
        <f>IF('Rhaniad y Ddeiliadaeth (Cymru)'!$D$18="Data Cofrestrfa Tir",'Prisiau Tai (Cymru)'!E76,'Prisiau Tai (Cymru)'!W76)</f>
        <v>267240</v>
      </c>
      <c r="AE76" s="4">
        <f>IF('Rhaniad y Ddeiliadaeth (Cymru)'!$D$18="Data Cofrestrfa Tir",'Prisiau Tai (Cymru)'!F76,'Prisiau Tai (Cymru)'!X76)</f>
        <v>282820.092</v>
      </c>
      <c r="AF76" s="4">
        <f>IF('Rhaniad y Ddeiliadaeth (Cymru)'!$D$18="Data Cofrestrfa Tir",'Prisiau Tai (Cymru)'!G76,'Prisiau Tai (Cymru)'!Y76)</f>
        <v>302797.6355644007</v>
      </c>
      <c r="AG76" s="4">
        <f>IF('Rhaniad y Ddeiliadaeth (Cymru)'!$D$18="Data Cofrestrfa Tir",'Prisiau Tai (Cymru)'!H76,'Prisiau Tai (Cymru)'!Z76)</f>
        <v>319276.14670818677</v>
      </c>
      <c r="AH76" s="4">
        <f>IF('Rhaniad y Ddeiliadaeth (Cymru)'!$D$18="Data Cofrestrfa Tir",'Prisiau Tai (Cymru)'!I76,'Prisiau Tai (Cymru)'!AA76)</f>
        <v>332744.4049706494</v>
      </c>
    </row>
    <row r="77" spans="2:34" x14ac:dyDescent="0.35">
      <c r="B77" s="251">
        <v>83</v>
      </c>
      <c r="C77" s="258">
        <v>252007.49999999936</v>
      </c>
      <c r="D77" s="258">
        <v>260000</v>
      </c>
      <c r="E77" s="278">
        <f>D77*(1+'Rhaniad y Ddeiliadaeth (Cymru)'!C$118)</f>
        <v>272480</v>
      </c>
      <c r="F77" s="278">
        <f>E77*(1+'Rhaniad y Ddeiliadaeth (Cymru)'!D$118)</f>
        <v>288365.58400000003</v>
      </c>
      <c r="G77" s="278">
        <f>F77*(1+'Rhaniad y Ddeiliadaeth (Cymru)'!E$118)</f>
        <v>308734.84410487919</v>
      </c>
      <c r="H77" s="278">
        <f>G77*(1+'Rhaniad y Ddeiliadaeth (Cymru)'!F$118)</f>
        <v>325536.46331030817</v>
      </c>
      <c r="I77" s="279">
        <f>H77*(1+'Rhaniad y Ddeiliadaeth (Cymru)'!G$118)</f>
        <v>339268.8050681132</v>
      </c>
      <c r="M77" s="36" t="str">
        <f t="shared" si="4"/>
        <v/>
      </c>
      <c r="N77" s="202"/>
      <c r="O77" s="13">
        <f t="shared" si="7"/>
        <v>1</v>
      </c>
      <c r="U77" s="1">
        <f t="shared" si="5"/>
        <v>83</v>
      </c>
      <c r="V77" s="4" t="str">
        <f t="shared" si="6"/>
        <v/>
      </c>
      <c r="W77" s="4" t="e">
        <f>IF($W$3=$N$3,N77,V77*(1+'Rhaniad y Ddeiliadaeth (Cymru)'!C$118))</f>
        <v>#VALUE!</v>
      </c>
      <c r="X77" s="4" t="e">
        <f>W77*(1+'Rhaniad y Ddeiliadaeth (Cymru)'!D$118)</f>
        <v>#VALUE!</v>
      </c>
      <c r="Y77" s="4" t="e">
        <f>X77*(1+'Rhaniad y Ddeiliadaeth (Cymru)'!E$118)</f>
        <v>#VALUE!</v>
      </c>
      <c r="Z77" s="4" t="e">
        <f>Y77*(1+'Rhaniad y Ddeiliadaeth (Cymru)'!F$118)</f>
        <v>#VALUE!</v>
      </c>
      <c r="AA77" s="4" t="e">
        <f>Z77*(1+'Rhaniad y Ddeiliadaeth (Cymru)'!G$118)</f>
        <v>#VALUE!</v>
      </c>
      <c r="AC77" s="260">
        <v>83</v>
      </c>
      <c r="AD77" s="4">
        <f>IF('Rhaniad y Ddeiliadaeth (Cymru)'!$D$18="Data Cofrestrfa Tir",'Prisiau Tai (Cymru)'!E77,'Prisiau Tai (Cymru)'!W77)</f>
        <v>272480</v>
      </c>
      <c r="AE77" s="4">
        <f>IF('Rhaniad y Ddeiliadaeth (Cymru)'!$D$18="Data Cofrestrfa Tir",'Prisiau Tai (Cymru)'!F77,'Prisiau Tai (Cymru)'!X77)</f>
        <v>288365.58400000003</v>
      </c>
      <c r="AF77" s="4">
        <f>IF('Rhaniad y Ddeiliadaeth (Cymru)'!$D$18="Data Cofrestrfa Tir",'Prisiau Tai (Cymru)'!G77,'Prisiau Tai (Cymru)'!Y77)</f>
        <v>308734.84410487919</v>
      </c>
      <c r="AG77" s="4">
        <f>IF('Rhaniad y Ddeiliadaeth (Cymru)'!$D$18="Data Cofrestrfa Tir",'Prisiau Tai (Cymru)'!H77,'Prisiau Tai (Cymru)'!Z77)</f>
        <v>325536.46331030817</v>
      </c>
      <c r="AH77" s="4">
        <f>IF('Rhaniad y Ddeiliadaeth (Cymru)'!$D$18="Data Cofrestrfa Tir",'Prisiau Tai (Cymru)'!I77,'Prisiau Tai (Cymru)'!AA77)</f>
        <v>339268.8050681132</v>
      </c>
    </row>
    <row r="78" spans="2:34" x14ac:dyDescent="0.35">
      <c r="B78" s="251">
        <v>84</v>
      </c>
      <c r="C78" s="258">
        <v>259950</v>
      </c>
      <c r="D78" s="258">
        <v>267000</v>
      </c>
      <c r="E78" s="278">
        <f>D78*(1+'Rhaniad y Ddeiliadaeth (Cymru)'!C$118)</f>
        <v>279816</v>
      </c>
      <c r="F78" s="278">
        <f>E78*(1+'Rhaniad y Ddeiliadaeth (Cymru)'!D$118)</f>
        <v>296129.27279999998</v>
      </c>
      <c r="G78" s="278">
        <f>F78*(1+'Rhaniad y Ddeiliadaeth (Cymru)'!E$118)</f>
        <v>317046.93606154894</v>
      </c>
      <c r="H78" s="278">
        <f>G78*(1+'Rhaniad y Ddeiliadaeth (Cymru)'!F$118)</f>
        <v>334300.90655327792</v>
      </c>
      <c r="I78" s="279">
        <f>H78*(1+'Rhaniad y Ddeiliadaeth (Cymru)'!G$118)</f>
        <v>348402.96520456235</v>
      </c>
      <c r="M78" s="36" t="str">
        <f t="shared" si="4"/>
        <v/>
      </c>
      <c r="N78" s="202"/>
      <c r="O78" s="13">
        <f t="shared" si="7"/>
        <v>1</v>
      </c>
      <c r="U78" s="1">
        <f t="shared" si="5"/>
        <v>84</v>
      </c>
      <c r="V78" s="4" t="str">
        <f t="shared" si="6"/>
        <v/>
      </c>
      <c r="W78" s="4" t="e">
        <f>IF($W$3=$N$3,N78,V78*(1+'Rhaniad y Ddeiliadaeth (Cymru)'!C$118))</f>
        <v>#VALUE!</v>
      </c>
      <c r="X78" s="4" t="e">
        <f>W78*(1+'Rhaniad y Ddeiliadaeth (Cymru)'!D$118)</f>
        <v>#VALUE!</v>
      </c>
      <c r="Y78" s="4" t="e">
        <f>X78*(1+'Rhaniad y Ddeiliadaeth (Cymru)'!E$118)</f>
        <v>#VALUE!</v>
      </c>
      <c r="Z78" s="4" t="e">
        <f>Y78*(1+'Rhaniad y Ddeiliadaeth (Cymru)'!F$118)</f>
        <v>#VALUE!</v>
      </c>
      <c r="AA78" s="4" t="e">
        <f>Z78*(1+'Rhaniad y Ddeiliadaeth (Cymru)'!G$118)</f>
        <v>#VALUE!</v>
      </c>
      <c r="AC78" s="260">
        <v>84</v>
      </c>
      <c r="AD78" s="4">
        <f>IF('Rhaniad y Ddeiliadaeth (Cymru)'!$D$18="Data Cofrestrfa Tir",'Prisiau Tai (Cymru)'!E78,'Prisiau Tai (Cymru)'!W78)</f>
        <v>279816</v>
      </c>
      <c r="AE78" s="4">
        <f>IF('Rhaniad y Ddeiliadaeth (Cymru)'!$D$18="Data Cofrestrfa Tir",'Prisiau Tai (Cymru)'!F78,'Prisiau Tai (Cymru)'!X78)</f>
        <v>296129.27279999998</v>
      </c>
      <c r="AF78" s="4">
        <f>IF('Rhaniad y Ddeiliadaeth (Cymru)'!$D$18="Data Cofrestrfa Tir",'Prisiau Tai (Cymru)'!G78,'Prisiau Tai (Cymru)'!Y78)</f>
        <v>317046.93606154894</v>
      </c>
      <c r="AG78" s="4">
        <f>IF('Rhaniad y Ddeiliadaeth (Cymru)'!$D$18="Data Cofrestrfa Tir",'Prisiau Tai (Cymru)'!H78,'Prisiau Tai (Cymru)'!Z78)</f>
        <v>334300.90655327792</v>
      </c>
      <c r="AH78" s="4">
        <f>IF('Rhaniad y Ddeiliadaeth (Cymru)'!$D$18="Data Cofrestrfa Tir",'Prisiau Tai (Cymru)'!I78,'Prisiau Tai (Cymru)'!AA78)</f>
        <v>348402.96520456235</v>
      </c>
    </row>
    <row r="79" spans="2:34" x14ac:dyDescent="0.35">
      <c r="B79" s="251">
        <v>85</v>
      </c>
      <c r="C79" s="258">
        <v>265000</v>
      </c>
      <c r="D79" s="258">
        <v>272995</v>
      </c>
      <c r="E79" s="278">
        <f>D79*(1+'Rhaniad y Ddeiliadaeth (Cymru)'!C$118)</f>
        <v>286098.76</v>
      </c>
      <c r="F79" s="278">
        <f>E79*(1+'Rhaniad y Ddeiliadaeth (Cymru)'!D$118)</f>
        <v>302778.31770800002</v>
      </c>
      <c r="G79" s="278">
        <f>F79*(1+'Rhaniad y Ddeiliadaeth (Cymru)'!E$118)</f>
        <v>324165.64910158265</v>
      </c>
      <c r="H79" s="278">
        <f>G79*(1+'Rhaniad y Ddeiliadaeth (Cymru)'!F$118)</f>
        <v>341807.02615922142</v>
      </c>
      <c r="I79" s="279">
        <f>H79*(1+'Rhaniad y Ddeiliadaeth (Cymru)'!G$118)</f>
        <v>356225.72092142137</v>
      </c>
      <c r="M79" s="36" t="str">
        <f t="shared" si="4"/>
        <v/>
      </c>
      <c r="N79" s="202"/>
      <c r="O79" s="13">
        <f t="shared" si="7"/>
        <v>1</v>
      </c>
      <c r="U79" s="1">
        <f t="shared" si="5"/>
        <v>85</v>
      </c>
      <c r="V79" s="4" t="str">
        <f t="shared" si="6"/>
        <v/>
      </c>
      <c r="W79" s="4" t="e">
        <f>IF($W$3=$N$3,N79,V79*(1+'Rhaniad y Ddeiliadaeth (Cymru)'!C$118))</f>
        <v>#VALUE!</v>
      </c>
      <c r="X79" s="4" t="e">
        <f>W79*(1+'Rhaniad y Ddeiliadaeth (Cymru)'!D$118)</f>
        <v>#VALUE!</v>
      </c>
      <c r="Y79" s="4" t="e">
        <f>X79*(1+'Rhaniad y Ddeiliadaeth (Cymru)'!E$118)</f>
        <v>#VALUE!</v>
      </c>
      <c r="Z79" s="4" t="e">
        <f>Y79*(1+'Rhaniad y Ddeiliadaeth (Cymru)'!F$118)</f>
        <v>#VALUE!</v>
      </c>
      <c r="AA79" s="4" t="e">
        <f>Z79*(1+'Rhaniad y Ddeiliadaeth (Cymru)'!G$118)</f>
        <v>#VALUE!</v>
      </c>
      <c r="AC79" s="260">
        <v>85</v>
      </c>
      <c r="AD79" s="4">
        <f>IF('Rhaniad y Ddeiliadaeth (Cymru)'!$D$18="Data Cofrestrfa Tir",'Prisiau Tai (Cymru)'!E79,'Prisiau Tai (Cymru)'!W79)</f>
        <v>286098.76</v>
      </c>
      <c r="AE79" s="4">
        <f>IF('Rhaniad y Ddeiliadaeth (Cymru)'!$D$18="Data Cofrestrfa Tir",'Prisiau Tai (Cymru)'!F79,'Prisiau Tai (Cymru)'!X79)</f>
        <v>302778.31770800002</v>
      </c>
      <c r="AF79" s="4">
        <f>IF('Rhaniad y Ddeiliadaeth (Cymru)'!$D$18="Data Cofrestrfa Tir",'Prisiau Tai (Cymru)'!G79,'Prisiau Tai (Cymru)'!Y79)</f>
        <v>324165.64910158265</v>
      </c>
      <c r="AG79" s="4">
        <f>IF('Rhaniad y Ddeiliadaeth (Cymru)'!$D$18="Data Cofrestrfa Tir",'Prisiau Tai (Cymru)'!H79,'Prisiau Tai (Cymru)'!Z79)</f>
        <v>341807.02615922142</v>
      </c>
      <c r="AH79" s="4">
        <f>IF('Rhaniad y Ddeiliadaeth (Cymru)'!$D$18="Data Cofrestrfa Tir",'Prisiau Tai (Cymru)'!I79,'Prisiau Tai (Cymru)'!AA79)</f>
        <v>356225.72092142137</v>
      </c>
    </row>
    <row r="80" spans="2:34" x14ac:dyDescent="0.35">
      <c r="B80" s="251">
        <v>86</v>
      </c>
      <c r="C80" s="258">
        <v>270000</v>
      </c>
      <c r="D80" s="258">
        <v>279957.40000000107</v>
      </c>
      <c r="E80" s="278">
        <f>D80*(1+'Rhaniad y Ddeiliadaeth (Cymru)'!C$118)</f>
        <v>293395.35520000116</v>
      </c>
      <c r="F80" s="278">
        <f>E80*(1+'Rhaniad y Ddeiliadaeth (Cymru)'!D$118)</f>
        <v>310500.3044081612</v>
      </c>
      <c r="G80" s="278">
        <f>F80*(1+'Rhaniad y Ddeiliadaeth (Cymru)'!E$118)</f>
        <v>332433.09325002937</v>
      </c>
      <c r="H80" s="278">
        <f>G80*(1+'Rhaniad y Ddeiliadaeth (Cymru)'!F$118)</f>
        <v>350524.39182134467</v>
      </c>
      <c r="I80" s="279">
        <f>H80*(1+'Rhaniad y Ddeiliadaeth (Cymru)'!G$118)</f>
        <v>365310.81756913906</v>
      </c>
      <c r="M80" s="36" t="str">
        <f t="shared" si="4"/>
        <v/>
      </c>
      <c r="N80" s="202"/>
      <c r="O80" s="13">
        <f t="shared" si="7"/>
        <v>1</v>
      </c>
      <c r="U80" s="1">
        <f t="shared" si="5"/>
        <v>86</v>
      </c>
      <c r="V80" s="4" t="str">
        <f t="shared" si="6"/>
        <v/>
      </c>
      <c r="W80" s="4" t="e">
        <f>IF($W$3=$N$3,N80,V80*(1+'Rhaniad y Ddeiliadaeth (Cymru)'!C$118))</f>
        <v>#VALUE!</v>
      </c>
      <c r="X80" s="4" t="e">
        <f>W80*(1+'Rhaniad y Ddeiliadaeth (Cymru)'!D$118)</f>
        <v>#VALUE!</v>
      </c>
      <c r="Y80" s="4" t="e">
        <f>X80*(1+'Rhaniad y Ddeiliadaeth (Cymru)'!E$118)</f>
        <v>#VALUE!</v>
      </c>
      <c r="Z80" s="4" t="e">
        <f>Y80*(1+'Rhaniad y Ddeiliadaeth (Cymru)'!F$118)</f>
        <v>#VALUE!</v>
      </c>
      <c r="AA80" s="4" t="e">
        <f>Z80*(1+'Rhaniad y Ddeiliadaeth (Cymru)'!G$118)</f>
        <v>#VALUE!</v>
      </c>
      <c r="AC80" s="260">
        <v>86</v>
      </c>
      <c r="AD80" s="4">
        <f>IF('Rhaniad y Ddeiliadaeth (Cymru)'!$D$18="Data Cofrestrfa Tir",'Prisiau Tai (Cymru)'!E80,'Prisiau Tai (Cymru)'!W80)</f>
        <v>293395.35520000116</v>
      </c>
      <c r="AE80" s="4">
        <f>IF('Rhaniad y Ddeiliadaeth (Cymru)'!$D$18="Data Cofrestrfa Tir",'Prisiau Tai (Cymru)'!F80,'Prisiau Tai (Cymru)'!X80)</f>
        <v>310500.3044081612</v>
      </c>
      <c r="AF80" s="4">
        <f>IF('Rhaniad y Ddeiliadaeth (Cymru)'!$D$18="Data Cofrestrfa Tir",'Prisiau Tai (Cymru)'!G80,'Prisiau Tai (Cymru)'!Y80)</f>
        <v>332433.09325002937</v>
      </c>
      <c r="AG80" s="4">
        <f>IF('Rhaniad y Ddeiliadaeth (Cymru)'!$D$18="Data Cofrestrfa Tir",'Prisiau Tai (Cymru)'!H80,'Prisiau Tai (Cymru)'!Z80)</f>
        <v>350524.39182134467</v>
      </c>
      <c r="AH80" s="4">
        <f>IF('Rhaniad y Ddeiliadaeth (Cymru)'!$D$18="Data Cofrestrfa Tir",'Prisiau Tai (Cymru)'!I80,'Prisiau Tai (Cymru)'!AA80)</f>
        <v>365310.81756913906</v>
      </c>
    </row>
    <row r="81" spans="2:34" x14ac:dyDescent="0.35">
      <c r="B81" s="251">
        <v>87</v>
      </c>
      <c r="C81" s="258">
        <v>279500</v>
      </c>
      <c r="D81" s="258">
        <v>285000</v>
      </c>
      <c r="E81" s="278">
        <f>D81*(1+'Rhaniad y Ddeiliadaeth (Cymru)'!C$118)</f>
        <v>298680</v>
      </c>
      <c r="F81" s="278">
        <f>E81*(1+'Rhaniad y Ddeiliadaeth (Cymru)'!D$118)</f>
        <v>316093.04399999999</v>
      </c>
      <c r="G81" s="278">
        <f>F81*(1+'Rhaniad y Ddeiliadaeth (Cymru)'!E$118)</f>
        <v>338420.8868072714</v>
      </c>
      <c r="H81" s="278">
        <f>G81*(1+'Rhaniad y Ddeiliadaeth (Cymru)'!F$118)</f>
        <v>356838.0463209147</v>
      </c>
      <c r="I81" s="279">
        <f>H81*(1+'Rhaniad y Ddeiliadaeth (Cymru)'!G$118)</f>
        <v>371890.80555543175</v>
      </c>
      <c r="M81" s="36" t="str">
        <f t="shared" si="4"/>
        <v/>
      </c>
      <c r="N81" s="202"/>
      <c r="O81" s="13">
        <f t="shared" si="7"/>
        <v>1</v>
      </c>
      <c r="U81" s="1">
        <f t="shared" si="5"/>
        <v>87</v>
      </c>
      <c r="V81" s="4" t="str">
        <f t="shared" si="6"/>
        <v/>
      </c>
      <c r="W81" s="4" t="e">
        <f>IF($W$3=$N$3,N81,V81*(1+'Rhaniad y Ddeiliadaeth (Cymru)'!C$118))</f>
        <v>#VALUE!</v>
      </c>
      <c r="X81" s="4" t="e">
        <f>W81*(1+'Rhaniad y Ddeiliadaeth (Cymru)'!D$118)</f>
        <v>#VALUE!</v>
      </c>
      <c r="Y81" s="4" t="e">
        <f>X81*(1+'Rhaniad y Ddeiliadaeth (Cymru)'!E$118)</f>
        <v>#VALUE!</v>
      </c>
      <c r="Z81" s="4" t="e">
        <f>Y81*(1+'Rhaniad y Ddeiliadaeth (Cymru)'!F$118)</f>
        <v>#VALUE!</v>
      </c>
      <c r="AA81" s="4" t="e">
        <f>Z81*(1+'Rhaniad y Ddeiliadaeth (Cymru)'!G$118)</f>
        <v>#VALUE!</v>
      </c>
      <c r="AC81" s="260">
        <v>87</v>
      </c>
      <c r="AD81" s="4">
        <f>IF('Rhaniad y Ddeiliadaeth (Cymru)'!$D$18="Data Cofrestrfa Tir",'Prisiau Tai (Cymru)'!E81,'Prisiau Tai (Cymru)'!W81)</f>
        <v>298680</v>
      </c>
      <c r="AE81" s="4">
        <f>IF('Rhaniad y Ddeiliadaeth (Cymru)'!$D$18="Data Cofrestrfa Tir",'Prisiau Tai (Cymru)'!F81,'Prisiau Tai (Cymru)'!X81)</f>
        <v>316093.04399999999</v>
      </c>
      <c r="AF81" s="4">
        <f>IF('Rhaniad y Ddeiliadaeth (Cymru)'!$D$18="Data Cofrestrfa Tir",'Prisiau Tai (Cymru)'!G81,'Prisiau Tai (Cymru)'!Y81)</f>
        <v>338420.8868072714</v>
      </c>
      <c r="AG81" s="4">
        <f>IF('Rhaniad y Ddeiliadaeth (Cymru)'!$D$18="Data Cofrestrfa Tir",'Prisiau Tai (Cymru)'!H81,'Prisiau Tai (Cymru)'!Z81)</f>
        <v>356838.0463209147</v>
      </c>
      <c r="AH81" s="4">
        <f>IF('Rhaniad y Ddeiliadaeth (Cymru)'!$D$18="Data Cofrestrfa Tir",'Prisiau Tai (Cymru)'!I81,'Prisiau Tai (Cymru)'!AA81)</f>
        <v>371890.80555543175</v>
      </c>
    </row>
    <row r="82" spans="2:34" x14ac:dyDescent="0.35">
      <c r="B82" s="251">
        <v>88</v>
      </c>
      <c r="C82" s="258">
        <v>285000</v>
      </c>
      <c r="D82" s="258">
        <v>291500</v>
      </c>
      <c r="E82" s="278">
        <f>D82*(1+'Rhaniad y Ddeiliadaeth (Cymru)'!C$118)</f>
        <v>305492</v>
      </c>
      <c r="F82" s="278">
        <f>E82*(1+'Rhaniad y Ddeiliadaeth (Cymru)'!D$118)</f>
        <v>323302.18359999999</v>
      </c>
      <c r="G82" s="278">
        <f>F82*(1+'Rhaniad y Ddeiliadaeth (Cymru)'!E$118)</f>
        <v>346139.25790989335</v>
      </c>
      <c r="H82" s="278">
        <f>G82*(1+'Rhaniad y Ddeiliadaeth (Cymru)'!F$118)</f>
        <v>364976.45790367236</v>
      </c>
      <c r="I82" s="279">
        <f>H82*(1+'Rhaniad y Ddeiliadaeth (Cymru)'!G$118)</f>
        <v>380372.52568213455</v>
      </c>
      <c r="M82" s="36" t="str">
        <f t="shared" si="4"/>
        <v/>
      </c>
      <c r="N82" s="202"/>
      <c r="O82" s="13">
        <f t="shared" si="7"/>
        <v>1</v>
      </c>
      <c r="U82" s="1">
        <f t="shared" si="5"/>
        <v>88</v>
      </c>
      <c r="V82" s="4" t="str">
        <f t="shared" si="6"/>
        <v/>
      </c>
      <c r="W82" s="4" t="e">
        <f>IF($W$3=$N$3,N82,V82*(1+'Rhaniad y Ddeiliadaeth (Cymru)'!C$118))</f>
        <v>#VALUE!</v>
      </c>
      <c r="X82" s="4" t="e">
        <f>W82*(1+'Rhaniad y Ddeiliadaeth (Cymru)'!D$118)</f>
        <v>#VALUE!</v>
      </c>
      <c r="Y82" s="4" t="e">
        <f>X82*(1+'Rhaniad y Ddeiliadaeth (Cymru)'!E$118)</f>
        <v>#VALUE!</v>
      </c>
      <c r="Z82" s="4" t="e">
        <f>Y82*(1+'Rhaniad y Ddeiliadaeth (Cymru)'!F$118)</f>
        <v>#VALUE!</v>
      </c>
      <c r="AA82" s="4" t="e">
        <f>Z82*(1+'Rhaniad y Ddeiliadaeth (Cymru)'!G$118)</f>
        <v>#VALUE!</v>
      </c>
      <c r="AC82" s="260">
        <v>88</v>
      </c>
      <c r="AD82" s="4">
        <f>IF('Rhaniad y Ddeiliadaeth (Cymru)'!$D$18="Data Cofrestrfa Tir",'Prisiau Tai (Cymru)'!E82,'Prisiau Tai (Cymru)'!W82)</f>
        <v>305492</v>
      </c>
      <c r="AE82" s="4">
        <f>IF('Rhaniad y Ddeiliadaeth (Cymru)'!$D$18="Data Cofrestrfa Tir",'Prisiau Tai (Cymru)'!F82,'Prisiau Tai (Cymru)'!X82)</f>
        <v>323302.18359999999</v>
      </c>
      <c r="AF82" s="4">
        <f>IF('Rhaniad y Ddeiliadaeth (Cymru)'!$D$18="Data Cofrestrfa Tir",'Prisiau Tai (Cymru)'!G82,'Prisiau Tai (Cymru)'!Y82)</f>
        <v>346139.25790989335</v>
      </c>
      <c r="AG82" s="4">
        <f>IF('Rhaniad y Ddeiliadaeth (Cymru)'!$D$18="Data Cofrestrfa Tir",'Prisiau Tai (Cymru)'!H82,'Prisiau Tai (Cymru)'!Z82)</f>
        <v>364976.45790367236</v>
      </c>
      <c r="AH82" s="4">
        <f>IF('Rhaniad y Ddeiliadaeth (Cymru)'!$D$18="Data Cofrestrfa Tir",'Prisiau Tai (Cymru)'!I82,'Prisiau Tai (Cymru)'!AA82)</f>
        <v>380372.52568213455</v>
      </c>
    </row>
    <row r="83" spans="2:34" x14ac:dyDescent="0.35">
      <c r="B83" s="251">
        <v>89</v>
      </c>
      <c r="C83" s="258">
        <v>292500</v>
      </c>
      <c r="D83" s="258">
        <v>300000</v>
      </c>
      <c r="E83" s="278">
        <f>D83*(1+'Rhaniad y Ddeiliadaeth (Cymru)'!C$118)</f>
        <v>314400</v>
      </c>
      <c r="F83" s="278">
        <f>E83*(1+'Rhaniad y Ddeiliadaeth (Cymru)'!D$118)</f>
        <v>332729.52</v>
      </c>
      <c r="G83" s="278">
        <f>F83*(1+'Rhaniad y Ddeiliadaeth (Cymru)'!E$118)</f>
        <v>356232.51242870674</v>
      </c>
      <c r="H83" s="278">
        <f>G83*(1+'Rhaniad y Ddeiliadaeth (Cymru)'!F$118)</f>
        <v>375618.9961272786</v>
      </c>
      <c r="I83" s="279">
        <f>H83*(1+'Rhaniad y Ddeiliadaeth (Cymru)'!G$118)</f>
        <v>391464.00584782287</v>
      </c>
      <c r="M83" s="36" t="str">
        <f t="shared" si="4"/>
        <v/>
      </c>
      <c r="N83" s="202"/>
      <c r="O83" s="13">
        <f t="shared" si="7"/>
        <v>1</v>
      </c>
      <c r="U83" s="1">
        <f t="shared" si="5"/>
        <v>89</v>
      </c>
      <c r="V83" s="4" t="str">
        <f t="shared" si="6"/>
        <v/>
      </c>
      <c r="W83" s="4" t="e">
        <f>IF($W$3=$N$3,N83,V83*(1+'Rhaniad y Ddeiliadaeth (Cymru)'!C$118))</f>
        <v>#VALUE!</v>
      </c>
      <c r="X83" s="4" t="e">
        <f>W83*(1+'Rhaniad y Ddeiliadaeth (Cymru)'!D$118)</f>
        <v>#VALUE!</v>
      </c>
      <c r="Y83" s="4" t="e">
        <f>X83*(1+'Rhaniad y Ddeiliadaeth (Cymru)'!E$118)</f>
        <v>#VALUE!</v>
      </c>
      <c r="Z83" s="4" t="e">
        <f>Y83*(1+'Rhaniad y Ddeiliadaeth (Cymru)'!F$118)</f>
        <v>#VALUE!</v>
      </c>
      <c r="AA83" s="4" t="e">
        <f>Z83*(1+'Rhaniad y Ddeiliadaeth (Cymru)'!G$118)</f>
        <v>#VALUE!</v>
      </c>
      <c r="AC83" s="260">
        <v>89</v>
      </c>
      <c r="AD83" s="4">
        <f>IF('Rhaniad y Ddeiliadaeth (Cymru)'!$D$18="Data Cofrestrfa Tir",'Prisiau Tai (Cymru)'!E83,'Prisiau Tai (Cymru)'!W83)</f>
        <v>314400</v>
      </c>
      <c r="AE83" s="4">
        <f>IF('Rhaniad y Ddeiliadaeth (Cymru)'!$D$18="Data Cofrestrfa Tir",'Prisiau Tai (Cymru)'!F83,'Prisiau Tai (Cymru)'!X83)</f>
        <v>332729.52</v>
      </c>
      <c r="AF83" s="4">
        <f>IF('Rhaniad y Ddeiliadaeth (Cymru)'!$D$18="Data Cofrestrfa Tir",'Prisiau Tai (Cymru)'!G83,'Prisiau Tai (Cymru)'!Y83)</f>
        <v>356232.51242870674</v>
      </c>
      <c r="AG83" s="4">
        <f>IF('Rhaniad y Ddeiliadaeth (Cymru)'!$D$18="Data Cofrestrfa Tir",'Prisiau Tai (Cymru)'!H83,'Prisiau Tai (Cymru)'!Z83)</f>
        <v>375618.9961272786</v>
      </c>
      <c r="AH83" s="4">
        <f>IF('Rhaniad y Ddeiliadaeth (Cymru)'!$D$18="Data Cofrestrfa Tir",'Prisiau Tai (Cymru)'!I83,'Prisiau Tai (Cymru)'!AA83)</f>
        <v>391464.00584782287</v>
      </c>
    </row>
    <row r="84" spans="2:34" x14ac:dyDescent="0.35">
      <c r="B84" s="253">
        <v>90</v>
      </c>
      <c r="C84" s="259">
        <v>300000</v>
      </c>
      <c r="D84" s="259">
        <v>310000</v>
      </c>
      <c r="E84" s="286">
        <f>D84*(1+'Rhaniad y Ddeiliadaeth (Cymru)'!C$118)</f>
        <v>324880</v>
      </c>
      <c r="F84" s="286">
        <f>E84*(1+'Rhaniad y Ddeiliadaeth (Cymru)'!D$118)</f>
        <v>343820.50400000002</v>
      </c>
      <c r="G84" s="286">
        <f>F84*(1+'Rhaniad y Ddeiliadaeth (Cymru)'!E$118)</f>
        <v>368106.92950966366</v>
      </c>
      <c r="H84" s="286">
        <f>G84*(1+'Rhaniad y Ddeiliadaeth (Cymru)'!F$118)</f>
        <v>388139.62933152128</v>
      </c>
      <c r="I84" s="287">
        <f>H84*(1+'Rhaniad y Ddeiliadaeth (Cymru)'!G$118)</f>
        <v>404512.80604275037</v>
      </c>
      <c r="M84" s="37" t="str">
        <f t="shared" si="4"/>
        <v/>
      </c>
      <c r="N84" s="203"/>
      <c r="O84" s="13">
        <f t="shared" si="7"/>
        <v>1</v>
      </c>
      <c r="U84" s="1">
        <f t="shared" si="5"/>
        <v>90</v>
      </c>
      <c r="V84" s="4" t="str">
        <f t="shared" si="6"/>
        <v/>
      </c>
      <c r="W84" s="4" t="e">
        <f>IF($W$3=$N$3,N84,V84*(1+'Rhaniad y Ddeiliadaeth (Cymru)'!C$118))</f>
        <v>#VALUE!</v>
      </c>
      <c r="X84" s="4" t="e">
        <f>W84*(1+'Rhaniad y Ddeiliadaeth (Cymru)'!D$118)</f>
        <v>#VALUE!</v>
      </c>
      <c r="Y84" s="4" t="e">
        <f>X84*(1+'Rhaniad y Ddeiliadaeth (Cymru)'!E$118)</f>
        <v>#VALUE!</v>
      </c>
      <c r="Z84" s="4" t="e">
        <f>Y84*(1+'Rhaniad y Ddeiliadaeth (Cymru)'!F$118)</f>
        <v>#VALUE!</v>
      </c>
      <c r="AA84" s="4" t="e">
        <f>Z84*(1+'Rhaniad y Ddeiliadaeth (Cymru)'!G$118)</f>
        <v>#VALUE!</v>
      </c>
      <c r="AC84" s="260">
        <v>90</v>
      </c>
      <c r="AD84" s="4">
        <f>IF('Rhaniad y Ddeiliadaeth (Cymru)'!$D$18="Data Cofrestrfa Tir",'Prisiau Tai (Cymru)'!E84,'Prisiau Tai (Cymru)'!W84)</f>
        <v>324880</v>
      </c>
      <c r="AE84" s="4">
        <f>IF('Rhaniad y Ddeiliadaeth (Cymru)'!$D$18="Data Cofrestrfa Tir",'Prisiau Tai (Cymru)'!F84,'Prisiau Tai (Cymru)'!X84)</f>
        <v>343820.50400000002</v>
      </c>
      <c r="AF84" s="4">
        <f>IF('Rhaniad y Ddeiliadaeth (Cymru)'!$D$18="Data Cofrestrfa Tir",'Prisiau Tai (Cymru)'!G84,'Prisiau Tai (Cymru)'!Y84)</f>
        <v>368106.92950966366</v>
      </c>
      <c r="AG84" s="4">
        <f>IF('Rhaniad y Ddeiliadaeth (Cymru)'!$D$18="Data Cofrestrfa Tir",'Prisiau Tai (Cymru)'!H84,'Prisiau Tai (Cymru)'!Z84)</f>
        <v>388139.62933152128</v>
      </c>
      <c r="AH84" s="4">
        <f>IF('Rhaniad y Ddeiliadaeth (Cymru)'!$D$18="Data Cofrestrfa Tir",'Prisiau Tai (Cymru)'!I84,'Prisiau Tai (Cymru)'!AA84)</f>
        <v>404512.80604275037</v>
      </c>
    </row>
    <row r="85" spans="2:34" x14ac:dyDescent="0.35">
      <c r="O85" s="13">
        <f>IF(SUM(O4:O84)&gt;0,1,0)</f>
        <v>1</v>
      </c>
    </row>
  </sheetData>
  <mergeCells count="3">
    <mergeCell ref="B2:I2"/>
    <mergeCell ref="K2:N2"/>
    <mergeCell ref="K9:K10"/>
  </mergeCells>
  <dataValidations count="2">
    <dataValidation type="list" allowBlank="1" showInputMessage="1" showErrorMessage="1" sqref="L4">
      <formula1>"2017,2018"</formula1>
    </dataValidation>
    <dataValidation type="decimal" operator="greaterThan" allowBlank="1" showInputMessage="1" showErrorMessage="1" sqref="N4:N84">
      <formula1>0</formula1>
    </dataValidation>
  </dataValidations>
  <pageMargins left="0.7" right="0.7" top="0.75" bottom="0.75" header="0.3" footer="0.3"/>
  <pageSetup paperSize="9"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AJ85"/>
  <sheetViews>
    <sheetView showGridLines="0" zoomScale="70" zoomScaleNormal="70" workbookViewId="0"/>
  </sheetViews>
  <sheetFormatPr defaultColWidth="9.1796875" defaultRowHeight="14.5" x14ac:dyDescent="0.35"/>
  <cols>
    <col min="1" max="1" width="2.1796875" style="1" customWidth="1"/>
    <col min="2" max="2" width="10.1796875" style="1" bestFit="1" customWidth="1"/>
    <col min="3" max="4" width="9.1796875" style="1"/>
    <col min="5" max="9" width="10.1796875" style="1" bestFit="1" customWidth="1"/>
    <col min="10" max="10" width="9.1796875" style="1"/>
    <col min="11" max="11" width="53.81640625" style="1" customWidth="1"/>
    <col min="12" max="12" width="9.1796875" style="1"/>
    <col min="13" max="13" width="10.1796875" style="1" customWidth="1"/>
    <col min="14" max="14" width="9.1796875" style="1"/>
    <col min="15" max="15" width="9.1796875" style="1" hidden="1" customWidth="1"/>
    <col min="16" max="20" width="9.1796875" style="1"/>
    <col min="21" max="21" width="9.1796875" style="1" hidden="1" customWidth="1"/>
    <col min="22" max="27" width="10.1796875" style="1" hidden="1" customWidth="1"/>
    <col min="28" max="29" width="9.1796875" style="1" customWidth="1"/>
    <col min="30" max="30" width="10.1796875" style="1" customWidth="1"/>
    <col min="31" max="35" width="9.1796875" style="1" customWidth="1"/>
    <col min="36" max="16384" width="9.1796875" style="1"/>
  </cols>
  <sheetData>
    <row r="1" spans="2:36" ht="9.75" customHeight="1" x14ac:dyDescent="0.35"/>
    <row r="2" spans="2:36" ht="26.25" customHeight="1" x14ac:dyDescent="0.35">
      <c r="B2" s="568" t="s">
        <v>125</v>
      </c>
      <c r="C2" s="569"/>
      <c r="D2" s="569"/>
      <c r="E2" s="569"/>
      <c r="F2" s="569"/>
      <c r="G2" s="569"/>
      <c r="H2" s="569"/>
      <c r="I2" s="570"/>
      <c r="K2" s="564" t="s">
        <v>121</v>
      </c>
      <c r="L2" s="565"/>
      <c r="M2" s="565"/>
      <c r="N2" s="566"/>
      <c r="O2" s="39"/>
      <c r="V2" s="1" t="s">
        <v>6</v>
      </c>
      <c r="AC2" s="260" t="s">
        <v>127</v>
      </c>
    </row>
    <row r="3" spans="2:36" x14ac:dyDescent="0.35">
      <c r="B3" s="257" t="s">
        <v>122</v>
      </c>
      <c r="C3" s="325" t="s">
        <v>22</v>
      </c>
      <c r="D3" s="325" t="s">
        <v>21</v>
      </c>
      <c r="E3" s="354" t="str">
        <f>Year1</f>
        <v>2019/20</v>
      </c>
      <c r="F3" s="354" t="str">
        <f>Year2</f>
        <v>2020/21</v>
      </c>
      <c r="G3" s="354" t="str">
        <f>Year3</f>
        <v>2021/22</v>
      </c>
      <c r="H3" s="354" t="str">
        <f>Year4</f>
        <v>2022/23</v>
      </c>
      <c r="I3" s="329" t="str">
        <f>Year5</f>
        <v>2023/24</v>
      </c>
      <c r="M3" s="23" t="s">
        <v>122</v>
      </c>
      <c r="N3" s="38">
        <f>L4</f>
        <v>0</v>
      </c>
      <c r="O3" s="40" t="s">
        <v>5</v>
      </c>
      <c r="V3" s="1">
        <v>2017</v>
      </c>
      <c r="W3" s="1">
        <v>2018</v>
      </c>
      <c r="X3" s="1">
        <v>2019</v>
      </c>
      <c r="Y3" s="1">
        <v>2020</v>
      </c>
      <c r="Z3" s="1">
        <v>2021</v>
      </c>
      <c r="AA3" s="1">
        <v>2022</v>
      </c>
      <c r="AD3" s="323" t="str">
        <f>Year1</f>
        <v>2019/20</v>
      </c>
      <c r="AE3" s="323" t="str">
        <f>Year2</f>
        <v>2020/21</v>
      </c>
      <c r="AF3" s="323" t="str">
        <f>Year3</f>
        <v>2021/22</v>
      </c>
      <c r="AG3" s="323" t="str">
        <f>Year4</f>
        <v>2022/23</v>
      </c>
      <c r="AH3" s="323" t="str">
        <f>Year5</f>
        <v>2023/24</v>
      </c>
    </row>
    <row r="4" spans="2:36" x14ac:dyDescent="0.35">
      <c r="B4" s="251">
        <v>10</v>
      </c>
      <c r="C4" s="258">
        <v>87500</v>
      </c>
      <c r="D4" s="258">
        <v>90000</v>
      </c>
      <c r="E4" s="278">
        <f>D4*(1+'Rhaniad y Ddeiliadaeth (Gog)'!C$118)</f>
        <v>94320</v>
      </c>
      <c r="F4" s="278">
        <f>E4*(1+'Rhaniad y Ddeiliadaeth (Gog)'!D$118)</f>
        <v>99818.856</v>
      </c>
      <c r="G4" s="278">
        <f>F4*(1+'Rhaniad y Ddeiliadaeth (Gog)'!E$118)</f>
        <v>106869.75372861202</v>
      </c>
      <c r="H4" s="278">
        <f>G4*(1+'Rhaniad y Ddeiliadaeth (Gog)'!F$118)</f>
        <v>112685.69883818358</v>
      </c>
      <c r="I4" s="279">
        <f>H4*(1+'Rhaniad y Ddeiliadaeth (Gog)'!G$118)</f>
        <v>117439.20175434687</v>
      </c>
      <c r="J4" s="4"/>
      <c r="K4" s="41" t="str">
        <f>IF('Rhaniad y Ddeiliadaeth (Gog)'!D18="Arall","Dewiswch data ar gyfer pa flwyddyn:","")</f>
        <v/>
      </c>
      <c r="L4" s="201"/>
      <c r="M4" s="36" t="str">
        <f t="shared" ref="M4:M67" si="0">IF(ISBLANK($L$4),"",B4)</f>
        <v/>
      </c>
      <c r="N4" s="202"/>
      <c r="O4" s="13">
        <f>IF(ISBLANK(N4),1,0)</f>
        <v>1</v>
      </c>
      <c r="P4" s="10" t="str">
        <f>IF(K4="","",IF(O85=1,"&lt;&lt; Nodwch y data yma.",""))</f>
        <v/>
      </c>
      <c r="U4" s="1">
        <f t="shared" ref="U4:U67" si="1">B4</f>
        <v>10</v>
      </c>
      <c r="V4" s="4" t="str">
        <f t="shared" ref="V4:V67" si="2">IF($N$3=$V$3,N4,"")</f>
        <v/>
      </c>
      <c r="W4" s="4" t="e">
        <f>IF($W$3=$N$3,N4,V4*(1+'Rhaniad y Ddeiliadaeth (Cymru)'!C$118))</f>
        <v>#VALUE!</v>
      </c>
      <c r="X4" s="4" t="e">
        <f>W4*(1+'Rhaniad y Ddeiliadaeth (Cymru)'!D$118)</f>
        <v>#VALUE!</v>
      </c>
      <c r="Y4" s="4" t="e">
        <f>X4*(1+'Rhaniad y Ddeiliadaeth (Cymru)'!E$118)</f>
        <v>#VALUE!</v>
      </c>
      <c r="Z4" s="4" t="e">
        <f>Y4*(1+'Rhaniad y Ddeiliadaeth (Cymru)'!F$118)</f>
        <v>#VALUE!</v>
      </c>
      <c r="AA4" s="4" t="e">
        <f>Z4*(1+'Rhaniad y Ddeiliadaeth (Cymru)'!G$118)</f>
        <v>#VALUE!</v>
      </c>
      <c r="AC4" s="260">
        <v>10</v>
      </c>
      <c r="AD4" s="4">
        <f>IF('Rhaniad y Ddeiliadaeth (Cymru)'!$D$18="Data Cofrestrfa Tir",'Prisiau Tai (Gogledd)'!E4,'Prisiau Tai (Gogledd)'!W4)</f>
        <v>94320</v>
      </c>
      <c r="AE4" s="4">
        <f>IF('Rhaniad y Ddeiliadaeth (Cymru)'!$D$18="Data Cofrestrfa Tir",'Prisiau Tai (Gogledd)'!F4,'Prisiau Tai (Gogledd)'!X4)</f>
        <v>99818.856</v>
      </c>
      <c r="AF4" s="4">
        <f>IF('Rhaniad y Ddeiliadaeth (Cymru)'!$D$18="Data Cofrestrfa Tir",'Prisiau Tai (Gogledd)'!G4,'Prisiau Tai (Gogledd)'!Y4)</f>
        <v>106869.75372861202</v>
      </c>
      <c r="AG4" s="4">
        <f>IF('Rhaniad y Ddeiliadaeth (Cymru)'!$D$18="Data Cofrestrfa Tir",'Prisiau Tai (Gogledd)'!H4,'Prisiau Tai (Gogledd)'!Z4)</f>
        <v>112685.69883818358</v>
      </c>
      <c r="AH4" s="4">
        <f>IF('Rhaniad y Ddeiliadaeth (Cymru)'!$D$18="Data Cofrestrfa Tir",'Prisiau Tai (Gogledd)'!I4,'Prisiau Tai (Gogledd)'!AA4)</f>
        <v>117439.20175434687</v>
      </c>
    </row>
    <row r="5" spans="2:36" x14ac:dyDescent="0.35">
      <c r="B5" s="251">
        <v>11</v>
      </c>
      <c r="C5" s="258">
        <v>90000</v>
      </c>
      <c r="D5" s="258">
        <v>90950</v>
      </c>
      <c r="E5" s="278">
        <f>D5*(1+'Rhaniad y Ddeiliadaeth (Gog)'!C$118)</f>
        <v>95315.6</v>
      </c>
      <c r="F5" s="278">
        <f>E5*(1+'Rhaniad y Ddeiliadaeth (Gog)'!D$118)</f>
        <v>100872.49948000001</v>
      </c>
      <c r="G5" s="278">
        <f>F5*(1+'Rhaniad y Ddeiliadaeth (Gog)'!E$118)</f>
        <v>107997.82335130294</v>
      </c>
      <c r="H5" s="278">
        <f>G5*(1+'Rhaniad y Ddeiliadaeth (Gog)'!F$118)</f>
        <v>113875.15899258664</v>
      </c>
      <c r="I5" s="279">
        <f>H5*(1+'Rhaniad y Ddeiliadaeth (Gog)'!G$118)</f>
        <v>118678.83777286499</v>
      </c>
      <c r="K5" s="42" t="str">
        <f>IF(K4="","","Dim ond data ar gyfer un blwyddyn sydd angen (naill ai 2017 neu 2018)")</f>
        <v/>
      </c>
      <c r="M5" s="36" t="str">
        <f t="shared" si="0"/>
        <v/>
      </c>
      <c r="N5" s="202"/>
      <c r="O5" s="13">
        <f t="shared" ref="O5:O68" si="3">IF(ISBLANK(N5),1,0)</f>
        <v>1</v>
      </c>
      <c r="U5" s="1">
        <f t="shared" si="1"/>
        <v>11</v>
      </c>
      <c r="V5" s="4" t="str">
        <f t="shared" si="2"/>
        <v/>
      </c>
      <c r="W5" s="4" t="e">
        <f>IF($W$3=$N$3,N5,V5*(1+'Rhaniad y Ddeiliadaeth (Cymru)'!C$118))</f>
        <v>#VALUE!</v>
      </c>
      <c r="X5" s="4" t="e">
        <f>W5*(1+'Rhaniad y Ddeiliadaeth (Cymru)'!D$118)</f>
        <v>#VALUE!</v>
      </c>
      <c r="Y5" s="4" t="e">
        <f>X5*(1+'Rhaniad y Ddeiliadaeth (Cymru)'!E$118)</f>
        <v>#VALUE!</v>
      </c>
      <c r="Z5" s="4" t="e">
        <f>Y5*(1+'Rhaniad y Ddeiliadaeth (Cymru)'!F$118)</f>
        <v>#VALUE!</v>
      </c>
      <c r="AA5" s="4" t="e">
        <f>Z5*(1+'Rhaniad y Ddeiliadaeth (Cymru)'!G$118)</f>
        <v>#VALUE!</v>
      </c>
      <c r="AC5" s="260">
        <v>11</v>
      </c>
      <c r="AD5" s="4">
        <f>IF('Rhaniad y Ddeiliadaeth (Cymru)'!$D$18="Data Cofrestrfa Tir",'Prisiau Tai (Gogledd)'!E5,'Prisiau Tai (Gogledd)'!W5)</f>
        <v>95315.6</v>
      </c>
      <c r="AE5" s="4">
        <f>IF('Rhaniad y Ddeiliadaeth (Cymru)'!$D$18="Data Cofrestrfa Tir",'Prisiau Tai (Gogledd)'!F5,'Prisiau Tai (Gogledd)'!X5)</f>
        <v>100872.49948000001</v>
      </c>
      <c r="AF5" s="4">
        <f>IF('Rhaniad y Ddeiliadaeth (Cymru)'!$D$18="Data Cofrestrfa Tir",'Prisiau Tai (Gogledd)'!G5,'Prisiau Tai (Gogledd)'!Y5)</f>
        <v>107997.82335130294</v>
      </c>
      <c r="AG5" s="4">
        <f>IF('Rhaniad y Ddeiliadaeth (Cymru)'!$D$18="Data Cofrestrfa Tir",'Prisiau Tai (Gogledd)'!H5,'Prisiau Tai (Gogledd)'!Z5)</f>
        <v>113875.15899258664</v>
      </c>
      <c r="AH5" s="4">
        <f>IF('Rhaniad y Ddeiliadaeth (Cymru)'!$D$18="Data Cofrestrfa Tir",'Prisiau Tai (Gogledd)'!I5,'Prisiau Tai (Gogledd)'!AA5)</f>
        <v>118678.83777286499</v>
      </c>
    </row>
    <row r="6" spans="2:36" x14ac:dyDescent="0.35">
      <c r="B6" s="251">
        <v>12</v>
      </c>
      <c r="C6" s="258">
        <v>92997.6</v>
      </c>
      <c r="D6" s="258">
        <v>94000</v>
      </c>
      <c r="E6" s="278">
        <f>D6*(1+'Rhaniad y Ddeiliadaeth (Gog)'!C$118)</f>
        <v>98512</v>
      </c>
      <c r="F6" s="278">
        <f>E6*(1+'Rhaniad y Ddeiliadaeth (Gog)'!D$118)</f>
        <v>104255.2496</v>
      </c>
      <c r="G6" s="278">
        <f>F6*(1+'Rhaniad y Ddeiliadaeth (Gog)'!E$118)</f>
        <v>111619.52056099477</v>
      </c>
      <c r="H6" s="278">
        <f>G6*(1+'Rhaniad y Ddeiliadaeth (Gog)'!F$118)</f>
        <v>117693.95211988063</v>
      </c>
      <c r="I6" s="279">
        <f>H6*(1+'Rhaniad y Ddeiliadaeth (Gog)'!G$118)</f>
        <v>122658.72183231784</v>
      </c>
      <c r="M6" s="36" t="str">
        <f t="shared" si="0"/>
        <v/>
      </c>
      <c r="N6" s="202"/>
      <c r="O6" s="13">
        <f t="shared" si="3"/>
        <v>1</v>
      </c>
      <c r="U6" s="1">
        <f t="shared" si="1"/>
        <v>12</v>
      </c>
      <c r="V6" s="4" t="str">
        <f t="shared" si="2"/>
        <v/>
      </c>
      <c r="W6" s="4" t="e">
        <f>IF($W$3=$N$3,N6,V6*(1+'Rhaniad y Ddeiliadaeth (Cymru)'!C$118))</f>
        <v>#VALUE!</v>
      </c>
      <c r="X6" s="4" t="e">
        <f>W6*(1+'Rhaniad y Ddeiliadaeth (Cymru)'!D$118)</f>
        <v>#VALUE!</v>
      </c>
      <c r="Y6" s="4" t="e">
        <f>X6*(1+'Rhaniad y Ddeiliadaeth (Cymru)'!E$118)</f>
        <v>#VALUE!</v>
      </c>
      <c r="Z6" s="4" t="e">
        <f>Y6*(1+'Rhaniad y Ddeiliadaeth (Cymru)'!F$118)</f>
        <v>#VALUE!</v>
      </c>
      <c r="AA6" s="4" t="e">
        <f>Z6*(1+'Rhaniad y Ddeiliadaeth (Cymru)'!G$118)</f>
        <v>#VALUE!</v>
      </c>
      <c r="AC6" s="260">
        <v>12</v>
      </c>
      <c r="AD6" s="4">
        <f>IF('Rhaniad y Ddeiliadaeth (Cymru)'!$D$18="Data Cofrestrfa Tir",'Prisiau Tai (Gogledd)'!E6,'Prisiau Tai (Gogledd)'!W6)</f>
        <v>98512</v>
      </c>
      <c r="AE6" s="4">
        <f>IF('Rhaniad y Ddeiliadaeth (Cymru)'!$D$18="Data Cofrestrfa Tir",'Prisiau Tai (Gogledd)'!F6,'Prisiau Tai (Gogledd)'!X6)</f>
        <v>104255.2496</v>
      </c>
      <c r="AF6" s="4">
        <f>IF('Rhaniad y Ddeiliadaeth (Cymru)'!$D$18="Data Cofrestrfa Tir",'Prisiau Tai (Gogledd)'!G6,'Prisiau Tai (Gogledd)'!Y6)</f>
        <v>111619.52056099477</v>
      </c>
      <c r="AG6" s="4">
        <f>IF('Rhaniad y Ddeiliadaeth (Cymru)'!$D$18="Data Cofrestrfa Tir",'Prisiau Tai (Gogledd)'!H6,'Prisiau Tai (Gogledd)'!Z6)</f>
        <v>117693.95211988063</v>
      </c>
      <c r="AH6" s="4">
        <f>IF('Rhaniad y Ddeiliadaeth (Cymru)'!$D$18="Data Cofrestrfa Tir",'Prisiau Tai (Gogledd)'!I6,'Prisiau Tai (Gogledd)'!AA6)</f>
        <v>122658.72183231784</v>
      </c>
    </row>
    <row r="7" spans="2:36" x14ac:dyDescent="0.35">
      <c r="B7" s="251">
        <v>13</v>
      </c>
      <c r="C7" s="258">
        <v>95000</v>
      </c>
      <c r="D7" s="258">
        <v>95000</v>
      </c>
      <c r="E7" s="278">
        <f>D7*(1+'Rhaniad y Ddeiliadaeth (Gog)'!C$118)</f>
        <v>99560</v>
      </c>
      <c r="F7" s="278">
        <f>E7*(1+'Rhaniad y Ddeiliadaeth (Gog)'!D$118)</f>
        <v>105364.348</v>
      </c>
      <c r="G7" s="278">
        <f>F7*(1+'Rhaniad y Ddeiliadaeth (Gog)'!E$118)</f>
        <v>112806.96226909047</v>
      </c>
      <c r="H7" s="278">
        <f>G7*(1+'Rhaniad y Ddeiliadaeth (Gog)'!F$118)</f>
        <v>118946.01544030489</v>
      </c>
      <c r="I7" s="279">
        <f>H7*(1+'Rhaniad y Ddeiliadaeth (Gog)'!G$118)</f>
        <v>123963.60185181058</v>
      </c>
      <c r="K7" s="10" t="str">
        <f>IF(K4="","",IF(O85=1,"Dewis defnyddiwr anghyflawn",IF(O85=0,"Dewis defnyddiwr yn gyflawn","")))</f>
        <v/>
      </c>
      <c r="M7" s="36" t="str">
        <f t="shared" si="0"/>
        <v/>
      </c>
      <c r="N7" s="202"/>
      <c r="O7" s="13">
        <f t="shared" si="3"/>
        <v>1</v>
      </c>
      <c r="U7" s="1">
        <f t="shared" si="1"/>
        <v>13</v>
      </c>
      <c r="V7" s="4" t="str">
        <f t="shared" si="2"/>
        <v/>
      </c>
      <c r="W7" s="4" t="e">
        <f>IF($W$3=$N$3,N7,V7*(1+'Rhaniad y Ddeiliadaeth (Cymru)'!C$118))</f>
        <v>#VALUE!</v>
      </c>
      <c r="X7" s="4" t="e">
        <f>W7*(1+'Rhaniad y Ddeiliadaeth (Cymru)'!D$118)</f>
        <v>#VALUE!</v>
      </c>
      <c r="Y7" s="4" t="e">
        <f>X7*(1+'Rhaniad y Ddeiliadaeth (Cymru)'!E$118)</f>
        <v>#VALUE!</v>
      </c>
      <c r="Z7" s="4" t="e">
        <f>Y7*(1+'Rhaniad y Ddeiliadaeth (Cymru)'!F$118)</f>
        <v>#VALUE!</v>
      </c>
      <c r="AA7" s="4" t="e">
        <f>Z7*(1+'Rhaniad y Ddeiliadaeth (Cymru)'!G$118)</f>
        <v>#VALUE!</v>
      </c>
      <c r="AC7" s="260">
        <v>13</v>
      </c>
      <c r="AD7" s="4">
        <f>IF('Rhaniad y Ddeiliadaeth (Cymru)'!$D$18="Data Cofrestrfa Tir",'Prisiau Tai (Gogledd)'!E7,'Prisiau Tai (Gogledd)'!W7)</f>
        <v>99560</v>
      </c>
      <c r="AE7" s="4">
        <f>IF('Rhaniad y Ddeiliadaeth (Cymru)'!$D$18="Data Cofrestrfa Tir",'Prisiau Tai (Gogledd)'!F7,'Prisiau Tai (Gogledd)'!X7)</f>
        <v>105364.348</v>
      </c>
      <c r="AF7" s="4">
        <f>IF('Rhaniad y Ddeiliadaeth (Cymru)'!$D$18="Data Cofrestrfa Tir",'Prisiau Tai (Gogledd)'!G7,'Prisiau Tai (Gogledd)'!Y7)</f>
        <v>112806.96226909047</v>
      </c>
      <c r="AG7" s="4">
        <f>IF('Rhaniad y Ddeiliadaeth (Cymru)'!$D$18="Data Cofrestrfa Tir",'Prisiau Tai (Gogledd)'!H7,'Prisiau Tai (Gogledd)'!Z7)</f>
        <v>118946.01544030489</v>
      </c>
      <c r="AH7" s="4">
        <f>IF('Rhaniad y Ddeiliadaeth (Cymru)'!$D$18="Data Cofrestrfa Tir",'Prisiau Tai (Gogledd)'!I7,'Prisiau Tai (Gogledd)'!AA7)</f>
        <v>123963.60185181058</v>
      </c>
    </row>
    <row r="8" spans="2:36" x14ac:dyDescent="0.35">
      <c r="B8" s="251">
        <v>14</v>
      </c>
      <c r="C8" s="258">
        <v>97000</v>
      </c>
      <c r="D8" s="258">
        <v>98000</v>
      </c>
      <c r="E8" s="278">
        <f>D8*(1+'Rhaniad y Ddeiliadaeth (Gog)'!C$118)</f>
        <v>102704</v>
      </c>
      <c r="F8" s="278">
        <f>E8*(1+'Rhaniad y Ddeiliadaeth (Gog)'!D$118)</f>
        <v>108691.64320000001</v>
      </c>
      <c r="G8" s="278">
        <f>F8*(1+'Rhaniad y Ddeiliadaeth (Gog)'!E$118)</f>
        <v>116369.28739337754</v>
      </c>
      <c r="H8" s="278">
        <f>G8*(1+'Rhaniad y Ddeiliadaeth (Gog)'!F$118)</f>
        <v>122702.2054015777</v>
      </c>
      <c r="I8" s="279">
        <f>H8*(1+'Rhaniad y Ddeiliadaeth (Gog)'!G$118)</f>
        <v>127878.24191028884</v>
      </c>
      <c r="M8" s="36" t="str">
        <f t="shared" si="0"/>
        <v/>
      </c>
      <c r="N8" s="202"/>
      <c r="O8" s="13">
        <f t="shared" si="3"/>
        <v>1</v>
      </c>
      <c r="U8" s="1">
        <f t="shared" si="1"/>
        <v>14</v>
      </c>
      <c r="V8" s="4" t="str">
        <f t="shared" si="2"/>
        <v/>
      </c>
      <c r="W8" s="4" t="e">
        <f>IF($W$3=$N$3,N8,V8*(1+'Rhaniad y Ddeiliadaeth (Cymru)'!C$118))</f>
        <v>#VALUE!</v>
      </c>
      <c r="X8" s="4" t="e">
        <f>W8*(1+'Rhaniad y Ddeiliadaeth (Cymru)'!D$118)</f>
        <v>#VALUE!</v>
      </c>
      <c r="Y8" s="4" t="e">
        <f>X8*(1+'Rhaniad y Ddeiliadaeth (Cymru)'!E$118)</f>
        <v>#VALUE!</v>
      </c>
      <c r="Z8" s="4" t="e">
        <f>Y8*(1+'Rhaniad y Ddeiliadaeth (Cymru)'!F$118)</f>
        <v>#VALUE!</v>
      </c>
      <c r="AA8" s="4" t="e">
        <f>Z8*(1+'Rhaniad y Ddeiliadaeth (Cymru)'!G$118)</f>
        <v>#VALUE!</v>
      </c>
      <c r="AC8" s="260">
        <v>14</v>
      </c>
      <c r="AD8" s="4">
        <f>IF('Rhaniad y Ddeiliadaeth (Cymru)'!$D$18="Data Cofrestrfa Tir",'Prisiau Tai (Gogledd)'!E8,'Prisiau Tai (Gogledd)'!W8)</f>
        <v>102704</v>
      </c>
      <c r="AE8" s="4">
        <f>IF('Rhaniad y Ddeiliadaeth (Cymru)'!$D$18="Data Cofrestrfa Tir",'Prisiau Tai (Gogledd)'!F8,'Prisiau Tai (Gogledd)'!X8)</f>
        <v>108691.64320000001</v>
      </c>
      <c r="AF8" s="4">
        <f>IF('Rhaniad y Ddeiliadaeth (Cymru)'!$D$18="Data Cofrestrfa Tir",'Prisiau Tai (Gogledd)'!G8,'Prisiau Tai (Gogledd)'!Y8)</f>
        <v>116369.28739337754</v>
      </c>
      <c r="AG8" s="4">
        <f>IF('Rhaniad y Ddeiliadaeth (Cymru)'!$D$18="Data Cofrestrfa Tir",'Prisiau Tai (Gogledd)'!H8,'Prisiau Tai (Gogledd)'!Z8)</f>
        <v>122702.2054015777</v>
      </c>
      <c r="AH8" s="4">
        <f>IF('Rhaniad y Ddeiliadaeth (Cymru)'!$D$18="Data Cofrestrfa Tir",'Prisiau Tai (Gogledd)'!I8,'Prisiau Tai (Gogledd)'!AA8)</f>
        <v>127878.24191028884</v>
      </c>
    </row>
    <row r="9" spans="2:36" ht="14.5" customHeight="1" x14ac:dyDescent="0.35">
      <c r="B9" s="251">
        <v>15</v>
      </c>
      <c r="C9" s="258">
        <v>100000</v>
      </c>
      <c r="D9" s="258">
        <v>100000</v>
      </c>
      <c r="E9" s="278">
        <f>D9*(1+'Rhaniad y Ddeiliadaeth (Gog)'!C$118)</f>
        <v>104800</v>
      </c>
      <c r="F9" s="278">
        <f>E9*(1+'Rhaniad y Ddeiliadaeth (Gog)'!D$118)</f>
        <v>110909.84</v>
      </c>
      <c r="G9" s="278">
        <f>F9*(1+'Rhaniad y Ddeiliadaeth (Gog)'!E$118)</f>
        <v>118744.17080956891</v>
      </c>
      <c r="H9" s="278">
        <f>G9*(1+'Rhaniad y Ddeiliadaeth (Gog)'!F$118)</f>
        <v>125206.33204242621</v>
      </c>
      <c r="I9" s="279">
        <f>H9*(1+'Rhaniad y Ddeiliadaeth (Gog)'!G$118)</f>
        <v>130488.0019492743</v>
      </c>
      <c r="K9" s="567" t="str">
        <f>IF(K4="","Os ydych am ddefnyddio eich dosraniad data incwm eich hunan, newidiwch y dewis yn y blwch","")</f>
        <v>Os ydych am ddefnyddio eich dosraniad data incwm eich hunan, newidiwch y dewis yn y blwch</v>
      </c>
      <c r="M9" s="36" t="str">
        <f t="shared" si="0"/>
        <v/>
      </c>
      <c r="N9" s="202"/>
      <c r="O9" s="13">
        <f t="shared" si="3"/>
        <v>1</v>
      </c>
      <c r="U9" s="1">
        <f t="shared" si="1"/>
        <v>15</v>
      </c>
      <c r="V9" s="4" t="str">
        <f t="shared" si="2"/>
        <v/>
      </c>
      <c r="W9" s="4" t="e">
        <f>IF($W$3=$N$3,N9,V9*(1+'Rhaniad y Ddeiliadaeth (Cymru)'!C$118))</f>
        <v>#VALUE!</v>
      </c>
      <c r="X9" s="4" t="e">
        <f>W9*(1+'Rhaniad y Ddeiliadaeth (Cymru)'!D$118)</f>
        <v>#VALUE!</v>
      </c>
      <c r="Y9" s="4" t="e">
        <f>X9*(1+'Rhaniad y Ddeiliadaeth (Cymru)'!E$118)</f>
        <v>#VALUE!</v>
      </c>
      <c r="Z9" s="4" t="e">
        <f>Y9*(1+'Rhaniad y Ddeiliadaeth (Cymru)'!F$118)</f>
        <v>#VALUE!</v>
      </c>
      <c r="AA9" s="4" t="e">
        <f>Z9*(1+'Rhaniad y Ddeiliadaeth (Cymru)'!G$118)</f>
        <v>#VALUE!</v>
      </c>
      <c r="AC9" s="260">
        <v>15</v>
      </c>
      <c r="AD9" s="4">
        <f>IF('Rhaniad y Ddeiliadaeth (Cymru)'!$D$18="Data Cofrestrfa Tir",'Prisiau Tai (Gogledd)'!E9,'Prisiau Tai (Gogledd)'!W9)</f>
        <v>104800</v>
      </c>
      <c r="AE9" s="4">
        <f>IF('Rhaniad y Ddeiliadaeth (Cymru)'!$D$18="Data Cofrestrfa Tir",'Prisiau Tai (Gogledd)'!F9,'Prisiau Tai (Gogledd)'!X9)</f>
        <v>110909.84</v>
      </c>
      <c r="AF9" s="4">
        <f>IF('Rhaniad y Ddeiliadaeth (Cymru)'!$D$18="Data Cofrestrfa Tir",'Prisiau Tai (Gogledd)'!G9,'Prisiau Tai (Gogledd)'!Y9)</f>
        <v>118744.17080956891</v>
      </c>
      <c r="AG9" s="4">
        <f>IF('Rhaniad y Ddeiliadaeth (Cymru)'!$D$18="Data Cofrestrfa Tir",'Prisiau Tai (Gogledd)'!H9,'Prisiau Tai (Gogledd)'!Z9)</f>
        <v>125206.33204242621</v>
      </c>
      <c r="AH9" s="4">
        <f>IF('Rhaniad y Ddeiliadaeth (Cymru)'!$D$18="Data Cofrestrfa Tir",'Prisiau Tai (Gogledd)'!I9,'Prisiau Tai (Gogledd)'!AA9)</f>
        <v>130488.0019492743</v>
      </c>
    </row>
    <row r="10" spans="2:36" x14ac:dyDescent="0.35">
      <c r="B10" s="251">
        <v>16</v>
      </c>
      <c r="C10" s="258">
        <v>100000</v>
      </c>
      <c r="D10" s="258">
        <v>102000</v>
      </c>
      <c r="E10" s="278">
        <f>D10*(1+'Rhaniad y Ddeiliadaeth (Gog)'!C$118)</f>
        <v>106896</v>
      </c>
      <c r="F10" s="278">
        <f>E10*(1+'Rhaniad y Ddeiliadaeth (Gog)'!D$118)</f>
        <v>113128.0368</v>
      </c>
      <c r="G10" s="278">
        <f>F10*(1+'Rhaniad y Ddeiliadaeth (Gog)'!E$118)</f>
        <v>121119.05422576029</v>
      </c>
      <c r="H10" s="278">
        <f>G10*(1+'Rhaniad y Ddeiliadaeth (Gog)'!F$118)</f>
        <v>127710.45868327473</v>
      </c>
      <c r="I10" s="279">
        <f>H10*(1+'Rhaniad y Ddeiliadaeth (Gog)'!G$118)</f>
        <v>133097.76198825979</v>
      </c>
      <c r="K10" s="567"/>
      <c r="M10" s="36" t="str">
        <f t="shared" si="0"/>
        <v/>
      </c>
      <c r="N10" s="202"/>
      <c r="O10" s="13">
        <f t="shared" si="3"/>
        <v>1</v>
      </c>
      <c r="U10" s="1">
        <f t="shared" si="1"/>
        <v>16</v>
      </c>
      <c r="V10" s="4" t="str">
        <f t="shared" si="2"/>
        <v/>
      </c>
      <c r="W10" s="4" t="e">
        <f>IF($W$3=$N$3,N10,V10*(1+'Rhaniad y Ddeiliadaeth (Cymru)'!C$118))</f>
        <v>#VALUE!</v>
      </c>
      <c r="X10" s="4" t="e">
        <f>W10*(1+'Rhaniad y Ddeiliadaeth (Cymru)'!D$118)</f>
        <v>#VALUE!</v>
      </c>
      <c r="Y10" s="4" t="e">
        <f>X10*(1+'Rhaniad y Ddeiliadaeth (Cymru)'!E$118)</f>
        <v>#VALUE!</v>
      </c>
      <c r="Z10" s="4" t="e">
        <f>Y10*(1+'Rhaniad y Ddeiliadaeth (Cymru)'!F$118)</f>
        <v>#VALUE!</v>
      </c>
      <c r="AA10" s="4" t="e">
        <f>Z10*(1+'Rhaniad y Ddeiliadaeth (Cymru)'!G$118)</f>
        <v>#VALUE!</v>
      </c>
      <c r="AC10" s="260">
        <v>16</v>
      </c>
      <c r="AD10" s="4">
        <f>IF('Rhaniad y Ddeiliadaeth (Cymru)'!$D$18="Data Cofrestrfa Tir",'Prisiau Tai (Gogledd)'!E10,'Prisiau Tai (Gogledd)'!W10)</f>
        <v>106896</v>
      </c>
      <c r="AE10" s="4">
        <f>IF('Rhaniad y Ddeiliadaeth (Cymru)'!$D$18="Data Cofrestrfa Tir",'Prisiau Tai (Gogledd)'!F10,'Prisiau Tai (Gogledd)'!X10)</f>
        <v>113128.0368</v>
      </c>
      <c r="AF10" s="4">
        <f>IF('Rhaniad y Ddeiliadaeth (Cymru)'!$D$18="Data Cofrestrfa Tir",'Prisiau Tai (Gogledd)'!G10,'Prisiau Tai (Gogledd)'!Y10)</f>
        <v>121119.05422576029</v>
      </c>
      <c r="AG10" s="4">
        <f>IF('Rhaniad y Ddeiliadaeth (Cymru)'!$D$18="Data Cofrestrfa Tir",'Prisiau Tai (Gogledd)'!H10,'Prisiau Tai (Gogledd)'!Z10)</f>
        <v>127710.45868327473</v>
      </c>
      <c r="AH10" s="4">
        <f>IF('Rhaniad y Ddeiliadaeth (Cymru)'!$D$18="Data Cofrestrfa Tir",'Prisiau Tai (Gogledd)'!I10,'Prisiau Tai (Gogledd)'!AA10)</f>
        <v>133097.76198825979</v>
      </c>
    </row>
    <row r="11" spans="2:36" x14ac:dyDescent="0.35">
      <c r="B11" s="251">
        <v>17</v>
      </c>
      <c r="C11" s="258">
        <v>103000</v>
      </c>
      <c r="D11" s="258">
        <v>105000</v>
      </c>
      <c r="E11" s="278">
        <f>D11*(1+'Rhaniad y Ddeiliadaeth (Gog)'!C$118)</f>
        <v>110040</v>
      </c>
      <c r="F11" s="278">
        <f>E11*(1+'Rhaniad y Ddeiliadaeth (Gog)'!D$118)</f>
        <v>116455.33199999999</v>
      </c>
      <c r="G11" s="278">
        <f>F11*(1+'Rhaniad y Ddeiliadaeth (Gog)'!E$118)</f>
        <v>124681.37935004735</v>
      </c>
      <c r="H11" s="278">
        <f>G11*(1+'Rhaniad y Ddeiliadaeth (Gog)'!F$118)</f>
        <v>131466.6486445475</v>
      </c>
      <c r="I11" s="279">
        <f>H11*(1+'Rhaniad y Ddeiliadaeth (Gog)'!G$118)</f>
        <v>137012.40204673802</v>
      </c>
      <c r="K11" s="246"/>
      <c r="M11" s="36" t="str">
        <f t="shared" si="0"/>
        <v/>
      </c>
      <c r="N11" s="202"/>
      <c r="O11" s="13">
        <f t="shared" si="3"/>
        <v>1</v>
      </c>
      <c r="U11" s="1">
        <f t="shared" si="1"/>
        <v>17</v>
      </c>
      <c r="V11" s="4" t="str">
        <f t="shared" si="2"/>
        <v/>
      </c>
      <c r="W11" s="4" t="e">
        <f>IF($W$3=$N$3,N11,V11*(1+'Rhaniad y Ddeiliadaeth (Cymru)'!C$118))</f>
        <v>#VALUE!</v>
      </c>
      <c r="X11" s="4" t="e">
        <f>W11*(1+'Rhaniad y Ddeiliadaeth (Cymru)'!D$118)</f>
        <v>#VALUE!</v>
      </c>
      <c r="Y11" s="4" t="e">
        <f>X11*(1+'Rhaniad y Ddeiliadaeth (Cymru)'!E$118)</f>
        <v>#VALUE!</v>
      </c>
      <c r="Z11" s="4" t="e">
        <f>Y11*(1+'Rhaniad y Ddeiliadaeth (Cymru)'!F$118)</f>
        <v>#VALUE!</v>
      </c>
      <c r="AA11" s="4" t="e">
        <f>Z11*(1+'Rhaniad y Ddeiliadaeth (Cymru)'!G$118)</f>
        <v>#VALUE!</v>
      </c>
      <c r="AC11" s="260">
        <v>17</v>
      </c>
      <c r="AD11" s="4">
        <f>IF('Rhaniad y Ddeiliadaeth (Cymru)'!$D$18="Data Cofrestrfa Tir",'Prisiau Tai (Gogledd)'!E11,'Prisiau Tai (Gogledd)'!W11)</f>
        <v>110040</v>
      </c>
      <c r="AE11" s="4">
        <f>IF('Rhaniad y Ddeiliadaeth (Cymru)'!$D$18="Data Cofrestrfa Tir",'Prisiau Tai (Gogledd)'!F11,'Prisiau Tai (Gogledd)'!X11)</f>
        <v>116455.33199999999</v>
      </c>
      <c r="AF11" s="4">
        <f>IF('Rhaniad y Ddeiliadaeth (Cymru)'!$D$18="Data Cofrestrfa Tir",'Prisiau Tai (Gogledd)'!G11,'Prisiau Tai (Gogledd)'!Y11)</f>
        <v>124681.37935004735</v>
      </c>
      <c r="AG11" s="4">
        <f>IF('Rhaniad y Ddeiliadaeth (Cymru)'!$D$18="Data Cofrestrfa Tir",'Prisiau Tai (Gogledd)'!H11,'Prisiau Tai (Gogledd)'!Z11)</f>
        <v>131466.6486445475</v>
      </c>
      <c r="AH11" s="4">
        <f>IF('Rhaniad y Ddeiliadaeth (Cymru)'!$D$18="Data Cofrestrfa Tir",'Prisiau Tai (Gogledd)'!I11,'Prisiau Tai (Gogledd)'!AA11)</f>
        <v>137012.40204673802</v>
      </c>
    </row>
    <row r="12" spans="2:36" x14ac:dyDescent="0.35">
      <c r="B12" s="251">
        <v>18</v>
      </c>
      <c r="C12" s="258">
        <v>105000</v>
      </c>
      <c r="D12" s="258">
        <v>105000</v>
      </c>
      <c r="E12" s="278">
        <f>D12*(1+'Rhaniad y Ddeiliadaeth (Gog)'!C$118)</f>
        <v>110040</v>
      </c>
      <c r="F12" s="278">
        <f>E12*(1+'Rhaniad y Ddeiliadaeth (Gog)'!D$118)</f>
        <v>116455.33199999999</v>
      </c>
      <c r="G12" s="278">
        <f>F12*(1+'Rhaniad y Ddeiliadaeth (Gog)'!E$118)</f>
        <v>124681.37935004735</v>
      </c>
      <c r="H12" s="278">
        <f>G12*(1+'Rhaniad y Ddeiliadaeth (Gog)'!F$118)</f>
        <v>131466.6486445475</v>
      </c>
      <c r="I12" s="279">
        <f>H12*(1+'Rhaniad y Ddeiliadaeth (Gog)'!G$118)</f>
        <v>137012.40204673802</v>
      </c>
      <c r="K12" s="246"/>
      <c r="M12" s="36" t="str">
        <f t="shared" si="0"/>
        <v/>
      </c>
      <c r="N12" s="202"/>
      <c r="O12" s="13">
        <f t="shared" si="3"/>
        <v>1</v>
      </c>
      <c r="U12" s="1">
        <f t="shared" si="1"/>
        <v>18</v>
      </c>
      <c r="V12" s="4" t="str">
        <f t="shared" si="2"/>
        <v/>
      </c>
      <c r="W12" s="4" t="e">
        <f>IF($W$3=$N$3,N12,V12*(1+'Rhaniad y Ddeiliadaeth (Cymru)'!C$118))</f>
        <v>#VALUE!</v>
      </c>
      <c r="X12" s="4" t="e">
        <f>W12*(1+'Rhaniad y Ddeiliadaeth (Cymru)'!D$118)</f>
        <v>#VALUE!</v>
      </c>
      <c r="Y12" s="4" t="e">
        <f>X12*(1+'Rhaniad y Ddeiliadaeth (Cymru)'!E$118)</f>
        <v>#VALUE!</v>
      </c>
      <c r="Z12" s="4" t="e">
        <f>Y12*(1+'Rhaniad y Ddeiliadaeth (Cymru)'!F$118)</f>
        <v>#VALUE!</v>
      </c>
      <c r="AA12" s="4" t="e">
        <f>Z12*(1+'Rhaniad y Ddeiliadaeth (Cymru)'!G$118)</f>
        <v>#VALUE!</v>
      </c>
      <c r="AC12" s="260">
        <v>18</v>
      </c>
      <c r="AD12" s="4">
        <f>IF('Rhaniad y Ddeiliadaeth (Cymru)'!$D$18="Data Cofrestrfa Tir",'Prisiau Tai (Gogledd)'!E12,'Prisiau Tai (Gogledd)'!W12)</f>
        <v>110040</v>
      </c>
      <c r="AE12" s="4">
        <f>IF('Rhaniad y Ddeiliadaeth (Cymru)'!$D$18="Data Cofrestrfa Tir",'Prisiau Tai (Gogledd)'!F12,'Prisiau Tai (Gogledd)'!X12)</f>
        <v>116455.33199999999</v>
      </c>
      <c r="AF12" s="4">
        <f>IF('Rhaniad y Ddeiliadaeth (Cymru)'!$D$18="Data Cofrestrfa Tir",'Prisiau Tai (Gogledd)'!G12,'Prisiau Tai (Gogledd)'!Y12)</f>
        <v>124681.37935004735</v>
      </c>
      <c r="AG12" s="4">
        <f>IF('Rhaniad y Ddeiliadaeth (Cymru)'!$D$18="Data Cofrestrfa Tir",'Prisiau Tai (Gogledd)'!H12,'Prisiau Tai (Gogledd)'!Z12)</f>
        <v>131466.6486445475</v>
      </c>
      <c r="AH12" s="4">
        <f>IF('Rhaniad y Ddeiliadaeth (Cymru)'!$D$18="Data Cofrestrfa Tir",'Prisiau Tai (Gogledd)'!I12,'Prisiau Tai (Gogledd)'!AA12)</f>
        <v>137012.40204673802</v>
      </c>
    </row>
    <row r="13" spans="2:36" x14ac:dyDescent="0.35">
      <c r="B13" s="251">
        <v>19</v>
      </c>
      <c r="C13" s="258">
        <v>107000</v>
      </c>
      <c r="D13" s="258">
        <v>108000</v>
      </c>
      <c r="E13" s="278">
        <f>D13*(1+'Rhaniad y Ddeiliadaeth (Gog)'!C$118)</f>
        <v>113184</v>
      </c>
      <c r="F13" s="278">
        <f>E13*(1+'Rhaniad y Ddeiliadaeth (Gog)'!D$118)</f>
        <v>119782.6272</v>
      </c>
      <c r="G13" s="278">
        <f>F13*(1+'Rhaniad y Ddeiliadaeth (Gog)'!E$118)</f>
        <v>128243.70447433443</v>
      </c>
      <c r="H13" s="278">
        <f>G13*(1+'Rhaniad y Ddeiliadaeth (Gog)'!F$118)</f>
        <v>135222.83860582032</v>
      </c>
      <c r="I13" s="279">
        <f>H13*(1+'Rhaniad y Ddeiliadaeth (Gog)'!G$118)</f>
        <v>140927.04210521627</v>
      </c>
      <c r="K13" s="246"/>
      <c r="M13" s="36" t="str">
        <f t="shared" si="0"/>
        <v/>
      </c>
      <c r="N13" s="202"/>
      <c r="O13" s="13">
        <f t="shared" si="3"/>
        <v>1</v>
      </c>
      <c r="U13" s="1">
        <f t="shared" si="1"/>
        <v>19</v>
      </c>
      <c r="V13" s="4" t="str">
        <f t="shared" si="2"/>
        <v/>
      </c>
      <c r="W13" s="4" t="e">
        <f>IF($W$3=$N$3,N13,V13*(1+'Rhaniad y Ddeiliadaeth (Cymru)'!C$118))</f>
        <v>#VALUE!</v>
      </c>
      <c r="X13" s="4" t="e">
        <f>W13*(1+'Rhaniad y Ddeiliadaeth (Cymru)'!D$118)</f>
        <v>#VALUE!</v>
      </c>
      <c r="Y13" s="4" t="e">
        <f>X13*(1+'Rhaniad y Ddeiliadaeth (Cymru)'!E$118)</f>
        <v>#VALUE!</v>
      </c>
      <c r="Z13" s="4" t="e">
        <f>Y13*(1+'Rhaniad y Ddeiliadaeth (Cymru)'!F$118)</f>
        <v>#VALUE!</v>
      </c>
      <c r="AA13" s="4" t="e">
        <f>Z13*(1+'Rhaniad y Ddeiliadaeth (Cymru)'!G$118)</f>
        <v>#VALUE!</v>
      </c>
      <c r="AC13" s="260">
        <v>19</v>
      </c>
      <c r="AD13" s="4">
        <f>IF('Rhaniad y Ddeiliadaeth (Cymru)'!$D$18="Data Cofrestrfa Tir",'Prisiau Tai (Gogledd)'!E13,'Prisiau Tai (Gogledd)'!W13)</f>
        <v>113184</v>
      </c>
      <c r="AE13" s="4">
        <f>IF('Rhaniad y Ddeiliadaeth (Cymru)'!$D$18="Data Cofrestrfa Tir",'Prisiau Tai (Gogledd)'!F13,'Prisiau Tai (Gogledd)'!X13)</f>
        <v>119782.6272</v>
      </c>
      <c r="AF13" s="4">
        <f>IF('Rhaniad y Ddeiliadaeth (Cymru)'!$D$18="Data Cofrestrfa Tir",'Prisiau Tai (Gogledd)'!G13,'Prisiau Tai (Gogledd)'!Y13)</f>
        <v>128243.70447433443</v>
      </c>
      <c r="AG13" s="4">
        <f>IF('Rhaniad y Ddeiliadaeth (Cymru)'!$D$18="Data Cofrestrfa Tir",'Prisiau Tai (Gogledd)'!H13,'Prisiau Tai (Gogledd)'!Z13)</f>
        <v>135222.83860582032</v>
      </c>
      <c r="AH13" s="4">
        <f>IF('Rhaniad y Ddeiliadaeth (Cymru)'!$D$18="Data Cofrestrfa Tir",'Prisiau Tai (Gogledd)'!I13,'Prisiau Tai (Gogledd)'!AA13)</f>
        <v>140927.04210521627</v>
      </c>
    </row>
    <row r="14" spans="2:36" x14ac:dyDescent="0.35">
      <c r="B14" s="251">
        <v>20</v>
      </c>
      <c r="C14" s="258">
        <v>109000</v>
      </c>
      <c r="D14" s="258">
        <v>110000</v>
      </c>
      <c r="E14" s="278">
        <f>D14*(1+'Rhaniad y Ddeiliadaeth (Gog)'!C$118)</f>
        <v>115280</v>
      </c>
      <c r="F14" s="278">
        <f>E14*(1+'Rhaniad y Ddeiliadaeth (Gog)'!D$118)</f>
        <v>122000.82400000001</v>
      </c>
      <c r="G14" s="278">
        <f>F14*(1+'Rhaniad y Ddeiliadaeth (Gog)'!E$118)</f>
        <v>130618.58789052581</v>
      </c>
      <c r="H14" s="278">
        <f>G14*(1+'Rhaniad y Ddeiliadaeth (Gog)'!F$118)</f>
        <v>137726.96524666884</v>
      </c>
      <c r="I14" s="279">
        <f>H14*(1+'Rhaniad y Ddeiliadaeth (Gog)'!G$118)</f>
        <v>143536.80214420176</v>
      </c>
      <c r="K14" s="246"/>
      <c r="M14" s="36" t="str">
        <f t="shared" si="0"/>
        <v/>
      </c>
      <c r="N14" s="202"/>
      <c r="O14" s="13">
        <f t="shared" si="3"/>
        <v>1</v>
      </c>
      <c r="U14" s="1">
        <f t="shared" si="1"/>
        <v>20</v>
      </c>
      <c r="V14" s="4" t="str">
        <f t="shared" si="2"/>
        <v/>
      </c>
      <c r="W14" s="4" t="e">
        <f>IF($W$3=$N$3,N14,V14*(1+'Rhaniad y Ddeiliadaeth (Cymru)'!C$118))</f>
        <v>#VALUE!</v>
      </c>
      <c r="X14" s="4" t="e">
        <f>W14*(1+'Rhaniad y Ddeiliadaeth (Cymru)'!D$118)</f>
        <v>#VALUE!</v>
      </c>
      <c r="Y14" s="4" t="e">
        <f>X14*(1+'Rhaniad y Ddeiliadaeth (Cymru)'!E$118)</f>
        <v>#VALUE!</v>
      </c>
      <c r="Z14" s="4" t="e">
        <f>Y14*(1+'Rhaniad y Ddeiliadaeth (Cymru)'!F$118)</f>
        <v>#VALUE!</v>
      </c>
      <c r="AA14" s="4" t="e">
        <f>Z14*(1+'Rhaniad y Ddeiliadaeth (Cymru)'!G$118)</f>
        <v>#VALUE!</v>
      </c>
      <c r="AC14" s="260">
        <v>20</v>
      </c>
      <c r="AD14" s="4">
        <f>IF('Rhaniad y Ddeiliadaeth (Cymru)'!$D$18="Data Cofrestrfa Tir",'Prisiau Tai (Gogledd)'!E14,'Prisiau Tai (Gogledd)'!W14)</f>
        <v>115280</v>
      </c>
      <c r="AE14" s="4">
        <f>IF('Rhaniad y Ddeiliadaeth (Cymru)'!$D$18="Data Cofrestrfa Tir",'Prisiau Tai (Gogledd)'!F14,'Prisiau Tai (Gogledd)'!X14)</f>
        <v>122000.82400000001</v>
      </c>
      <c r="AF14" s="4">
        <f>IF('Rhaniad y Ddeiliadaeth (Cymru)'!$D$18="Data Cofrestrfa Tir",'Prisiau Tai (Gogledd)'!G14,'Prisiau Tai (Gogledd)'!Y14)</f>
        <v>130618.58789052581</v>
      </c>
      <c r="AG14" s="4">
        <f>IF('Rhaniad y Ddeiliadaeth (Cymru)'!$D$18="Data Cofrestrfa Tir",'Prisiau Tai (Gogledd)'!H14,'Prisiau Tai (Gogledd)'!Z14)</f>
        <v>137726.96524666884</v>
      </c>
      <c r="AH14" s="4">
        <f>IF('Rhaniad y Ddeiliadaeth (Cymru)'!$D$18="Data Cofrestrfa Tir",'Prisiau Tai (Gogledd)'!I14,'Prisiau Tai (Gogledd)'!AA14)</f>
        <v>143536.80214420176</v>
      </c>
    </row>
    <row r="15" spans="2:36" x14ac:dyDescent="0.35">
      <c r="B15" s="251">
        <v>21</v>
      </c>
      <c r="C15" s="258">
        <v>110000</v>
      </c>
      <c r="D15" s="258">
        <v>112000</v>
      </c>
      <c r="E15" s="278">
        <f>D15*(1+'Rhaniad y Ddeiliadaeth (Gog)'!C$118)</f>
        <v>117376</v>
      </c>
      <c r="F15" s="278">
        <f>E15*(1+'Rhaniad y Ddeiliadaeth (Gog)'!D$118)</f>
        <v>124219.0208</v>
      </c>
      <c r="G15" s="278">
        <f>F15*(1+'Rhaniad y Ddeiliadaeth (Gog)'!E$118)</f>
        <v>132993.47130671717</v>
      </c>
      <c r="H15" s="278">
        <f>G15*(1+'Rhaniad y Ddeiliadaeth (Gog)'!F$118)</f>
        <v>140231.09188751734</v>
      </c>
      <c r="I15" s="279">
        <f>H15*(1+'Rhaniad y Ddeiliadaeth (Gog)'!G$118)</f>
        <v>146146.5621831872</v>
      </c>
      <c r="M15" s="36" t="str">
        <f t="shared" si="0"/>
        <v/>
      </c>
      <c r="N15" s="202"/>
      <c r="O15" s="13">
        <f t="shared" si="3"/>
        <v>1</v>
      </c>
      <c r="U15" s="1">
        <f t="shared" si="1"/>
        <v>21</v>
      </c>
      <c r="V15" s="4" t="str">
        <f t="shared" si="2"/>
        <v/>
      </c>
      <c r="W15" s="4" t="e">
        <f>IF($W$3=$N$3,N15,V15*(1+'Rhaniad y Ddeiliadaeth (Cymru)'!C$118))</f>
        <v>#VALUE!</v>
      </c>
      <c r="X15" s="4" t="e">
        <f>W15*(1+'Rhaniad y Ddeiliadaeth (Cymru)'!D$118)</f>
        <v>#VALUE!</v>
      </c>
      <c r="Y15" s="4" t="e">
        <f>X15*(1+'Rhaniad y Ddeiliadaeth (Cymru)'!E$118)</f>
        <v>#VALUE!</v>
      </c>
      <c r="Z15" s="4" t="e">
        <f>Y15*(1+'Rhaniad y Ddeiliadaeth (Cymru)'!F$118)</f>
        <v>#VALUE!</v>
      </c>
      <c r="AA15" s="4" t="e">
        <f>Z15*(1+'Rhaniad y Ddeiliadaeth (Cymru)'!G$118)</f>
        <v>#VALUE!</v>
      </c>
      <c r="AC15" s="260">
        <v>21</v>
      </c>
      <c r="AD15" s="4">
        <f>IF('Rhaniad y Ddeiliadaeth (Cymru)'!$D$18="Data Cofrestrfa Tir",'Prisiau Tai (Gogledd)'!E15,'Prisiau Tai (Gogledd)'!W15)</f>
        <v>117376</v>
      </c>
      <c r="AE15" s="4">
        <f>IF('Rhaniad y Ddeiliadaeth (Cymru)'!$D$18="Data Cofrestrfa Tir",'Prisiau Tai (Gogledd)'!F15,'Prisiau Tai (Gogledd)'!X15)</f>
        <v>124219.0208</v>
      </c>
      <c r="AF15" s="4">
        <f>IF('Rhaniad y Ddeiliadaeth (Cymru)'!$D$18="Data Cofrestrfa Tir",'Prisiau Tai (Gogledd)'!G15,'Prisiau Tai (Gogledd)'!Y15)</f>
        <v>132993.47130671717</v>
      </c>
      <c r="AG15" s="4">
        <f>IF('Rhaniad y Ddeiliadaeth (Cymru)'!$D$18="Data Cofrestrfa Tir",'Prisiau Tai (Gogledd)'!H15,'Prisiau Tai (Gogledd)'!Z15)</f>
        <v>140231.09188751734</v>
      </c>
      <c r="AH15" s="4">
        <f>IF('Rhaniad y Ddeiliadaeth (Cymru)'!$D$18="Data Cofrestrfa Tir",'Prisiau Tai (Gogledd)'!I15,'Prisiau Tai (Gogledd)'!AA15)</f>
        <v>146146.5621831872</v>
      </c>
      <c r="AJ15" s="1" t="s">
        <v>8</v>
      </c>
    </row>
    <row r="16" spans="2:36" x14ac:dyDescent="0.35">
      <c r="B16" s="251">
        <v>22</v>
      </c>
      <c r="C16" s="258">
        <v>112000</v>
      </c>
      <c r="D16" s="258">
        <v>113000</v>
      </c>
      <c r="E16" s="278">
        <f>D16*(1+'Rhaniad y Ddeiliadaeth (Gog)'!C$118)</f>
        <v>118424</v>
      </c>
      <c r="F16" s="278">
        <f>E16*(1+'Rhaniad y Ddeiliadaeth (Gog)'!D$118)</f>
        <v>125328.1192</v>
      </c>
      <c r="G16" s="278">
        <f>F16*(1+'Rhaniad y Ddeiliadaeth (Gog)'!E$118)</f>
        <v>134180.91301481286</v>
      </c>
      <c r="H16" s="278">
        <f>G16*(1+'Rhaniad y Ddeiliadaeth (Gog)'!F$118)</f>
        <v>141483.1552079416</v>
      </c>
      <c r="I16" s="279">
        <f>H16*(1+'Rhaniad y Ddeiliadaeth (Gog)'!G$118)</f>
        <v>147451.44220267996</v>
      </c>
      <c r="M16" s="36" t="str">
        <f t="shared" si="0"/>
        <v/>
      </c>
      <c r="N16" s="202"/>
      <c r="O16" s="13">
        <f t="shared" si="3"/>
        <v>1</v>
      </c>
      <c r="U16" s="1">
        <f t="shared" si="1"/>
        <v>22</v>
      </c>
      <c r="V16" s="4" t="str">
        <f t="shared" si="2"/>
        <v/>
      </c>
      <c r="W16" s="4" t="e">
        <f>IF($W$3=$N$3,N16,V16*(1+'Rhaniad y Ddeiliadaeth (Cymru)'!C$118))</f>
        <v>#VALUE!</v>
      </c>
      <c r="X16" s="4" t="e">
        <f>W16*(1+'Rhaniad y Ddeiliadaeth (Cymru)'!D$118)</f>
        <v>#VALUE!</v>
      </c>
      <c r="Y16" s="4" t="e">
        <f>X16*(1+'Rhaniad y Ddeiliadaeth (Cymru)'!E$118)</f>
        <v>#VALUE!</v>
      </c>
      <c r="Z16" s="4" t="e">
        <f>Y16*(1+'Rhaniad y Ddeiliadaeth (Cymru)'!F$118)</f>
        <v>#VALUE!</v>
      </c>
      <c r="AA16" s="4" t="e">
        <f>Z16*(1+'Rhaniad y Ddeiliadaeth (Cymru)'!G$118)</f>
        <v>#VALUE!</v>
      </c>
      <c r="AC16" s="260">
        <v>22</v>
      </c>
      <c r="AD16" s="4">
        <f>IF('Rhaniad y Ddeiliadaeth (Cymru)'!$D$18="Data Cofrestrfa Tir",'Prisiau Tai (Gogledd)'!E16,'Prisiau Tai (Gogledd)'!W16)</f>
        <v>118424</v>
      </c>
      <c r="AE16" s="4">
        <f>IF('Rhaniad y Ddeiliadaeth (Cymru)'!$D$18="Data Cofrestrfa Tir",'Prisiau Tai (Gogledd)'!F16,'Prisiau Tai (Gogledd)'!X16)</f>
        <v>125328.1192</v>
      </c>
      <c r="AF16" s="4">
        <f>IF('Rhaniad y Ddeiliadaeth (Cymru)'!$D$18="Data Cofrestrfa Tir",'Prisiau Tai (Gogledd)'!G16,'Prisiau Tai (Gogledd)'!Y16)</f>
        <v>134180.91301481286</v>
      </c>
      <c r="AG16" s="4">
        <f>IF('Rhaniad y Ddeiliadaeth (Cymru)'!$D$18="Data Cofrestrfa Tir",'Prisiau Tai (Gogledd)'!H16,'Prisiau Tai (Gogledd)'!Z16)</f>
        <v>141483.1552079416</v>
      </c>
      <c r="AH16" s="4">
        <f>IF('Rhaniad y Ddeiliadaeth (Cymru)'!$D$18="Data Cofrestrfa Tir",'Prisiau Tai (Gogledd)'!I16,'Prisiau Tai (Gogledd)'!AA16)</f>
        <v>147451.44220267996</v>
      </c>
    </row>
    <row r="17" spans="2:34" x14ac:dyDescent="0.35">
      <c r="B17" s="251">
        <v>23</v>
      </c>
      <c r="C17" s="258">
        <v>114000</v>
      </c>
      <c r="D17" s="258">
        <v>115000</v>
      </c>
      <c r="E17" s="278">
        <f>D17*(1+'Rhaniad y Ddeiliadaeth (Gog)'!C$118)</f>
        <v>120520</v>
      </c>
      <c r="F17" s="278">
        <f>E17*(1+'Rhaniad y Ddeiliadaeth (Gog)'!D$118)</f>
        <v>127546.31600000001</v>
      </c>
      <c r="G17" s="278">
        <f>F17*(1+'Rhaniad y Ddeiliadaeth (Gog)'!E$118)</f>
        <v>136555.79643100424</v>
      </c>
      <c r="H17" s="278">
        <f>G17*(1+'Rhaniad y Ddeiliadaeth (Gog)'!F$118)</f>
        <v>143987.28184879012</v>
      </c>
      <c r="I17" s="279">
        <f>H17*(1+'Rhaniad y Ddeiliadaeth (Gog)'!G$118)</f>
        <v>150061.20224166545</v>
      </c>
      <c r="M17" s="36" t="str">
        <f t="shared" si="0"/>
        <v/>
      </c>
      <c r="N17" s="202"/>
      <c r="O17" s="13">
        <f t="shared" si="3"/>
        <v>1</v>
      </c>
      <c r="U17" s="1">
        <f t="shared" si="1"/>
        <v>23</v>
      </c>
      <c r="V17" s="4" t="str">
        <f t="shared" si="2"/>
        <v/>
      </c>
      <c r="W17" s="4" t="e">
        <f>IF($W$3=$N$3,N17,V17*(1+'Rhaniad y Ddeiliadaeth (Cymru)'!C$118))</f>
        <v>#VALUE!</v>
      </c>
      <c r="X17" s="4" t="e">
        <f>W17*(1+'Rhaniad y Ddeiliadaeth (Cymru)'!D$118)</f>
        <v>#VALUE!</v>
      </c>
      <c r="Y17" s="4" t="e">
        <f>X17*(1+'Rhaniad y Ddeiliadaeth (Cymru)'!E$118)</f>
        <v>#VALUE!</v>
      </c>
      <c r="Z17" s="4" t="e">
        <f>Y17*(1+'Rhaniad y Ddeiliadaeth (Cymru)'!F$118)</f>
        <v>#VALUE!</v>
      </c>
      <c r="AA17" s="4" t="e">
        <f>Z17*(1+'Rhaniad y Ddeiliadaeth (Cymru)'!G$118)</f>
        <v>#VALUE!</v>
      </c>
      <c r="AC17" s="260">
        <v>23</v>
      </c>
      <c r="AD17" s="4">
        <f>IF('Rhaniad y Ddeiliadaeth (Cymru)'!$D$18="Data Cofrestrfa Tir",'Prisiau Tai (Gogledd)'!E17,'Prisiau Tai (Gogledd)'!W17)</f>
        <v>120520</v>
      </c>
      <c r="AE17" s="4">
        <f>IF('Rhaniad y Ddeiliadaeth (Cymru)'!$D$18="Data Cofrestrfa Tir",'Prisiau Tai (Gogledd)'!F17,'Prisiau Tai (Gogledd)'!X17)</f>
        <v>127546.31600000001</v>
      </c>
      <c r="AF17" s="4">
        <f>IF('Rhaniad y Ddeiliadaeth (Cymru)'!$D$18="Data Cofrestrfa Tir",'Prisiau Tai (Gogledd)'!G17,'Prisiau Tai (Gogledd)'!Y17)</f>
        <v>136555.79643100424</v>
      </c>
      <c r="AG17" s="4">
        <f>IF('Rhaniad y Ddeiliadaeth (Cymru)'!$D$18="Data Cofrestrfa Tir",'Prisiau Tai (Gogledd)'!H17,'Prisiau Tai (Gogledd)'!Z17)</f>
        <v>143987.28184879012</v>
      </c>
      <c r="AH17" s="4">
        <f>IF('Rhaniad y Ddeiliadaeth (Cymru)'!$D$18="Data Cofrestrfa Tir",'Prisiau Tai (Gogledd)'!I17,'Prisiau Tai (Gogledd)'!AA17)</f>
        <v>150061.20224166545</v>
      </c>
    </row>
    <row r="18" spans="2:34" x14ac:dyDescent="0.35">
      <c r="B18" s="251">
        <v>24</v>
      </c>
      <c r="C18" s="258">
        <v>115000</v>
      </c>
      <c r="D18" s="258">
        <v>116000</v>
      </c>
      <c r="E18" s="278">
        <f>D18*(1+'Rhaniad y Ddeiliadaeth (Gog)'!C$118)</f>
        <v>121568</v>
      </c>
      <c r="F18" s="278">
        <f>E18*(1+'Rhaniad y Ddeiliadaeth (Gog)'!D$118)</f>
        <v>128655.41440000001</v>
      </c>
      <c r="G18" s="278">
        <f>F18*(1+'Rhaniad y Ddeiliadaeth (Gog)'!E$118)</f>
        <v>137743.23813909994</v>
      </c>
      <c r="H18" s="278">
        <f>G18*(1+'Rhaniad y Ddeiliadaeth (Gog)'!F$118)</f>
        <v>145239.34516921439</v>
      </c>
      <c r="I18" s="279">
        <f>H18*(1+'Rhaniad y Ddeiliadaeth (Gog)'!G$118)</f>
        <v>151366.08226115818</v>
      </c>
      <c r="M18" s="36" t="str">
        <f t="shared" si="0"/>
        <v/>
      </c>
      <c r="N18" s="202"/>
      <c r="O18" s="13">
        <f t="shared" si="3"/>
        <v>1</v>
      </c>
      <c r="U18" s="1">
        <f t="shared" si="1"/>
        <v>24</v>
      </c>
      <c r="V18" s="4" t="str">
        <f t="shared" si="2"/>
        <v/>
      </c>
      <c r="W18" s="4" t="e">
        <f>IF($W$3=$N$3,N18,V18*(1+'Rhaniad y Ddeiliadaeth (Cymru)'!C$118))</f>
        <v>#VALUE!</v>
      </c>
      <c r="X18" s="4" t="e">
        <f>W18*(1+'Rhaniad y Ddeiliadaeth (Cymru)'!D$118)</f>
        <v>#VALUE!</v>
      </c>
      <c r="Y18" s="4" t="e">
        <f>X18*(1+'Rhaniad y Ddeiliadaeth (Cymru)'!E$118)</f>
        <v>#VALUE!</v>
      </c>
      <c r="Z18" s="4" t="e">
        <f>Y18*(1+'Rhaniad y Ddeiliadaeth (Cymru)'!F$118)</f>
        <v>#VALUE!</v>
      </c>
      <c r="AA18" s="4" t="e">
        <f>Z18*(1+'Rhaniad y Ddeiliadaeth (Cymru)'!G$118)</f>
        <v>#VALUE!</v>
      </c>
      <c r="AC18" s="260">
        <v>24</v>
      </c>
      <c r="AD18" s="4">
        <f>IF('Rhaniad y Ddeiliadaeth (Cymru)'!$D$18="Data Cofrestrfa Tir",'Prisiau Tai (Gogledd)'!E18,'Prisiau Tai (Gogledd)'!W18)</f>
        <v>121568</v>
      </c>
      <c r="AE18" s="4">
        <f>IF('Rhaniad y Ddeiliadaeth (Cymru)'!$D$18="Data Cofrestrfa Tir",'Prisiau Tai (Gogledd)'!F18,'Prisiau Tai (Gogledd)'!X18)</f>
        <v>128655.41440000001</v>
      </c>
      <c r="AF18" s="4">
        <f>IF('Rhaniad y Ddeiliadaeth (Cymru)'!$D$18="Data Cofrestrfa Tir",'Prisiau Tai (Gogledd)'!G18,'Prisiau Tai (Gogledd)'!Y18)</f>
        <v>137743.23813909994</v>
      </c>
      <c r="AG18" s="4">
        <f>IF('Rhaniad y Ddeiliadaeth (Cymru)'!$D$18="Data Cofrestrfa Tir",'Prisiau Tai (Gogledd)'!H18,'Prisiau Tai (Gogledd)'!Z18)</f>
        <v>145239.34516921439</v>
      </c>
      <c r="AH18" s="4">
        <f>IF('Rhaniad y Ddeiliadaeth (Cymru)'!$D$18="Data Cofrestrfa Tir",'Prisiau Tai (Gogledd)'!I18,'Prisiau Tai (Gogledd)'!AA18)</f>
        <v>151366.08226115818</v>
      </c>
    </row>
    <row r="19" spans="2:34" x14ac:dyDescent="0.35">
      <c r="B19" s="251">
        <v>25</v>
      </c>
      <c r="C19" s="258">
        <v>116500</v>
      </c>
      <c r="D19" s="258">
        <v>118000</v>
      </c>
      <c r="E19" s="278">
        <f>D19*(1+'Rhaniad y Ddeiliadaeth (Gog)'!C$118)</f>
        <v>123664</v>
      </c>
      <c r="F19" s="278">
        <f>E19*(1+'Rhaniad y Ddeiliadaeth (Gog)'!D$118)</f>
        <v>130873.6112</v>
      </c>
      <c r="G19" s="278">
        <f>F19*(1+'Rhaniad y Ddeiliadaeth (Gog)'!E$118)</f>
        <v>140118.12155529132</v>
      </c>
      <c r="H19" s="278">
        <f>G19*(1+'Rhaniad y Ddeiliadaeth (Gog)'!F$118)</f>
        <v>147743.47181006294</v>
      </c>
      <c r="I19" s="279">
        <f>H19*(1+'Rhaniad y Ddeiliadaeth (Gog)'!G$118)</f>
        <v>153975.8423001437</v>
      </c>
      <c r="M19" s="36" t="str">
        <f t="shared" si="0"/>
        <v/>
      </c>
      <c r="N19" s="202"/>
      <c r="O19" s="13">
        <f t="shared" si="3"/>
        <v>1</v>
      </c>
      <c r="U19" s="1">
        <f t="shared" si="1"/>
        <v>25</v>
      </c>
      <c r="V19" s="4" t="str">
        <f t="shared" si="2"/>
        <v/>
      </c>
      <c r="W19" s="4" t="e">
        <f>IF($W$3=$N$3,N19,V19*(1+'Rhaniad y Ddeiliadaeth (Cymru)'!C$118))</f>
        <v>#VALUE!</v>
      </c>
      <c r="X19" s="4" t="e">
        <f>W19*(1+'Rhaniad y Ddeiliadaeth (Cymru)'!D$118)</f>
        <v>#VALUE!</v>
      </c>
      <c r="Y19" s="4" t="e">
        <f>X19*(1+'Rhaniad y Ddeiliadaeth (Cymru)'!E$118)</f>
        <v>#VALUE!</v>
      </c>
      <c r="Z19" s="4" t="e">
        <f>Y19*(1+'Rhaniad y Ddeiliadaeth (Cymru)'!F$118)</f>
        <v>#VALUE!</v>
      </c>
      <c r="AA19" s="4" t="e">
        <f>Z19*(1+'Rhaniad y Ddeiliadaeth (Cymru)'!G$118)</f>
        <v>#VALUE!</v>
      </c>
      <c r="AC19" s="260">
        <v>25</v>
      </c>
      <c r="AD19" s="4">
        <f>IF('Rhaniad y Ddeiliadaeth (Cymru)'!$D$18="Data Cofrestrfa Tir",'Prisiau Tai (Gogledd)'!E19,'Prisiau Tai (Gogledd)'!W19)</f>
        <v>123664</v>
      </c>
      <c r="AE19" s="4">
        <f>IF('Rhaniad y Ddeiliadaeth (Cymru)'!$D$18="Data Cofrestrfa Tir",'Prisiau Tai (Gogledd)'!F19,'Prisiau Tai (Gogledd)'!X19)</f>
        <v>130873.6112</v>
      </c>
      <c r="AF19" s="4">
        <f>IF('Rhaniad y Ddeiliadaeth (Cymru)'!$D$18="Data Cofrestrfa Tir",'Prisiau Tai (Gogledd)'!G19,'Prisiau Tai (Gogledd)'!Y19)</f>
        <v>140118.12155529132</v>
      </c>
      <c r="AG19" s="4">
        <f>IF('Rhaniad y Ddeiliadaeth (Cymru)'!$D$18="Data Cofrestrfa Tir",'Prisiau Tai (Gogledd)'!H19,'Prisiau Tai (Gogledd)'!Z19)</f>
        <v>147743.47181006294</v>
      </c>
      <c r="AH19" s="4">
        <f>IF('Rhaniad y Ddeiliadaeth (Cymru)'!$D$18="Data Cofrestrfa Tir",'Prisiau Tai (Gogledd)'!I19,'Prisiau Tai (Gogledd)'!AA19)</f>
        <v>153975.8423001437</v>
      </c>
    </row>
    <row r="20" spans="2:34" x14ac:dyDescent="0.35">
      <c r="B20" s="251">
        <v>26</v>
      </c>
      <c r="C20" s="258">
        <v>118000</v>
      </c>
      <c r="D20" s="258">
        <v>120000</v>
      </c>
      <c r="E20" s="278">
        <f>D20*(1+'Rhaniad y Ddeiliadaeth (Gog)'!C$118)</f>
        <v>125760</v>
      </c>
      <c r="F20" s="278">
        <f>E20*(1+'Rhaniad y Ddeiliadaeth (Gog)'!D$118)</f>
        <v>133091.80799999999</v>
      </c>
      <c r="G20" s="278">
        <f>F20*(1+'Rhaniad y Ddeiliadaeth (Gog)'!E$118)</f>
        <v>142493.00497148267</v>
      </c>
      <c r="H20" s="278">
        <f>G20*(1+'Rhaniad y Ddeiliadaeth (Gog)'!F$118)</f>
        <v>150247.59845091144</v>
      </c>
      <c r="I20" s="279">
        <f>H20*(1+'Rhaniad y Ddeiliadaeth (Gog)'!G$118)</f>
        <v>156585.60233912914</v>
      </c>
      <c r="M20" s="36" t="str">
        <f t="shared" si="0"/>
        <v/>
      </c>
      <c r="N20" s="202"/>
      <c r="O20" s="13">
        <f t="shared" si="3"/>
        <v>1</v>
      </c>
      <c r="U20" s="1">
        <f t="shared" si="1"/>
        <v>26</v>
      </c>
      <c r="V20" s="4" t="str">
        <f t="shared" si="2"/>
        <v/>
      </c>
      <c r="W20" s="4" t="e">
        <f>IF($W$3=$N$3,N20,V20*(1+'Rhaniad y Ddeiliadaeth (Cymru)'!C$118))</f>
        <v>#VALUE!</v>
      </c>
      <c r="X20" s="4" t="e">
        <f>W20*(1+'Rhaniad y Ddeiliadaeth (Cymru)'!D$118)</f>
        <v>#VALUE!</v>
      </c>
      <c r="Y20" s="4" t="e">
        <f>X20*(1+'Rhaniad y Ddeiliadaeth (Cymru)'!E$118)</f>
        <v>#VALUE!</v>
      </c>
      <c r="Z20" s="4" t="e">
        <f>Y20*(1+'Rhaniad y Ddeiliadaeth (Cymru)'!F$118)</f>
        <v>#VALUE!</v>
      </c>
      <c r="AA20" s="4" t="e">
        <f>Z20*(1+'Rhaniad y Ddeiliadaeth (Cymru)'!G$118)</f>
        <v>#VALUE!</v>
      </c>
      <c r="AC20" s="260">
        <v>26</v>
      </c>
      <c r="AD20" s="4">
        <f>IF('Rhaniad y Ddeiliadaeth (Cymru)'!$D$18="Data Cofrestrfa Tir",'Prisiau Tai (Gogledd)'!E20,'Prisiau Tai (Gogledd)'!W20)</f>
        <v>125760</v>
      </c>
      <c r="AE20" s="4">
        <f>IF('Rhaniad y Ddeiliadaeth (Cymru)'!$D$18="Data Cofrestrfa Tir",'Prisiau Tai (Gogledd)'!F20,'Prisiau Tai (Gogledd)'!X20)</f>
        <v>133091.80799999999</v>
      </c>
      <c r="AF20" s="4">
        <f>IF('Rhaniad y Ddeiliadaeth (Cymru)'!$D$18="Data Cofrestrfa Tir",'Prisiau Tai (Gogledd)'!G20,'Prisiau Tai (Gogledd)'!Y20)</f>
        <v>142493.00497148267</v>
      </c>
      <c r="AG20" s="4">
        <f>IF('Rhaniad y Ddeiliadaeth (Cymru)'!$D$18="Data Cofrestrfa Tir",'Prisiau Tai (Gogledd)'!H20,'Prisiau Tai (Gogledd)'!Z20)</f>
        <v>150247.59845091144</v>
      </c>
      <c r="AH20" s="4">
        <f>IF('Rhaniad y Ddeiliadaeth (Cymru)'!$D$18="Data Cofrestrfa Tir",'Prisiau Tai (Gogledd)'!I20,'Prisiau Tai (Gogledd)'!AA20)</f>
        <v>156585.60233912914</v>
      </c>
    </row>
    <row r="21" spans="2:34" x14ac:dyDescent="0.35">
      <c r="B21" s="251">
        <v>27</v>
      </c>
      <c r="C21" s="258">
        <v>120000</v>
      </c>
      <c r="D21" s="258">
        <v>120000</v>
      </c>
      <c r="E21" s="278">
        <f>D21*(1+'Rhaniad y Ddeiliadaeth (Gog)'!C$118)</f>
        <v>125760</v>
      </c>
      <c r="F21" s="278">
        <f>E21*(1+'Rhaniad y Ddeiliadaeth (Gog)'!D$118)</f>
        <v>133091.80799999999</v>
      </c>
      <c r="G21" s="278">
        <f>F21*(1+'Rhaniad y Ddeiliadaeth (Gog)'!E$118)</f>
        <v>142493.00497148267</v>
      </c>
      <c r="H21" s="278">
        <f>G21*(1+'Rhaniad y Ddeiliadaeth (Gog)'!F$118)</f>
        <v>150247.59845091144</v>
      </c>
      <c r="I21" s="279">
        <f>H21*(1+'Rhaniad y Ddeiliadaeth (Gog)'!G$118)</f>
        <v>156585.60233912914</v>
      </c>
      <c r="M21" s="36" t="str">
        <f t="shared" si="0"/>
        <v/>
      </c>
      <c r="N21" s="202"/>
      <c r="O21" s="13">
        <f t="shared" si="3"/>
        <v>1</v>
      </c>
      <c r="U21" s="1">
        <f t="shared" si="1"/>
        <v>27</v>
      </c>
      <c r="V21" s="4" t="str">
        <f t="shared" si="2"/>
        <v/>
      </c>
      <c r="W21" s="4" t="e">
        <f>IF($W$3=$N$3,N21,V21*(1+'Rhaniad y Ddeiliadaeth (Cymru)'!C$118))</f>
        <v>#VALUE!</v>
      </c>
      <c r="X21" s="4" t="e">
        <f>W21*(1+'Rhaniad y Ddeiliadaeth (Cymru)'!D$118)</f>
        <v>#VALUE!</v>
      </c>
      <c r="Y21" s="4" t="e">
        <f>X21*(1+'Rhaniad y Ddeiliadaeth (Cymru)'!E$118)</f>
        <v>#VALUE!</v>
      </c>
      <c r="Z21" s="4" t="e">
        <f>Y21*(1+'Rhaniad y Ddeiliadaeth (Cymru)'!F$118)</f>
        <v>#VALUE!</v>
      </c>
      <c r="AA21" s="4" t="e">
        <f>Z21*(1+'Rhaniad y Ddeiliadaeth (Cymru)'!G$118)</f>
        <v>#VALUE!</v>
      </c>
      <c r="AC21" s="260">
        <v>27</v>
      </c>
      <c r="AD21" s="4">
        <f>IF('Rhaniad y Ddeiliadaeth (Cymru)'!$D$18="Data Cofrestrfa Tir",'Prisiau Tai (Gogledd)'!E21,'Prisiau Tai (Gogledd)'!W21)</f>
        <v>125760</v>
      </c>
      <c r="AE21" s="4">
        <f>IF('Rhaniad y Ddeiliadaeth (Cymru)'!$D$18="Data Cofrestrfa Tir",'Prisiau Tai (Gogledd)'!F21,'Prisiau Tai (Gogledd)'!X21)</f>
        <v>133091.80799999999</v>
      </c>
      <c r="AF21" s="4">
        <f>IF('Rhaniad y Ddeiliadaeth (Cymru)'!$D$18="Data Cofrestrfa Tir",'Prisiau Tai (Gogledd)'!G21,'Prisiau Tai (Gogledd)'!Y21)</f>
        <v>142493.00497148267</v>
      </c>
      <c r="AG21" s="4">
        <f>IF('Rhaniad y Ddeiliadaeth (Cymru)'!$D$18="Data Cofrestrfa Tir",'Prisiau Tai (Gogledd)'!H21,'Prisiau Tai (Gogledd)'!Z21)</f>
        <v>150247.59845091144</v>
      </c>
      <c r="AH21" s="4">
        <f>IF('Rhaniad y Ddeiliadaeth (Cymru)'!$D$18="Data Cofrestrfa Tir",'Prisiau Tai (Gogledd)'!I21,'Prisiau Tai (Gogledd)'!AA21)</f>
        <v>156585.60233912914</v>
      </c>
    </row>
    <row r="22" spans="2:34" x14ac:dyDescent="0.35">
      <c r="B22" s="251">
        <v>28</v>
      </c>
      <c r="C22" s="258">
        <v>120000</v>
      </c>
      <c r="D22" s="258">
        <v>122500</v>
      </c>
      <c r="E22" s="278">
        <f>D22*(1+'Rhaniad y Ddeiliadaeth (Gog)'!C$118)</f>
        <v>128380</v>
      </c>
      <c r="F22" s="278">
        <f>E22*(1+'Rhaniad y Ddeiliadaeth (Gog)'!D$118)</f>
        <v>135864.554</v>
      </c>
      <c r="G22" s="278">
        <f>F22*(1+'Rhaniad y Ddeiliadaeth (Gog)'!E$118)</f>
        <v>145461.60924172192</v>
      </c>
      <c r="H22" s="278">
        <f>G22*(1+'Rhaniad y Ddeiliadaeth (Gog)'!F$118)</f>
        <v>153377.75675197211</v>
      </c>
      <c r="I22" s="279">
        <f>H22*(1+'Rhaniad y Ddeiliadaeth (Gog)'!G$118)</f>
        <v>159847.80238786101</v>
      </c>
      <c r="M22" s="36" t="str">
        <f t="shared" si="0"/>
        <v/>
      </c>
      <c r="N22" s="202"/>
      <c r="O22" s="13">
        <f t="shared" si="3"/>
        <v>1</v>
      </c>
      <c r="U22" s="1">
        <f t="shared" si="1"/>
        <v>28</v>
      </c>
      <c r="V22" s="4" t="str">
        <f t="shared" si="2"/>
        <v/>
      </c>
      <c r="W22" s="4" t="e">
        <f>IF($W$3=$N$3,N22,V22*(1+'Rhaniad y Ddeiliadaeth (Cymru)'!C$118))</f>
        <v>#VALUE!</v>
      </c>
      <c r="X22" s="4" t="e">
        <f>W22*(1+'Rhaniad y Ddeiliadaeth (Cymru)'!D$118)</f>
        <v>#VALUE!</v>
      </c>
      <c r="Y22" s="4" t="e">
        <f>X22*(1+'Rhaniad y Ddeiliadaeth (Cymru)'!E$118)</f>
        <v>#VALUE!</v>
      </c>
      <c r="Z22" s="4" t="e">
        <f>Y22*(1+'Rhaniad y Ddeiliadaeth (Cymru)'!F$118)</f>
        <v>#VALUE!</v>
      </c>
      <c r="AA22" s="4" t="e">
        <f>Z22*(1+'Rhaniad y Ddeiliadaeth (Cymru)'!G$118)</f>
        <v>#VALUE!</v>
      </c>
      <c r="AC22" s="260">
        <v>28</v>
      </c>
      <c r="AD22" s="4">
        <f>IF('Rhaniad y Ddeiliadaeth (Cymru)'!$D$18="Data Cofrestrfa Tir",'Prisiau Tai (Gogledd)'!E22,'Prisiau Tai (Gogledd)'!W22)</f>
        <v>128380</v>
      </c>
      <c r="AE22" s="4">
        <f>IF('Rhaniad y Ddeiliadaeth (Cymru)'!$D$18="Data Cofrestrfa Tir",'Prisiau Tai (Gogledd)'!F22,'Prisiau Tai (Gogledd)'!X22)</f>
        <v>135864.554</v>
      </c>
      <c r="AF22" s="4">
        <f>IF('Rhaniad y Ddeiliadaeth (Cymru)'!$D$18="Data Cofrestrfa Tir",'Prisiau Tai (Gogledd)'!G22,'Prisiau Tai (Gogledd)'!Y22)</f>
        <v>145461.60924172192</v>
      </c>
      <c r="AG22" s="4">
        <f>IF('Rhaniad y Ddeiliadaeth (Cymru)'!$D$18="Data Cofrestrfa Tir",'Prisiau Tai (Gogledd)'!H22,'Prisiau Tai (Gogledd)'!Z22)</f>
        <v>153377.75675197211</v>
      </c>
      <c r="AH22" s="4">
        <f>IF('Rhaniad y Ddeiliadaeth (Cymru)'!$D$18="Data Cofrestrfa Tir",'Prisiau Tai (Gogledd)'!I22,'Prisiau Tai (Gogledd)'!AA22)</f>
        <v>159847.80238786101</v>
      </c>
    </row>
    <row r="23" spans="2:34" x14ac:dyDescent="0.35">
      <c r="B23" s="251">
        <v>29</v>
      </c>
      <c r="C23" s="258">
        <v>122000</v>
      </c>
      <c r="D23" s="258">
        <v>125000</v>
      </c>
      <c r="E23" s="278">
        <f>D23*(1+'Rhaniad y Ddeiliadaeth (Gog)'!C$118)</f>
        <v>131000</v>
      </c>
      <c r="F23" s="278">
        <f>E23*(1+'Rhaniad y Ddeiliadaeth (Gog)'!D$118)</f>
        <v>138637.29999999999</v>
      </c>
      <c r="G23" s="278">
        <f>F23*(1+'Rhaniad y Ddeiliadaeth (Gog)'!E$118)</f>
        <v>148430.21351196113</v>
      </c>
      <c r="H23" s="278">
        <f>G23*(1+'Rhaniad y Ddeiliadaeth (Gog)'!F$118)</f>
        <v>156507.91505303275</v>
      </c>
      <c r="I23" s="279">
        <f>H23*(1+'Rhaniad y Ddeiliadaeth (Gog)'!G$118)</f>
        <v>163110.00243659285</v>
      </c>
      <c r="M23" s="36" t="str">
        <f t="shared" si="0"/>
        <v/>
      </c>
      <c r="N23" s="202"/>
      <c r="O23" s="13">
        <f t="shared" si="3"/>
        <v>1</v>
      </c>
      <c r="U23" s="1">
        <f t="shared" si="1"/>
        <v>29</v>
      </c>
      <c r="V23" s="4" t="str">
        <f t="shared" si="2"/>
        <v/>
      </c>
      <c r="W23" s="4" t="e">
        <f>IF($W$3=$N$3,N23,V23*(1+'Rhaniad y Ddeiliadaeth (Cymru)'!C$118))</f>
        <v>#VALUE!</v>
      </c>
      <c r="X23" s="4" t="e">
        <f>W23*(1+'Rhaniad y Ddeiliadaeth (Cymru)'!D$118)</f>
        <v>#VALUE!</v>
      </c>
      <c r="Y23" s="4" t="e">
        <f>X23*(1+'Rhaniad y Ddeiliadaeth (Cymru)'!E$118)</f>
        <v>#VALUE!</v>
      </c>
      <c r="Z23" s="4" t="e">
        <f>Y23*(1+'Rhaniad y Ddeiliadaeth (Cymru)'!F$118)</f>
        <v>#VALUE!</v>
      </c>
      <c r="AA23" s="4" t="e">
        <f>Z23*(1+'Rhaniad y Ddeiliadaeth (Cymru)'!G$118)</f>
        <v>#VALUE!</v>
      </c>
      <c r="AC23" s="260">
        <v>29</v>
      </c>
      <c r="AD23" s="4">
        <f>IF('Rhaniad y Ddeiliadaeth (Cymru)'!$D$18="Data Cofrestrfa Tir",'Prisiau Tai (Gogledd)'!E23,'Prisiau Tai (Gogledd)'!W23)</f>
        <v>131000</v>
      </c>
      <c r="AE23" s="4">
        <f>IF('Rhaniad y Ddeiliadaeth (Cymru)'!$D$18="Data Cofrestrfa Tir",'Prisiau Tai (Gogledd)'!F23,'Prisiau Tai (Gogledd)'!X23)</f>
        <v>138637.29999999999</v>
      </c>
      <c r="AF23" s="4">
        <f>IF('Rhaniad y Ddeiliadaeth (Cymru)'!$D$18="Data Cofrestrfa Tir",'Prisiau Tai (Gogledd)'!G23,'Prisiau Tai (Gogledd)'!Y23)</f>
        <v>148430.21351196113</v>
      </c>
      <c r="AG23" s="4">
        <f>IF('Rhaniad y Ddeiliadaeth (Cymru)'!$D$18="Data Cofrestrfa Tir",'Prisiau Tai (Gogledd)'!H23,'Prisiau Tai (Gogledd)'!Z23)</f>
        <v>156507.91505303275</v>
      </c>
      <c r="AH23" s="4">
        <f>IF('Rhaniad y Ddeiliadaeth (Cymru)'!$D$18="Data Cofrestrfa Tir",'Prisiau Tai (Gogledd)'!I23,'Prisiau Tai (Gogledd)'!AA23)</f>
        <v>163110.00243659285</v>
      </c>
    </row>
    <row r="24" spans="2:34" x14ac:dyDescent="0.35">
      <c r="B24" s="251">
        <v>30</v>
      </c>
      <c r="C24" s="258">
        <v>123500</v>
      </c>
      <c r="D24" s="258">
        <v>125000</v>
      </c>
      <c r="E24" s="278">
        <f>D24*(1+'Rhaniad y Ddeiliadaeth (Gog)'!C$118)</f>
        <v>131000</v>
      </c>
      <c r="F24" s="278">
        <f>E24*(1+'Rhaniad y Ddeiliadaeth (Gog)'!D$118)</f>
        <v>138637.29999999999</v>
      </c>
      <c r="G24" s="278">
        <f>F24*(1+'Rhaniad y Ddeiliadaeth (Gog)'!E$118)</f>
        <v>148430.21351196113</v>
      </c>
      <c r="H24" s="278">
        <f>G24*(1+'Rhaniad y Ddeiliadaeth (Gog)'!F$118)</f>
        <v>156507.91505303275</v>
      </c>
      <c r="I24" s="279">
        <f>H24*(1+'Rhaniad y Ddeiliadaeth (Gog)'!G$118)</f>
        <v>163110.00243659285</v>
      </c>
      <c r="M24" s="36" t="str">
        <f t="shared" si="0"/>
        <v/>
      </c>
      <c r="N24" s="202"/>
      <c r="O24" s="13">
        <f t="shared" si="3"/>
        <v>1</v>
      </c>
      <c r="U24" s="1">
        <f t="shared" si="1"/>
        <v>30</v>
      </c>
      <c r="V24" s="4" t="str">
        <f t="shared" si="2"/>
        <v/>
      </c>
      <c r="W24" s="4" t="e">
        <f>IF($W$3=$N$3,N24,V24*(1+'Rhaniad y Ddeiliadaeth (Cymru)'!C$118))</f>
        <v>#VALUE!</v>
      </c>
      <c r="X24" s="4" t="e">
        <f>W24*(1+'Rhaniad y Ddeiliadaeth (Cymru)'!D$118)</f>
        <v>#VALUE!</v>
      </c>
      <c r="Y24" s="4" t="e">
        <f>X24*(1+'Rhaniad y Ddeiliadaeth (Cymru)'!E$118)</f>
        <v>#VALUE!</v>
      </c>
      <c r="Z24" s="4" t="e">
        <f>Y24*(1+'Rhaniad y Ddeiliadaeth (Cymru)'!F$118)</f>
        <v>#VALUE!</v>
      </c>
      <c r="AA24" s="4" t="e">
        <f>Z24*(1+'Rhaniad y Ddeiliadaeth (Cymru)'!G$118)</f>
        <v>#VALUE!</v>
      </c>
      <c r="AC24" s="260">
        <v>30</v>
      </c>
      <c r="AD24" s="4">
        <f>IF('Rhaniad y Ddeiliadaeth (Cymru)'!$D$18="Data Cofrestrfa Tir",'Prisiau Tai (Gogledd)'!E24,'Prisiau Tai (Gogledd)'!W24)</f>
        <v>131000</v>
      </c>
      <c r="AE24" s="4">
        <f>IF('Rhaniad y Ddeiliadaeth (Cymru)'!$D$18="Data Cofrestrfa Tir",'Prisiau Tai (Gogledd)'!F24,'Prisiau Tai (Gogledd)'!X24)</f>
        <v>138637.29999999999</v>
      </c>
      <c r="AF24" s="4">
        <f>IF('Rhaniad y Ddeiliadaeth (Cymru)'!$D$18="Data Cofrestrfa Tir",'Prisiau Tai (Gogledd)'!G24,'Prisiau Tai (Gogledd)'!Y24)</f>
        <v>148430.21351196113</v>
      </c>
      <c r="AG24" s="4">
        <f>IF('Rhaniad y Ddeiliadaeth (Cymru)'!$D$18="Data Cofrestrfa Tir",'Prisiau Tai (Gogledd)'!H24,'Prisiau Tai (Gogledd)'!Z24)</f>
        <v>156507.91505303275</v>
      </c>
      <c r="AH24" s="4">
        <f>IF('Rhaniad y Ddeiliadaeth (Cymru)'!$D$18="Data Cofrestrfa Tir",'Prisiau Tai (Gogledd)'!I24,'Prisiau Tai (Gogledd)'!AA24)</f>
        <v>163110.00243659285</v>
      </c>
    </row>
    <row r="25" spans="2:34" x14ac:dyDescent="0.35">
      <c r="B25" s="251">
        <v>31</v>
      </c>
      <c r="C25" s="258">
        <v>125000</v>
      </c>
      <c r="D25" s="258">
        <v>126992.30000000006</v>
      </c>
      <c r="E25" s="278">
        <f>D25*(1+'Rhaniad y Ddeiliadaeth (Gog)'!C$118)</f>
        <v>133087.93040000007</v>
      </c>
      <c r="F25" s="278">
        <f>E25*(1+'Rhaniad y Ddeiliadaeth (Gog)'!D$118)</f>
        <v>140846.95674232006</v>
      </c>
      <c r="G25" s="278">
        <f>F25*(1+'Rhaniad y Ddeiliadaeth (Gog)'!E$118)</f>
        <v>150795.95362700024</v>
      </c>
      <c r="H25" s="278">
        <f>G25*(1+'Rhaniad y Ddeiliadaeth (Gog)'!F$118)</f>
        <v>159002.40080631408</v>
      </c>
      <c r="I25" s="279">
        <f>H25*(1+'Rhaniad y Ddeiliadaeth (Gog)'!G$118)</f>
        <v>165709.71489942833</v>
      </c>
      <c r="M25" s="36" t="str">
        <f t="shared" si="0"/>
        <v/>
      </c>
      <c r="N25" s="202"/>
      <c r="O25" s="13">
        <f t="shared" si="3"/>
        <v>1</v>
      </c>
      <c r="U25" s="1">
        <f t="shared" si="1"/>
        <v>31</v>
      </c>
      <c r="V25" s="4" t="str">
        <f t="shared" si="2"/>
        <v/>
      </c>
      <c r="W25" s="4" t="e">
        <f>IF($W$3=$N$3,N25,V25*(1+'Rhaniad y Ddeiliadaeth (Cymru)'!C$118))</f>
        <v>#VALUE!</v>
      </c>
      <c r="X25" s="4" t="e">
        <f>W25*(1+'Rhaniad y Ddeiliadaeth (Cymru)'!D$118)</f>
        <v>#VALUE!</v>
      </c>
      <c r="Y25" s="4" t="e">
        <f>X25*(1+'Rhaniad y Ddeiliadaeth (Cymru)'!E$118)</f>
        <v>#VALUE!</v>
      </c>
      <c r="Z25" s="4" t="e">
        <f>Y25*(1+'Rhaniad y Ddeiliadaeth (Cymru)'!F$118)</f>
        <v>#VALUE!</v>
      </c>
      <c r="AA25" s="4" t="e">
        <f>Z25*(1+'Rhaniad y Ddeiliadaeth (Cymru)'!G$118)</f>
        <v>#VALUE!</v>
      </c>
      <c r="AC25" s="260">
        <v>31</v>
      </c>
      <c r="AD25" s="4">
        <f>IF('Rhaniad y Ddeiliadaeth (Cymru)'!$D$18="Data Cofrestrfa Tir",'Prisiau Tai (Gogledd)'!E25,'Prisiau Tai (Gogledd)'!W25)</f>
        <v>133087.93040000007</v>
      </c>
      <c r="AE25" s="4">
        <f>IF('Rhaniad y Ddeiliadaeth (Cymru)'!$D$18="Data Cofrestrfa Tir",'Prisiau Tai (Gogledd)'!F25,'Prisiau Tai (Gogledd)'!X25)</f>
        <v>140846.95674232006</v>
      </c>
      <c r="AF25" s="4">
        <f>IF('Rhaniad y Ddeiliadaeth (Cymru)'!$D$18="Data Cofrestrfa Tir",'Prisiau Tai (Gogledd)'!G25,'Prisiau Tai (Gogledd)'!Y25)</f>
        <v>150795.95362700024</v>
      </c>
      <c r="AG25" s="4">
        <f>IF('Rhaniad y Ddeiliadaeth (Cymru)'!$D$18="Data Cofrestrfa Tir",'Prisiau Tai (Gogledd)'!H25,'Prisiau Tai (Gogledd)'!Z25)</f>
        <v>159002.40080631408</v>
      </c>
      <c r="AH25" s="4">
        <f>IF('Rhaniad y Ddeiliadaeth (Cymru)'!$D$18="Data Cofrestrfa Tir",'Prisiau Tai (Gogledd)'!I25,'Prisiau Tai (Gogledd)'!AA25)</f>
        <v>165709.71489942833</v>
      </c>
    </row>
    <row r="26" spans="2:34" x14ac:dyDescent="0.35">
      <c r="B26" s="251">
        <v>32</v>
      </c>
      <c r="C26" s="258">
        <v>125000</v>
      </c>
      <c r="D26" s="258">
        <v>128000</v>
      </c>
      <c r="E26" s="278">
        <f>D26*(1+'Rhaniad y Ddeiliadaeth (Gog)'!C$118)</f>
        <v>134144</v>
      </c>
      <c r="F26" s="278">
        <f>E26*(1+'Rhaniad y Ddeiliadaeth (Gog)'!D$118)</f>
        <v>141964.59520000001</v>
      </c>
      <c r="G26" s="278">
        <f>F26*(1+'Rhaniad y Ddeiliadaeth (Gog)'!E$118)</f>
        <v>151992.53863624821</v>
      </c>
      <c r="H26" s="278">
        <f>G26*(1+'Rhaniad y Ddeiliadaeth (Gog)'!F$118)</f>
        <v>160264.10501430553</v>
      </c>
      <c r="I26" s="279">
        <f>H26*(1+'Rhaniad y Ddeiliadaeth (Gog)'!G$118)</f>
        <v>167024.64249507111</v>
      </c>
      <c r="M26" s="36" t="str">
        <f t="shared" si="0"/>
        <v/>
      </c>
      <c r="N26" s="202"/>
      <c r="O26" s="13">
        <f t="shared" si="3"/>
        <v>1</v>
      </c>
      <c r="U26" s="1">
        <f t="shared" si="1"/>
        <v>32</v>
      </c>
      <c r="V26" s="4" t="str">
        <f t="shared" si="2"/>
        <v/>
      </c>
      <c r="W26" s="4" t="e">
        <f>IF($W$3=$N$3,N26,V26*(1+'Rhaniad y Ddeiliadaeth (Cymru)'!C$118))</f>
        <v>#VALUE!</v>
      </c>
      <c r="X26" s="4" t="e">
        <f>W26*(1+'Rhaniad y Ddeiliadaeth (Cymru)'!D$118)</f>
        <v>#VALUE!</v>
      </c>
      <c r="Y26" s="4" t="e">
        <f>X26*(1+'Rhaniad y Ddeiliadaeth (Cymru)'!E$118)</f>
        <v>#VALUE!</v>
      </c>
      <c r="Z26" s="4" t="e">
        <f>Y26*(1+'Rhaniad y Ddeiliadaeth (Cymru)'!F$118)</f>
        <v>#VALUE!</v>
      </c>
      <c r="AA26" s="4" t="e">
        <f>Z26*(1+'Rhaniad y Ddeiliadaeth (Cymru)'!G$118)</f>
        <v>#VALUE!</v>
      </c>
      <c r="AC26" s="260">
        <v>32</v>
      </c>
      <c r="AD26" s="4">
        <f>IF('Rhaniad y Ddeiliadaeth (Cymru)'!$D$18="Data Cofrestrfa Tir",'Prisiau Tai (Gogledd)'!E26,'Prisiau Tai (Gogledd)'!W26)</f>
        <v>134144</v>
      </c>
      <c r="AE26" s="4">
        <f>IF('Rhaniad y Ddeiliadaeth (Cymru)'!$D$18="Data Cofrestrfa Tir",'Prisiau Tai (Gogledd)'!F26,'Prisiau Tai (Gogledd)'!X26)</f>
        <v>141964.59520000001</v>
      </c>
      <c r="AF26" s="4">
        <f>IF('Rhaniad y Ddeiliadaeth (Cymru)'!$D$18="Data Cofrestrfa Tir",'Prisiau Tai (Gogledd)'!G26,'Prisiau Tai (Gogledd)'!Y26)</f>
        <v>151992.53863624821</v>
      </c>
      <c r="AG26" s="4">
        <f>IF('Rhaniad y Ddeiliadaeth (Cymru)'!$D$18="Data Cofrestrfa Tir",'Prisiau Tai (Gogledd)'!H26,'Prisiau Tai (Gogledd)'!Z26)</f>
        <v>160264.10501430553</v>
      </c>
      <c r="AH26" s="4">
        <f>IF('Rhaniad y Ddeiliadaeth (Cymru)'!$D$18="Data Cofrestrfa Tir",'Prisiau Tai (Gogledd)'!I26,'Prisiau Tai (Gogledd)'!AA26)</f>
        <v>167024.64249507111</v>
      </c>
    </row>
    <row r="27" spans="2:34" x14ac:dyDescent="0.35">
      <c r="B27" s="251">
        <v>33</v>
      </c>
      <c r="C27" s="258">
        <v>127000</v>
      </c>
      <c r="D27" s="258">
        <v>130000</v>
      </c>
      <c r="E27" s="278">
        <f>D27*(1+'Rhaniad y Ddeiliadaeth (Gog)'!C$118)</f>
        <v>136240</v>
      </c>
      <c r="F27" s="278">
        <f>E27*(1+'Rhaniad y Ddeiliadaeth (Gog)'!D$118)</f>
        <v>144182.79200000002</v>
      </c>
      <c r="G27" s="278">
        <f>F27*(1+'Rhaniad y Ddeiliadaeth (Gog)'!E$118)</f>
        <v>154367.42205243959</v>
      </c>
      <c r="H27" s="278">
        <f>G27*(1+'Rhaniad y Ddeiliadaeth (Gog)'!F$118)</f>
        <v>162768.23165515409</v>
      </c>
      <c r="I27" s="279">
        <f>H27*(1+'Rhaniad y Ddeiliadaeth (Gog)'!G$118)</f>
        <v>169634.4025340566</v>
      </c>
      <c r="M27" s="36" t="str">
        <f t="shared" si="0"/>
        <v/>
      </c>
      <c r="N27" s="202"/>
      <c r="O27" s="13">
        <f t="shared" si="3"/>
        <v>1</v>
      </c>
      <c r="U27" s="1">
        <f t="shared" si="1"/>
        <v>33</v>
      </c>
      <c r="V27" s="4" t="str">
        <f t="shared" si="2"/>
        <v/>
      </c>
      <c r="W27" s="4" t="e">
        <f>IF($W$3=$N$3,N27,V27*(1+'Rhaniad y Ddeiliadaeth (Cymru)'!C$118))</f>
        <v>#VALUE!</v>
      </c>
      <c r="X27" s="4" t="e">
        <f>W27*(1+'Rhaniad y Ddeiliadaeth (Cymru)'!D$118)</f>
        <v>#VALUE!</v>
      </c>
      <c r="Y27" s="4" t="e">
        <f>X27*(1+'Rhaniad y Ddeiliadaeth (Cymru)'!E$118)</f>
        <v>#VALUE!</v>
      </c>
      <c r="Z27" s="4" t="e">
        <f>Y27*(1+'Rhaniad y Ddeiliadaeth (Cymru)'!F$118)</f>
        <v>#VALUE!</v>
      </c>
      <c r="AA27" s="4" t="e">
        <f>Z27*(1+'Rhaniad y Ddeiliadaeth (Cymru)'!G$118)</f>
        <v>#VALUE!</v>
      </c>
      <c r="AC27" s="260">
        <v>33</v>
      </c>
      <c r="AD27" s="4">
        <f>IF('Rhaniad y Ddeiliadaeth (Cymru)'!$D$18="Data Cofrestrfa Tir",'Prisiau Tai (Gogledd)'!E27,'Prisiau Tai (Gogledd)'!W27)</f>
        <v>136240</v>
      </c>
      <c r="AE27" s="4">
        <f>IF('Rhaniad y Ddeiliadaeth (Cymru)'!$D$18="Data Cofrestrfa Tir",'Prisiau Tai (Gogledd)'!F27,'Prisiau Tai (Gogledd)'!X27)</f>
        <v>144182.79200000002</v>
      </c>
      <c r="AF27" s="4">
        <f>IF('Rhaniad y Ddeiliadaeth (Cymru)'!$D$18="Data Cofrestrfa Tir",'Prisiau Tai (Gogledd)'!G27,'Prisiau Tai (Gogledd)'!Y27)</f>
        <v>154367.42205243959</v>
      </c>
      <c r="AG27" s="4">
        <f>IF('Rhaniad y Ddeiliadaeth (Cymru)'!$D$18="Data Cofrestrfa Tir",'Prisiau Tai (Gogledd)'!H27,'Prisiau Tai (Gogledd)'!Z27)</f>
        <v>162768.23165515409</v>
      </c>
      <c r="AH27" s="4">
        <f>IF('Rhaniad y Ddeiliadaeth (Cymru)'!$D$18="Data Cofrestrfa Tir",'Prisiau Tai (Gogledd)'!I27,'Prisiau Tai (Gogledd)'!AA27)</f>
        <v>169634.4025340566</v>
      </c>
    </row>
    <row r="28" spans="2:34" x14ac:dyDescent="0.35">
      <c r="B28" s="251">
        <v>34</v>
      </c>
      <c r="C28" s="258">
        <v>128500</v>
      </c>
      <c r="D28" s="258">
        <v>130000</v>
      </c>
      <c r="E28" s="278">
        <f>D28*(1+'Rhaniad y Ddeiliadaeth (Gog)'!C$118)</f>
        <v>136240</v>
      </c>
      <c r="F28" s="278">
        <f>E28*(1+'Rhaniad y Ddeiliadaeth (Gog)'!D$118)</f>
        <v>144182.79200000002</v>
      </c>
      <c r="G28" s="278">
        <f>F28*(1+'Rhaniad y Ddeiliadaeth (Gog)'!E$118)</f>
        <v>154367.42205243959</v>
      </c>
      <c r="H28" s="278">
        <f>G28*(1+'Rhaniad y Ddeiliadaeth (Gog)'!F$118)</f>
        <v>162768.23165515409</v>
      </c>
      <c r="I28" s="279">
        <f>H28*(1+'Rhaniad y Ddeiliadaeth (Gog)'!G$118)</f>
        <v>169634.4025340566</v>
      </c>
      <c r="M28" s="36" t="str">
        <f t="shared" si="0"/>
        <v/>
      </c>
      <c r="N28" s="202"/>
      <c r="O28" s="13">
        <f t="shared" si="3"/>
        <v>1</v>
      </c>
      <c r="U28" s="1">
        <f t="shared" si="1"/>
        <v>34</v>
      </c>
      <c r="V28" s="4" t="str">
        <f t="shared" si="2"/>
        <v/>
      </c>
      <c r="W28" s="4" t="e">
        <f>IF($W$3=$N$3,N28,V28*(1+'Rhaniad y Ddeiliadaeth (Cymru)'!C$118))</f>
        <v>#VALUE!</v>
      </c>
      <c r="X28" s="4" t="e">
        <f>W28*(1+'Rhaniad y Ddeiliadaeth (Cymru)'!D$118)</f>
        <v>#VALUE!</v>
      </c>
      <c r="Y28" s="4" t="e">
        <f>X28*(1+'Rhaniad y Ddeiliadaeth (Cymru)'!E$118)</f>
        <v>#VALUE!</v>
      </c>
      <c r="Z28" s="4" t="e">
        <f>Y28*(1+'Rhaniad y Ddeiliadaeth (Cymru)'!F$118)</f>
        <v>#VALUE!</v>
      </c>
      <c r="AA28" s="4" t="e">
        <f>Z28*(1+'Rhaniad y Ddeiliadaeth (Cymru)'!G$118)</f>
        <v>#VALUE!</v>
      </c>
      <c r="AC28" s="260">
        <v>34</v>
      </c>
      <c r="AD28" s="4">
        <f>IF('Rhaniad y Ddeiliadaeth (Cymru)'!$D$18="Data Cofrestrfa Tir",'Prisiau Tai (Gogledd)'!E28,'Prisiau Tai (Gogledd)'!W28)</f>
        <v>136240</v>
      </c>
      <c r="AE28" s="4">
        <f>IF('Rhaniad y Ddeiliadaeth (Cymru)'!$D$18="Data Cofrestrfa Tir",'Prisiau Tai (Gogledd)'!F28,'Prisiau Tai (Gogledd)'!X28)</f>
        <v>144182.79200000002</v>
      </c>
      <c r="AF28" s="4">
        <f>IF('Rhaniad y Ddeiliadaeth (Cymru)'!$D$18="Data Cofrestrfa Tir",'Prisiau Tai (Gogledd)'!G28,'Prisiau Tai (Gogledd)'!Y28)</f>
        <v>154367.42205243959</v>
      </c>
      <c r="AG28" s="4">
        <f>IF('Rhaniad y Ddeiliadaeth (Cymru)'!$D$18="Data Cofrestrfa Tir",'Prisiau Tai (Gogledd)'!H28,'Prisiau Tai (Gogledd)'!Z28)</f>
        <v>162768.23165515409</v>
      </c>
      <c r="AH28" s="4">
        <f>IF('Rhaniad y Ddeiliadaeth (Cymru)'!$D$18="Data Cofrestrfa Tir",'Prisiau Tai (Gogledd)'!I28,'Prisiau Tai (Gogledd)'!AA28)</f>
        <v>169634.4025340566</v>
      </c>
    </row>
    <row r="29" spans="2:34" x14ac:dyDescent="0.35">
      <c r="B29" s="251">
        <v>35</v>
      </c>
      <c r="C29" s="258">
        <v>130000</v>
      </c>
      <c r="D29" s="258">
        <v>132995</v>
      </c>
      <c r="E29" s="278">
        <f>D29*(1+'Rhaniad y Ddeiliadaeth (Gog)'!C$118)</f>
        <v>139378.76</v>
      </c>
      <c r="F29" s="278">
        <f>E29*(1+'Rhaniad y Ddeiliadaeth (Gog)'!D$118)</f>
        <v>147504.541708</v>
      </c>
      <c r="G29" s="278">
        <f>F29*(1+'Rhaniad y Ddeiliadaeth (Gog)'!E$118)</f>
        <v>157923.80996818616</v>
      </c>
      <c r="H29" s="278">
        <f>G29*(1+'Rhaniad y Ddeiliadaeth (Gog)'!F$118)</f>
        <v>166518.16129982471</v>
      </c>
      <c r="I29" s="279">
        <f>H29*(1+'Rhaniad y Ddeiliadaeth (Gog)'!G$118)</f>
        <v>173542.51819243733</v>
      </c>
      <c r="M29" s="36" t="str">
        <f t="shared" si="0"/>
        <v/>
      </c>
      <c r="N29" s="202"/>
      <c r="O29" s="13">
        <f t="shared" si="3"/>
        <v>1</v>
      </c>
      <c r="U29" s="1">
        <f t="shared" si="1"/>
        <v>35</v>
      </c>
      <c r="V29" s="4" t="str">
        <f t="shared" si="2"/>
        <v/>
      </c>
      <c r="W29" s="4" t="e">
        <f>IF($W$3=$N$3,N29,V29*(1+'Rhaniad y Ddeiliadaeth (Cymru)'!C$118))</f>
        <v>#VALUE!</v>
      </c>
      <c r="X29" s="4" t="e">
        <f>W29*(1+'Rhaniad y Ddeiliadaeth (Cymru)'!D$118)</f>
        <v>#VALUE!</v>
      </c>
      <c r="Y29" s="4" t="e">
        <f>X29*(1+'Rhaniad y Ddeiliadaeth (Cymru)'!E$118)</f>
        <v>#VALUE!</v>
      </c>
      <c r="Z29" s="4" t="e">
        <f>Y29*(1+'Rhaniad y Ddeiliadaeth (Cymru)'!F$118)</f>
        <v>#VALUE!</v>
      </c>
      <c r="AA29" s="4" t="e">
        <f>Z29*(1+'Rhaniad y Ddeiliadaeth (Cymru)'!G$118)</f>
        <v>#VALUE!</v>
      </c>
      <c r="AC29" s="260">
        <v>35</v>
      </c>
      <c r="AD29" s="4">
        <f>IF('Rhaniad y Ddeiliadaeth (Cymru)'!$D$18="Data Cofrestrfa Tir",'Prisiau Tai (Gogledd)'!E29,'Prisiau Tai (Gogledd)'!W29)</f>
        <v>139378.76</v>
      </c>
      <c r="AE29" s="4">
        <f>IF('Rhaniad y Ddeiliadaeth (Cymru)'!$D$18="Data Cofrestrfa Tir",'Prisiau Tai (Gogledd)'!F29,'Prisiau Tai (Gogledd)'!X29)</f>
        <v>147504.541708</v>
      </c>
      <c r="AF29" s="4">
        <f>IF('Rhaniad y Ddeiliadaeth (Cymru)'!$D$18="Data Cofrestrfa Tir",'Prisiau Tai (Gogledd)'!G29,'Prisiau Tai (Gogledd)'!Y29)</f>
        <v>157923.80996818616</v>
      </c>
      <c r="AG29" s="4">
        <f>IF('Rhaniad y Ddeiliadaeth (Cymru)'!$D$18="Data Cofrestrfa Tir",'Prisiau Tai (Gogledd)'!H29,'Prisiau Tai (Gogledd)'!Z29)</f>
        <v>166518.16129982471</v>
      </c>
      <c r="AH29" s="4">
        <f>IF('Rhaniad y Ddeiliadaeth (Cymru)'!$D$18="Data Cofrestrfa Tir",'Prisiau Tai (Gogledd)'!I29,'Prisiau Tai (Gogledd)'!AA29)</f>
        <v>173542.51819243733</v>
      </c>
    </row>
    <row r="30" spans="2:34" x14ac:dyDescent="0.35">
      <c r="B30" s="251">
        <v>36</v>
      </c>
      <c r="C30" s="258">
        <v>130500</v>
      </c>
      <c r="D30" s="258">
        <v>135000</v>
      </c>
      <c r="E30" s="278">
        <f>D30*(1+'Rhaniad y Ddeiliadaeth (Gog)'!C$118)</f>
        <v>141480</v>
      </c>
      <c r="F30" s="278">
        <f>E30*(1+'Rhaniad y Ddeiliadaeth (Gog)'!D$118)</f>
        <v>149728.28400000001</v>
      </c>
      <c r="G30" s="278">
        <f>F30*(1+'Rhaniad y Ddeiliadaeth (Gog)'!E$118)</f>
        <v>160304.63059291805</v>
      </c>
      <c r="H30" s="278">
        <f>G30*(1+'Rhaniad y Ddeiliadaeth (Gog)'!F$118)</f>
        <v>169028.5482572754</v>
      </c>
      <c r="I30" s="279">
        <f>H30*(1+'Rhaniad y Ddeiliadaeth (Gog)'!G$118)</f>
        <v>176158.80263152032</v>
      </c>
      <c r="M30" s="36" t="str">
        <f t="shared" si="0"/>
        <v/>
      </c>
      <c r="N30" s="202"/>
      <c r="O30" s="13">
        <f t="shared" si="3"/>
        <v>1</v>
      </c>
      <c r="U30" s="1">
        <f t="shared" si="1"/>
        <v>36</v>
      </c>
      <c r="V30" s="4" t="str">
        <f t="shared" si="2"/>
        <v/>
      </c>
      <c r="W30" s="4" t="e">
        <f>IF($W$3=$N$3,N30,V30*(1+'Rhaniad y Ddeiliadaeth (Cymru)'!C$118))</f>
        <v>#VALUE!</v>
      </c>
      <c r="X30" s="4" t="e">
        <f>W30*(1+'Rhaniad y Ddeiliadaeth (Cymru)'!D$118)</f>
        <v>#VALUE!</v>
      </c>
      <c r="Y30" s="4" t="e">
        <f>X30*(1+'Rhaniad y Ddeiliadaeth (Cymru)'!E$118)</f>
        <v>#VALUE!</v>
      </c>
      <c r="Z30" s="4" t="e">
        <f>Y30*(1+'Rhaniad y Ddeiliadaeth (Cymru)'!F$118)</f>
        <v>#VALUE!</v>
      </c>
      <c r="AA30" s="4" t="e">
        <f>Z30*(1+'Rhaniad y Ddeiliadaeth (Cymru)'!G$118)</f>
        <v>#VALUE!</v>
      </c>
      <c r="AC30" s="260">
        <v>36</v>
      </c>
      <c r="AD30" s="4">
        <f>IF('Rhaniad y Ddeiliadaeth (Cymru)'!$D$18="Data Cofrestrfa Tir",'Prisiau Tai (Gogledd)'!E30,'Prisiau Tai (Gogledd)'!W30)</f>
        <v>141480</v>
      </c>
      <c r="AE30" s="4">
        <f>IF('Rhaniad y Ddeiliadaeth (Cymru)'!$D$18="Data Cofrestrfa Tir",'Prisiau Tai (Gogledd)'!F30,'Prisiau Tai (Gogledd)'!X30)</f>
        <v>149728.28400000001</v>
      </c>
      <c r="AF30" s="4">
        <f>IF('Rhaniad y Ddeiliadaeth (Cymru)'!$D$18="Data Cofrestrfa Tir",'Prisiau Tai (Gogledd)'!G30,'Prisiau Tai (Gogledd)'!Y30)</f>
        <v>160304.63059291805</v>
      </c>
      <c r="AG30" s="4">
        <f>IF('Rhaniad y Ddeiliadaeth (Cymru)'!$D$18="Data Cofrestrfa Tir",'Prisiau Tai (Gogledd)'!H30,'Prisiau Tai (Gogledd)'!Z30)</f>
        <v>169028.5482572754</v>
      </c>
      <c r="AH30" s="4">
        <f>IF('Rhaniad y Ddeiliadaeth (Cymru)'!$D$18="Data Cofrestrfa Tir",'Prisiau Tai (Gogledd)'!I30,'Prisiau Tai (Gogledd)'!AA30)</f>
        <v>176158.80263152032</v>
      </c>
    </row>
    <row r="31" spans="2:34" x14ac:dyDescent="0.35">
      <c r="B31" s="251">
        <v>37</v>
      </c>
      <c r="C31" s="258">
        <v>133000</v>
      </c>
      <c r="D31" s="258">
        <v>135000</v>
      </c>
      <c r="E31" s="278">
        <f>D31*(1+'Rhaniad y Ddeiliadaeth (Gog)'!C$118)</f>
        <v>141480</v>
      </c>
      <c r="F31" s="278">
        <f>E31*(1+'Rhaniad y Ddeiliadaeth (Gog)'!D$118)</f>
        <v>149728.28400000001</v>
      </c>
      <c r="G31" s="278">
        <f>F31*(1+'Rhaniad y Ddeiliadaeth (Gog)'!E$118)</f>
        <v>160304.63059291805</v>
      </c>
      <c r="H31" s="278">
        <f>G31*(1+'Rhaniad y Ddeiliadaeth (Gog)'!F$118)</f>
        <v>169028.5482572754</v>
      </c>
      <c r="I31" s="279">
        <f>H31*(1+'Rhaniad y Ddeiliadaeth (Gog)'!G$118)</f>
        <v>176158.80263152032</v>
      </c>
      <c r="M31" s="36" t="str">
        <f t="shared" si="0"/>
        <v/>
      </c>
      <c r="N31" s="202"/>
      <c r="O31" s="13">
        <f t="shared" si="3"/>
        <v>1</v>
      </c>
      <c r="U31" s="1">
        <f t="shared" si="1"/>
        <v>37</v>
      </c>
      <c r="V31" s="4" t="str">
        <f t="shared" si="2"/>
        <v/>
      </c>
      <c r="W31" s="4" t="e">
        <f>IF($W$3=$N$3,N31,V31*(1+'Rhaniad y Ddeiliadaeth (Cymru)'!C$118))</f>
        <v>#VALUE!</v>
      </c>
      <c r="X31" s="4" t="e">
        <f>W31*(1+'Rhaniad y Ddeiliadaeth (Cymru)'!D$118)</f>
        <v>#VALUE!</v>
      </c>
      <c r="Y31" s="4" t="e">
        <f>X31*(1+'Rhaniad y Ddeiliadaeth (Cymru)'!E$118)</f>
        <v>#VALUE!</v>
      </c>
      <c r="Z31" s="4" t="e">
        <f>Y31*(1+'Rhaniad y Ddeiliadaeth (Cymru)'!F$118)</f>
        <v>#VALUE!</v>
      </c>
      <c r="AA31" s="4" t="e">
        <f>Z31*(1+'Rhaniad y Ddeiliadaeth (Cymru)'!G$118)</f>
        <v>#VALUE!</v>
      </c>
      <c r="AC31" s="260">
        <v>37</v>
      </c>
      <c r="AD31" s="4">
        <f>IF('Rhaniad y Ddeiliadaeth (Cymru)'!$D$18="Data Cofrestrfa Tir",'Prisiau Tai (Gogledd)'!E31,'Prisiau Tai (Gogledd)'!W31)</f>
        <v>141480</v>
      </c>
      <c r="AE31" s="4">
        <f>IF('Rhaniad y Ddeiliadaeth (Cymru)'!$D$18="Data Cofrestrfa Tir",'Prisiau Tai (Gogledd)'!F31,'Prisiau Tai (Gogledd)'!X31)</f>
        <v>149728.28400000001</v>
      </c>
      <c r="AF31" s="4">
        <f>IF('Rhaniad y Ddeiliadaeth (Cymru)'!$D$18="Data Cofrestrfa Tir",'Prisiau Tai (Gogledd)'!G31,'Prisiau Tai (Gogledd)'!Y31)</f>
        <v>160304.63059291805</v>
      </c>
      <c r="AG31" s="4">
        <f>IF('Rhaniad y Ddeiliadaeth (Cymru)'!$D$18="Data Cofrestrfa Tir",'Prisiau Tai (Gogledd)'!H31,'Prisiau Tai (Gogledd)'!Z31)</f>
        <v>169028.5482572754</v>
      </c>
      <c r="AH31" s="4">
        <f>IF('Rhaniad y Ddeiliadaeth (Cymru)'!$D$18="Data Cofrestrfa Tir",'Prisiau Tai (Gogledd)'!I31,'Prisiau Tai (Gogledd)'!AA31)</f>
        <v>176158.80263152032</v>
      </c>
    </row>
    <row r="32" spans="2:34" x14ac:dyDescent="0.35">
      <c r="B32" s="251">
        <v>38</v>
      </c>
      <c r="C32" s="258">
        <v>135000</v>
      </c>
      <c r="D32" s="258">
        <v>137500</v>
      </c>
      <c r="E32" s="278">
        <f>D32*(1+'Rhaniad y Ddeiliadaeth (Gog)'!C$118)</f>
        <v>144100</v>
      </c>
      <c r="F32" s="278">
        <f>E32*(1+'Rhaniad y Ddeiliadaeth (Gog)'!D$118)</f>
        <v>152501.03</v>
      </c>
      <c r="G32" s="278">
        <f>F32*(1+'Rhaniad y Ddeiliadaeth (Gog)'!E$118)</f>
        <v>163273.23486315724</v>
      </c>
      <c r="H32" s="278">
        <f>G32*(1+'Rhaniad y Ddeiliadaeth (Gog)'!F$118)</f>
        <v>172158.70655833601</v>
      </c>
      <c r="I32" s="279">
        <f>H32*(1+'Rhaniad y Ddeiliadaeth (Gog)'!G$118)</f>
        <v>179421.00268025213</v>
      </c>
      <c r="M32" s="36" t="str">
        <f t="shared" si="0"/>
        <v/>
      </c>
      <c r="N32" s="202"/>
      <c r="O32" s="13">
        <f t="shared" si="3"/>
        <v>1</v>
      </c>
      <c r="U32" s="1">
        <f t="shared" si="1"/>
        <v>38</v>
      </c>
      <c r="V32" s="4" t="str">
        <f t="shared" si="2"/>
        <v/>
      </c>
      <c r="W32" s="4" t="e">
        <f>IF($W$3=$N$3,N32,V32*(1+'Rhaniad y Ddeiliadaeth (Cymru)'!C$118))</f>
        <v>#VALUE!</v>
      </c>
      <c r="X32" s="4" t="e">
        <f>W32*(1+'Rhaniad y Ddeiliadaeth (Cymru)'!D$118)</f>
        <v>#VALUE!</v>
      </c>
      <c r="Y32" s="4" t="e">
        <f>X32*(1+'Rhaniad y Ddeiliadaeth (Cymru)'!E$118)</f>
        <v>#VALUE!</v>
      </c>
      <c r="Z32" s="4" t="e">
        <f>Y32*(1+'Rhaniad y Ddeiliadaeth (Cymru)'!F$118)</f>
        <v>#VALUE!</v>
      </c>
      <c r="AA32" s="4" t="e">
        <f>Z32*(1+'Rhaniad y Ddeiliadaeth (Cymru)'!G$118)</f>
        <v>#VALUE!</v>
      </c>
      <c r="AC32" s="260">
        <v>38</v>
      </c>
      <c r="AD32" s="4">
        <f>IF('Rhaniad y Ddeiliadaeth (Cymru)'!$D$18="Data Cofrestrfa Tir",'Prisiau Tai (Gogledd)'!E32,'Prisiau Tai (Gogledd)'!W32)</f>
        <v>144100</v>
      </c>
      <c r="AE32" s="4">
        <f>IF('Rhaniad y Ddeiliadaeth (Cymru)'!$D$18="Data Cofrestrfa Tir",'Prisiau Tai (Gogledd)'!F32,'Prisiau Tai (Gogledd)'!X32)</f>
        <v>152501.03</v>
      </c>
      <c r="AF32" s="4">
        <f>IF('Rhaniad y Ddeiliadaeth (Cymru)'!$D$18="Data Cofrestrfa Tir",'Prisiau Tai (Gogledd)'!G32,'Prisiau Tai (Gogledd)'!Y32)</f>
        <v>163273.23486315724</v>
      </c>
      <c r="AG32" s="4">
        <f>IF('Rhaniad y Ddeiliadaeth (Cymru)'!$D$18="Data Cofrestrfa Tir",'Prisiau Tai (Gogledd)'!H32,'Prisiau Tai (Gogledd)'!Z32)</f>
        <v>172158.70655833601</v>
      </c>
      <c r="AH32" s="4">
        <f>IF('Rhaniad y Ddeiliadaeth (Cymru)'!$D$18="Data Cofrestrfa Tir",'Prisiau Tai (Gogledd)'!I32,'Prisiau Tai (Gogledd)'!AA32)</f>
        <v>179421.00268025213</v>
      </c>
    </row>
    <row r="33" spans="2:34" x14ac:dyDescent="0.35">
      <c r="B33" s="251">
        <v>39</v>
      </c>
      <c r="C33" s="258">
        <v>135000</v>
      </c>
      <c r="D33" s="258">
        <v>139000</v>
      </c>
      <c r="E33" s="278">
        <f>D33*(1+'Rhaniad y Ddeiliadaeth (Gog)'!C$118)</f>
        <v>145672</v>
      </c>
      <c r="F33" s="278">
        <f>E33*(1+'Rhaniad y Ddeiliadaeth (Gog)'!D$118)</f>
        <v>154164.6776</v>
      </c>
      <c r="G33" s="278">
        <f>F33*(1+'Rhaniad y Ddeiliadaeth (Gog)'!E$118)</f>
        <v>165054.39742530079</v>
      </c>
      <c r="H33" s="278">
        <f>G33*(1+'Rhaniad y Ddeiliadaeth (Gog)'!F$118)</f>
        <v>174036.80153897242</v>
      </c>
      <c r="I33" s="279">
        <f>H33*(1+'Rhaniad y Ddeiliadaeth (Gog)'!G$118)</f>
        <v>181378.32270949127</v>
      </c>
      <c r="M33" s="36" t="str">
        <f t="shared" si="0"/>
        <v/>
      </c>
      <c r="N33" s="202"/>
      <c r="O33" s="13">
        <f t="shared" si="3"/>
        <v>1</v>
      </c>
      <c r="U33" s="1">
        <f t="shared" si="1"/>
        <v>39</v>
      </c>
      <c r="V33" s="4" t="str">
        <f t="shared" si="2"/>
        <v/>
      </c>
      <c r="W33" s="4" t="e">
        <f>IF($W$3=$N$3,N33,V33*(1+'Rhaniad y Ddeiliadaeth (Cymru)'!C$118))</f>
        <v>#VALUE!</v>
      </c>
      <c r="X33" s="4" t="e">
        <f>W33*(1+'Rhaniad y Ddeiliadaeth (Cymru)'!D$118)</f>
        <v>#VALUE!</v>
      </c>
      <c r="Y33" s="4" t="e">
        <f>X33*(1+'Rhaniad y Ddeiliadaeth (Cymru)'!E$118)</f>
        <v>#VALUE!</v>
      </c>
      <c r="Z33" s="4" t="e">
        <f>Y33*(1+'Rhaniad y Ddeiliadaeth (Cymru)'!F$118)</f>
        <v>#VALUE!</v>
      </c>
      <c r="AA33" s="4" t="e">
        <f>Z33*(1+'Rhaniad y Ddeiliadaeth (Cymru)'!G$118)</f>
        <v>#VALUE!</v>
      </c>
      <c r="AC33" s="260">
        <v>39</v>
      </c>
      <c r="AD33" s="4">
        <f>IF('Rhaniad y Ddeiliadaeth (Cymru)'!$D$18="Data Cofrestrfa Tir",'Prisiau Tai (Gogledd)'!E33,'Prisiau Tai (Gogledd)'!W33)</f>
        <v>145672</v>
      </c>
      <c r="AE33" s="4">
        <f>IF('Rhaniad y Ddeiliadaeth (Cymru)'!$D$18="Data Cofrestrfa Tir",'Prisiau Tai (Gogledd)'!F33,'Prisiau Tai (Gogledd)'!X33)</f>
        <v>154164.6776</v>
      </c>
      <c r="AF33" s="4">
        <f>IF('Rhaniad y Ddeiliadaeth (Cymru)'!$D$18="Data Cofrestrfa Tir",'Prisiau Tai (Gogledd)'!G33,'Prisiau Tai (Gogledd)'!Y33)</f>
        <v>165054.39742530079</v>
      </c>
      <c r="AG33" s="4">
        <f>IF('Rhaniad y Ddeiliadaeth (Cymru)'!$D$18="Data Cofrestrfa Tir",'Prisiau Tai (Gogledd)'!H33,'Prisiau Tai (Gogledd)'!Z33)</f>
        <v>174036.80153897242</v>
      </c>
      <c r="AH33" s="4">
        <f>IF('Rhaniad y Ddeiliadaeth (Cymru)'!$D$18="Data Cofrestrfa Tir",'Prisiau Tai (Gogledd)'!I33,'Prisiau Tai (Gogledd)'!AA33)</f>
        <v>181378.32270949127</v>
      </c>
    </row>
    <row r="34" spans="2:34" x14ac:dyDescent="0.35">
      <c r="B34" s="251">
        <v>40</v>
      </c>
      <c r="C34" s="258">
        <v>137080.00000000012</v>
      </c>
      <c r="D34" s="258">
        <v>140000</v>
      </c>
      <c r="E34" s="278">
        <f>D34*(1+'Rhaniad y Ddeiliadaeth (Gog)'!C$118)</f>
        <v>146720</v>
      </c>
      <c r="F34" s="278">
        <f>E34*(1+'Rhaniad y Ddeiliadaeth (Gog)'!D$118)</f>
        <v>155273.77600000001</v>
      </c>
      <c r="G34" s="278">
        <f>F34*(1+'Rhaniad y Ddeiliadaeth (Gog)'!E$118)</f>
        <v>166241.83913339648</v>
      </c>
      <c r="H34" s="278">
        <f>G34*(1+'Rhaniad y Ddeiliadaeth (Gog)'!F$118)</f>
        <v>175288.86485939671</v>
      </c>
      <c r="I34" s="279">
        <f>H34*(1+'Rhaniad y Ddeiliadaeth (Gog)'!G$118)</f>
        <v>182683.20272898403</v>
      </c>
      <c r="M34" s="36" t="str">
        <f t="shared" si="0"/>
        <v/>
      </c>
      <c r="N34" s="202"/>
      <c r="O34" s="13">
        <f t="shared" si="3"/>
        <v>1</v>
      </c>
      <c r="U34" s="1">
        <f t="shared" si="1"/>
        <v>40</v>
      </c>
      <c r="V34" s="4" t="str">
        <f t="shared" si="2"/>
        <v/>
      </c>
      <c r="W34" s="4" t="e">
        <f>IF($W$3=$N$3,N34,V34*(1+'Rhaniad y Ddeiliadaeth (Cymru)'!C$118))</f>
        <v>#VALUE!</v>
      </c>
      <c r="X34" s="4" t="e">
        <f>W34*(1+'Rhaniad y Ddeiliadaeth (Cymru)'!D$118)</f>
        <v>#VALUE!</v>
      </c>
      <c r="Y34" s="4" t="e">
        <f>X34*(1+'Rhaniad y Ddeiliadaeth (Cymru)'!E$118)</f>
        <v>#VALUE!</v>
      </c>
      <c r="Z34" s="4" t="e">
        <f>Y34*(1+'Rhaniad y Ddeiliadaeth (Cymru)'!F$118)</f>
        <v>#VALUE!</v>
      </c>
      <c r="AA34" s="4" t="e">
        <f>Z34*(1+'Rhaniad y Ddeiliadaeth (Cymru)'!G$118)</f>
        <v>#VALUE!</v>
      </c>
      <c r="AC34" s="260">
        <v>40</v>
      </c>
      <c r="AD34" s="4">
        <f>IF('Rhaniad y Ddeiliadaeth (Cymru)'!$D$18="Data Cofrestrfa Tir",'Prisiau Tai (Gogledd)'!E34,'Prisiau Tai (Gogledd)'!W34)</f>
        <v>146720</v>
      </c>
      <c r="AE34" s="4">
        <f>IF('Rhaniad y Ddeiliadaeth (Cymru)'!$D$18="Data Cofrestrfa Tir",'Prisiau Tai (Gogledd)'!F34,'Prisiau Tai (Gogledd)'!X34)</f>
        <v>155273.77600000001</v>
      </c>
      <c r="AF34" s="4">
        <f>IF('Rhaniad y Ddeiliadaeth (Cymru)'!$D$18="Data Cofrestrfa Tir",'Prisiau Tai (Gogledd)'!G34,'Prisiau Tai (Gogledd)'!Y34)</f>
        <v>166241.83913339648</v>
      </c>
      <c r="AG34" s="4">
        <f>IF('Rhaniad y Ddeiliadaeth (Cymru)'!$D$18="Data Cofrestrfa Tir",'Prisiau Tai (Gogledd)'!H34,'Prisiau Tai (Gogledd)'!Z34)</f>
        <v>175288.86485939671</v>
      </c>
      <c r="AH34" s="4">
        <f>IF('Rhaniad y Ddeiliadaeth (Cymru)'!$D$18="Data Cofrestrfa Tir",'Prisiau Tai (Gogledd)'!I34,'Prisiau Tai (Gogledd)'!AA34)</f>
        <v>182683.20272898403</v>
      </c>
    </row>
    <row r="35" spans="2:34" x14ac:dyDescent="0.35">
      <c r="B35" s="251">
        <v>41</v>
      </c>
      <c r="C35" s="258">
        <v>139499.29999999999</v>
      </c>
      <c r="D35" s="258">
        <v>141965.30000000008</v>
      </c>
      <c r="E35" s="278">
        <f>D35*(1+'Rhaniad y Ddeiliadaeth (Gog)'!C$118)</f>
        <v>148779.6344000001</v>
      </c>
      <c r="F35" s="278">
        <f>E35*(1+'Rhaniad y Ddeiliadaeth (Gog)'!D$118)</f>
        <v>157453.48708552012</v>
      </c>
      <c r="G35" s="278">
        <f>F35*(1+'Rhaniad y Ddeiliadaeth (Gog)'!E$118)</f>
        <v>168575.51832231705</v>
      </c>
      <c r="H35" s="278">
        <f>G35*(1+'Rhaniad y Ddeiliadaeth (Gog)'!F$118)</f>
        <v>177749.5449030266</v>
      </c>
      <c r="I35" s="279">
        <f>H35*(1+'Rhaniad y Ddeiliadaeth (Gog)'!G$118)</f>
        <v>185247.68343129323</v>
      </c>
      <c r="M35" s="36" t="str">
        <f t="shared" si="0"/>
        <v/>
      </c>
      <c r="N35" s="202"/>
      <c r="O35" s="13">
        <f t="shared" si="3"/>
        <v>1</v>
      </c>
      <c r="U35" s="1">
        <f t="shared" si="1"/>
        <v>41</v>
      </c>
      <c r="V35" s="4" t="str">
        <f t="shared" si="2"/>
        <v/>
      </c>
      <c r="W35" s="4" t="e">
        <f>IF($W$3=$N$3,N35,V35*(1+'Rhaniad y Ddeiliadaeth (Cymru)'!C$118))</f>
        <v>#VALUE!</v>
      </c>
      <c r="X35" s="4" t="e">
        <f>W35*(1+'Rhaniad y Ddeiliadaeth (Cymru)'!D$118)</f>
        <v>#VALUE!</v>
      </c>
      <c r="Y35" s="4" t="e">
        <f>X35*(1+'Rhaniad y Ddeiliadaeth (Cymru)'!E$118)</f>
        <v>#VALUE!</v>
      </c>
      <c r="Z35" s="4" t="e">
        <f>Y35*(1+'Rhaniad y Ddeiliadaeth (Cymru)'!F$118)</f>
        <v>#VALUE!</v>
      </c>
      <c r="AA35" s="4" t="e">
        <f>Z35*(1+'Rhaniad y Ddeiliadaeth (Cymru)'!G$118)</f>
        <v>#VALUE!</v>
      </c>
      <c r="AC35" s="260">
        <v>41</v>
      </c>
      <c r="AD35" s="4">
        <f>IF('Rhaniad y Ddeiliadaeth (Cymru)'!$D$18="Data Cofrestrfa Tir",'Prisiau Tai (Gogledd)'!E35,'Prisiau Tai (Gogledd)'!W35)</f>
        <v>148779.6344000001</v>
      </c>
      <c r="AE35" s="4">
        <f>IF('Rhaniad y Ddeiliadaeth (Cymru)'!$D$18="Data Cofrestrfa Tir",'Prisiau Tai (Gogledd)'!F35,'Prisiau Tai (Gogledd)'!X35)</f>
        <v>157453.48708552012</v>
      </c>
      <c r="AF35" s="4">
        <f>IF('Rhaniad y Ddeiliadaeth (Cymru)'!$D$18="Data Cofrestrfa Tir",'Prisiau Tai (Gogledd)'!G35,'Prisiau Tai (Gogledd)'!Y35)</f>
        <v>168575.51832231705</v>
      </c>
      <c r="AG35" s="4">
        <f>IF('Rhaniad y Ddeiliadaeth (Cymru)'!$D$18="Data Cofrestrfa Tir",'Prisiau Tai (Gogledd)'!H35,'Prisiau Tai (Gogledd)'!Z35)</f>
        <v>177749.5449030266</v>
      </c>
      <c r="AH35" s="4">
        <f>IF('Rhaniad y Ddeiliadaeth (Cymru)'!$D$18="Data Cofrestrfa Tir",'Prisiau Tai (Gogledd)'!I35,'Prisiau Tai (Gogledd)'!AA35)</f>
        <v>185247.68343129323</v>
      </c>
    </row>
    <row r="36" spans="2:34" x14ac:dyDescent="0.35">
      <c r="B36" s="251">
        <v>42</v>
      </c>
      <c r="C36" s="258">
        <v>140000</v>
      </c>
      <c r="D36" s="258">
        <v>144000</v>
      </c>
      <c r="E36" s="278">
        <f>D36*(1+'Rhaniad y Ddeiliadaeth (Gog)'!C$118)</f>
        <v>150912</v>
      </c>
      <c r="F36" s="278">
        <f>E36*(1+'Rhaniad y Ddeiliadaeth (Gog)'!D$118)</f>
        <v>159710.16959999999</v>
      </c>
      <c r="G36" s="278">
        <f>F36*(1+'Rhaniad y Ddeiliadaeth (Gog)'!E$118)</f>
        <v>170991.60596577922</v>
      </c>
      <c r="H36" s="278">
        <f>G36*(1+'Rhaniad y Ddeiliadaeth (Gog)'!F$118)</f>
        <v>180297.11814109373</v>
      </c>
      <c r="I36" s="279">
        <f>H36*(1+'Rhaniad y Ddeiliadaeth (Gog)'!G$118)</f>
        <v>187902.72280695499</v>
      </c>
      <c r="M36" s="36" t="str">
        <f t="shared" si="0"/>
        <v/>
      </c>
      <c r="N36" s="202"/>
      <c r="O36" s="13">
        <f t="shared" si="3"/>
        <v>1</v>
      </c>
      <c r="U36" s="1">
        <f t="shared" si="1"/>
        <v>42</v>
      </c>
      <c r="V36" s="4" t="str">
        <f t="shared" si="2"/>
        <v/>
      </c>
      <c r="W36" s="4" t="e">
        <f>IF($W$3=$N$3,N36,V36*(1+'Rhaniad y Ddeiliadaeth (Cymru)'!C$118))</f>
        <v>#VALUE!</v>
      </c>
      <c r="X36" s="4" t="e">
        <f>W36*(1+'Rhaniad y Ddeiliadaeth (Cymru)'!D$118)</f>
        <v>#VALUE!</v>
      </c>
      <c r="Y36" s="4" t="e">
        <f>X36*(1+'Rhaniad y Ddeiliadaeth (Cymru)'!E$118)</f>
        <v>#VALUE!</v>
      </c>
      <c r="Z36" s="4" t="e">
        <f>Y36*(1+'Rhaniad y Ddeiliadaeth (Cymru)'!F$118)</f>
        <v>#VALUE!</v>
      </c>
      <c r="AA36" s="4" t="e">
        <f>Z36*(1+'Rhaniad y Ddeiliadaeth (Cymru)'!G$118)</f>
        <v>#VALUE!</v>
      </c>
      <c r="AC36" s="260">
        <v>42</v>
      </c>
      <c r="AD36" s="4">
        <f>IF('Rhaniad y Ddeiliadaeth (Cymru)'!$D$18="Data Cofrestrfa Tir",'Prisiau Tai (Gogledd)'!E36,'Prisiau Tai (Gogledd)'!W36)</f>
        <v>150912</v>
      </c>
      <c r="AE36" s="4">
        <f>IF('Rhaniad y Ddeiliadaeth (Cymru)'!$D$18="Data Cofrestrfa Tir",'Prisiau Tai (Gogledd)'!F36,'Prisiau Tai (Gogledd)'!X36)</f>
        <v>159710.16959999999</v>
      </c>
      <c r="AF36" s="4">
        <f>IF('Rhaniad y Ddeiliadaeth (Cymru)'!$D$18="Data Cofrestrfa Tir",'Prisiau Tai (Gogledd)'!G36,'Prisiau Tai (Gogledd)'!Y36)</f>
        <v>170991.60596577922</v>
      </c>
      <c r="AG36" s="4">
        <f>IF('Rhaniad y Ddeiliadaeth (Cymru)'!$D$18="Data Cofrestrfa Tir",'Prisiau Tai (Gogledd)'!H36,'Prisiau Tai (Gogledd)'!Z36)</f>
        <v>180297.11814109373</v>
      </c>
      <c r="AH36" s="4">
        <f>IF('Rhaniad y Ddeiliadaeth (Cymru)'!$D$18="Data Cofrestrfa Tir",'Prisiau Tai (Gogledd)'!I36,'Prisiau Tai (Gogledd)'!AA36)</f>
        <v>187902.72280695499</v>
      </c>
    </row>
    <row r="37" spans="2:34" x14ac:dyDescent="0.35">
      <c r="B37" s="251">
        <v>43</v>
      </c>
      <c r="C37" s="258">
        <v>142000</v>
      </c>
      <c r="D37" s="258">
        <v>145000</v>
      </c>
      <c r="E37" s="278">
        <f>D37*(1+'Rhaniad y Ddeiliadaeth (Gog)'!C$118)</f>
        <v>151960</v>
      </c>
      <c r="F37" s="278">
        <f>E37*(1+'Rhaniad y Ddeiliadaeth (Gog)'!D$118)</f>
        <v>160819.26800000001</v>
      </c>
      <c r="G37" s="278">
        <f>F37*(1+'Rhaniad y Ddeiliadaeth (Gog)'!E$118)</f>
        <v>172179.04767387494</v>
      </c>
      <c r="H37" s="278">
        <f>G37*(1+'Rhaniad y Ddeiliadaeth (Gog)'!F$118)</f>
        <v>181549.18146151802</v>
      </c>
      <c r="I37" s="279">
        <f>H37*(1+'Rhaniad y Ddeiliadaeth (Gog)'!G$118)</f>
        <v>189207.60282644775</v>
      </c>
      <c r="M37" s="36" t="str">
        <f t="shared" si="0"/>
        <v/>
      </c>
      <c r="N37" s="202"/>
      <c r="O37" s="13">
        <f t="shared" si="3"/>
        <v>1</v>
      </c>
      <c r="U37" s="1">
        <f t="shared" si="1"/>
        <v>43</v>
      </c>
      <c r="V37" s="4" t="str">
        <f t="shared" si="2"/>
        <v/>
      </c>
      <c r="W37" s="4" t="e">
        <f>IF($W$3=$N$3,N37,V37*(1+'Rhaniad y Ddeiliadaeth (Cymru)'!C$118))</f>
        <v>#VALUE!</v>
      </c>
      <c r="X37" s="4" t="e">
        <f>W37*(1+'Rhaniad y Ddeiliadaeth (Cymru)'!D$118)</f>
        <v>#VALUE!</v>
      </c>
      <c r="Y37" s="4" t="e">
        <f>X37*(1+'Rhaniad y Ddeiliadaeth (Cymru)'!E$118)</f>
        <v>#VALUE!</v>
      </c>
      <c r="Z37" s="4" t="e">
        <f>Y37*(1+'Rhaniad y Ddeiliadaeth (Cymru)'!F$118)</f>
        <v>#VALUE!</v>
      </c>
      <c r="AA37" s="4" t="e">
        <f>Z37*(1+'Rhaniad y Ddeiliadaeth (Cymru)'!G$118)</f>
        <v>#VALUE!</v>
      </c>
      <c r="AC37" s="260">
        <v>43</v>
      </c>
      <c r="AD37" s="4">
        <f>IF('Rhaniad y Ddeiliadaeth (Cymru)'!$D$18="Data Cofrestrfa Tir",'Prisiau Tai (Gogledd)'!E37,'Prisiau Tai (Gogledd)'!W37)</f>
        <v>151960</v>
      </c>
      <c r="AE37" s="4">
        <f>IF('Rhaniad y Ddeiliadaeth (Cymru)'!$D$18="Data Cofrestrfa Tir",'Prisiau Tai (Gogledd)'!F37,'Prisiau Tai (Gogledd)'!X37)</f>
        <v>160819.26800000001</v>
      </c>
      <c r="AF37" s="4">
        <f>IF('Rhaniad y Ddeiliadaeth (Cymru)'!$D$18="Data Cofrestrfa Tir",'Prisiau Tai (Gogledd)'!G37,'Prisiau Tai (Gogledd)'!Y37)</f>
        <v>172179.04767387494</v>
      </c>
      <c r="AG37" s="4">
        <f>IF('Rhaniad y Ddeiliadaeth (Cymru)'!$D$18="Data Cofrestrfa Tir",'Prisiau Tai (Gogledd)'!H37,'Prisiau Tai (Gogledd)'!Z37)</f>
        <v>181549.18146151802</v>
      </c>
      <c r="AH37" s="4">
        <f>IF('Rhaniad y Ddeiliadaeth (Cymru)'!$D$18="Data Cofrestrfa Tir",'Prisiau Tai (Gogledd)'!I37,'Prisiau Tai (Gogledd)'!AA37)</f>
        <v>189207.60282644775</v>
      </c>
    </row>
    <row r="38" spans="2:34" x14ac:dyDescent="0.35">
      <c r="B38" s="251">
        <v>44</v>
      </c>
      <c r="C38" s="258">
        <v>143950</v>
      </c>
      <c r="D38" s="258">
        <v>147000</v>
      </c>
      <c r="E38" s="278">
        <f>D38*(1+'Rhaniad y Ddeiliadaeth (Gog)'!C$118)</f>
        <v>154056</v>
      </c>
      <c r="F38" s="278">
        <f>E38*(1+'Rhaniad y Ddeiliadaeth (Gog)'!D$118)</f>
        <v>163037.46480000002</v>
      </c>
      <c r="G38" s="278">
        <f>F38*(1+'Rhaniad y Ddeiliadaeth (Gog)'!E$118)</f>
        <v>174553.93109006633</v>
      </c>
      <c r="H38" s="278">
        <f>G38*(1+'Rhaniad y Ddeiliadaeth (Gog)'!F$118)</f>
        <v>184053.30810236654</v>
      </c>
      <c r="I38" s="279">
        <f>H38*(1+'Rhaniad y Ddeiliadaeth (Gog)'!G$118)</f>
        <v>191817.36286543324</v>
      </c>
      <c r="M38" s="36" t="str">
        <f t="shared" si="0"/>
        <v/>
      </c>
      <c r="N38" s="202"/>
      <c r="O38" s="13">
        <f t="shared" si="3"/>
        <v>1</v>
      </c>
      <c r="U38" s="1">
        <f t="shared" si="1"/>
        <v>44</v>
      </c>
      <c r="V38" s="4" t="str">
        <f t="shared" si="2"/>
        <v/>
      </c>
      <c r="W38" s="4" t="e">
        <f>IF($W$3=$N$3,N38,V38*(1+'Rhaniad y Ddeiliadaeth (Cymru)'!C$118))</f>
        <v>#VALUE!</v>
      </c>
      <c r="X38" s="4" t="e">
        <f>W38*(1+'Rhaniad y Ddeiliadaeth (Cymru)'!D$118)</f>
        <v>#VALUE!</v>
      </c>
      <c r="Y38" s="4" t="e">
        <f>X38*(1+'Rhaniad y Ddeiliadaeth (Cymru)'!E$118)</f>
        <v>#VALUE!</v>
      </c>
      <c r="Z38" s="4" t="e">
        <f>Y38*(1+'Rhaniad y Ddeiliadaeth (Cymru)'!F$118)</f>
        <v>#VALUE!</v>
      </c>
      <c r="AA38" s="4" t="e">
        <f>Z38*(1+'Rhaniad y Ddeiliadaeth (Cymru)'!G$118)</f>
        <v>#VALUE!</v>
      </c>
      <c r="AC38" s="260">
        <v>44</v>
      </c>
      <c r="AD38" s="4">
        <f>IF('Rhaniad y Ddeiliadaeth (Cymru)'!$D$18="Data Cofrestrfa Tir",'Prisiau Tai (Gogledd)'!E38,'Prisiau Tai (Gogledd)'!W38)</f>
        <v>154056</v>
      </c>
      <c r="AE38" s="4">
        <f>IF('Rhaniad y Ddeiliadaeth (Cymru)'!$D$18="Data Cofrestrfa Tir",'Prisiau Tai (Gogledd)'!F38,'Prisiau Tai (Gogledd)'!X38)</f>
        <v>163037.46480000002</v>
      </c>
      <c r="AF38" s="4">
        <f>IF('Rhaniad y Ddeiliadaeth (Cymru)'!$D$18="Data Cofrestrfa Tir",'Prisiau Tai (Gogledd)'!G38,'Prisiau Tai (Gogledd)'!Y38)</f>
        <v>174553.93109006633</v>
      </c>
      <c r="AG38" s="4">
        <f>IF('Rhaniad y Ddeiliadaeth (Cymru)'!$D$18="Data Cofrestrfa Tir",'Prisiau Tai (Gogledd)'!H38,'Prisiau Tai (Gogledd)'!Z38)</f>
        <v>184053.30810236654</v>
      </c>
      <c r="AH38" s="4">
        <f>IF('Rhaniad y Ddeiliadaeth (Cymru)'!$D$18="Data Cofrestrfa Tir",'Prisiau Tai (Gogledd)'!I38,'Prisiau Tai (Gogledd)'!AA38)</f>
        <v>191817.36286543324</v>
      </c>
    </row>
    <row r="39" spans="2:34" x14ac:dyDescent="0.35">
      <c r="B39" s="251">
        <v>45</v>
      </c>
      <c r="C39" s="258">
        <v>145000</v>
      </c>
      <c r="D39" s="258">
        <v>149000</v>
      </c>
      <c r="E39" s="278">
        <f>D39*(1+'Rhaniad y Ddeiliadaeth (Gog)'!C$118)</f>
        <v>156152</v>
      </c>
      <c r="F39" s="278">
        <f>E39*(1+'Rhaniad y Ddeiliadaeth (Gog)'!D$118)</f>
        <v>165255.66159999999</v>
      </c>
      <c r="G39" s="278">
        <f>F39*(1+'Rhaniad y Ddeiliadaeth (Gog)'!E$118)</f>
        <v>176928.81450625768</v>
      </c>
      <c r="H39" s="278">
        <f>G39*(1+'Rhaniad y Ddeiliadaeth (Gog)'!F$118)</f>
        <v>186557.43474321504</v>
      </c>
      <c r="I39" s="279">
        <f>H39*(1+'Rhaniad y Ddeiliadaeth (Gog)'!G$118)</f>
        <v>194427.12290441871</v>
      </c>
      <c r="M39" s="36" t="str">
        <f t="shared" si="0"/>
        <v/>
      </c>
      <c r="N39" s="202"/>
      <c r="O39" s="13">
        <f t="shared" si="3"/>
        <v>1</v>
      </c>
      <c r="U39" s="1">
        <f t="shared" si="1"/>
        <v>45</v>
      </c>
      <c r="V39" s="4" t="str">
        <f t="shared" si="2"/>
        <v/>
      </c>
      <c r="W39" s="4" t="e">
        <f>IF($W$3=$N$3,N39,V39*(1+'Rhaniad y Ddeiliadaeth (Cymru)'!C$118))</f>
        <v>#VALUE!</v>
      </c>
      <c r="X39" s="4" t="e">
        <f>W39*(1+'Rhaniad y Ddeiliadaeth (Cymru)'!D$118)</f>
        <v>#VALUE!</v>
      </c>
      <c r="Y39" s="4" t="e">
        <f>X39*(1+'Rhaniad y Ddeiliadaeth (Cymru)'!E$118)</f>
        <v>#VALUE!</v>
      </c>
      <c r="Z39" s="4" t="e">
        <f>Y39*(1+'Rhaniad y Ddeiliadaeth (Cymru)'!F$118)</f>
        <v>#VALUE!</v>
      </c>
      <c r="AA39" s="4" t="e">
        <f>Z39*(1+'Rhaniad y Ddeiliadaeth (Cymru)'!G$118)</f>
        <v>#VALUE!</v>
      </c>
      <c r="AC39" s="260">
        <v>45</v>
      </c>
      <c r="AD39" s="4">
        <f>IF('Rhaniad y Ddeiliadaeth (Cymru)'!$D$18="Data Cofrestrfa Tir",'Prisiau Tai (Gogledd)'!E39,'Prisiau Tai (Gogledd)'!W39)</f>
        <v>156152</v>
      </c>
      <c r="AE39" s="4">
        <f>IF('Rhaniad y Ddeiliadaeth (Cymru)'!$D$18="Data Cofrestrfa Tir",'Prisiau Tai (Gogledd)'!F39,'Prisiau Tai (Gogledd)'!X39)</f>
        <v>165255.66159999999</v>
      </c>
      <c r="AF39" s="4">
        <f>IF('Rhaniad y Ddeiliadaeth (Cymru)'!$D$18="Data Cofrestrfa Tir",'Prisiau Tai (Gogledd)'!G39,'Prisiau Tai (Gogledd)'!Y39)</f>
        <v>176928.81450625768</v>
      </c>
      <c r="AG39" s="4">
        <f>IF('Rhaniad y Ddeiliadaeth (Cymru)'!$D$18="Data Cofrestrfa Tir",'Prisiau Tai (Gogledd)'!H39,'Prisiau Tai (Gogledd)'!Z39)</f>
        <v>186557.43474321504</v>
      </c>
      <c r="AH39" s="4">
        <f>IF('Rhaniad y Ddeiliadaeth (Cymru)'!$D$18="Data Cofrestrfa Tir",'Prisiau Tai (Gogledd)'!I39,'Prisiau Tai (Gogledd)'!AA39)</f>
        <v>194427.12290441871</v>
      </c>
    </row>
    <row r="40" spans="2:34" x14ac:dyDescent="0.35">
      <c r="B40" s="251">
        <v>46</v>
      </c>
      <c r="C40" s="258">
        <v>146500</v>
      </c>
      <c r="D40" s="258">
        <v>150000</v>
      </c>
      <c r="E40" s="278">
        <f>D40*(1+'Rhaniad y Ddeiliadaeth (Gog)'!C$118)</f>
        <v>157200</v>
      </c>
      <c r="F40" s="278">
        <f>E40*(1+'Rhaniad y Ddeiliadaeth (Gog)'!D$118)</f>
        <v>166364.76</v>
      </c>
      <c r="G40" s="278">
        <f>F40*(1+'Rhaniad y Ddeiliadaeth (Gog)'!E$118)</f>
        <v>178116.25621435337</v>
      </c>
      <c r="H40" s="278">
        <f>G40*(1+'Rhaniad y Ddeiliadaeth (Gog)'!F$118)</f>
        <v>187809.4980636393</v>
      </c>
      <c r="I40" s="279">
        <f>H40*(1+'Rhaniad y Ddeiliadaeth (Gog)'!G$118)</f>
        <v>195732.00292391144</v>
      </c>
      <c r="M40" s="36" t="str">
        <f t="shared" si="0"/>
        <v/>
      </c>
      <c r="N40" s="202"/>
      <c r="O40" s="13">
        <f t="shared" si="3"/>
        <v>1</v>
      </c>
      <c r="U40" s="1">
        <f t="shared" si="1"/>
        <v>46</v>
      </c>
      <c r="V40" s="4" t="str">
        <f t="shared" si="2"/>
        <v/>
      </c>
      <c r="W40" s="4" t="e">
        <f>IF($W$3=$N$3,N40,V40*(1+'Rhaniad y Ddeiliadaeth (Cymru)'!C$118))</f>
        <v>#VALUE!</v>
      </c>
      <c r="X40" s="4" t="e">
        <f>W40*(1+'Rhaniad y Ddeiliadaeth (Cymru)'!D$118)</f>
        <v>#VALUE!</v>
      </c>
      <c r="Y40" s="4" t="e">
        <f>X40*(1+'Rhaniad y Ddeiliadaeth (Cymru)'!E$118)</f>
        <v>#VALUE!</v>
      </c>
      <c r="Z40" s="4" t="e">
        <f>Y40*(1+'Rhaniad y Ddeiliadaeth (Cymru)'!F$118)</f>
        <v>#VALUE!</v>
      </c>
      <c r="AA40" s="4" t="e">
        <f>Z40*(1+'Rhaniad y Ddeiliadaeth (Cymru)'!G$118)</f>
        <v>#VALUE!</v>
      </c>
      <c r="AC40" s="260">
        <v>46</v>
      </c>
      <c r="AD40" s="4">
        <f>IF('Rhaniad y Ddeiliadaeth (Cymru)'!$D$18="Data Cofrestrfa Tir",'Prisiau Tai (Gogledd)'!E40,'Prisiau Tai (Gogledd)'!W40)</f>
        <v>157200</v>
      </c>
      <c r="AE40" s="4">
        <f>IF('Rhaniad y Ddeiliadaeth (Cymru)'!$D$18="Data Cofrestrfa Tir",'Prisiau Tai (Gogledd)'!F40,'Prisiau Tai (Gogledd)'!X40)</f>
        <v>166364.76</v>
      </c>
      <c r="AF40" s="4">
        <f>IF('Rhaniad y Ddeiliadaeth (Cymru)'!$D$18="Data Cofrestrfa Tir",'Prisiau Tai (Gogledd)'!G40,'Prisiau Tai (Gogledd)'!Y40)</f>
        <v>178116.25621435337</v>
      </c>
      <c r="AG40" s="4">
        <f>IF('Rhaniad y Ddeiliadaeth (Cymru)'!$D$18="Data Cofrestrfa Tir",'Prisiau Tai (Gogledd)'!H40,'Prisiau Tai (Gogledd)'!Z40)</f>
        <v>187809.4980636393</v>
      </c>
      <c r="AH40" s="4">
        <f>IF('Rhaniad y Ddeiliadaeth (Cymru)'!$D$18="Data Cofrestrfa Tir",'Prisiau Tai (Gogledd)'!I40,'Prisiau Tai (Gogledd)'!AA40)</f>
        <v>195732.00292391144</v>
      </c>
    </row>
    <row r="41" spans="2:34" x14ac:dyDescent="0.35">
      <c r="B41" s="251">
        <v>47</v>
      </c>
      <c r="C41" s="258">
        <v>149000</v>
      </c>
      <c r="D41" s="258">
        <v>150950</v>
      </c>
      <c r="E41" s="278">
        <f>D41*(1+'Rhaniad y Ddeiliadaeth (Gog)'!C$118)</f>
        <v>158195.6</v>
      </c>
      <c r="F41" s="278">
        <f>E41*(1+'Rhaniad y Ddeiliadaeth (Gog)'!D$118)</f>
        <v>167418.40348000001</v>
      </c>
      <c r="G41" s="278">
        <f>F41*(1+'Rhaniad y Ddeiliadaeth (Gog)'!E$118)</f>
        <v>179244.32583704428</v>
      </c>
      <c r="H41" s="278">
        <f>G41*(1+'Rhaniad y Ddeiliadaeth (Gog)'!F$118)</f>
        <v>188998.95821804236</v>
      </c>
      <c r="I41" s="279">
        <f>H41*(1+'Rhaniad y Ddeiliadaeth (Gog)'!G$118)</f>
        <v>196971.63894242956</v>
      </c>
      <c r="M41" s="36" t="str">
        <f t="shared" si="0"/>
        <v/>
      </c>
      <c r="N41" s="202"/>
      <c r="O41" s="13">
        <f t="shared" si="3"/>
        <v>1</v>
      </c>
      <c r="U41" s="1">
        <f t="shared" si="1"/>
        <v>47</v>
      </c>
      <c r="V41" s="4" t="str">
        <f t="shared" si="2"/>
        <v/>
      </c>
      <c r="W41" s="4" t="e">
        <f>IF($W$3=$N$3,N41,V41*(1+'Rhaniad y Ddeiliadaeth (Cymru)'!C$118))</f>
        <v>#VALUE!</v>
      </c>
      <c r="X41" s="4" t="e">
        <f>W41*(1+'Rhaniad y Ddeiliadaeth (Cymru)'!D$118)</f>
        <v>#VALUE!</v>
      </c>
      <c r="Y41" s="4" t="e">
        <f>X41*(1+'Rhaniad y Ddeiliadaeth (Cymru)'!E$118)</f>
        <v>#VALUE!</v>
      </c>
      <c r="Z41" s="4" t="e">
        <f>Y41*(1+'Rhaniad y Ddeiliadaeth (Cymru)'!F$118)</f>
        <v>#VALUE!</v>
      </c>
      <c r="AA41" s="4" t="e">
        <f>Z41*(1+'Rhaniad y Ddeiliadaeth (Cymru)'!G$118)</f>
        <v>#VALUE!</v>
      </c>
      <c r="AC41" s="260">
        <v>47</v>
      </c>
      <c r="AD41" s="4">
        <f>IF('Rhaniad y Ddeiliadaeth (Cymru)'!$D$18="Data Cofrestrfa Tir",'Prisiau Tai (Gogledd)'!E41,'Prisiau Tai (Gogledd)'!W41)</f>
        <v>158195.6</v>
      </c>
      <c r="AE41" s="4">
        <f>IF('Rhaniad y Ddeiliadaeth (Cymru)'!$D$18="Data Cofrestrfa Tir",'Prisiau Tai (Gogledd)'!F41,'Prisiau Tai (Gogledd)'!X41)</f>
        <v>167418.40348000001</v>
      </c>
      <c r="AF41" s="4">
        <f>IF('Rhaniad y Ddeiliadaeth (Cymru)'!$D$18="Data Cofrestrfa Tir",'Prisiau Tai (Gogledd)'!G41,'Prisiau Tai (Gogledd)'!Y41)</f>
        <v>179244.32583704428</v>
      </c>
      <c r="AG41" s="4">
        <f>IF('Rhaniad y Ddeiliadaeth (Cymru)'!$D$18="Data Cofrestrfa Tir",'Prisiau Tai (Gogledd)'!H41,'Prisiau Tai (Gogledd)'!Z41)</f>
        <v>188998.95821804236</v>
      </c>
      <c r="AH41" s="4">
        <f>IF('Rhaniad y Ddeiliadaeth (Cymru)'!$D$18="Data Cofrestrfa Tir",'Prisiau Tai (Gogledd)'!I41,'Prisiau Tai (Gogledd)'!AA41)</f>
        <v>196971.63894242956</v>
      </c>
    </row>
    <row r="42" spans="2:34" x14ac:dyDescent="0.35">
      <c r="B42" s="251">
        <v>48</v>
      </c>
      <c r="C42" s="258">
        <v>150000</v>
      </c>
      <c r="D42" s="258">
        <v>153500</v>
      </c>
      <c r="E42" s="278">
        <f>D42*(1+'Rhaniad y Ddeiliadaeth (Gog)'!C$118)</f>
        <v>160868</v>
      </c>
      <c r="F42" s="278">
        <f>E42*(1+'Rhaniad y Ddeiliadaeth (Gog)'!D$118)</f>
        <v>170246.60440000001</v>
      </c>
      <c r="G42" s="278">
        <f>F42*(1+'Rhaniad y Ddeiliadaeth (Gog)'!E$118)</f>
        <v>182272.30219268828</v>
      </c>
      <c r="H42" s="278">
        <f>G42*(1+'Rhaniad y Ddeiliadaeth (Gog)'!F$118)</f>
        <v>192191.71968512423</v>
      </c>
      <c r="I42" s="279">
        <f>H42*(1+'Rhaniad y Ddeiliadaeth (Gog)'!G$118)</f>
        <v>200299.08299213607</v>
      </c>
      <c r="M42" s="36" t="str">
        <f t="shared" si="0"/>
        <v/>
      </c>
      <c r="N42" s="202"/>
      <c r="O42" s="13">
        <f t="shared" si="3"/>
        <v>1</v>
      </c>
      <c r="U42" s="1">
        <f t="shared" si="1"/>
        <v>48</v>
      </c>
      <c r="V42" s="4" t="str">
        <f t="shared" si="2"/>
        <v/>
      </c>
      <c r="W42" s="4" t="e">
        <f>IF($W$3=$N$3,N42,V42*(1+'Rhaniad y Ddeiliadaeth (Cymru)'!C$118))</f>
        <v>#VALUE!</v>
      </c>
      <c r="X42" s="4" t="e">
        <f>W42*(1+'Rhaniad y Ddeiliadaeth (Cymru)'!D$118)</f>
        <v>#VALUE!</v>
      </c>
      <c r="Y42" s="4" t="e">
        <f>X42*(1+'Rhaniad y Ddeiliadaeth (Cymru)'!E$118)</f>
        <v>#VALUE!</v>
      </c>
      <c r="Z42" s="4" t="e">
        <f>Y42*(1+'Rhaniad y Ddeiliadaeth (Cymru)'!F$118)</f>
        <v>#VALUE!</v>
      </c>
      <c r="AA42" s="4" t="e">
        <f>Z42*(1+'Rhaniad y Ddeiliadaeth (Cymru)'!G$118)</f>
        <v>#VALUE!</v>
      </c>
      <c r="AC42" s="260">
        <v>48</v>
      </c>
      <c r="AD42" s="4">
        <f>IF('Rhaniad y Ddeiliadaeth (Cymru)'!$D$18="Data Cofrestrfa Tir",'Prisiau Tai (Gogledd)'!E42,'Prisiau Tai (Gogledd)'!W42)</f>
        <v>160868</v>
      </c>
      <c r="AE42" s="4">
        <f>IF('Rhaniad y Ddeiliadaeth (Cymru)'!$D$18="Data Cofrestrfa Tir",'Prisiau Tai (Gogledd)'!F42,'Prisiau Tai (Gogledd)'!X42)</f>
        <v>170246.60440000001</v>
      </c>
      <c r="AF42" s="4">
        <f>IF('Rhaniad y Ddeiliadaeth (Cymru)'!$D$18="Data Cofrestrfa Tir",'Prisiau Tai (Gogledd)'!G42,'Prisiau Tai (Gogledd)'!Y42)</f>
        <v>182272.30219268828</v>
      </c>
      <c r="AG42" s="4">
        <f>IF('Rhaniad y Ddeiliadaeth (Cymru)'!$D$18="Data Cofrestrfa Tir",'Prisiau Tai (Gogledd)'!H42,'Prisiau Tai (Gogledd)'!Z42)</f>
        <v>192191.71968512423</v>
      </c>
      <c r="AH42" s="4">
        <f>IF('Rhaniad y Ddeiliadaeth (Cymru)'!$D$18="Data Cofrestrfa Tir",'Prisiau Tai (Gogledd)'!I42,'Prisiau Tai (Gogledd)'!AA42)</f>
        <v>200299.08299213607</v>
      </c>
    </row>
    <row r="43" spans="2:34" x14ac:dyDescent="0.35">
      <c r="B43" s="251">
        <v>49</v>
      </c>
      <c r="C43" s="258">
        <v>151158</v>
      </c>
      <c r="D43" s="258">
        <v>155000</v>
      </c>
      <c r="E43" s="278">
        <f>D43*(1+'Rhaniad y Ddeiliadaeth (Gog)'!C$118)</f>
        <v>162440</v>
      </c>
      <c r="F43" s="278">
        <f>E43*(1+'Rhaniad y Ddeiliadaeth (Gog)'!D$118)</f>
        <v>171910.25200000001</v>
      </c>
      <c r="G43" s="278">
        <f>F43*(1+'Rhaniad y Ddeiliadaeth (Gog)'!E$118)</f>
        <v>184053.46475483183</v>
      </c>
      <c r="H43" s="278">
        <f>G43*(1+'Rhaniad y Ddeiliadaeth (Gog)'!F$118)</f>
        <v>194069.81466576064</v>
      </c>
      <c r="I43" s="279">
        <f>H43*(1+'Rhaniad y Ddeiliadaeth (Gog)'!G$118)</f>
        <v>202256.40302137518</v>
      </c>
      <c r="M43" s="36" t="str">
        <f t="shared" si="0"/>
        <v/>
      </c>
      <c r="N43" s="202"/>
      <c r="O43" s="13">
        <f t="shared" si="3"/>
        <v>1</v>
      </c>
      <c r="U43" s="1">
        <f t="shared" si="1"/>
        <v>49</v>
      </c>
      <c r="V43" s="4" t="str">
        <f t="shared" si="2"/>
        <v/>
      </c>
      <c r="W43" s="4" t="e">
        <f>IF($W$3=$N$3,N43,V43*(1+'Rhaniad y Ddeiliadaeth (Cymru)'!C$118))</f>
        <v>#VALUE!</v>
      </c>
      <c r="X43" s="4" t="e">
        <f>W43*(1+'Rhaniad y Ddeiliadaeth (Cymru)'!D$118)</f>
        <v>#VALUE!</v>
      </c>
      <c r="Y43" s="4" t="e">
        <f>X43*(1+'Rhaniad y Ddeiliadaeth (Cymru)'!E$118)</f>
        <v>#VALUE!</v>
      </c>
      <c r="Z43" s="4" t="e">
        <f>Y43*(1+'Rhaniad y Ddeiliadaeth (Cymru)'!F$118)</f>
        <v>#VALUE!</v>
      </c>
      <c r="AA43" s="4" t="e">
        <f>Z43*(1+'Rhaniad y Ddeiliadaeth (Cymru)'!G$118)</f>
        <v>#VALUE!</v>
      </c>
      <c r="AC43" s="260">
        <v>49</v>
      </c>
      <c r="AD43" s="4">
        <f>IF('Rhaniad y Ddeiliadaeth (Cymru)'!$D$18="Data Cofrestrfa Tir",'Prisiau Tai (Gogledd)'!E43,'Prisiau Tai (Gogledd)'!W43)</f>
        <v>162440</v>
      </c>
      <c r="AE43" s="4">
        <f>IF('Rhaniad y Ddeiliadaeth (Cymru)'!$D$18="Data Cofrestrfa Tir",'Prisiau Tai (Gogledd)'!F43,'Prisiau Tai (Gogledd)'!X43)</f>
        <v>171910.25200000001</v>
      </c>
      <c r="AF43" s="4">
        <f>IF('Rhaniad y Ddeiliadaeth (Cymru)'!$D$18="Data Cofrestrfa Tir",'Prisiau Tai (Gogledd)'!G43,'Prisiau Tai (Gogledd)'!Y43)</f>
        <v>184053.46475483183</v>
      </c>
      <c r="AG43" s="4">
        <f>IF('Rhaniad y Ddeiliadaeth (Cymru)'!$D$18="Data Cofrestrfa Tir",'Prisiau Tai (Gogledd)'!H43,'Prisiau Tai (Gogledd)'!Z43)</f>
        <v>194069.81466576064</v>
      </c>
      <c r="AH43" s="4">
        <f>IF('Rhaniad y Ddeiliadaeth (Cymru)'!$D$18="Data Cofrestrfa Tir",'Prisiau Tai (Gogledd)'!I43,'Prisiau Tai (Gogledd)'!AA43)</f>
        <v>202256.40302137518</v>
      </c>
    </row>
    <row r="44" spans="2:34" x14ac:dyDescent="0.35">
      <c r="B44" s="251">
        <v>50</v>
      </c>
      <c r="C44" s="258">
        <v>153000</v>
      </c>
      <c r="D44" s="258">
        <v>156100.00000000096</v>
      </c>
      <c r="E44" s="278">
        <f>D44*(1+'Rhaniad y Ddeiliadaeth (Gog)'!C$118)</f>
        <v>163592.80000000101</v>
      </c>
      <c r="F44" s="278">
        <f>E44*(1+'Rhaniad y Ddeiliadaeth (Gog)'!D$118)</f>
        <v>173130.26024000108</v>
      </c>
      <c r="G44" s="278">
        <f>F44*(1+'Rhaniad y Ddeiliadaeth (Gog)'!E$118)</f>
        <v>185359.65063373823</v>
      </c>
      <c r="H44" s="278">
        <f>G44*(1+'Rhaniad y Ddeiliadaeth (Gog)'!F$118)</f>
        <v>195447.08431822853</v>
      </c>
      <c r="I44" s="279">
        <f>H44*(1+'Rhaniad y Ddeiliadaeth (Gog)'!G$118)</f>
        <v>203691.77104281847</v>
      </c>
      <c r="M44" s="36" t="str">
        <f t="shared" si="0"/>
        <v/>
      </c>
      <c r="N44" s="202"/>
      <c r="O44" s="13">
        <f t="shared" si="3"/>
        <v>1</v>
      </c>
      <c r="U44" s="1">
        <f t="shared" si="1"/>
        <v>50</v>
      </c>
      <c r="V44" s="4" t="str">
        <f t="shared" si="2"/>
        <v/>
      </c>
      <c r="W44" s="4" t="e">
        <f>IF($W$3=$N$3,N44,V44*(1+'Rhaniad y Ddeiliadaeth (Cymru)'!C$118))</f>
        <v>#VALUE!</v>
      </c>
      <c r="X44" s="4" t="e">
        <f>W44*(1+'Rhaniad y Ddeiliadaeth (Cymru)'!D$118)</f>
        <v>#VALUE!</v>
      </c>
      <c r="Y44" s="4" t="e">
        <f>X44*(1+'Rhaniad y Ddeiliadaeth (Cymru)'!E$118)</f>
        <v>#VALUE!</v>
      </c>
      <c r="Z44" s="4" t="e">
        <f>Y44*(1+'Rhaniad y Ddeiliadaeth (Cymru)'!F$118)</f>
        <v>#VALUE!</v>
      </c>
      <c r="AA44" s="4" t="e">
        <f>Z44*(1+'Rhaniad y Ddeiliadaeth (Cymru)'!G$118)</f>
        <v>#VALUE!</v>
      </c>
      <c r="AC44" s="260">
        <v>50</v>
      </c>
      <c r="AD44" s="4">
        <f>IF('Rhaniad y Ddeiliadaeth (Cymru)'!$D$18="Data Cofrestrfa Tir",'Prisiau Tai (Gogledd)'!E44,'Prisiau Tai (Gogledd)'!W44)</f>
        <v>163592.80000000101</v>
      </c>
      <c r="AE44" s="4">
        <f>IF('Rhaniad y Ddeiliadaeth (Cymru)'!$D$18="Data Cofrestrfa Tir",'Prisiau Tai (Gogledd)'!F44,'Prisiau Tai (Gogledd)'!X44)</f>
        <v>173130.26024000108</v>
      </c>
      <c r="AF44" s="4">
        <f>IF('Rhaniad y Ddeiliadaeth (Cymru)'!$D$18="Data Cofrestrfa Tir",'Prisiau Tai (Gogledd)'!G44,'Prisiau Tai (Gogledd)'!Y44)</f>
        <v>185359.65063373823</v>
      </c>
      <c r="AG44" s="4">
        <f>IF('Rhaniad y Ddeiliadaeth (Cymru)'!$D$18="Data Cofrestrfa Tir",'Prisiau Tai (Gogledd)'!H44,'Prisiau Tai (Gogledd)'!Z44)</f>
        <v>195447.08431822853</v>
      </c>
      <c r="AH44" s="4">
        <f>IF('Rhaniad y Ddeiliadaeth (Cymru)'!$D$18="Data Cofrestrfa Tir",'Prisiau Tai (Gogledd)'!I44,'Prisiau Tai (Gogledd)'!AA44)</f>
        <v>203691.77104281847</v>
      </c>
    </row>
    <row r="45" spans="2:34" x14ac:dyDescent="0.35">
      <c r="B45" s="251">
        <v>51</v>
      </c>
      <c r="C45" s="258">
        <v>155000</v>
      </c>
      <c r="D45" s="258">
        <v>158500</v>
      </c>
      <c r="E45" s="278">
        <f>D45*(1+'Rhaniad y Ddeiliadaeth (Gog)'!C$118)</f>
        <v>166108</v>
      </c>
      <c r="F45" s="278">
        <f>E45*(1+'Rhaniad y Ddeiliadaeth (Gog)'!D$118)</f>
        <v>175792.09640000001</v>
      </c>
      <c r="G45" s="278">
        <f>F45*(1+'Rhaniad y Ddeiliadaeth (Gog)'!E$118)</f>
        <v>188209.51073316674</v>
      </c>
      <c r="H45" s="278">
        <f>G45*(1+'Rhaniad y Ddeiliadaeth (Gog)'!F$118)</f>
        <v>198452.03628724554</v>
      </c>
      <c r="I45" s="279">
        <f>H45*(1+'Rhaniad y Ddeiliadaeth (Gog)'!G$118)</f>
        <v>206823.48308959979</v>
      </c>
      <c r="M45" s="36" t="str">
        <f t="shared" si="0"/>
        <v/>
      </c>
      <c r="N45" s="202"/>
      <c r="O45" s="13">
        <f t="shared" si="3"/>
        <v>1</v>
      </c>
      <c r="U45" s="1">
        <f t="shared" si="1"/>
        <v>51</v>
      </c>
      <c r="V45" s="4" t="str">
        <f t="shared" si="2"/>
        <v/>
      </c>
      <c r="W45" s="4" t="e">
        <f>IF($W$3=$N$3,N45,V45*(1+'Rhaniad y Ddeiliadaeth (Cymru)'!C$118))</f>
        <v>#VALUE!</v>
      </c>
      <c r="X45" s="4" t="e">
        <f>W45*(1+'Rhaniad y Ddeiliadaeth (Cymru)'!D$118)</f>
        <v>#VALUE!</v>
      </c>
      <c r="Y45" s="4" t="e">
        <f>X45*(1+'Rhaniad y Ddeiliadaeth (Cymru)'!E$118)</f>
        <v>#VALUE!</v>
      </c>
      <c r="Z45" s="4" t="e">
        <f>Y45*(1+'Rhaniad y Ddeiliadaeth (Cymru)'!F$118)</f>
        <v>#VALUE!</v>
      </c>
      <c r="AA45" s="4" t="e">
        <f>Z45*(1+'Rhaniad y Ddeiliadaeth (Cymru)'!G$118)</f>
        <v>#VALUE!</v>
      </c>
      <c r="AC45" s="260">
        <v>51</v>
      </c>
      <c r="AD45" s="4">
        <f>IF('Rhaniad y Ddeiliadaeth (Cymru)'!$D$18="Data Cofrestrfa Tir",'Prisiau Tai (Gogledd)'!E45,'Prisiau Tai (Gogledd)'!W45)</f>
        <v>166108</v>
      </c>
      <c r="AE45" s="4">
        <f>IF('Rhaniad y Ddeiliadaeth (Cymru)'!$D$18="Data Cofrestrfa Tir",'Prisiau Tai (Gogledd)'!F45,'Prisiau Tai (Gogledd)'!X45)</f>
        <v>175792.09640000001</v>
      </c>
      <c r="AF45" s="4">
        <f>IF('Rhaniad y Ddeiliadaeth (Cymru)'!$D$18="Data Cofrestrfa Tir",'Prisiau Tai (Gogledd)'!G45,'Prisiau Tai (Gogledd)'!Y45)</f>
        <v>188209.51073316674</v>
      </c>
      <c r="AG45" s="4">
        <f>IF('Rhaniad y Ddeiliadaeth (Cymru)'!$D$18="Data Cofrestrfa Tir",'Prisiau Tai (Gogledd)'!H45,'Prisiau Tai (Gogledd)'!Z45)</f>
        <v>198452.03628724554</v>
      </c>
      <c r="AH45" s="4">
        <f>IF('Rhaniad y Ddeiliadaeth (Cymru)'!$D$18="Data Cofrestrfa Tir",'Prisiau Tai (Gogledd)'!I45,'Prisiau Tai (Gogledd)'!AA45)</f>
        <v>206823.48308959979</v>
      </c>
    </row>
    <row r="46" spans="2:34" x14ac:dyDescent="0.35">
      <c r="B46" s="251">
        <v>52</v>
      </c>
      <c r="C46" s="258">
        <v>156995</v>
      </c>
      <c r="D46" s="258">
        <v>160000</v>
      </c>
      <c r="E46" s="278">
        <f>D46*(1+'Rhaniad y Ddeiliadaeth (Gog)'!C$118)</f>
        <v>167680</v>
      </c>
      <c r="F46" s="278">
        <f>E46*(1+'Rhaniad y Ddeiliadaeth (Gog)'!D$118)</f>
        <v>177455.74400000001</v>
      </c>
      <c r="G46" s="278">
        <f>F46*(1+'Rhaniad y Ddeiliadaeth (Gog)'!E$118)</f>
        <v>189990.67329531026</v>
      </c>
      <c r="H46" s="278">
        <f>G46*(1+'Rhaniad y Ddeiliadaeth (Gog)'!F$118)</f>
        <v>200330.13126788192</v>
      </c>
      <c r="I46" s="279">
        <f>H46*(1+'Rhaniad y Ddeiliadaeth (Gog)'!G$118)</f>
        <v>208780.80311883887</v>
      </c>
      <c r="M46" s="36" t="str">
        <f t="shared" si="0"/>
        <v/>
      </c>
      <c r="N46" s="202"/>
      <c r="O46" s="13">
        <f t="shared" si="3"/>
        <v>1</v>
      </c>
      <c r="U46" s="1">
        <f t="shared" si="1"/>
        <v>52</v>
      </c>
      <c r="V46" s="4" t="str">
        <f t="shared" si="2"/>
        <v/>
      </c>
      <c r="W46" s="4" t="e">
        <f>IF($W$3=$N$3,N46,V46*(1+'Rhaniad y Ddeiliadaeth (Cymru)'!C$118))</f>
        <v>#VALUE!</v>
      </c>
      <c r="X46" s="4" t="e">
        <f>W46*(1+'Rhaniad y Ddeiliadaeth (Cymru)'!D$118)</f>
        <v>#VALUE!</v>
      </c>
      <c r="Y46" s="4" t="e">
        <f>X46*(1+'Rhaniad y Ddeiliadaeth (Cymru)'!E$118)</f>
        <v>#VALUE!</v>
      </c>
      <c r="Z46" s="4" t="e">
        <f>Y46*(1+'Rhaniad y Ddeiliadaeth (Cymru)'!F$118)</f>
        <v>#VALUE!</v>
      </c>
      <c r="AA46" s="4" t="e">
        <f>Z46*(1+'Rhaniad y Ddeiliadaeth (Cymru)'!G$118)</f>
        <v>#VALUE!</v>
      </c>
      <c r="AC46" s="260">
        <v>52</v>
      </c>
      <c r="AD46" s="4">
        <f>IF('Rhaniad y Ddeiliadaeth (Cymru)'!$D$18="Data Cofrestrfa Tir",'Prisiau Tai (Gogledd)'!E46,'Prisiau Tai (Gogledd)'!W46)</f>
        <v>167680</v>
      </c>
      <c r="AE46" s="4">
        <f>IF('Rhaniad y Ddeiliadaeth (Cymru)'!$D$18="Data Cofrestrfa Tir",'Prisiau Tai (Gogledd)'!F46,'Prisiau Tai (Gogledd)'!X46)</f>
        <v>177455.74400000001</v>
      </c>
      <c r="AF46" s="4">
        <f>IF('Rhaniad y Ddeiliadaeth (Cymru)'!$D$18="Data Cofrestrfa Tir",'Prisiau Tai (Gogledd)'!G46,'Prisiau Tai (Gogledd)'!Y46)</f>
        <v>189990.67329531026</v>
      </c>
      <c r="AG46" s="4">
        <f>IF('Rhaniad y Ddeiliadaeth (Cymru)'!$D$18="Data Cofrestrfa Tir",'Prisiau Tai (Gogledd)'!H46,'Prisiau Tai (Gogledd)'!Z46)</f>
        <v>200330.13126788192</v>
      </c>
      <c r="AH46" s="4">
        <f>IF('Rhaniad y Ddeiliadaeth (Cymru)'!$D$18="Data Cofrestrfa Tir",'Prisiau Tai (Gogledd)'!I46,'Prisiau Tai (Gogledd)'!AA46)</f>
        <v>208780.80311883887</v>
      </c>
    </row>
    <row r="47" spans="2:34" x14ac:dyDescent="0.35">
      <c r="B47" s="251">
        <v>53</v>
      </c>
      <c r="C47" s="258">
        <v>159000</v>
      </c>
      <c r="D47" s="258">
        <v>161000</v>
      </c>
      <c r="E47" s="278">
        <f>D47*(1+'Rhaniad y Ddeiliadaeth (Gog)'!C$118)</f>
        <v>168728</v>
      </c>
      <c r="F47" s="278">
        <f>E47*(1+'Rhaniad y Ddeiliadaeth (Gog)'!D$118)</f>
        <v>178564.84239999999</v>
      </c>
      <c r="G47" s="278">
        <f>F47*(1+'Rhaniad y Ddeiliadaeth (Gog)'!E$118)</f>
        <v>191178.11500340592</v>
      </c>
      <c r="H47" s="278">
        <f>G47*(1+'Rhaniad y Ddeiliadaeth (Gog)'!F$118)</f>
        <v>201582.19458830616</v>
      </c>
      <c r="I47" s="279">
        <f>H47*(1+'Rhaniad y Ddeiliadaeth (Gog)'!G$118)</f>
        <v>210085.6831383316</v>
      </c>
      <c r="M47" s="36" t="str">
        <f t="shared" si="0"/>
        <v/>
      </c>
      <c r="N47" s="202"/>
      <c r="O47" s="13">
        <f t="shared" si="3"/>
        <v>1</v>
      </c>
      <c r="U47" s="1">
        <f t="shared" si="1"/>
        <v>53</v>
      </c>
      <c r="V47" s="4" t="str">
        <f t="shared" si="2"/>
        <v/>
      </c>
      <c r="W47" s="4" t="e">
        <f>IF($W$3=$N$3,N47,V47*(1+'Rhaniad y Ddeiliadaeth (Cymru)'!C$118))</f>
        <v>#VALUE!</v>
      </c>
      <c r="X47" s="4" t="e">
        <f>W47*(1+'Rhaniad y Ddeiliadaeth (Cymru)'!D$118)</f>
        <v>#VALUE!</v>
      </c>
      <c r="Y47" s="4" t="e">
        <f>X47*(1+'Rhaniad y Ddeiliadaeth (Cymru)'!E$118)</f>
        <v>#VALUE!</v>
      </c>
      <c r="Z47" s="4" t="e">
        <f>Y47*(1+'Rhaniad y Ddeiliadaeth (Cymru)'!F$118)</f>
        <v>#VALUE!</v>
      </c>
      <c r="AA47" s="4" t="e">
        <f>Z47*(1+'Rhaniad y Ddeiliadaeth (Cymru)'!G$118)</f>
        <v>#VALUE!</v>
      </c>
      <c r="AC47" s="260">
        <v>53</v>
      </c>
      <c r="AD47" s="4">
        <f>IF('Rhaniad y Ddeiliadaeth (Cymru)'!$D$18="Data Cofrestrfa Tir",'Prisiau Tai (Gogledd)'!E47,'Prisiau Tai (Gogledd)'!W47)</f>
        <v>168728</v>
      </c>
      <c r="AE47" s="4">
        <f>IF('Rhaniad y Ddeiliadaeth (Cymru)'!$D$18="Data Cofrestrfa Tir",'Prisiau Tai (Gogledd)'!F47,'Prisiau Tai (Gogledd)'!X47)</f>
        <v>178564.84239999999</v>
      </c>
      <c r="AF47" s="4">
        <f>IF('Rhaniad y Ddeiliadaeth (Cymru)'!$D$18="Data Cofrestrfa Tir",'Prisiau Tai (Gogledd)'!G47,'Prisiau Tai (Gogledd)'!Y47)</f>
        <v>191178.11500340592</v>
      </c>
      <c r="AG47" s="4">
        <f>IF('Rhaniad y Ddeiliadaeth (Cymru)'!$D$18="Data Cofrestrfa Tir",'Prisiau Tai (Gogledd)'!H47,'Prisiau Tai (Gogledd)'!Z47)</f>
        <v>201582.19458830616</v>
      </c>
      <c r="AH47" s="4">
        <f>IF('Rhaniad y Ddeiliadaeth (Cymru)'!$D$18="Data Cofrestrfa Tir",'Prisiau Tai (Gogledd)'!I47,'Prisiau Tai (Gogledd)'!AA47)</f>
        <v>210085.6831383316</v>
      </c>
    </row>
    <row r="48" spans="2:34" x14ac:dyDescent="0.35">
      <c r="B48" s="251">
        <v>54</v>
      </c>
      <c r="C48" s="258">
        <v>160000</v>
      </c>
      <c r="D48" s="258">
        <v>164500</v>
      </c>
      <c r="E48" s="278">
        <f>D48*(1+'Rhaniad y Ddeiliadaeth (Gog)'!C$118)</f>
        <v>172396</v>
      </c>
      <c r="F48" s="278">
        <f>E48*(1+'Rhaniad y Ddeiliadaeth (Gog)'!D$118)</f>
        <v>182446.6868</v>
      </c>
      <c r="G48" s="278">
        <f>F48*(1+'Rhaniad y Ddeiliadaeth (Gog)'!E$118)</f>
        <v>195334.16098174086</v>
      </c>
      <c r="H48" s="278">
        <f>G48*(1+'Rhaniad y Ddeiliadaeth (Gog)'!F$118)</f>
        <v>205964.41620979112</v>
      </c>
      <c r="I48" s="279">
        <f>H48*(1+'Rhaniad y Ddeiliadaeth (Gog)'!G$118)</f>
        <v>214652.76320655624</v>
      </c>
      <c r="M48" s="36" t="str">
        <f t="shared" si="0"/>
        <v/>
      </c>
      <c r="N48" s="202"/>
      <c r="O48" s="13">
        <f t="shared" si="3"/>
        <v>1</v>
      </c>
      <c r="U48" s="1">
        <f t="shared" si="1"/>
        <v>54</v>
      </c>
      <c r="V48" s="4" t="str">
        <f t="shared" si="2"/>
        <v/>
      </c>
      <c r="W48" s="4" t="e">
        <f>IF($W$3=$N$3,N48,V48*(1+'Rhaniad y Ddeiliadaeth (Cymru)'!C$118))</f>
        <v>#VALUE!</v>
      </c>
      <c r="X48" s="4" t="e">
        <f>W48*(1+'Rhaniad y Ddeiliadaeth (Cymru)'!D$118)</f>
        <v>#VALUE!</v>
      </c>
      <c r="Y48" s="4" t="e">
        <f>X48*(1+'Rhaniad y Ddeiliadaeth (Cymru)'!E$118)</f>
        <v>#VALUE!</v>
      </c>
      <c r="Z48" s="4" t="e">
        <f>Y48*(1+'Rhaniad y Ddeiliadaeth (Cymru)'!F$118)</f>
        <v>#VALUE!</v>
      </c>
      <c r="AA48" s="4" t="e">
        <f>Z48*(1+'Rhaniad y Ddeiliadaeth (Cymru)'!G$118)</f>
        <v>#VALUE!</v>
      </c>
      <c r="AC48" s="260">
        <v>54</v>
      </c>
      <c r="AD48" s="4">
        <f>IF('Rhaniad y Ddeiliadaeth (Cymru)'!$D$18="Data Cofrestrfa Tir",'Prisiau Tai (Gogledd)'!E48,'Prisiau Tai (Gogledd)'!W48)</f>
        <v>172396</v>
      </c>
      <c r="AE48" s="4">
        <f>IF('Rhaniad y Ddeiliadaeth (Cymru)'!$D$18="Data Cofrestrfa Tir",'Prisiau Tai (Gogledd)'!F48,'Prisiau Tai (Gogledd)'!X48)</f>
        <v>182446.6868</v>
      </c>
      <c r="AF48" s="4">
        <f>IF('Rhaniad y Ddeiliadaeth (Cymru)'!$D$18="Data Cofrestrfa Tir",'Prisiau Tai (Gogledd)'!G48,'Prisiau Tai (Gogledd)'!Y48)</f>
        <v>195334.16098174086</v>
      </c>
      <c r="AG48" s="4">
        <f>IF('Rhaniad y Ddeiliadaeth (Cymru)'!$D$18="Data Cofrestrfa Tir",'Prisiau Tai (Gogledd)'!H48,'Prisiau Tai (Gogledd)'!Z48)</f>
        <v>205964.41620979112</v>
      </c>
      <c r="AH48" s="4">
        <f>IF('Rhaniad y Ddeiliadaeth (Cymru)'!$D$18="Data Cofrestrfa Tir",'Prisiau Tai (Gogledd)'!I48,'Prisiau Tai (Gogledd)'!AA48)</f>
        <v>214652.76320655624</v>
      </c>
    </row>
    <row r="49" spans="2:34" x14ac:dyDescent="0.35">
      <c r="B49" s="251">
        <v>55</v>
      </c>
      <c r="C49" s="258">
        <v>161000</v>
      </c>
      <c r="D49" s="258">
        <v>165000</v>
      </c>
      <c r="E49" s="278">
        <f>D49*(1+'Rhaniad y Ddeiliadaeth (Gog)'!C$118)</f>
        <v>172920</v>
      </c>
      <c r="F49" s="278">
        <f>E49*(1+'Rhaniad y Ddeiliadaeth (Gog)'!D$118)</f>
        <v>183001.236</v>
      </c>
      <c r="G49" s="278">
        <f>F49*(1+'Rhaniad y Ddeiliadaeth (Gog)'!E$118)</f>
        <v>195927.88183578869</v>
      </c>
      <c r="H49" s="278">
        <f>G49*(1+'Rhaniad y Ddeiliadaeth (Gog)'!F$118)</f>
        <v>206590.44787000323</v>
      </c>
      <c r="I49" s="279">
        <f>H49*(1+'Rhaniad y Ddeiliadaeth (Gog)'!G$118)</f>
        <v>215305.20321630259</v>
      </c>
      <c r="M49" s="36" t="str">
        <f t="shared" si="0"/>
        <v/>
      </c>
      <c r="N49" s="202"/>
      <c r="O49" s="13">
        <f t="shared" si="3"/>
        <v>1</v>
      </c>
      <c r="U49" s="1">
        <f t="shared" si="1"/>
        <v>55</v>
      </c>
      <c r="V49" s="4" t="str">
        <f t="shared" si="2"/>
        <v/>
      </c>
      <c r="W49" s="4" t="e">
        <f>IF($W$3=$N$3,N49,V49*(1+'Rhaniad y Ddeiliadaeth (Cymru)'!C$118))</f>
        <v>#VALUE!</v>
      </c>
      <c r="X49" s="4" t="e">
        <f>W49*(1+'Rhaniad y Ddeiliadaeth (Cymru)'!D$118)</f>
        <v>#VALUE!</v>
      </c>
      <c r="Y49" s="4" t="e">
        <f>X49*(1+'Rhaniad y Ddeiliadaeth (Cymru)'!E$118)</f>
        <v>#VALUE!</v>
      </c>
      <c r="Z49" s="4" t="e">
        <f>Y49*(1+'Rhaniad y Ddeiliadaeth (Cymru)'!F$118)</f>
        <v>#VALUE!</v>
      </c>
      <c r="AA49" s="4" t="e">
        <f>Z49*(1+'Rhaniad y Ddeiliadaeth (Cymru)'!G$118)</f>
        <v>#VALUE!</v>
      </c>
      <c r="AC49" s="260">
        <v>55</v>
      </c>
      <c r="AD49" s="4">
        <f>IF('Rhaniad y Ddeiliadaeth (Cymru)'!$D$18="Data Cofrestrfa Tir",'Prisiau Tai (Gogledd)'!E49,'Prisiau Tai (Gogledd)'!W49)</f>
        <v>172920</v>
      </c>
      <c r="AE49" s="4">
        <f>IF('Rhaniad y Ddeiliadaeth (Cymru)'!$D$18="Data Cofrestrfa Tir",'Prisiau Tai (Gogledd)'!F49,'Prisiau Tai (Gogledd)'!X49)</f>
        <v>183001.236</v>
      </c>
      <c r="AF49" s="4">
        <f>IF('Rhaniad y Ddeiliadaeth (Cymru)'!$D$18="Data Cofrestrfa Tir",'Prisiau Tai (Gogledd)'!G49,'Prisiau Tai (Gogledd)'!Y49)</f>
        <v>195927.88183578869</v>
      </c>
      <c r="AG49" s="4">
        <f>IF('Rhaniad y Ddeiliadaeth (Cymru)'!$D$18="Data Cofrestrfa Tir",'Prisiau Tai (Gogledd)'!H49,'Prisiau Tai (Gogledd)'!Z49)</f>
        <v>206590.44787000323</v>
      </c>
      <c r="AH49" s="4">
        <f>IF('Rhaniad y Ddeiliadaeth (Cymru)'!$D$18="Data Cofrestrfa Tir",'Prisiau Tai (Gogledd)'!I49,'Prisiau Tai (Gogledd)'!AA49)</f>
        <v>215305.20321630259</v>
      </c>
    </row>
    <row r="50" spans="2:34" x14ac:dyDescent="0.35">
      <c r="B50" s="251">
        <v>56</v>
      </c>
      <c r="C50" s="258">
        <v>164000</v>
      </c>
      <c r="D50" s="258">
        <v>167500</v>
      </c>
      <c r="E50" s="278">
        <f>D50*(1+'Rhaniad y Ddeiliadaeth (Gog)'!C$118)</f>
        <v>175540</v>
      </c>
      <c r="F50" s="278">
        <f>E50*(1+'Rhaniad y Ddeiliadaeth (Gog)'!D$118)</f>
        <v>185773.98199999999</v>
      </c>
      <c r="G50" s="278">
        <f>F50*(1+'Rhaniad y Ddeiliadaeth (Gog)'!E$118)</f>
        <v>198896.48610602791</v>
      </c>
      <c r="H50" s="278">
        <f>G50*(1+'Rhaniad y Ddeiliadaeth (Gog)'!F$118)</f>
        <v>209720.60617106388</v>
      </c>
      <c r="I50" s="279">
        <f>H50*(1+'Rhaniad y Ddeiliadaeth (Gog)'!G$118)</f>
        <v>218567.40326503443</v>
      </c>
      <c r="M50" s="36" t="str">
        <f t="shared" si="0"/>
        <v/>
      </c>
      <c r="N50" s="202"/>
      <c r="O50" s="13">
        <f t="shared" si="3"/>
        <v>1</v>
      </c>
      <c r="U50" s="1">
        <f t="shared" si="1"/>
        <v>56</v>
      </c>
      <c r="V50" s="4" t="str">
        <f t="shared" si="2"/>
        <v/>
      </c>
      <c r="W50" s="4" t="e">
        <f>IF($W$3=$N$3,N50,V50*(1+'Rhaniad y Ddeiliadaeth (Cymru)'!C$118))</f>
        <v>#VALUE!</v>
      </c>
      <c r="X50" s="4" t="e">
        <f>W50*(1+'Rhaniad y Ddeiliadaeth (Cymru)'!D$118)</f>
        <v>#VALUE!</v>
      </c>
      <c r="Y50" s="4" t="e">
        <f>X50*(1+'Rhaniad y Ddeiliadaeth (Cymru)'!E$118)</f>
        <v>#VALUE!</v>
      </c>
      <c r="Z50" s="4" t="e">
        <f>Y50*(1+'Rhaniad y Ddeiliadaeth (Cymru)'!F$118)</f>
        <v>#VALUE!</v>
      </c>
      <c r="AA50" s="4" t="e">
        <f>Z50*(1+'Rhaniad y Ddeiliadaeth (Cymru)'!G$118)</f>
        <v>#VALUE!</v>
      </c>
      <c r="AC50" s="260">
        <v>56</v>
      </c>
      <c r="AD50" s="4">
        <f>IF('Rhaniad y Ddeiliadaeth (Cymru)'!$D$18="Data Cofrestrfa Tir",'Prisiau Tai (Gogledd)'!E50,'Prisiau Tai (Gogledd)'!W50)</f>
        <v>175540</v>
      </c>
      <c r="AE50" s="4">
        <f>IF('Rhaniad y Ddeiliadaeth (Cymru)'!$D$18="Data Cofrestrfa Tir",'Prisiau Tai (Gogledd)'!F50,'Prisiau Tai (Gogledd)'!X50)</f>
        <v>185773.98199999999</v>
      </c>
      <c r="AF50" s="4">
        <f>IF('Rhaniad y Ddeiliadaeth (Cymru)'!$D$18="Data Cofrestrfa Tir",'Prisiau Tai (Gogledd)'!G50,'Prisiau Tai (Gogledd)'!Y50)</f>
        <v>198896.48610602791</v>
      </c>
      <c r="AG50" s="4">
        <f>IF('Rhaniad y Ddeiliadaeth (Cymru)'!$D$18="Data Cofrestrfa Tir",'Prisiau Tai (Gogledd)'!H50,'Prisiau Tai (Gogledd)'!Z50)</f>
        <v>209720.60617106388</v>
      </c>
      <c r="AH50" s="4">
        <f>IF('Rhaniad y Ddeiliadaeth (Cymru)'!$D$18="Data Cofrestrfa Tir",'Prisiau Tai (Gogledd)'!I50,'Prisiau Tai (Gogledd)'!AA50)</f>
        <v>218567.40326503443</v>
      </c>
    </row>
    <row r="51" spans="2:34" x14ac:dyDescent="0.35">
      <c r="B51" s="251">
        <v>57</v>
      </c>
      <c r="C51" s="258">
        <v>165000</v>
      </c>
      <c r="D51" s="258">
        <v>169999.18</v>
      </c>
      <c r="E51" s="278">
        <f>D51*(1+'Rhaniad y Ddeiliadaeth (Gog)'!C$118)</f>
        <v>178159.14064</v>
      </c>
      <c r="F51" s="278">
        <f>E51*(1+'Rhaniad y Ddeiliadaeth (Gog)'!D$118)</f>
        <v>188545.81853931199</v>
      </c>
      <c r="G51" s="278">
        <f>F51*(1+'Rhaniad y Ddeiliadaeth (Gog)'!E$118)</f>
        <v>201864.11667406649</v>
      </c>
      <c r="H51" s="278">
        <f>G51*(1+'Rhaniad y Ddeiliadaeth (Gog)'!F$118)</f>
        <v>212849.73778020177</v>
      </c>
      <c r="I51" s="279">
        <f>H51*(1+'Rhaniad y Ddeiliadaeth (Gog)'!G$118)</f>
        <v>221828.53331215031</v>
      </c>
      <c r="M51" s="36" t="str">
        <f t="shared" si="0"/>
        <v/>
      </c>
      <c r="N51" s="202"/>
      <c r="O51" s="13">
        <f t="shared" si="3"/>
        <v>1</v>
      </c>
      <c r="U51" s="1">
        <f t="shared" si="1"/>
        <v>57</v>
      </c>
      <c r="V51" s="4" t="str">
        <f t="shared" si="2"/>
        <v/>
      </c>
      <c r="W51" s="4" t="e">
        <f>IF($W$3=$N$3,N51,V51*(1+'Rhaniad y Ddeiliadaeth (Cymru)'!C$118))</f>
        <v>#VALUE!</v>
      </c>
      <c r="X51" s="4" t="e">
        <f>W51*(1+'Rhaniad y Ddeiliadaeth (Cymru)'!D$118)</f>
        <v>#VALUE!</v>
      </c>
      <c r="Y51" s="4" t="e">
        <f>X51*(1+'Rhaniad y Ddeiliadaeth (Cymru)'!E$118)</f>
        <v>#VALUE!</v>
      </c>
      <c r="Z51" s="4" t="e">
        <f>Y51*(1+'Rhaniad y Ddeiliadaeth (Cymru)'!F$118)</f>
        <v>#VALUE!</v>
      </c>
      <c r="AA51" s="4" t="e">
        <f>Z51*(1+'Rhaniad y Ddeiliadaeth (Cymru)'!G$118)</f>
        <v>#VALUE!</v>
      </c>
      <c r="AC51" s="260">
        <v>57</v>
      </c>
      <c r="AD51" s="4">
        <f>IF('Rhaniad y Ddeiliadaeth (Cymru)'!$D$18="Data Cofrestrfa Tir",'Prisiau Tai (Gogledd)'!E51,'Prisiau Tai (Gogledd)'!W51)</f>
        <v>178159.14064</v>
      </c>
      <c r="AE51" s="4">
        <f>IF('Rhaniad y Ddeiliadaeth (Cymru)'!$D$18="Data Cofrestrfa Tir",'Prisiau Tai (Gogledd)'!F51,'Prisiau Tai (Gogledd)'!X51)</f>
        <v>188545.81853931199</v>
      </c>
      <c r="AF51" s="4">
        <f>IF('Rhaniad y Ddeiliadaeth (Cymru)'!$D$18="Data Cofrestrfa Tir",'Prisiau Tai (Gogledd)'!G51,'Prisiau Tai (Gogledd)'!Y51)</f>
        <v>201864.11667406649</v>
      </c>
      <c r="AG51" s="4">
        <f>IF('Rhaniad y Ddeiliadaeth (Cymru)'!$D$18="Data Cofrestrfa Tir",'Prisiau Tai (Gogledd)'!H51,'Prisiau Tai (Gogledd)'!Z51)</f>
        <v>212849.73778020177</v>
      </c>
      <c r="AH51" s="4">
        <f>IF('Rhaniad y Ddeiliadaeth (Cymru)'!$D$18="Data Cofrestrfa Tir",'Prisiau Tai (Gogledd)'!I51,'Prisiau Tai (Gogledd)'!AA51)</f>
        <v>221828.53331215031</v>
      </c>
    </row>
    <row r="52" spans="2:34" x14ac:dyDescent="0.35">
      <c r="B52" s="251">
        <v>58</v>
      </c>
      <c r="C52" s="258">
        <v>167000</v>
      </c>
      <c r="D52" s="258">
        <v>170000</v>
      </c>
      <c r="E52" s="278">
        <f>D52*(1+'Rhaniad y Ddeiliadaeth (Gog)'!C$118)</f>
        <v>178160</v>
      </c>
      <c r="F52" s="278">
        <f>E52*(1+'Rhaniad y Ddeiliadaeth (Gog)'!D$118)</f>
        <v>188546.728</v>
      </c>
      <c r="G52" s="278">
        <f>F52*(1+'Rhaniad y Ddeiliadaeth (Gog)'!E$118)</f>
        <v>201865.09037626715</v>
      </c>
      <c r="H52" s="278">
        <f>G52*(1+'Rhaniad y Ddeiliadaeth (Gog)'!F$118)</f>
        <v>212850.76447212455</v>
      </c>
      <c r="I52" s="279">
        <f>H52*(1+'Rhaniad y Ddeiliadaeth (Gog)'!G$118)</f>
        <v>221829.6033137663</v>
      </c>
      <c r="M52" s="36" t="str">
        <f t="shared" si="0"/>
        <v/>
      </c>
      <c r="N52" s="202"/>
      <c r="O52" s="13">
        <f t="shared" si="3"/>
        <v>1</v>
      </c>
      <c r="U52" s="1">
        <f t="shared" si="1"/>
        <v>58</v>
      </c>
      <c r="V52" s="4" t="str">
        <f t="shared" si="2"/>
        <v/>
      </c>
      <c r="W52" s="4" t="e">
        <f>IF($W$3=$N$3,N52,V52*(1+'Rhaniad y Ddeiliadaeth (Cymru)'!C$118))</f>
        <v>#VALUE!</v>
      </c>
      <c r="X52" s="4" t="e">
        <f>W52*(1+'Rhaniad y Ddeiliadaeth (Cymru)'!D$118)</f>
        <v>#VALUE!</v>
      </c>
      <c r="Y52" s="4" t="e">
        <f>X52*(1+'Rhaniad y Ddeiliadaeth (Cymru)'!E$118)</f>
        <v>#VALUE!</v>
      </c>
      <c r="Z52" s="4" t="e">
        <f>Y52*(1+'Rhaniad y Ddeiliadaeth (Cymru)'!F$118)</f>
        <v>#VALUE!</v>
      </c>
      <c r="AA52" s="4" t="e">
        <f>Z52*(1+'Rhaniad y Ddeiliadaeth (Cymru)'!G$118)</f>
        <v>#VALUE!</v>
      </c>
      <c r="AC52" s="260">
        <v>58</v>
      </c>
      <c r="AD52" s="4">
        <f>IF('Rhaniad y Ddeiliadaeth (Cymru)'!$D$18="Data Cofrestrfa Tir",'Prisiau Tai (Gogledd)'!E52,'Prisiau Tai (Gogledd)'!W52)</f>
        <v>178160</v>
      </c>
      <c r="AE52" s="4">
        <f>IF('Rhaniad y Ddeiliadaeth (Cymru)'!$D$18="Data Cofrestrfa Tir",'Prisiau Tai (Gogledd)'!F52,'Prisiau Tai (Gogledd)'!X52)</f>
        <v>188546.728</v>
      </c>
      <c r="AF52" s="4">
        <f>IF('Rhaniad y Ddeiliadaeth (Cymru)'!$D$18="Data Cofrestrfa Tir",'Prisiau Tai (Gogledd)'!G52,'Prisiau Tai (Gogledd)'!Y52)</f>
        <v>201865.09037626715</v>
      </c>
      <c r="AG52" s="4">
        <f>IF('Rhaniad y Ddeiliadaeth (Cymru)'!$D$18="Data Cofrestrfa Tir",'Prisiau Tai (Gogledd)'!H52,'Prisiau Tai (Gogledd)'!Z52)</f>
        <v>212850.76447212455</v>
      </c>
      <c r="AH52" s="4">
        <f>IF('Rhaniad y Ddeiliadaeth (Cymru)'!$D$18="Data Cofrestrfa Tir",'Prisiau Tai (Gogledd)'!I52,'Prisiau Tai (Gogledd)'!AA52)</f>
        <v>221829.6033137663</v>
      </c>
    </row>
    <row r="53" spans="2:34" x14ac:dyDescent="0.35">
      <c r="B53" s="251">
        <v>59</v>
      </c>
      <c r="C53" s="258">
        <v>169950</v>
      </c>
      <c r="D53" s="258">
        <v>173000</v>
      </c>
      <c r="E53" s="278">
        <f>D53*(1+'Rhaniad y Ddeiliadaeth (Gog)'!C$118)</f>
        <v>181304</v>
      </c>
      <c r="F53" s="278">
        <f>E53*(1+'Rhaniad y Ddeiliadaeth (Gog)'!D$118)</f>
        <v>191874.0232</v>
      </c>
      <c r="G53" s="278">
        <f>F53*(1+'Rhaniad y Ddeiliadaeth (Gog)'!E$118)</f>
        <v>205427.4155005542</v>
      </c>
      <c r="H53" s="278">
        <f>G53*(1+'Rhaniad y Ddeiliadaeth (Gog)'!F$118)</f>
        <v>216606.9544333973</v>
      </c>
      <c r="I53" s="279">
        <f>H53*(1+'Rhaniad y Ddeiliadaeth (Gog)'!G$118)</f>
        <v>225744.2433722445</v>
      </c>
      <c r="M53" s="36" t="str">
        <f t="shared" si="0"/>
        <v/>
      </c>
      <c r="N53" s="202"/>
      <c r="O53" s="13">
        <f t="shared" si="3"/>
        <v>1</v>
      </c>
      <c r="U53" s="1">
        <f t="shared" si="1"/>
        <v>59</v>
      </c>
      <c r="V53" s="4" t="str">
        <f t="shared" si="2"/>
        <v/>
      </c>
      <c r="W53" s="4" t="e">
        <f>IF($W$3=$N$3,N53,V53*(1+'Rhaniad y Ddeiliadaeth (Cymru)'!C$118))</f>
        <v>#VALUE!</v>
      </c>
      <c r="X53" s="4" t="e">
        <f>W53*(1+'Rhaniad y Ddeiliadaeth (Cymru)'!D$118)</f>
        <v>#VALUE!</v>
      </c>
      <c r="Y53" s="4" t="e">
        <f>X53*(1+'Rhaniad y Ddeiliadaeth (Cymru)'!E$118)</f>
        <v>#VALUE!</v>
      </c>
      <c r="Z53" s="4" t="e">
        <f>Y53*(1+'Rhaniad y Ddeiliadaeth (Cymru)'!F$118)</f>
        <v>#VALUE!</v>
      </c>
      <c r="AA53" s="4" t="e">
        <f>Z53*(1+'Rhaniad y Ddeiliadaeth (Cymru)'!G$118)</f>
        <v>#VALUE!</v>
      </c>
      <c r="AC53" s="260">
        <v>59</v>
      </c>
      <c r="AD53" s="4">
        <f>IF('Rhaniad y Ddeiliadaeth (Cymru)'!$D$18="Data Cofrestrfa Tir",'Prisiau Tai (Gogledd)'!E53,'Prisiau Tai (Gogledd)'!W53)</f>
        <v>181304</v>
      </c>
      <c r="AE53" s="4">
        <f>IF('Rhaniad y Ddeiliadaeth (Cymru)'!$D$18="Data Cofrestrfa Tir",'Prisiau Tai (Gogledd)'!F53,'Prisiau Tai (Gogledd)'!X53)</f>
        <v>191874.0232</v>
      </c>
      <c r="AF53" s="4">
        <f>IF('Rhaniad y Ddeiliadaeth (Cymru)'!$D$18="Data Cofrestrfa Tir",'Prisiau Tai (Gogledd)'!G53,'Prisiau Tai (Gogledd)'!Y53)</f>
        <v>205427.4155005542</v>
      </c>
      <c r="AG53" s="4">
        <f>IF('Rhaniad y Ddeiliadaeth (Cymru)'!$D$18="Data Cofrestrfa Tir",'Prisiau Tai (Gogledd)'!H53,'Prisiau Tai (Gogledd)'!Z53)</f>
        <v>216606.9544333973</v>
      </c>
      <c r="AH53" s="4">
        <f>IF('Rhaniad y Ddeiliadaeth (Cymru)'!$D$18="Data Cofrestrfa Tir",'Prisiau Tai (Gogledd)'!I53,'Prisiau Tai (Gogledd)'!AA53)</f>
        <v>225744.2433722445</v>
      </c>
    </row>
    <row r="54" spans="2:34" x14ac:dyDescent="0.35">
      <c r="B54" s="251">
        <v>60</v>
      </c>
      <c r="C54" s="258">
        <v>170000</v>
      </c>
      <c r="D54" s="258">
        <v>175000</v>
      </c>
      <c r="E54" s="278">
        <f>D54*(1+'Rhaniad y Ddeiliadaeth (Gog)'!C$118)</f>
        <v>183400</v>
      </c>
      <c r="F54" s="278">
        <f>E54*(1+'Rhaniad y Ddeiliadaeth (Gog)'!D$118)</f>
        <v>194092.22</v>
      </c>
      <c r="G54" s="278">
        <f>F54*(1+'Rhaniad y Ddeiliadaeth (Gog)'!E$118)</f>
        <v>207802.29891674558</v>
      </c>
      <c r="H54" s="278">
        <f>G54*(1+'Rhaniad y Ddeiliadaeth (Gog)'!F$118)</f>
        <v>219111.08107424586</v>
      </c>
      <c r="I54" s="279">
        <f>H54*(1+'Rhaniad y Ddeiliadaeth (Gog)'!G$118)</f>
        <v>228354.00341123002</v>
      </c>
      <c r="M54" s="36" t="str">
        <f t="shared" si="0"/>
        <v/>
      </c>
      <c r="N54" s="202"/>
      <c r="O54" s="13">
        <f t="shared" si="3"/>
        <v>1</v>
      </c>
      <c r="U54" s="1">
        <f t="shared" si="1"/>
        <v>60</v>
      </c>
      <c r="V54" s="4" t="str">
        <f t="shared" si="2"/>
        <v/>
      </c>
      <c r="W54" s="4" t="e">
        <f>IF($W$3=$N$3,N54,V54*(1+'Rhaniad y Ddeiliadaeth (Cymru)'!C$118))</f>
        <v>#VALUE!</v>
      </c>
      <c r="X54" s="4" t="e">
        <f>W54*(1+'Rhaniad y Ddeiliadaeth (Cymru)'!D$118)</f>
        <v>#VALUE!</v>
      </c>
      <c r="Y54" s="4" t="e">
        <f>X54*(1+'Rhaniad y Ddeiliadaeth (Cymru)'!E$118)</f>
        <v>#VALUE!</v>
      </c>
      <c r="Z54" s="4" t="e">
        <f>Y54*(1+'Rhaniad y Ddeiliadaeth (Cymru)'!F$118)</f>
        <v>#VALUE!</v>
      </c>
      <c r="AA54" s="4" t="e">
        <f>Z54*(1+'Rhaniad y Ddeiliadaeth (Cymru)'!G$118)</f>
        <v>#VALUE!</v>
      </c>
      <c r="AC54" s="260">
        <v>60</v>
      </c>
      <c r="AD54" s="4">
        <f>IF('Rhaniad y Ddeiliadaeth (Cymru)'!$D$18="Data Cofrestrfa Tir",'Prisiau Tai (Gogledd)'!E54,'Prisiau Tai (Gogledd)'!W54)</f>
        <v>183400</v>
      </c>
      <c r="AE54" s="4">
        <f>IF('Rhaniad y Ddeiliadaeth (Cymru)'!$D$18="Data Cofrestrfa Tir",'Prisiau Tai (Gogledd)'!F54,'Prisiau Tai (Gogledd)'!X54)</f>
        <v>194092.22</v>
      </c>
      <c r="AF54" s="4">
        <f>IF('Rhaniad y Ddeiliadaeth (Cymru)'!$D$18="Data Cofrestrfa Tir",'Prisiau Tai (Gogledd)'!G54,'Prisiau Tai (Gogledd)'!Y54)</f>
        <v>207802.29891674558</v>
      </c>
      <c r="AG54" s="4">
        <f>IF('Rhaniad y Ddeiliadaeth (Cymru)'!$D$18="Data Cofrestrfa Tir",'Prisiau Tai (Gogledd)'!H54,'Prisiau Tai (Gogledd)'!Z54)</f>
        <v>219111.08107424586</v>
      </c>
      <c r="AH54" s="4">
        <f>IF('Rhaniad y Ddeiliadaeth (Cymru)'!$D$18="Data Cofrestrfa Tir",'Prisiau Tai (Gogledd)'!I54,'Prisiau Tai (Gogledd)'!AA54)</f>
        <v>228354.00341123002</v>
      </c>
    </row>
    <row r="55" spans="2:34" x14ac:dyDescent="0.35">
      <c r="B55" s="251">
        <v>61</v>
      </c>
      <c r="C55" s="258">
        <v>173000</v>
      </c>
      <c r="D55" s="258">
        <v>176000</v>
      </c>
      <c r="E55" s="278">
        <f>D55*(1+'Rhaniad y Ddeiliadaeth (Gog)'!C$118)</f>
        <v>184448</v>
      </c>
      <c r="F55" s="278">
        <f>E55*(1+'Rhaniad y Ddeiliadaeth (Gog)'!D$118)</f>
        <v>195201.31839999999</v>
      </c>
      <c r="G55" s="278">
        <f>F55*(1+'Rhaniad y Ddeiliadaeth (Gog)'!E$118)</f>
        <v>208989.74062484127</v>
      </c>
      <c r="H55" s="278">
        <f>G55*(1+'Rhaniad y Ddeiliadaeth (Gog)'!F$118)</f>
        <v>220363.14439467012</v>
      </c>
      <c r="I55" s="279">
        <f>H55*(1+'Rhaniad y Ddeiliadaeth (Gog)'!G$118)</f>
        <v>229658.88343072278</v>
      </c>
      <c r="M55" s="36" t="str">
        <f t="shared" si="0"/>
        <v/>
      </c>
      <c r="N55" s="202"/>
      <c r="O55" s="13">
        <f t="shared" si="3"/>
        <v>1</v>
      </c>
      <c r="U55" s="1">
        <f t="shared" si="1"/>
        <v>61</v>
      </c>
      <c r="V55" s="4" t="str">
        <f t="shared" si="2"/>
        <v/>
      </c>
      <c r="W55" s="4" t="e">
        <f>IF($W$3=$N$3,N55,V55*(1+'Rhaniad y Ddeiliadaeth (Cymru)'!C$118))</f>
        <v>#VALUE!</v>
      </c>
      <c r="X55" s="4" t="e">
        <f>W55*(1+'Rhaniad y Ddeiliadaeth (Cymru)'!D$118)</f>
        <v>#VALUE!</v>
      </c>
      <c r="Y55" s="4" t="e">
        <f>X55*(1+'Rhaniad y Ddeiliadaeth (Cymru)'!E$118)</f>
        <v>#VALUE!</v>
      </c>
      <c r="Z55" s="4" t="e">
        <f>Y55*(1+'Rhaniad y Ddeiliadaeth (Cymru)'!F$118)</f>
        <v>#VALUE!</v>
      </c>
      <c r="AA55" s="4" t="e">
        <f>Z55*(1+'Rhaniad y Ddeiliadaeth (Cymru)'!G$118)</f>
        <v>#VALUE!</v>
      </c>
      <c r="AC55" s="260">
        <v>61</v>
      </c>
      <c r="AD55" s="4">
        <f>IF('Rhaniad y Ddeiliadaeth (Cymru)'!$D$18="Data Cofrestrfa Tir",'Prisiau Tai (Gogledd)'!E55,'Prisiau Tai (Gogledd)'!W55)</f>
        <v>184448</v>
      </c>
      <c r="AE55" s="4">
        <f>IF('Rhaniad y Ddeiliadaeth (Cymru)'!$D$18="Data Cofrestrfa Tir",'Prisiau Tai (Gogledd)'!F55,'Prisiau Tai (Gogledd)'!X55)</f>
        <v>195201.31839999999</v>
      </c>
      <c r="AF55" s="4">
        <f>IF('Rhaniad y Ddeiliadaeth (Cymru)'!$D$18="Data Cofrestrfa Tir",'Prisiau Tai (Gogledd)'!G55,'Prisiau Tai (Gogledd)'!Y55)</f>
        <v>208989.74062484127</v>
      </c>
      <c r="AG55" s="4">
        <f>IF('Rhaniad y Ddeiliadaeth (Cymru)'!$D$18="Data Cofrestrfa Tir",'Prisiau Tai (Gogledd)'!H55,'Prisiau Tai (Gogledd)'!Z55)</f>
        <v>220363.14439467012</v>
      </c>
      <c r="AH55" s="4">
        <f>IF('Rhaniad y Ddeiliadaeth (Cymru)'!$D$18="Data Cofrestrfa Tir",'Prisiau Tai (Gogledd)'!I55,'Prisiau Tai (Gogledd)'!AA55)</f>
        <v>229658.88343072278</v>
      </c>
    </row>
    <row r="56" spans="2:34" x14ac:dyDescent="0.35">
      <c r="B56" s="251">
        <v>62</v>
      </c>
      <c r="C56" s="258">
        <v>175000</v>
      </c>
      <c r="D56" s="258">
        <v>179500</v>
      </c>
      <c r="E56" s="278">
        <f>D56*(1+'Rhaniad y Ddeiliadaeth (Gog)'!C$118)</f>
        <v>188116</v>
      </c>
      <c r="F56" s="278">
        <f>E56*(1+'Rhaniad y Ddeiliadaeth (Gog)'!D$118)</f>
        <v>199083.16279999999</v>
      </c>
      <c r="G56" s="278">
        <f>F56*(1+'Rhaniad y Ddeiliadaeth (Gog)'!E$118)</f>
        <v>213145.78660317618</v>
      </c>
      <c r="H56" s="278">
        <f>G56*(1+'Rhaniad y Ddeiliadaeth (Gog)'!F$118)</f>
        <v>224745.36601615502</v>
      </c>
      <c r="I56" s="279">
        <f>H56*(1+'Rhaniad y Ddeiliadaeth (Gog)'!G$118)</f>
        <v>234225.96349894736</v>
      </c>
      <c r="M56" s="36" t="str">
        <f t="shared" si="0"/>
        <v/>
      </c>
      <c r="N56" s="202"/>
      <c r="O56" s="13">
        <f t="shared" si="3"/>
        <v>1</v>
      </c>
      <c r="U56" s="1">
        <f t="shared" si="1"/>
        <v>62</v>
      </c>
      <c r="V56" s="4" t="str">
        <f t="shared" si="2"/>
        <v/>
      </c>
      <c r="W56" s="4" t="e">
        <f>IF($W$3=$N$3,N56,V56*(1+'Rhaniad y Ddeiliadaeth (Cymru)'!C$118))</f>
        <v>#VALUE!</v>
      </c>
      <c r="X56" s="4" t="e">
        <f>W56*(1+'Rhaniad y Ddeiliadaeth (Cymru)'!D$118)</f>
        <v>#VALUE!</v>
      </c>
      <c r="Y56" s="4" t="e">
        <f>X56*(1+'Rhaniad y Ddeiliadaeth (Cymru)'!E$118)</f>
        <v>#VALUE!</v>
      </c>
      <c r="Z56" s="4" t="e">
        <f>Y56*(1+'Rhaniad y Ddeiliadaeth (Cymru)'!F$118)</f>
        <v>#VALUE!</v>
      </c>
      <c r="AA56" s="4" t="e">
        <f>Z56*(1+'Rhaniad y Ddeiliadaeth (Cymru)'!G$118)</f>
        <v>#VALUE!</v>
      </c>
      <c r="AC56" s="260">
        <v>62</v>
      </c>
      <c r="AD56" s="4">
        <f>IF('Rhaniad y Ddeiliadaeth (Cymru)'!$D$18="Data Cofrestrfa Tir",'Prisiau Tai (Gogledd)'!E56,'Prisiau Tai (Gogledd)'!W56)</f>
        <v>188116</v>
      </c>
      <c r="AE56" s="4">
        <f>IF('Rhaniad y Ddeiliadaeth (Cymru)'!$D$18="Data Cofrestrfa Tir",'Prisiau Tai (Gogledd)'!F56,'Prisiau Tai (Gogledd)'!X56)</f>
        <v>199083.16279999999</v>
      </c>
      <c r="AF56" s="4">
        <f>IF('Rhaniad y Ddeiliadaeth (Cymru)'!$D$18="Data Cofrestrfa Tir",'Prisiau Tai (Gogledd)'!G56,'Prisiau Tai (Gogledd)'!Y56)</f>
        <v>213145.78660317618</v>
      </c>
      <c r="AG56" s="4">
        <f>IF('Rhaniad y Ddeiliadaeth (Cymru)'!$D$18="Data Cofrestrfa Tir",'Prisiau Tai (Gogledd)'!H56,'Prisiau Tai (Gogledd)'!Z56)</f>
        <v>224745.36601615502</v>
      </c>
      <c r="AH56" s="4">
        <f>IF('Rhaniad y Ddeiliadaeth (Cymru)'!$D$18="Data Cofrestrfa Tir",'Prisiau Tai (Gogledd)'!I56,'Prisiau Tai (Gogledd)'!AA56)</f>
        <v>234225.96349894736</v>
      </c>
    </row>
    <row r="57" spans="2:34" x14ac:dyDescent="0.35">
      <c r="B57" s="251">
        <v>63</v>
      </c>
      <c r="C57" s="258">
        <v>177000</v>
      </c>
      <c r="D57" s="258">
        <v>180000</v>
      </c>
      <c r="E57" s="278">
        <f>D57*(1+'Rhaniad y Ddeiliadaeth (Gog)'!C$118)</f>
        <v>188640</v>
      </c>
      <c r="F57" s="278">
        <f>E57*(1+'Rhaniad y Ddeiliadaeth (Gog)'!D$118)</f>
        <v>199637.712</v>
      </c>
      <c r="G57" s="278">
        <f>F57*(1+'Rhaniad y Ddeiliadaeth (Gog)'!E$118)</f>
        <v>213739.50745722404</v>
      </c>
      <c r="H57" s="278">
        <f>G57*(1+'Rhaniad y Ddeiliadaeth (Gog)'!F$118)</f>
        <v>225371.39767636717</v>
      </c>
      <c r="I57" s="279">
        <f>H57*(1+'Rhaniad y Ddeiliadaeth (Gog)'!G$118)</f>
        <v>234878.40350869374</v>
      </c>
      <c r="M57" s="36" t="str">
        <f t="shared" si="0"/>
        <v/>
      </c>
      <c r="N57" s="202"/>
      <c r="O57" s="13">
        <f t="shared" si="3"/>
        <v>1</v>
      </c>
      <c r="U57" s="1">
        <f t="shared" si="1"/>
        <v>63</v>
      </c>
      <c r="V57" s="4" t="str">
        <f t="shared" si="2"/>
        <v/>
      </c>
      <c r="W57" s="4" t="e">
        <f>IF($W$3=$N$3,N57,V57*(1+'Rhaniad y Ddeiliadaeth (Cymru)'!C$118))</f>
        <v>#VALUE!</v>
      </c>
      <c r="X57" s="4" t="e">
        <f>W57*(1+'Rhaniad y Ddeiliadaeth (Cymru)'!D$118)</f>
        <v>#VALUE!</v>
      </c>
      <c r="Y57" s="4" t="e">
        <f>X57*(1+'Rhaniad y Ddeiliadaeth (Cymru)'!E$118)</f>
        <v>#VALUE!</v>
      </c>
      <c r="Z57" s="4" t="e">
        <f>Y57*(1+'Rhaniad y Ddeiliadaeth (Cymru)'!F$118)</f>
        <v>#VALUE!</v>
      </c>
      <c r="AA57" s="4" t="e">
        <f>Z57*(1+'Rhaniad y Ddeiliadaeth (Cymru)'!G$118)</f>
        <v>#VALUE!</v>
      </c>
      <c r="AC57" s="260">
        <v>63</v>
      </c>
      <c r="AD57" s="4">
        <f>IF('Rhaniad y Ddeiliadaeth (Cymru)'!$D$18="Data Cofrestrfa Tir",'Prisiau Tai (Gogledd)'!E57,'Prisiau Tai (Gogledd)'!W57)</f>
        <v>188640</v>
      </c>
      <c r="AE57" s="4">
        <f>IF('Rhaniad y Ddeiliadaeth (Cymru)'!$D$18="Data Cofrestrfa Tir",'Prisiau Tai (Gogledd)'!F57,'Prisiau Tai (Gogledd)'!X57)</f>
        <v>199637.712</v>
      </c>
      <c r="AF57" s="4">
        <f>IF('Rhaniad y Ddeiliadaeth (Cymru)'!$D$18="Data Cofrestrfa Tir",'Prisiau Tai (Gogledd)'!G57,'Prisiau Tai (Gogledd)'!Y57)</f>
        <v>213739.50745722404</v>
      </c>
      <c r="AG57" s="4">
        <f>IF('Rhaniad y Ddeiliadaeth (Cymru)'!$D$18="Data Cofrestrfa Tir",'Prisiau Tai (Gogledd)'!H57,'Prisiau Tai (Gogledd)'!Z57)</f>
        <v>225371.39767636717</v>
      </c>
      <c r="AH57" s="4">
        <f>IF('Rhaniad y Ddeiliadaeth (Cymru)'!$D$18="Data Cofrestrfa Tir",'Prisiau Tai (Gogledd)'!I57,'Prisiau Tai (Gogledd)'!AA57)</f>
        <v>234878.40350869374</v>
      </c>
    </row>
    <row r="58" spans="2:34" x14ac:dyDescent="0.35">
      <c r="B58" s="251">
        <v>64</v>
      </c>
      <c r="C58" s="258">
        <v>180000</v>
      </c>
      <c r="D58" s="258">
        <v>183180.0000000021</v>
      </c>
      <c r="E58" s="278">
        <f>D58*(1+'Rhaniad y Ddeiliadaeth (Gog)'!C$118)</f>
        <v>191972.6400000022</v>
      </c>
      <c r="F58" s="278">
        <f>E58*(1+'Rhaniad y Ddeiliadaeth (Gog)'!D$118)</f>
        <v>203164.64491200232</v>
      </c>
      <c r="G58" s="278">
        <f>F58*(1+'Rhaniad y Ddeiliadaeth (Gog)'!E$118)</f>
        <v>217515.5720889708</v>
      </c>
      <c r="H58" s="278">
        <f>G58*(1+'Rhaniad y Ddeiliadaeth (Gog)'!F$118)</f>
        <v>229352.95903531893</v>
      </c>
      <c r="I58" s="279">
        <f>H58*(1+'Rhaniad y Ddeiliadaeth (Gog)'!G$118)</f>
        <v>239027.92197068338</v>
      </c>
      <c r="M58" s="36" t="str">
        <f t="shared" si="0"/>
        <v/>
      </c>
      <c r="N58" s="202"/>
      <c r="O58" s="13">
        <f t="shared" si="3"/>
        <v>1</v>
      </c>
      <c r="U58" s="1">
        <f t="shared" si="1"/>
        <v>64</v>
      </c>
      <c r="V58" s="4" t="str">
        <f t="shared" si="2"/>
        <v/>
      </c>
      <c r="W58" s="4" t="e">
        <f>IF($W$3=$N$3,N58,V58*(1+'Rhaniad y Ddeiliadaeth (Cymru)'!C$118))</f>
        <v>#VALUE!</v>
      </c>
      <c r="X58" s="4" t="e">
        <f>W58*(1+'Rhaniad y Ddeiliadaeth (Cymru)'!D$118)</f>
        <v>#VALUE!</v>
      </c>
      <c r="Y58" s="4" t="e">
        <f>X58*(1+'Rhaniad y Ddeiliadaeth (Cymru)'!E$118)</f>
        <v>#VALUE!</v>
      </c>
      <c r="Z58" s="4" t="e">
        <f>Y58*(1+'Rhaniad y Ddeiliadaeth (Cymru)'!F$118)</f>
        <v>#VALUE!</v>
      </c>
      <c r="AA58" s="4" t="e">
        <f>Z58*(1+'Rhaniad y Ddeiliadaeth (Cymru)'!G$118)</f>
        <v>#VALUE!</v>
      </c>
      <c r="AC58" s="260">
        <v>64</v>
      </c>
      <c r="AD58" s="4">
        <f>IF('Rhaniad y Ddeiliadaeth (Cymru)'!$D$18="Data Cofrestrfa Tir",'Prisiau Tai (Gogledd)'!E58,'Prisiau Tai (Gogledd)'!W58)</f>
        <v>191972.6400000022</v>
      </c>
      <c r="AE58" s="4">
        <f>IF('Rhaniad y Ddeiliadaeth (Cymru)'!$D$18="Data Cofrestrfa Tir",'Prisiau Tai (Gogledd)'!F58,'Prisiau Tai (Gogledd)'!X58)</f>
        <v>203164.64491200232</v>
      </c>
      <c r="AF58" s="4">
        <f>IF('Rhaniad y Ddeiliadaeth (Cymru)'!$D$18="Data Cofrestrfa Tir",'Prisiau Tai (Gogledd)'!G58,'Prisiau Tai (Gogledd)'!Y58)</f>
        <v>217515.5720889708</v>
      </c>
      <c r="AG58" s="4">
        <f>IF('Rhaniad y Ddeiliadaeth (Cymru)'!$D$18="Data Cofrestrfa Tir",'Prisiau Tai (Gogledd)'!H58,'Prisiau Tai (Gogledd)'!Z58)</f>
        <v>229352.95903531893</v>
      </c>
      <c r="AH58" s="4">
        <f>IF('Rhaniad y Ddeiliadaeth (Cymru)'!$D$18="Data Cofrestrfa Tir",'Prisiau Tai (Gogledd)'!I58,'Prisiau Tai (Gogledd)'!AA58)</f>
        <v>239027.92197068338</v>
      </c>
    </row>
    <row r="59" spans="2:34" x14ac:dyDescent="0.35">
      <c r="B59" s="251">
        <v>65</v>
      </c>
      <c r="C59" s="258">
        <v>180970.50000000015</v>
      </c>
      <c r="D59" s="258">
        <v>185000</v>
      </c>
      <c r="E59" s="278">
        <f>D59*(1+'Rhaniad y Ddeiliadaeth (Gog)'!C$118)</f>
        <v>193880</v>
      </c>
      <c r="F59" s="278">
        <f>E59*(1+'Rhaniad y Ddeiliadaeth (Gog)'!D$118)</f>
        <v>205183.204</v>
      </c>
      <c r="G59" s="278">
        <f>F59*(1+'Rhaniad y Ddeiliadaeth (Gog)'!E$118)</f>
        <v>219676.71599770247</v>
      </c>
      <c r="H59" s="278">
        <f>G59*(1+'Rhaniad y Ddeiliadaeth (Gog)'!F$118)</f>
        <v>231631.71427848845</v>
      </c>
      <c r="I59" s="279">
        <f>H59*(1+'Rhaniad y Ddeiliadaeth (Gog)'!G$118)</f>
        <v>241402.80360615742</v>
      </c>
      <c r="M59" s="36" t="str">
        <f t="shared" si="0"/>
        <v/>
      </c>
      <c r="N59" s="202"/>
      <c r="O59" s="13">
        <f t="shared" si="3"/>
        <v>1</v>
      </c>
      <c r="U59" s="1">
        <f t="shared" si="1"/>
        <v>65</v>
      </c>
      <c r="V59" s="4" t="str">
        <f t="shared" si="2"/>
        <v/>
      </c>
      <c r="W59" s="4" t="e">
        <f>IF($W$3=$N$3,N59,V59*(1+'Rhaniad y Ddeiliadaeth (Cymru)'!C$118))</f>
        <v>#VALUE!</v>
      </c>
      <c r="X59" s="4" t="e">
        <f>W59*(1+'Rhaniad y Ddeiliadaeth (Cymru)'!D$118)</f>
        <v>#VALUE!</v>
      </c>
      <c r="Y59" s="4" t="e">
        <f>X59*(1+'Rhaniad y Ddeiliadaeth (Cymru)'!E$118)</f>
        <v>#VALUE!</v>
      </c>
      <c r="Z59" s="4" t="e">
        <f>Y59*(1+'Rhaniad y Ddeiliadaeth (Cymru)'!F$118)</f>
        <v>#VALUE!</v>
      </c>
      <c r="AA59" s="4" t="e">
        <f>Z59*(1+'Rhaniad y Ddeiliadaeth (Cymru)'!G$118)</f>
        <v>#VALUE!</v>
      </c>
      <c r="AC59" s="260">
        <v>65</v>
      </c>
      <c r="AD59" s="4">
        <f>IF('Rhaniad y Ddeiliadaeth (Cymru)'!$D$18="Data Cofrestrfa Tir",'Prisiau Tai (Gogledd)'!E59,'Prisiau Tai (Gogledd)'!W59)</f>
        <v>193880</v>
      </c>
      <c r="AE59" s="4">
        <f>IF('Rhaniad y Ddeiliadaeth (Cymru)'!$D$18="Data Cofrestrfa Tir",'Prisiau Tai (Gogledd)'!F59,'Prisiau Tai (Gogledd)'!X59)</f>
        <v>205183.204</v>
      </c>
      <c r="AF59" s="4">
        <f>IF('Rhaniad y Ddeiliadaeth (Cymru)'!$D$18="Data Cofrestrfa Tir",'Prisiau Tai (Gogledd)'!G59,'Prisiau Tai (Gogledd)'!Y59)</f>
        <v>219676.71599770247</v>
      </c>
      <c r="AG59" s="4">
        <f>IF('Rhaniad y Ddeiliadaeth (Cymru)'!$D$18="Data Cofrestrfa Tir",'Prisiau Tai (Gogledd)'!H59,'Prisiau Tai (Gogledd)'!Z59)</f>
        <v>231631.71427848845</v>
      </c>
      <c r="AH59" s="4">
        <f>IF('Rhaniad y Ddeiliadaeth (Cymru)'!$D$18="Data Cofrestrfa Tir",'Prisiau Tai (Gogledd)'!I59,'Prisiau Tai (Gogledd)'!AA59)</f>
        <v>241402.80360615742</v>
      </c>
    </row>
    <row r="60" spans="2:34" x14ac:dyDescent="0.35">
      <c r="B60" s="251">
        <v>66</v>
      </c>
      <c r="C60" s="258">
        <v>185000</v>
      </c>
      <c r="D60" s="258">
        <v>188000</v>
      </c>
      <c r="E60" s="278">
        <f>D60*(1+'Rhaniad y Ddeiliadaeth (Gog)'!C$118)</f>
        <v>197024</v>
      </c>
      <c r="F60" s="278">
        <f>E60*(1+'Rhaniad y Ddeiliadaeth (Gog)'!D$118)</f>
        <v>208510.49919999999</v>
      </c>
      <c r="G60" s="278">
        <f>F60*(1+'Rhaniad y Ddeiliadaeth (Gog)'!E$118)</f>
        <v>223239.04112198955</v>
      </c>
      <c r="H60" s="278">
        <f>G60*(1+'Rhaniad y Ddeiliadaeth (Gog)'!F$118)</f>
        <v>235387.90423976126</v>
      </c>
      <c r="I60" s="279">
        <f>H60*(1+'Rhaniad y Ddeiliadaeth (Gog)'!G$118)</f>
        <v>245317.44366463568</v>
      </c>
      <c r="M60" s="36" t="str">
        <f t="shared" si="0"/>
        <v/>
      </c>
      <c r="N60" s="202"/>
      <c r="O60" s="13">
        <f t="shared" si="3"/>
        <v>1</v>
      </c>
      <c r="U60" s="1">
        <f t="shared" si="1"/>
        <v>66</v>
      </c>
      <c r="V60" s="4" t="str">
        <f t="shared" si="2"/>
        <v/>
      </c>
      <c r="W60" s="4" t="e">
        <f>IF($W$3=$N$3,N60,V60*(1+'Rhaniad y Ddeiliadaeth (Cymru)'!C$118))</f>
        <v>#VALUE!</v>
      </c>
      <c r="X60" s="4" t="e">
        <f>W60*(1+'Rhaniad y Ddeiliadaeth (Cymru)'!D$118)</f>
        <v>#VALUE!</v>
      </c>
      <c r="Y60" s="4" t="e">
        <f>X60*(1+'Rhaniad y Ddeiliadaeth (Cymru)'!E$118)</f>
        <v>#VALUE!</v>
      </c>
      <c r="Z60" s="4" t="e">
        <f>Y60*(1+'Rhaniad y Ddeiliadaeth (Cymru)'!F$118)</f>
        <v>#VALUE!</v>
      </c>
      <c r="AA60" s="4" t="e">
        <f>Z60*(1+'Rhaniad y Ddeiliadaeth (Cymru)'!G$118)</f>
        <v>#VALUE!</v>
      </c>
      <c r="AC60" s="260">
        <v>66</v>
      </c>
      <c r="AD60" s="4">
        <f>IF('Rhaniad y Ddeiliadaeth (Cymru)'!$D$18="Data Cofrestrfa Tir",'Prisiau Tai (Gogledd)'!E60,'Prisiau Tai (Gogledd)'!W60)</f>
        <v>197024</v>
      </c>
      <c r="AE60" s="4">
        <f>IF('Rhaniad y Ddeiliadaeth (Cymru)'!$D$18="Data Cofrestrfa Tir",'Prisiau Tai (Gogledd)'!F60,'Prisiau Tai (Gogledd)'!X60)</f>
        <v>208510.49919999999</v>
      </c>
      <c r="AF60" s="4">
        <f>IF('Rhaniad y Ddeiliadaeth (Cymru)'!$D$18="Data Cofrestrfa Tir",'Prisiau Tai (Gogledd)'!G60,'Prisiau Tai (Gogledd)'!Y60)</f>
        <v>223239.04112198955</v>
      </c>
      <c r="AG60" s="4">
        <f>IF('Rhaniad y Ddeiliadaeth (Cymru)'!$D$18="Data Cofrestrfa Tir",'Prisiau Tai (Gogledd)'!H60,'Prisiau Tai (Gogledd)'!Z60)</f>
        <v>235387.90423976126</v>
      </c>
      <c r="AH60" s="4">
        <f>IF('Rhaniad y Ddeiliadaeth (Cymru)'!$D$18="Data Cofrestrfa Tir",'Prisiau Tai (Gogledd)'!I60,'Prisiau Tai (Gogledd)'!AA60)</f>
        <v>245317.44366463568</v>
      </c>
    </row>
    <row r="61" spans="2:34" x14ac:dyDescent="0.35">
      <c r="B61" s="251">
        <v>67</v>
      </c>
      <c r="C61" s="258">
        <v>185000</v>
      </c>
      <c r="D61" s="258">
        <v>190000</v>
      </c>
      <c r="E61" s="278">
        <f>D61*(1+'Rhaniad y Ddeiliadaeth (Gog)'!C$118)</f>
        <v>199120</v>
      </c>
      <c r="F61" s="278">
        <f>E61*(1+'Rhaniad y Ddeiliadaeth (Gog)'!D$118)</f>
        <v>210728.696</v>
      </c>
      <c r="G61" s="278">
        <f>F61*(1+'Rhaniad y Ddeiliadaeth (Gog)'!E$118)</f>
        <v>225613.92453818093</v>
      </c>
      <c r="H61" s="278">
        <f>G61*(1+'Rhaniad y Ddeiliadaeth (Gog)'!F$118)</f>
        <v>237892.03088060979</v>
      </c>
      <c r="I61" s="279">
        <f>H61*(1+'Rhaniad y Ddeiliadaeth (Gog)'!G$118)</f>
        <v>247927.20370362117</v>
      </c>
      <c r="M61" s="36" t="str">
        <f t="shared" si="0"/>
        <v/>
      </c>
      <c r="N61" s="202"/>
      <c r="O61" s="13">
        <f t="shared" si="3"/>
        <v>1</v>
      </c>
      <c r="U61" s="1">
        <f t="shared" si="1"/>
        <v>67</v>
      </c>
      <c r="V61" s="4" t="str">
        <f t="shared" si="2"/>
        <v/>
      </c>
      <c r="W61" s="4" t="e">
        <f>IF($W$3=$N$3,N61,V61*(1+'Rhaniad y Ddeiliadaeth (Cymru)'!C$118))</f>
        <v>#VALUE!</v>
      </c>
      <c r="X61" s="4" t="e">
        <f>W61*(1+'Rhaniad y Ddeiliadaeth (Cymru)'!D$118)</f>
        <v>#VALUE!</v>
      </c>
      <c r="Y61" s="4" t="e">
        <f>X61*(1+'Rhaniad y Ddeiliadaeth (Cymru)'!E$118)</f>
        <v>#VALUE!</v>
      </c>
      <c r="Z61" s="4" t="e">
        <f>Y61*(1+'Rhaniad y Ddeiliadaeth (Cymru)'!F$118)</f>
        <v>#VALUE!</v>
      </c>
      <c r="AA61" s="4" t="e">
        <f>Z61*(1+'Rhaniad y Ddeiliadaeth (Cymru)'!G$118)</f>
        <v>#VALUE!</v>
      </c>
      <c r="AC61" s="260">
        <v>67</v>
      </c>
      <c r="AD61" s="4">
        <f>IF('Rhaniad y Ddeiliadaeth (Cymru)'!$D$18="Data Cofrestrfa Tir",'Prisiau Tai (Gogledd)'!E61,'Prisiau Tai (Gogledd)'!W61)</f>
        <v>199120</v>
      </c>
      <c r="AE61" s="4">
        <f>IF('Rhaniad y Ddeiliadaeth (Cymru)'!$D$18="Data Cofrestrfa Tir",'Prisiau Tai (Gogledd)'!F61,'Prisiau Tai (Gogledd)'!X61)</f>
        <v>210728.696</v>
      </c>
      <c r="AF61" s="4">
        <f>IF('Rhaniad y Ddeiliadaeth (Cymru)'!$D$18="Data Cofrestrfa Tir",'Prisiau Tai (Gogledd)'!G61,'Prisiau Tai (Gogledd)'!Y61)</f>
        <v>225613.92453818093</v>
      </c>
      <c r="AG61" s="4">
        <f>IF('Rhaniad y Ddeiliadaeth (Cymru)'!$D$18="Data Cofrestrfa Tir",'Prisiau Tai (Gogledd)'!H61,'Prisiau Tai (Gogledd)'!Z61)</f>
        <v>237892.03088060979</v>
      </c>
      <c r="AH61" s="4">
        <f>IF('Rhaniad y Ddeiliadaeth (Cymru)'!$D$18="Data Cofrestrfa Tir",'Prisiau Tai (Gogledd)'!I61,'Prisiau Tai (Gogledd)'!AA61)</f>
        <v>247927.20370362117</v>
      </c>
    </row>
    <row r="62" spans="2:34" x14ac:dyDescent="0.35">
      <c r="B62" s="251">
        <v>68</v>
      </c>
      <c r="C62" s="258">
        <v>189000</v>
      </c>
      <c r="D62" s="258">
        <v>195000</v>
      </c>
      <c r="E62" s="278">
        <f>D62*(1+'Rhaniad y Ddeiliadaeth (Gog)'!C$118)</f>
        <v>204360</v>
      </c>
      <c r="F62" s="278">
        <f>E62*(1+'Rhaniad y Ddeiliadaeth (Gog)'!D$118)</f>
        <v>216274.18799999999</v>
      </c>
      <c r="G62" s="278">
        <f>F62*(1+'Rhaniad y Ddeiliadaeth (Gog)'!E$118)</f>
        <v>231551.13307865936</v>
      </c>
      <c r="H62" s="278">
        <f>G62*(1+'Rhaniad y Ddeiliadaeth (Gog)'!F$118)</f>
        <v>244152.34748273107</v>
      </c>
      <c r="I62" s="279">
        <f>H62*(1+'Rhaniad y Ddeiliadaeth (Gog)'!G$118)</f>
        <v>254451.60380108486</v>
      </c>
      <c r="M62" s="36" t="str">
        <f t="shared" si="0"/>
        <v/>
      </c>
      <c r="N62" s="202"/>
      <c r="O62" s="13">
        <f t="shared" si="3"/>
        <v>1</v>
      </c>
      <c r="U62" s="1">
        <f t="shared" si="1"/>
        <v>68</v>
      </c>
      <c r="V62" s="4" t="str">
        <f t="shared" si="2"/>
        <v/>
      </c>
      <c r="W62" s="4" t="e">
        <f>IF($W$3=$N$3,N62,V62*(1+'Rhaniad y Ddeiliadaeth (Cymru)'!C$118))</f>
        <v>#VALUE!</v>
      </c>
      <c r="X62" s="4" t="e">
        <f>W62*(1+'Rhaniad y Ddeiliadaeth (Cymru)'!D$118)</f>
        <v>#VALUE!</v>
      </c>
      <c r="Y62" s="4" t="e">
        <f>X62*(1+'Rhaniad y Ddeiliadaeth (Cymru)'!E$118)</f>
        <v>#VALUE!</v>
      </c>
      <c r="Z62" s="4" t="e">
        <f>Y62*(1+'Rhaniad y Ddeiliadaeth (Cymru)'!F$118)</f>
        <v>#VALUE!</v>
      </c>
      <c r="AA62" s="4" t="e">
        <f>Z62*(1+'Rhaniad y Ddeiliadaeth (Cymru)'!G$118)</f>
        <v>#VALUE!</v>
      </c>
      <c r="AC62" s="260">
        <v>68</v>
      </c>
      <c r="AD62" s="4">
        <f>IF('Rhaniad y Ddeiliadaeth (Cymru)'!$D$18="Data Cofrestrfa Tir",'Prisiau Tai (Gogledd)'!E62,'Prisiau Tai (Gogledd)'!W62)</f>
        <v>204360</v>
      </c>
      <c r="AE62" s="4">
        <f>IF('Rhaniad y Ddeiliadaeth (Cymru)'!$D$18="Data Cofrestrfa Tir",'Prisiau Tai (Gogledd)'!F62,'Prisiau Tai (Gogledd)'!X62)</f>
        <v>216274.18799999999</v>
      </c>
      <c r="AF62" s="4">
        <f>IF('Rhaniad y Ddeiliadaeth (Cymru)'!$D$18="Data Cofrestrfa Tir",'Prisiau Tai (Gogledd)'!G62,'Prisiau Tai (Gogledd)'!Y62)</f>
        <v>231551.13307865936</v>
      </c>
      <c r="AG62" s="4">
        <f>IF('Rhaniad y Ddeiliadaeth (Cymru)'!$D$18="Data Cofrestrfa Tir",'Prisiau Tai (Gogledd)'!H62,'Prisiau Tai (Gogledd)'!Z62)</f>
        <v>244152.34748273107</v>
      </c>
      <c r="AH62" s="4">
        <f>IF('Rhaniad y Ddeiliadaeth (Cymru)'!$D$18="Data Cofrestrfa Tir",'Prisiau Tai (Gogledd)'!I62,'Prisiau Tai (Gogledd)'!AA62)</f>
        <v>254451.60380108486</v>
      </c>
    </row>
    <row r="63" spans="2:34" x14ac:dyDescent="0.35">
      <c r="B63" s="251">
        <v>69</v>
      </c>
      <c r="C63" s="258">
        <v>190000</v>
      </c>
      <c r="D63" s="258">
        <v>197000</v>
      </c>
      <c r="E63" s="278">
        <f>D63*(1+'Rhaniad y Ddeiliadaeth (Gog)'!C$118)</f>
        <v>206456</v>
      </c>
      <c r="F63" s="278">
        <f>E63*(1+'Rhaniad y Ddeiliadaeth (Gog)'!D$118)</f>
        <v>218492.3848</v>
      </c>
      <c r="G63" s="278">
        <f>F63*(1+'Rhaniad y Ddeiliadaeth (Gog)'!E$118)</f>
        <v>233926.01649485074</v>
      </c>
      <c r="H63" s="278">
        <f>G63*(1+'Rhaniad y Ddeiliadaeth (Gog)'!F$118)</f>
        <v>246656.47412357962</v>
      </c>
      <c r="I63" s="279">
        <f>H63*(1+'Rhaniad y Ddeiliadaeth (Gog)'!G$118)</f>
        <v>257061.36384007038</v>
      </c>
      <c r="M63" s="36" t="str">
        <f t="shared" si="0"/>
        <v/>
      </c>
      <c r="N63" s="202"/>
      <c r="O63" s="13">
        <f t="shared" si="3"/>
        <v>1</v>
      </c>
      <c r="U63" s="1">
        <f t="shared" si="1"/>
        <v>69</v>
      </c>
      <c r="V63" s="4" t="str">
        <f t="shared" si="2"/>
        <v/>
      </c>
      <c r="W63" s="4" t="e">
        <f>IF($W$3=$N$3,N63,V63*(1+'Rhaniad y Ddeiliadaeth (Cymru)'!C$118))</f>
        <v>#VALUE!</v>
      </c>
      <c r="X63" s="4" t="e">
        <f>W63*(1+'Rhaniad y Ddeiliadaeth (Cymru)'!D$118)</f>
        <v>#VALUE!</v>
      </c>
      <c r="Y63" s="4" t="e">
        <f>X63*(1+'Rhaniad y Ddeiliadaeth (Cymru)'!E$118)</f>
        <v>#VALUE!</v>
      </c>
      <c r="Z63" s="4" t="e">
        <f>Y63*(1+'Rhaniad y Ddeiliadaeth (Cymru)'!F$118)</f>
        <v>#VALUE!</v>
      </c>
      <c r="AA63" s="4" t="e">
        <f>Z63*(1+'Rhaniad y Ddeiliadaeth (Cymru)'!G$118)</f>
        <v>#VALUE!</v>
      </c>
      <c r="AC63" s="260">
        <v>69</v>
      </c>
      <c r="AD63" s="4">
        <f>IF('Rhaniad y Ddeiliadaeth (Cymru)'!$D$18="Data Cofrestrfa Tir",'Prisiau Tai (Gogledd)'!E63,'Prisiau Tai (Gogledd)'!W63)</f>
        <v>206456</v>
      </c>
      <c r="AE63" s="4">
        <f>IF('Rhaniad y Ddeiliadaeth (Cymru)'!$D$18="Data Cofrestrfa Tir",'Prisiau Tai (Gogledd)'!F63,'Prisiau Tai (Gogledd)'!X63)</f>
        <v>218492.3848</v>
      </c>
      <c r="AF63" s="4">
        <f>IF('Rhaniad y Ddeiliadaeth (Cymru)'!$D$18="Data Cofrestrfa Tir",'Prisiau Tai (Gogledd)'!G63,'Prisiau Tai (Gogledd)'!Y63)</f>
        <v>233926.01649485074</v>
      </c>
      <c r="AG63" s="4">
        <f>IF('Rhaniad y Ddeiliadaeth (Cymru)'!$D$18="Data Cofrestrfa Tir",'Prisiau Tai (Gogledd)'!H63,'Prisiau Tai (Gogledd)'!Z63)</f>
        <v>246656.47412357962</v>
      </c>
      <c r="AH63" s="4">
        <f>IF('Rhaniad y Ddeiliadaeth (Cymru)'!$D$18="Data Cofrestrfa Tir",'Prisiau Tai (Gogledd)'!I63,'Prisiau Tai (Gogledd)'!AA63)</f>
        <v>257061.36384007038</v>
      </c>
    </row>
    <row r="64" spans="2:34" x14ac:dyDescent="0.35">
      <c r="B64" s="251">
        <v>70</v>
      </c>
      <c r="C64" s="258">
        <v>195000</v>
      </c>
      <c r="D64" s="258">
        <v>200000</v>
      </c>
      <c r="E64" s="278">
        <f>D64*(1+'Rhaniad y Ddeiliadaeth (Gog)'!C$118)</f>
        <v>209600</v>
      </c>
      <c r="F64" s="278">
        <f>E64*(1+'Rhaniad y Ddeiliadaeth (Gog)'!D$118)</f>
        <v>221819.68</v>
      </c>
      <c r="G64" s="278">
        <f>F64*(1+'Rhaniad y Ddeiliadaeth (Gog)'!E$118)</f>
        <v>237488.34161913782</v>
      </c>
      <c r="H64" s="278">
        <f>G64*(1+'Rhaniad y Ddeiliadaeth (Gog)'!F$118)</f>
        <v>250412.66408485241</v>
      </c>
      <c r="I64" s="279">
        <f>H64*(1+'Rhaniad y Ddeiliadaeth (Gog)'!G$118)</f>
        <v>260976.0038985486</v>
      </c>
      <c r="M64" s="36" t="str">
        <f t="shared" si="0"/>
        <v/>
      </c>
      <c r="N64" s="202"/>
      <c r="O64" s="13">
        <f t="shared" si="3"/>
        <v>1</v>
      </c>
      <c r="U64" s="1">
        <f t="shared" si="1"/>
        <v>70</v>
      </c>
      <c r="V64" s="4" t="str">
        <f t="shared" si="2"/>
        <v/>
      </c>
      <c r="W64" s="4" t="e">
        <f>IF($W$3=$N$3,N64,V64*(1+'Rhaniad y Ddeiliadaeth (Cymru)'!C$118))</f>
        <v>#VALUE!</v>
      </c>
      <c r="X64" s="4" t="e">
        <f>W64*(1+'Rhaniad y Ddeiliadaeth (Cymru)'!D$118)</f>
        <v>#VALUE!</v>
      </c>
      <c r="Y64" s="4" t="e">
        <f>X64*(1+'Rhaniad y Ddeiliadaeth (Cymru)'!E$118)</f>
        <v>#VALUE!</v>
      </c>
      <c r="Z64" s="4" t="e">
        <f>Y64*(1+'Rhaniad y Ddeiliadaeth (Cymru)'!F$118)</f>
        <v>#VALUE!</v>
      </c>
      <c r="AA64" s="4" t="e">
        <f>Z64*(1+'Rhaniad y Ddeiliadaeth (Cymru)'!G$118)</f>
        <v>#VALUE!</v>
      </c>
      <c r="AC64" s="260">
        <v>70</v>
      </c>
      <c r="AD64" s="4">
        <f>IF('Rhaniad y Ddeiliadaeth (Cymru)'!$D$18="Data Cofrestrfa Tir",'Prisiau Tai (Gogledd)'!E64,'Prisiau Tai (Gogledd)'!W64)</f>
        <v>209600</v>
      </c>
      <c r="AE64" s="4">
        <f>IF('Rhaniad y Ddeiliadaeth (Cymru)'!$D$18="Data Cofrestrfa Tir",'Prisiau Tai (Gogledd)'!F64,'Prisiau Tai (Gogledd)'!X64)</f>
        <v>221819.68</v>
      </c>
      <c r="AF64" s="4">
        <f>IF('Rhaniad y Ddeiliadaeth (Cymru)'!$D$18="Data Cofrestrfa Tir",'Prisiau Tai (Gogledd)'!G64,'Prisiau Tai (Gogledd)'!Y64)</f>
        <v>237488.34161913782</v>
      </c>
      <c r="AG64" s="4">
        <f>IF('Rhaniad y Ddeiliadaeth (Cymru)'!$D$18="Data Cofrestrfa Tir",'Prisiau Tai (Gogledd)'!H64,'Prisiau Tai (Gogledd)'!Z64)</f>
        <v>250412.66408485241</v>
      </c>
      <c r="AH64" s="4">
        <f>IF('Rhaniad y Ddeiliadaeth (Cymru)'!$D$18="Data Cofrestrfa Tir",'Prisiau Tai (Gogledd)'!I64,'Prisiau Tai (Gogledd)'!AA64)</f>
        <v>260976.0038985486</v>
      </c>
    </row>
    <row r="65" spans="2:34" x14ac:dyDescent="0.35">
      <c r="B65" s="251">
        <v>71</v>
      </c>
      <c r="C65" s="258">
        <v>198000</v>
      </c>
      <c r="D65" s="258">
        <v>204000</v>
      </c>
      <c r="E65" s="278">
        <f>D65*(1+'Rhaniad y Ddeiliadaeth (Gog)'!C$118)</f>
        <v>213792</v>
      </c>
      <c r="F65" s="278">
        <f>E65*(1+'Rhaniad y Ddeiliadaeth (Gog)'!D$118)</f>
        <v>226256.0736</v>
      </c>
      <c r="G65" s="278">
        <f>F65*(1+'Rhaniad y Ddeiliadaeth (Gog)'!E$118)</f>
        <v>242238.10845152059</v>
      </c>
      <c r="H65" s="278">
        <f>G65*(1+'Rhaniad y Ddeiliadaeth (Gog)'!F$118)</f>
        <v>255420.91736654946</v>
      </c>
      <c r="I65" s="279">
        <f>H65*(1+'Rhaniad y Ddeiliadaeth (Gog)'!G$118)</f>
        <v>266195.52397651959</v>
      </c>
      <c r="M65" s="36" t="str">
        <f t="shared" si="0"/>
        <v/>
      </c>
      <c r="N65" s="202"/>
      <c r="O65" s="13">
        <f t="shared" si="3"/>
        <v>1</v>
      </c>
      <c r="U65" s="1">
        <f t="shared" si="1"/>
        <v>71</v>
      </c>
      <c r="V65" s="4" t="str">
        <f t="shared" si="2"/>
        <v/>
      </c>
      <c r="W65" s="4" t="e">
        <f>IF($W$3=$N$3,N65,V65*(1+'Rhaniad y Ddeiliadaeth (Cymru)'!C$118))</f>
        <v>#VALUE!</v>
      </c>
      <c r="X65" s="4" t="e">
        <f>W65*(1+'Rhaniad y Ddeiliadaeth (Cymru)'!D$118)</f>
        <v>#VALUE!</v>
      </c>
      <c r="Y65" s="4" t="e">
        <f>X65*(1+'Rhaniad y Ddeiliadaeth (Cymru)'!E$118)</f>
        <v>#VALUE!</v>
      </c>
      <c r="Z65" s="4" t="e">
        <f>Y65*(1+'Rhaniad y Ddeiliadaeth (Cymru)'!F$118)</f>
        <v>#VALUE!</v>
      </c>
      <c r="AA65" s="4" t="e">
        <f>Z65*(1+'Rhaniad y Ddeiliadaeth (Cymru)'!G$118)</f>
        <v>#VALUE!</v>
      </c>
      <c r="AC65" s="260">
        <v>71</v>
      </c>
      <c r="AD65" s="4">
        <f>IF('Rhaniad y Ddeiliadaeth (Cymru)'!$D$18="Data Cofrestrfa Tir",'Prisiau Tai (Gogledd)'!E65,'Prisiau Tai (Gogledd)'!W65)</f>
        <v>213792</v>
      </c>
      <c r="AE65" s="4">
        <f>IF('Rhaniad y Ddeiliadaeth (Cymru)'!$D$18="Data Cofrestrfa Tir",'Prisiau Tai (Gogledd)'!F65,'Prisiau Tai (Gogledd)'!X65)</f>
        <v>226256.0736</v>
      </c>
      <c r="AF65" s="4">
        <f>IF('Rhaniad y Ddeiliadaeth (Cymru)'!$D$18="Data Cofrestrfa Tir",'Prisiau Tai (Gogledd)'!G65,'Prisiau Tai (Gogledd)'!Y65)</f>
        <v>242238.10845152059</v>
      </c>
      <c r="AG65" s="4">
        <f>IF('Rhaniad y Ddeiliadaeth (Cymru)'!$D$18="Data Cofrestrfa Tir",'Prisiau Tai (Gogledd)'!H65,'Prisiau Tai (Gogledd)'!Z65)</f>
        <v>255420.91736654946</v>
      </c>
      <c r="AH65" s="4">
        <f>IF('Rhaniad y Ddeiliadaeth (Cymru)'!$D$18="Data Cofrestrfa Tir",'Prisiau Tai (Gogledd)'!I65,'Prisiau Tai (Gogledd)'!AA65)</f>
        <v>266195.52397651959</v>
      </c>
    </row>
    <row r="66" spans="2:34" x14ac:dyDescent="0.35">
      <c r="B66" s="251">
        <v>72</v>
      </c>
      <c r="C66" s="258">
        <v>200000</v>
      </c>
      <c r="D66" s="258">
        <v>207000</v>
      </c>
      <c r="E66" s="278">
        <f>D66*(1+'Rhaniad y Ddeiliadaeth (Gog)'!C$118)</f>
        <v>216936</v>
      </c>
      <c r="F66" s="278">
        <f>E66*(1+'Rhaniad y Ddeiliadaeth (Gog)'!D$118)</f>
        <v>229583.3688</v>
      </c>
      <c r="G66" s="278">
        <f>F66*(1+'Rhaniad y Ddeiliadaeth (Gog)'!E$118)</f>
        <v>245800.43357580763</v>
      </c>
      <c r="H66" s="278">
        <f>G66*(1+'Rhaniad y Ddeiliadaeth (Gog)'!F$118)</f>
        <v>259177.10732782222</v>
      </c>
      <c r="I66" s="279">
        <f>H66*(1+'Rhaniad y Ddeiliadaeth (Gog)'!G$118)</f>
        <v>270110.16403499775</v>
      </c>
      <c r="M66" s="36" t="str">
        <f t="shared" si="0"/>
        <v/>
      </c>
      <c r="N66" s="202"/>
      <c r="O66" s="13">
        <f t="shared" si="3"/>
        <v>1</v>
      </c>
      <c r="U66" s="1">
        <f t="shared" si="1"/>
        <v>72</v>
      </c>
      <c r="V66" s="4" t="str">
        <f t="shared" si="2"/>
        <v/>
      </c>
      <c r="W66" s="4" t="e">
        <f>IF($W$3=$N$3,N66,V66*(1+'Rhaniad y Ddeiliadaeth (Cymru)'!C$118))</f>
        <v>#VALUE!</v>
      </c>
      <c r="X66" s="4" t="e">
        <f>W66*(1+'Rhaniad y Ddeiliadaeth (Cymru)'!D$118)</f>
        <v>#VALUE!</v>
      </c>
      <c r="Y66" s="4" t="e">
        <f>X66*(1+'Rhaniad y Ddeiliadaeth (Cymru)'!E$118)</f>
        <v>#VALUE!</v>
      </c>
      <c r="Z66" s="4" t="e">
        <f>Y66*(1+'Rhaniad y Ddeiliadaeth (Cymru)'!F$118)</f>
        <v>#VALUE!</v>
      </c>
      <c r="AA66" s="4" t="e">
        <f>Z66*(1+'Rhaniad y Ddeiliadaeth (Cymru)'!G$118)</f>
        <v>#VALUE!</v>
      </c>
      <c r="AC66" s="260">
        <v>72</v>
      </c>
      <c r="AD66" s="4">
        <f>IF('Rhaniad y Ddeiliadaeth (Cymru)'!$D$18="Data Cofrestrfa Tir",'Prisiau Tai (Gogledd)'!E66,'Prisiau Tai (Gogledd)'!W66)</f>
        <v>216936</v>
      </c>
      <c r="AE66" s="4">
        <f>IF('Rhaniad y Ddeiliadaeth (Cymru)'!$D$18="Data Cofrestrfa Tir",'Prisiau Tai (Gogledd)'!F66,'Prisiau Tai (Gogledd)'!X66)</f>
        <v>229583.3688</v>
      </c>
      <c r="AF66" s="4">
        <f>IF('Rhaniad y Ddeiliadaeth (Cymru)'!$D$18="Data Cofrestrfa Tir",'Prisiau Tai (Gogledd)'!G66,'Prisiau Tai (Gogledd)'!Y66)</f>
        <v>245800.43357580763</v>
      </c>
      <c r="AG66" s="4">
        <f>IF('Rhaniad y Ddeiliadaeth (Cymru)'!$D$18="Data Cofrestrfa Tir",'Prisiau Tai (Gogledd)'!H66,'Prisiau Tai (Gogledd)'!Z66)</f>
        <v>259177.10732782222</v>
      </c>
      <c r="AH66" s="4">
        <f>IF('Rhaniad y Ddeiliadaeth (Cymru)'!$D$18="Data Cofrestrfa Tir",'Prisiau Tai (Gogledd)'!I66,'Prisiau Tai (Gogledd)'!AA66)</f>
        <v>270110.16403499775</v>
      </c>
    </row>
    <row r="67" spans="2:34" x14ac:dyDescent="0.35">
      <c r="B67" s="251">
        <v>73</v>
      </c>
      <c r="C67" s="258">
        <v>205000</v>
      </c>
      <c r="D67" s="258">
        <v>210000</v>
      </c>
      <c r="E67" s="278">
        <f>D67*(1+'Rhaniad y Ddeiliadaeth (Gog)'!C$118)</f>
        <v>220080</v>
      </c>
      <c r="F67" s="278">
        <f>E67*(1+'Rhaniad y Ddeiliadaeth (Gog)'!D$118)</f>
        <v>232910.66399999999</v>
      </c>
      <c r="G67" s="278">
        <f>F67*(1+'Rhaniad y Ddeiliadaeth (Gog)'!E$118)</f>
        <v>249362.75870009471</v>
      </c>
      <c r="H67" s="278">
        <f>G67*(1+'Rhaniad y Ddeiliadaeth (Gog)'!F$118)</f>
        <v>262933.297289095</v>
      </c>
      <c r="I67" s="279">
        <f>H67*(1+'Rhaniad y Ddeiliadaeth (Gog)'!G$118)</f>
        <v>274024.80409347604</v>
      </c>
      <c r="M67" s="36" t="str">
        <f t="shared" si="0"/>
        <v/>
      </c>
      <c r="N67" s="202"/>
      <c r="O67" s="13">
        <f t="shared" si="3"/>
        <v>1</v>
      </c>
      <c r="U67" s="1">
        <f t="shared" si="1"/>
        <v>73</v>
      </c>
      <c r="V67" s="4" t="str">
        <f t="shared" si="2"/>
        <v/>
      </c>
      <c r="W67" s="4" t="e">
        <f>IF($W$3=$N$3,N67,V67*(1+'Rhaniad y Ddeiliadaeth (Cymru)'!C$118))</f>
        <v>#VALUE!</v>
      </c>
      <c r="X67" s="4" t="e">
        <f>W67*(1+'Rhaniad y Ddeiliadaeth (Cymru)'!D$118)</f>
        <v>#VALUE!</v>
      </c>
      <c r="Y67" s="4" t="e">
        <f>X67*(1+'Rhaniad y Ddeiliadaeth (Cymru)'!E$118)</f>
        <v>#VALUE!</v>
      </c>
      <c r="Z67" s="4" t="e">
        <f>Y67*(1+'Rhaniad y Ddeiliadaeth (Cymru)'!F$118)</f>
        <v>#VALUE!</v>
      </c>
      <c r="AA67" s="4" t="e">
        <f>Z67*(1+'Rhaniad y Ddeiliadaeth (Cymru)'!G$118)</f>
        <v>#VALUE!</v>
      </c>
      <c r="AC67" s="260">
        <v>73</v>
      </c>
      <c r="AD67" s="4">
        <f>IF('Rhaniad y Ddeiliadaeth (Cymru)'!$D$18="Data Cofrestrfa Tir",'Prisiau Tai (Gogledd)'!E67,'Prisiau Tai (Gogledd)'!W67)</f>
        <v>220080</v>
      </c>
      <c r="AE67" s="4">
        <f>IF('Rhaniad y Ddeiliadaeth (Cymru)'!$D$18="Data Cofrestrfa Tir",'Prisiau Tai (Gogledd)'!F67,'Prisiau Tai (Gogledd)'!X67)</f>
        <v>232910.66399999999</v>
      </c>
      <c r="AF67" s="4">
        <f>IF('Rhaniad y Ddeiliadaeth (Cymru)'!$D$18="Data Cofrestrfa Tir",'Prisiau Tai (Gogledd)'!G67,'Prisiau Tai (Gogledd)'!Y67)</f>
        <v>249362.75870009471</v>
      </c>
      <c r="AG67" s="4">
        <f>IF('Rhaniad y Ddeiliadaeth (Cymru)'!$D$18="Data Cofrestrfa Tir",'Prisiau Tai (Gogledd)'!H67,'Prisiau Tai (Gogledd)'!Z67)</f>
        <v>262933.297289095</v>
      </c>
      <c r="AH67" s="4">
        <f>IF('Rhaniad y Ddeiliadaeth (Cymru)'!$D$18="Data Cofrestrfa Tir",'Prisiau Tai (Gogledd)'!I67,'Prisiau Tai (Gogledd)'!AA67)</f>
        <v>274024.80409347604</v>
      </c>
    </row>
    <row r="68" spans="2:34" x14ac:dyDescent="0.35">
      <c r="B68" s="251">
        <v>74</v>
      </c>
      <c r="C68" s="258">
        <v>208000</v>
      </c>
      <c r="D68" s="258">
        <v>215000</v>
      </c>
      <c r="E68" s="278">
        <f>D68*(1+'Rhaniad y Ddeiliadaeth (Gog)'!C$118)</f>
        <v>225320</v>
      </c>
      <c r="F68" s="278">
        <f>E68*(1+'Rhaniad y Ddeiliadaeth (Gog)'!D$118)</f>
        <v>238456.15600000002</v>
      </c>
      <c r="G68" s="278">
        <f>F68*(1+'Rhaniad y Ddeiliadaeth (Gog)'!E$118)</f>
        <v>255299.96724057317</v>
      </c>
      <c r="H68" s="278">
        <f>G68*(1+'Rhaniad y Ddeiliadaeth (Gog)'!F$118)</f>
        <v>269193.61389121634</v>
      </c>
      <c r="I68" s="279">
        <f>H68*(1+'Rhaniad y Ddeiliadaeth (Gog)'!G$118)</f>
        <v>280549.20419093978</v>
      </c>
      <c r="M68" s="36" t="str">
        <f t="shared" ref="M68:M84" si="4">IF(ISBLANK($L$4),"",B68)</f>
        <v/>
      </c>
      <c r="N68" s="202"/>
      <c r="O68" s="13">
        <f t="shared" si="3"/>
        <v>1</v>
      </c>
      <c r="U68" s="1">
        <f t="shared" ref="U68:U84" si="5">B68</f>
        <v>74</v>
      </c>
      <c r="V68" s="4" t="str">
        <f t="shared" ref="V68:V84" si="6">IF($N$3=$V$3,N68,"")</f>
        <v/>
      </c>
      <c r="W68" s="4" t="e">
        <f>IF($W$3=$N$3,N68,V68*(1+'Rhaniad y Ddeiliadaeth (Cymru)'!C$118))</f>
        <v>#VALUE!</v>
      </c>
      <c r="X68" s="4" t="e">
        <f>W68*(1+'Rhaniad y Ddeiliadaeth (Cymru)'!D$118)</f>
        <v>#VALUE!</v>
      </c>
      <c r="Y68" s="4" t="e">
        <f>X68*(1+'Rhaniad y Ddeiliadaeth (Cymru)'!E$118)</f>
        <v>#VALUE!</v>
      </c>
      <c r="Z68" s="4" t="e">
        <f>Y68*(1+'Rhaniad y Ddeiliadaeth (Cymru)'!F$118)</f>
        <v>#VALUE!</v>
      </c>
      <c r="AA68" s="4" t="e">
        <f>Z68*(1+'Rhaniad y Ddeiliadaeth (Cymru)'!G$118)</f>
        <v>#VALUE!</v>
      </c>
      <c r="AC68" s="260">
        <v>74</v>
      </c>
      <c r="AD68" s="4">
        <f>IF('Rhaniad y Ddeiliadaeth (Cymru)'!$D$18="Data Cofrestrfa Tir",'Prisiau Tai (Gogledd)'!E68,'Prisiau Tai (Gogledd)'!W68)</f>
        <v>225320</v>
      </c>
      <c r="AE68" s="4">
        <f>IF('Rhaniad y Ddeiliadaeth (Cymru)'!$D$18="Data Cofrestrfa Tir",'Prisiau Tai (Gogledd)'!F68,'Prisiau Tai (Gogledd)'!X68)</f>
        <v>238456.15600000002</v>
      </c>
      <c r="AF68" s="4">
        <f>IF('Rhaniad y Ddeiliadaeth (Cymru)'!$D$18="Data Cofrestrfa Tir",'Prisiau Tai (Gogledd)'!G68,'Prisiau Tai (Gogledd)'!Y68)</f>
        <v>255299.96724057317</v>
      </c>
      <c r="AG68" s="4">
        <f>IF('Rhaniad y Ddeiliadaeth (Cymru)'!$D$18="Data Cofrestrfa Tir",'Prisiau Tai (Gogledd)'!H68,'Prisiau Tai (Gogledd)'!Z68)</f>
        <v>269193.61389121634</v>
      </c>
      <c r="AH68" s="4">
        <f>IF('Rhaniad y Ddeiliadaeth (Cymru)'!$D$18="Data Cofrestrfa Tir",'Prisiau Tai (Gogledd)'!I68,'Prisiau Tai (Gogledd)'!AA68)</f>
        <v>280549.20419093978</v>
      </c>
    </row>
    <row r="69" spans="2:34" x14ac:dyDescent="0.35">
      <c r="B69" s="251">
        <v>75</v>
      </c>
      <c r="C69" s="258">
        <v>211495</v>
      </c>
      <c r="D69" s="258">
        <v>217500</v>
      </c>
      <c r="E69" s="278">
        <f>D69*(1+'Rhaniad y Ddeiliadaeth (Gog)'!C$118)</f>
        <v>227940</v>
      </c>
      <c r="F69" s="278">
        <f>E69*(1+'Rhaniad y Ddeiliadaeth (Gog)'!D$118)</f>
        <v>241228.902</v>
      </c>
      <c r="G69" s="278">
        <f>F69*(1+'Rhaniad y Ddeiliadaeth (Gog)'!E$118)</f>
        <v>258268.57151081238</v>
      </c>
      <c r="H69" s="278">
        <f>G69*(1+'Rhaniad y Ddeiliadaeth (Gog)'!F$118)</f>
        <v>272323.77219227701</v>
      </c>
      <c r="I69" s="279">
        <f>H69*(1+'Rhaniad y Ddeiliadaeth (Gog)'!G$118)</f>
        <v>283811.40423967165</v>
      </c>
      <c r="M69" s="36" t="str">
        <f t="shared" si="4"/>
        <v/>
      </c>
      <c r="N69" s="202"/>
      <c r="O69" s="13">
        <f t="shared" ref="O69:O84" si="7">IF(ISBLANK(N69),1,0)</f>
        <v>1</v>
      </c>
      <c r="U69" s="1">
        <f t="shared" si="5"/>
        <v>75</v>
      </c>
      <c r="V69" s="4" t="str">
        <f t="shared" si="6"/>
        <v/>
      </c>
      <c r="W69" s="4" t="e">
        <f>IF($W$3=$N$3,N69,V69*(1+'Rhaniad y Ddeiliadaeth (Cymru)'!C$118))</f>
        <v>#VALUE!</v>
      </c>
      <c r="X69" s="4" t="e">
        <f>W69*(1+'Rhaniad y Ddeiliadaeth (Cymru)'!D$118)</f>
        <v>#VALUE!</v>
      </c>
      <c r="Y69" s="4" t="e">
        <f>X69*(1+'Rhaniad y Ddeiliadaeth (Cymru)'!E$118)</f>
        <v>#VALUE!</v>
      </c>
      <c r="Z69" s="4" t="e">
        <f>Y69*(1+'Rhaniad y Ddeiliadaeth (Cymru)'!F$118)</f>
        <v>#VALUE!</v>
      </c>
      <c r="AA69" s="4" t="e">
        <f>Z69*(1+'Rhaniad y Ddeiliadaeth (Cymru)'!G$118)</f>
        <v>#VALUE!</v>
      </c>
      <c r="AC69" s="260">
        <v>75</v>
      </c>
      <c r="AD69" s="4">
        <f>IF('Rhaniad y Ddeiliadaeth (Cymru)'!$D$18="Data Cofrestrfa Tir",'Prisiau Tai (Gogledd)'!E69,'Prisiau Tai (Gogledd)'!W69)</f>
        <v>227940</v>
      </c>
      <c r="AE69" s="4">
        <f>IF('Rhaniad y Ddeiliadaeth (Cymru)'!$D$18="Data Cofrestrfa Tir",'Prisiau Tai (Gogledd)'!F69,'Prisiau Tai (Gogledd)'!X69)</f>
        <v>241228.902</v>
      </c>
      <c r="AF69" s="4">
        <f>IF('Rhaniad y Ddeiliadaeth (Cymru)'!$D$18="Data Cofrestrfa Tir",'Prisiau Tai (Gogledd)'!G69,'Prisiau Tai (Gogledd)'!Y69)</f>
        <v>258268.57151081238</v>
      </c>
      <c r="AG69" s="4">
        <f>IF('Rhaniad y Ddeiliadaeth (Cymru)'!$D$18="Data Cofrestrfa Tir",'Prisiau Tai (Gogledd)'!H69,'Prisiau Tai (Gogledd)'!Z69)</f>
        <v>272323.77219227701</v>
      </c>
      <c r="AH69" s="4">
        <f>IF('Rhaniad y Ddeiliadaeth (Cymru)'!$D$18="Data Cofrestrfa Tir",'Prisiau Tai (Gogledd)'!I69,'Prisiau Tai (Gogledd)'!AA69)</f>
        <v>283811.40423967165</v>
      </c>
    </row>
    <row r="70" spans="2:34" x14ac:dyDescent="0.35">
      <c r="B70" s="251">
        <v>76</v>
      </c>
      <c r="C70" s="258">
        <v>215950</v>
      </c>
      <c r="D70" s="258">
        <v>220000</v>
      </c>
      <c r="E70" s="278">
        <f>D70*(1+'Rhaniad y Ddeiliadaeth (Gog)'!C$118)</f>
        <v>230560</v>
      </c>
      <c r="F70" s="278">
        <f>E70*(1+'Rhaniad y Ddeiliadaeth (Gog)'!D$118)</f>
        <v>244001.64800000002</v>
      </c>
      <c r="G70" s="278">
        <f>F70*(1+'Rhaniad y Ddeiliadaeth (Gog)'!E$118)</f>
        <v>261237.17578105163</v>
      </c>
      <c r="H70" s="278">
        <f>G70*(1+'Rhaniad y Ddeiliadaeth (Gog)'!F$118)</f>
        <v>275453.93049333768</v>
      </c>
      <c r="I70" s="279">
        <f>H70*(1+'Rhaniad y Ddeiliadaeth (Gog)'!G$118)</f>
        <v>287073.60428840353</v>
      </c>
      <c r="M70" s="36" t="str">
        <f t="shared" si="4"/>
        <v/>
      </c>
      <c r="N70" s="202"/>
      <c r="O70" s="13">
        <f t="shared" si="7"/>
        <v>1</v>
      </c>
      <c r="U70" s="1">
        <f t="shared" si="5"/>
        <v>76</v>
      </c>
      <c r="V70" s="4" t="str">
        <f t="shared" si="6"/>
        <v/>
      </c>
      <c r="W70" s="4" t="e">
        <f>IF($W$3=$N$3,N70,V70*(1+'Rhaniad y Ddeiliadaeth (Cymru)'!C$118))</f>
        <v>#VALUE!</v>
      </c>
      <c r="X70" s="4" t="e">
        <f>W70*(1+'Rhaniad y Ddeiliadaeth (Cymru)'!D$118)</f>
        <v>#VALUE!</v>
      </c>
      <c r="Y70" s="4" t="e">
        <f>X70*(1+'Rhaniad y Ddeiliadaeth (Cymru)'!E$118)</f>
        <v>#VALUE!</v>
      </c>
      <c r="Z70" s="4" t="e">
        <f>Y70*(1+'Rhaniad y Ddeiliadaeth (Cymru)'!F$118)</f>
        <v>#VALUE!</v>
      </c>
      <c r="AA70" s="4" t="e">
        <f>Z70*(1+'Rhaniad y Ddeiliadaeth (Cymru)'!G$118)</f>
        <v>#VALUE!</v>
      </c>
      <c r="AC70" s="260">
        <v>76</v>
      </c>
      <c r="AD70" s="4">
        <f>IF('Rhaniad y Ddeiliadaeth (Cymru)'!$D$18="Data Cofrestrfa Tir",'Prisiau Tai (Gogledd)'!E70,'Prisiau Tai (Gogledd)'!W70)</f>
        <v>230560</v>
      </c>
      <c r="AE70" s="4">
        <f>IF('Rhaniad y Ddeiliadaeth (Cymru)'!$D$18="Data Cofrestrfa Tir",'Prisiau Tai (Gogledd)'!F70,'Prisiau Tai (Gogledd)'!X70)</f>
        <v>244001.64800000002</v>
      </c>
      <c r="AF70" s="4">
        <f>IF('Rhaniad y Ddeiliadaeth (Cymru)'!$D$18="Data Cofrestrfa Tir",'Prisiau Tai (Gogledd)'!G70,'Prisiau Tai (Gogledd)'!Y70)</f>
        <v>261237.17578105163</v>
      </c>
      <c r="AG70" s="4">
        <f>IF('Rhaniad y Ddeiliadaeth (Cymru)'!$D$18="Data Cofrestrfa Tir",'Prisiau Tai (Gogledd)'!H70,'Prisiau Tai (Gogledd)'!Z70)</f>
        <v>275453.93049333768</v>
      </c>
      <c r="AH70" s="4">
        <f>IF('Rhaniad y Ddeiliadaeth (Cymru)'!$D$18="Data Cofrestrfa Tir",'Prisiau Tai (Gogledd)'!I70,'Prisiau Tai (Gogledd)'!AA70)</f>
        <v>287073.60428840353</v>
      </c>
    </row>
    <row r="71" spans="2:34" x14ac:dyDescent="0.35">
      <c r="B71" s="251">
        <v>77</v>
      </c>
      <c r="C71" s="258">
        <v>220000</v>
      </c>
      <c r="D71" s="258">
        <v>224995</v>
      </c>
      <c r="E71" s="278">
        <f>D71*(1+'Rhaniad y Ddeiliadaeth (Gog)'!C$118)</f>
        <v>235794.76</v>
      </c>
      <c r="F71" s="278">
        <f>E71*(1+'Rhaniad y Ddeiliadaeth (Gog)'!D$118)</f>
        <v>249541.59450800001</v>
      </c>
      <c r="G71" s="278">
        <f>F71*(1+'Rhaniad y Ddeiliadaeth (Gog)'!E$118)</f>
        <v>267168.44711298955</v>
      </c>
      <c r="H71" s="278">
        <f>G71*(1+'Rhaniad y Ddeiliadaeth (Gog)'!F$118)</f>
        <v>281707.98677885684</v>
      </c>
      <c r="I71" s="279">
        <f>H71*(1+'Rhaniad y Ddeiliadaeth (Gog)'!G$118)</f>
        <v>293591.47998576972</v>
      </c>
      <c r="M71" s="36" t="str">
        <f t="shared" si="4"/>
        <v/>
      </c>
      <c r="N71" s="202"/>
      <c r="O71" s="13">
        <f t="shared" si="7"/>
        <v>1</v>
      </c>
      <c r="U71" s="1">
        <f t="shared" si="5"/>
        <v>77</v>
      </c>
      <c r="V71" s="4" t="str">
        <f t="shared" si="6"/>
        <v/>
      </c>
      <c r="W71" s="4" t="e">
        <f>IF($W$3=$N$3,N71,V71*(1+'Rhaniad y Ddeiliadaeth (Cymru)'!C$118))</f>
        <v>#VALUE!</v>
      </c>
      <c r="X71" s="4" t="e">
        <f>W71*(1+'Rhaniad y Ddeiliadaeth (Cymru)'!D$118)</f>
        <v>#VALUE!</v>
      </c>
      <c r="Y71" s="4" t="e">
        <f>X71*(1+'Rhaniad y Ddeiliadaeth (Cymru)'!E$118)</f>
        <v>#VALUE!</v>
      </c>
      <c r="Z71" s="4" t="e">
        <f>Y71*(1+'Rhaniad y Ddeiliadaeth (Cymru)'!F$118)</f>
        <v>#VALUE!</v>
      </c>
      <c r="AA71" s="4" t="e">
        <f>Z71*(1+'Rhaniad y Ddeiliadaeth (Cymru)'!G$118)</f>
        <v>#VALUE!</v>
      </c>
      <c r="AC71" s="260">
        <v>77</v>
      </c>
      <c r="AD71" s="4">
        <f>IF('Rhaniad y Ddeiliadaeth (Cymru)'!$D$18="Data Cofrestrfa Tir",'Prisiau Tai (Gogledd)'!E71,'Prisiau Tai (Gogledd)'!W71)</f>
        <v>235794.76</v>
      </c>
      <c r="AE71" s="4">
        <f>IF('Rhaniad y Ddeiliadaeth (Cymru)'!$D$18="Data Cofrestrfa Tir",'Prisiau Tai (Gogledd)'!F71,'Prisiau Tai (Gogledd)'!X71)</f>
        <v>249541.59450800001</v>
      </c>
      <c r="AF71" s="4">
        <f>IF('Rhaniad y Ddeiliadaeth (Cymru)'!$D$18="Data Cofrestrfa Tir",'Prisiau Tai (Gogledd)'!G71,'Prisiau Tai (Gogledd)'!Y71)</f>
        <v>267168.44711298955</v>
      </c>
      <c r="AG71" s="4">
        <f>IF('Rhaniad y Ddeiliadaeth (Cymru)'!$D$18="Data Cofrestrfa Tir",'Prisiau Tai (Gogledd)'!H71,'Prisiau Tai (Gogledd)'!Z71)</f>
        <v>281707.98677885684</v>
      </c>
      <c r="AH71" s="4">
        <f>IF('Rhaniad y Ddeiliadaeth (Cymru)'!$D$18="Data Cofrestrfa Tir",'Prisiau Tai (Gogledd)'!I71,'Prisiau Tai (Gogledd)'!AA71)</f>
        <v>293591.47998576972</v>
      </c>
    </row>
    <row r="72" spans="2:34" x14ac:dyDescent="0.35">
      <c r="B72" s="251">
        <v>78</v>
      </c>
      <c r="C72" s="258">
        <v>224950</v>
      </c>
      <c r="D72" s="258">
        <v>228000</v>
      </c>
      <c r="E72" s="278">
        <f>D72*(1+'Rhaniad y Ddeiliadaeth (Gog)'!C$118)</f>
        <v>238944</v>
      </c>
      <c r="F72" s="278">
        <f>E72*(1+'Rhaniad y Ddeiliadaeth (Gog)'!D$118)</f>
        <v>252874.43520000001</v>
      </c>
      <c r="G72" s="278">
        <f>F72*(1+'Rhaniad y Ddeiliadaeth (Gog)'!E$118)</f>
        <v>270736.70944581711</v>
      </c>
      <c r="H72" s="278">
        <f>G72*(1+'Rhaniad y Ddeiliadaeth (Gog)'!F$118)</f>
        <v>285470.43705673172</v>
      </c>
      <c r="I72" s="279">
        <f>H72*(1+'Rhaniad y Ddeiliadaeth (Gog)'!G$118)</f>
        <v>297512.64444434538</v>
      </c>
      <c r="M72" s="36" t="str">
        <f t="shared" si="4"/>
        <v/>
      </c>
      <c r="N72" s="202"/>
      <c r="O72" s="13">
        <f t="shared" si="7"/>
        <v>1</v>
      </c>
      <c r="U72" s="1">
        <f t="shared" si="5"/>
        <v>78</v>
      </c>
      <c r="V72" s="4" t="str">
        <f t="shared" si="6"/>
        <v/>
      </c>
      <c r="W72" s="4" t="e">
        <f>IF($W$3=$N$3,N72,V72*(1+'Rhaniad y Ddeiliadaeth (Cymru)'!C$118))</f>
        <v>#VALUE!</v>
      </c>
      <c r="X72" s="4" t="e">
        <f>W72*(1+'Rhaniad y Ddeiliadaeth (Cymru)'!D$118)</f>
        <v>#VALUE!</v>
      </c>
      <c r="Y72" s="4" t="e">
        <f>X72*(1+'Rhaniad y Ddeiliadaeth (Cymru)'!E$118)</f>
        <v>#VALUE!</v>
      </c>
      <c r="Z72" s="4" t="e">
        <f>Y72*(1+'Rhaniad y Ddeiliadaeth (Cymru)'!F$118)</f>
        <v>#VALUE!</v>
      </c>
      <c r="AA72" s="4" t="e">
        <f>Z72*(1+'Rhaniad y Ddeiliadaeth (Cymru)'!G$118)</f>
        <v>#VALUE!</v>
      </c>
      <c r="AC72" s="260">
        <v>78</v>
      </c>
      <c r="AD72" s="4">
        <f>IF('Rhaniad y Ddeiliadaeth (Cymru)'!$D$18="Data Cofrestrfa Tir",'Prisiau Tai (Gogledd)'!E72,'Prisiau Tai (Gogledd)'!W72)</f>
        <v>238944</v>
      </c>
      <c r="AE72" s="4">
        <f>IF('Rhaniad y Ddeiliadaeth (Cymru)'!$D$18="Data Cofrestrfa Tir",'Prisiau Tai (Gogledd)'!F72,'Prisiau Tai (Gogledd)'!X72)</f>
        <v>252874.43520000001</v>
      </c>
      <c r="AF72" s="4">
        <f>IF('Rhaniad y Ddeiliadaeth (Cymru)'!$D$18="Data Cofrestrfa Tir",'Prisiau Tai (Gogledd)'!G72,'Prisiau Tai (Gogledd)'!Y72)</f>
        <v>270736.70944581711</v>
      </c>
      <c r="AG72" s="4">
        <f>IF('Rhaniad y Ddeiliadaeth (Cymru)'!$D$18="Data Cofrestrfa Tir",'Prisiau Tai (Gogledd)'!H72,'Prisiau Tai (Gogledd)'!Z72)</f>
        <v>285470.43705673172</v>
      </c>
      <c r="AH72" s="4">
        <f>IF('Rhaniad y Ddeiliadaeth (Cymru)'!$D$18="Data Cofrestrfa Tir",'Prisiau Tai (Gogledd)'!I72,'Prisiau Tai (Gogledd)'!AA72)</f>
        <v>297512.64444434538</v>
      </c>
    </row>
    <row r="73" spans="2:34" x14ac:dyDescent="0.35">
      <c r="B73" s="251">
        <v>79</v>
      </c>
      <c r="C73" s="258">
        <v>229950</v>
      </c>
      <c r="D73" s="258">
        <v>230000</v>
      </c>
      <c r="E73" s="278">
        <f>D73*(1+'Rhaniad y Ddeiliadaeth (Gog)'!C$118)</f>
        <v>241040</v>
      </c>
      <c r="F73" s="278">
        <f>E73*(1+'Rhaniad y Ddeiliadaeth (Gog)'!D$118)</f>
        <v>255092.63200000001</v>
      </c>
      <c r="G73" s="278">
        <f>F73*(1+'Rhaniad y Ddeiliadaeth (Gog)'!E$118)</f>
        <v>273111.59286200849</v>
      </c>
      <c r="H73" s="278">
        <f>G73*(1+'Rhaniad y Ddeiliadaeth (Gog)'!F$118)</f>
        <v>287974.56369758025</v>
      </c>
      <c r="I73" s="279">
        <f>H73*(1+'Rhaniad y Ddeiliadaeth (Gog)'!G$118)</f>
        <v>300122.4044833309</v>
      </c>
      <c r="M73" s="36" t="str">
        <f t="shared" si="4"/>
        <v/>
      </c>
      <c r="N73" s="202"/>
      <c r="O73" s="13">
        <f t="shared" si="7"/>
        <v>1</v>
      </c>
      <c r="U73" s="1">
        <f t="shared" si="5"/>
        <v>79</v>
      </c>
      <c r="V73" s="4" t="str">
        <f t="shared" si="6"/>
        <v/>
      </c>
      <c r="W73" s="4" t="e">
        <f>IF($W$3=$N$3,N73,V73*(1+'Rhaniad y Ddeiliadaeth (Cymru)'!C$118))</f>
        <v>#VALUE!</v>
      </c>
      <c r="X73" s="4" t="e">
        <f>W73*(1+'Rhaniad y Ddeiliadaeth (Cymru)'!D$118)</f>
        <v>#VALUE!</v>
      </c>
      <c r="Y73" s="4" t="e">
        <f>X73*(1+'Rhaniad y Ddeiliadaeth (Cymru)'!E$118)</f>
        <v>#VALUE!</v>
      </c>
      <c r="Z73" s="4" t="e">
        <f>Y73*(1+'Rhaniad y Ddeiliadaeth (Cymru)'!F$118)</f>
        <v>#VALUE!</v>
      </c>
      <c r="AA73" s="4" t="e">
        <f>Z73*(1+'Rhaniad y Ddeiliadaeth (Cymru)'!G$118)</f>
        <v>#VALUE!</v>
      </c>
      <c r="AC73" s="260">
        <v>79</v>
      </c>
      <c r="AD73" s="4">
        <f>IF('Rhaniad y Ddeiliadaeth (Cymru)'!$D$18="Data Cofrestrfa Tir",'Prisiau Tai (Gogledd)'!E73,'Prisiau Tai (Gogledd)'!W73)</f>
        <v>241040</v>
      </c>
      <c r="AE73" s="4">
        <f>IF('Rhaniad y Ddeiliadaeth (Cymru)'!$D$18="Data Cofrestrfa Tir",'Prisiau Tai (Gogledd)'!F73,'Prisiau Tai (Gogledd)'!X73)</f>
        <v>255092.63200000001</v>
      </c>
      <c r="AF73" s="4">
        <f>IF('Rhaniad y Ddeiliadaeth (Cymru)'!$D$18="Data Cofrestrfa Tir",'Prisiau Tai (Gogledd)'!G73,'Prisiau Tai (Gogledd)'!Y73)</f>
        <v>273111.59286200849</v>
      </c>
      <c r="AG73" s="4">
        <f>IF('Rhaniad y Ddeiliadaeth (Cymru)'!$D$18="Data Cofrestrfa Tir",'Prisiau Tai (Gogledd)'!H73,'Prisiau Tai (Gogledd)'!Z73)</f>
        <v>287974.56369758025</v>
      </c>
      <c r="AH73" s="4">
        <f>IF('Rhaniad y Ddeiliadaeth (Cymru)'!$D$18="Data Cofrestrfa Tir",'Prisiau Tai (Gogledd)'!I73,'Prisiau Tai (Gogledd)'!AA73)</f>
        <v>300122.4044833309</v>
      </c>
    </row>
    <row r="74" spans="2:34" x14ac:dyDescent="0.35">
      <c r="B74" s="251">
        <v>80</v>
      </c>
      <c r="C74" s="258">
        <v>232000</v>
      </c>
      <c r="D74" s="258">
        <v>235000</v>
      </c>
      <c r="E74" s="278">
        <f>D74*(1+'Rhaniad y Ddeiliadaeth (Gog)'!C$118)</f>
        <v>246280</v>
      </c>
      <c r="F74" s="278">
        <f>E74*(1+'Rhaniad y Ddeiliadaeth (Gog)'!D$118)</f>
        <v>260638.12400000001</v>
      </c>
      <c r="G74" s="278">
        <f>F74*(1+'Rhaniad y Ddeiliadaeth (Gog)'!E$118)</f>
        <v>279048.80140248698</v>
      </c>
      <c r="H74" s="278">
        <f>G74*(1+'Rhaniad y Ddeiliadaeth (Gog)'!F$118)</f>
        <v>294234.88029970165</v>
      </c>
      <c r="I74" s="279">
        <f>H74*(1+'Rhaniad y Ddeiliadaeth (Gog)'!G$118)</f>
        <v>306646.80458079471</v>
      </c>
      <c r="M74" s="36" t="str">
        <f t="shared" si="4"/>
        <v/>
      </c>
      <c r="N74" s="202"/>
      <c r="O74" s="13">
        <f t="shared" si="7"/>
        <v>1</v>
      </c>
      <c r="U74" s="1">
        <f t="shared" si="5"/>
        <v>80</v>
      </c>
      <c r="V74" s="4" t="str">
        <f t="shared" si="6"/>
        <v/>
      </c>
      <c r="W74" s="4" t="e">
        <f>IF($W$3=$N$3,N74,V74*(1+'Rhaniad y Ddeiliadaeth (Cymru)'!C$118))</f>
        <v>#VALUE!</v>
      </c>
      <c r="X74" s="4" t="e">
        <f>W74*(1+'Rhaniad y Ddeiliadaeth (Cymru)'!D$118)</f>
        <v>#VALUE!</v>
      </c>
      <c r="Y74" s="4" t="e">
        <f>X74*(1+'Rhaniad y Ddeiliadaeth (Cymru)'!E$118)</f>
        <v>#VALUE!</v>
      </c>
      <c r="Z74" s="4" t="e">
        <f>Y74*(1+'Rhaniad y Ddeiliadaeth (Cymru)'!F$118)</f>
        <v>#VALUE!</v>
      </c>
      <c r="AA74" s="4" t="e">
        <f>Z74*(1+'Rhaniad y Ddeiliadaeth (Cymru)'!G$118)</f>
        <v>#VALUE!</v>
      </c>
      <c r="AC74" s="260">
        <v>80</v>
      </c>
      <c r="AD74" s="4">
        <f>IF('Rhaniad y Ddeiliadaeth (Cymru)'!$D$18="Data Cofrestrfa Tir",'Prisiau Tai (Gogledd)'!E74,'Prisiau Tai (Gogledd)'!W74)</f>
        <v>246280</v>
      </c>
      <c r="AE74" s="4">
        <f>IF('Rhaniad y Ddeiliadaeth (Cymru)'!$D$18="Data Cofrestrfa Tir",'Prisiau Tai (Gogledd)'!F74,'Prisiau Tai (Gogledd)'!X74)</f>
        <v>260638.12400000001</v>
      </c>
      <c r="AF74" s="4">
        <f>IF('Rhaniad y Ddeiliadaeth (Cymru)'!$D$18="Data Cofrestrfa Tir",'Prisiau Tai (Gogledd)'!G74,'Prisiau Tai (Gogledd)'!Y74)</f>
        <v>279048.80140248698</v>
      </c>
      <c r="AG74" s="4">
        <f>IF('Rhaniad y Ddeiliadaeth (Cymru)'!$D$18="Data Cofrestrfa Tir",'Prisiau Tai (Gogledd)'!H74,'Prisiau Tai (Gogledd)'!Z74)</f>
        <v>294234.88029970165</v>
      </c>
      <c r="AH74" s="4">
        <f>IF('Rhaniad y Ddeiliadaeth (Cymru)'!$D$18="Data Cofrestrfa Tir",'Prisiau Tai (Gogledd)'!I74,'Prisiau Tai (Gogledd)'!AA74)</f>
        <v>306646.80458079471</v>
      </c>
    </row>
    <row r="75" spans="2:34" x14ac:dyDescent="0.35">
      <c r="B75" s="251">
        <v>81</v>
      </c>
      <c r="C75" s="258">
        <v>237000</v>
      </c>
      <c r="D75" s="258">
        <v>240000</v>
      </c>
      <c r="E75" s="278">
        <f>D75*(1+'Rhaniad y Ddeiliadaeth (Gog)'!C$118)</f>
        <v>251520</v>
      </c>
      <c r="F75" s="278">
        <f>E75*(1+'Rhaniad y Ddeiliadaeth (Gog)'!D$118)</f>
        <v>266183.61599999998</v>
      </c>
      <c r="G75" s="278">
        <f>F75*(1+'Rhaniad y Ddeiliadaeth (Gog)'!E$118)</f>
        <v>284986.00994296535</v>
      </c>
      <c r="H75" s="278">
        <f>G75*(1+'Rhaniad y Ddeiliadaeth (Gog)'!F$118)</f>
        <v>300495.19690182287</v>
      </c>
      <c r="I75" s="279">
        <f>H75*(1+'Rhaniad y Ddeiliadaeth (Gog)'!G$118)</f>
        <v>313171.20467825828</v>
      </c>
      <c r="M75" s="36" t="str">
        <f t="shared" si="4"/>
        <v/>
      </c>
      <c r="N75" s="202"/>
      <c r="O75" s="13">
        <f t="shared" si="7"/>
        <v>1</v>
      </c>
      <c r="U75" s="1">
        <f t="shared" si="5"/>
        <v>81</v>
      </c>
      <c r="V75" s="4" t="str">
        <f t="shared" si="6"/>
        <v/>
      </c>
      <c r="W75" s="4" t="e">
        <f>IF($W$3=$N$3,N75,V75*(1+'Rhaniad y Ddeiliadaeth (Cymru)'!C$118))</f>
        <v>#VALUE!</v>
      </c>
      <c r="X75" s="4" t="e">
        <f>W75*(1+'Rhaniad y Ddeiliadaeth (Cymru)'!D$118)</f>
        <v>#VALUE!</v>
      </c>
      <c r="Y75" s="4" t="e">
        <f>X75*(1+'Rhaniad y Ddeiliadaeth (Cymru)'!E$118)</f>
        <v>#VALUE!</v>
      </c>
      <c r="Z75" s="4" t="e">
        <f>Y75*(1+'Rhaniad y Ddeiliadaeth (Cymru)'!F$118)</f>
        <v>#VALUE!</v>
      </c>
      <c r="AA75" s="4" t="e">
        <f>Z75*(1+'Rhaniad y Ddeiliadaeth (Cymru)'!G$118)</f>
        <v>#VALUE!</v>
      </c>
      <c r="AC75" s="260">
        <v>81</v>
      </c>
      <c r="AD75" s="4">
        <f>IF('Rhaniad y Ddeiliadaeth (Cymru)'!$D$18="Data Cofrestrfa Tir",'Prisiau Tai (Gogledd)'!E75,'Prisiau Tai (Gogledd)'!W75)</f>
        <v>251520</v>
      </c>
      <c r="AE75" s="4">
        <f>IF('Rhaniad y Ddeiliadaeth (Cymru)'!$D$18="Data Cofrestrfa Tir",'Prisiau Tai (Gogledd)'!F75,'Prisiau Tai (Gogledd)'!X75)</f>
        <v>266183.61599999998</v>
      </c>
      <c r="AF75" s="4">
        <f>IF('Rhaniad y Ddeiliadaeth (Cymru)'!$D$18="Data Cofrestrfa Tir",'Prisiau Tai (Gogledd)'!G75,'Prisiau Tai (Gogledd)'!Y75)</f>
        <v>284986.00994296535</v>
      </c>
      <c r="AG75" s="4">
        <f>IF('Rhaniad y Ddeiliadaeth (Cymru)'!$D$18="Data Cofrestrfa Tir",'Prisiau Tai (Gogledd)'!H75,'Prisiau Tai (Gogledd)'!Z75)</f>
        <v>300495.19690182287</v>
      </c>
      <c r="AH75" s="4">
        <f>IF('Rhaniad y Ddeiliadaeth (Cymru)'!$D$18="Data Cofrestrfa Tir",'Prisiau Tai (Gogledd)'!I75,'Prisiau Tai (Gogledd)'!AA75)</f>
        <v>313171.20467825828</v>
      </c>
    </row>
    <row r="76" spans="2:34" x14ac:dyDescent="0.35">
      <c r="B76" s="251">
        <v>82</v>
      </c>
      <c r="C76" s="258">
        <v>240672.79999999984</v>
      </c>
      <c r="D76" s="258">
        <v>245000</v>
      </c>
      <c r="E76" s="278">
        <f>D76*(1+'Rhaniad y Ddeiliadaeth (Gog)'!C$118)</f>
        <v>256760</v>
      </c>
      <c r="F76" s="278">
        <f>E76*(1+'Rhaniad y Ddeiliadaeth (Gog)'!D$118)</f>
        <v>271729.10800000001</v>
      </c>
      <c r="G76" s="278">
        <f>F76*(1+'Rhaniad y Ddeiliadaeth (Gog)'!E$118)</f>
        <v>290923.21848344384</v>
      </c>
      <c r="H76" s="278">
        <f>G76*(1+'Rhaniad y Ddeiliadaeth (Gog)'!F$118)</f>
        <v>306755.51350394421</v>
      </c>
      <c r="I76" s="279">
        <f>H76*(1+'Rhaniad y Ddeiliadaeth (Gog)'!G$118)</f>
        <v>319695.60477572202</v>
      </c>
      <c r="M76" s="36" t="str">
        <f t="shared" si="4"/>
        <v/>
      </c>
      <c r="N76" s="202"/>
      <c r="O76" s="13">
        <f t="shared" si="7"/>
        <v>1</v>
      </c>
      <c r="U76" s="1">
        <f t="shared" si="5"/>
        <v>82</v>
      </c>
      <c r="V76" s="4" t="str">
        <f t="shared" si="6"/>
        <v/>
      </c>
      <c r="W76" s="4" t="e">
        <f>IF($W$3=$N$3,N76,V76*(1+'Rhaniad y Ddeiliadaeth (Cymru)'!C$118))</f>
        <v>#VALUE!</v>
      </c>
      <c r="X76" s="4" t="e">
        <f>W76*(1+'Rhaniad y Ddeiliadaeth (Cymru)'!D$118)</f>
        <v>#VALUE!</v>
      </c>
      <c r="Y76" s="4" t="e">
        <f>X76*(1+'Rhaniad y Ddeiliadaeth (Cymru)'!E$118)</f>
        <v>#VALUE!</v>
      </c>
      <c r="Z76" s="4" t="e">
        <f>Y76*(1+'Rhaniad y Ddeiliadaeth (Cymru)'!F$118)</f>
        <v>#VALUE!</v>
      </c>
      <c r="AA76" s="4" t="e">
        <f>Z76*(1+'Rhaniad y Ddeiliadaeth (Cymru)'!G$118)</f>
        <v>#VALUE!</v>
      </c>
      <c r="AC76" s="260">
        <v>82</v>
      </c>
      <c r="AD76" s="4">
        <f>IF('Rhaniad y Ddeiliadaeth (Cymru)'!$D$18="Data Cofrestrfa Tir",'Prisiau Tai (Gogledd)'!E76,'Prisiau Tai (Gogledd)'!W76)</f>
        <v>256760</v>
      </c>
      <c r="AE76" s="4">
        <f>IF('Rhaniad y Ddeiliadaeth (Cymru)'!$D$18="Data Cofrestrfa Tir",'Prisiau Tai (Gogledd)'!F76,'Prisiau Tai (Gogledd)'!X76)</f>
        <v>271729.10800000001</v>
      </c>
      <c r="AF76" s="4">
        <f>IF('Rhaniad y Ddeiliadaeth (Cymru)'!$D$18="Data Cofrestrfa Tir",'Prisiau Tai (Gogledd)'!G76,'Prisiau Tai (Gogledd)'!Y76)</f>
        <v>290923.21848344384</v>
      </c>
      <c r="AG76" s="4">
        <f>IF('Rhaniad y Ddeiliadaeth (Cymru)'!$D$18="Data Cofrestrfa Tir",'Prisiau Tai (Gogledd)'!H76,'Prisiau Tai (Gogledd)'!Z76)</f>
        <v>306755.51350394421</v>
      </c>
      <c r="AH76" s="4">
        <f>IF('Rhaniad y Ddeiliadaeth (Cymru)'!$D$18="Data Cofrestrfa Tir",'Prisiau Tai (Gogledd)'!I76,'Prisiau Tai (Gogledd)'!AA76)</f>
        <v>319695.60477572202</v>
      </c>
    </row>
    <row r="77" spans="2:34" x14ac:dyDescent="0.35">
      <c r="B77" s="251">
        <v>83</v>
      </c>
      <c r="C77" s="258">
        <v>246000</v>
      </c>
      <c r="D77" s="258">
        <v>249950</v>
      </c>
      <c r="E77" s="278">
        <f>D77*(1+'Rhaniad y Ddeiliadaeth (Gog)'!C$118)</f>
        <v>261947.6</v>
      </c>
      <c r="F77" s="278">
        <f>E77*(1+'Rhaniad y Ddeiliadaeth (Gog)'!D$118)</f>
        <v>277219.14507999999</v>
      </c>
      <c r="G77" s="278">
        <f>F77*(1+'Rhaniad y Ddeiliadaeth (Gog)'!E$118)</f>
        <v>296801.05493851745</v>
      </c>
      <c r="H77" s="278">
        <f>G77*(1+'Rhaniad y Ddeiliadaeth (Gog)'!F$118)</f>
        <v>312953.22694004426</v>
      </c>
      <c r="I77" s="279">
        <f>H77*(1+'Rhaniad y Ddeiliadaeth (Gog)'!G$118)</f>
        <v>326154.76087221107</v>
      </c>
      <c r="M77" s="36" t="str">
        <f t="shared" si="4"/>
        <v/>
      </c>
      <c r="N77" s="202"/>
      <c r="O77" s="13">
        <f t="shared" si="7"/>
        <v>1</v>
      </c>
      <c r="U77" s="1">
        <f t="shared" si="5"/>
        <v>83</v>
      </c>
      <c r="V77" s="4" t="str">
        <f t="shared" si="6"/>
        <v/>
      </c>
      <c r="W77" s="4" t="e">
        <f>IF($W$3=$N$3,N77,V77*(1+'Rhaniad y Ddeiliadaeth (Cymru)'!C$118))</f>
        <v>#VALUE!</v>
      </c>
      <c r="X77" s="4" t="e">
        <f>W77*(1+'Rhaniad y Ddeiliadaeth (Cymru)'!D$118)</f>
        <v>#VALUE!</v>
      </c>
      <c r="Y77" s="4" t="e">
        <f>X77*(1+'Rhaniad y Ddeiliadaeth (Cymru)'!E$118)</f>
        <v>#VALUE!</v>
      </c>
      <c r="Z77" s="4" t="e">
        <f>Y77*(1+'Rhaniad y Ddeiliadaeth (Cymru)'!F$118)</f>
        <v>#VALUE!</v>
      </c>
      <c r="AA77" s="4" t="e">
        <f>Z77*(1+'Rhaniad y Ddeiliadaeth (Cymru)'!G$118)</f>
        <v>#VALUE!</v>
      </c>
      <c r="AC77" s="260">
        <v>83</v>
      </c>
      <c r="AD77" s="4">
        <f>IF('Rhaniad y Ddeiliadaeth (Cymru)'!$D$18="Data Cofrestrfa Tir",'Prisiau Tai (Gogledd)'!E77,'Prisiau Tai (Gogledd)'!W77)</f>
        <v>261947.6</v>
      </c>
      <c r="AE77" s="4">
        <f>IF('Rhaniad y Ddeiliadaeth (Cymru)'!$D$18="Data Cofrestrfa Tir",'Prisiau Tai (Gogledd)'!F77,'Prisiau Tai (Gogledd)'!X77)</f>
        <v>277219.14507999999</v>
      </c>
      <c r="AF77" s="4">
        <f>IF('Rhaniad y Ddeiliadaeth (Cymru)'!$D$18="Data Cofrestrfa Tir",'Prisiau Tai (Gogledd)'!G77,'Prisiau Tai (Gogledd)'!Y77)</f>
        <v>296801.05493851745</v>
      </c>
      <c r="AG77" s="4">
        <f>IF('Rhaniad y Ddeiliadaeth (Cymru)'!$D$18="Data Cofrestrfa Tir",'Prisiau Tai (Gogledd)'!H77,'Prisiau Tai (Gogledd)'!Z77)</f>
        <v>312953.22694004426</v>
      </c>
      <c r="AH77" s="4">
        <f>IF('Rhaniad y Ddeiliadaeth (Cymru)'!$D$18="Data Cofrestrfa Tir",'Prisiau Tai (Gogledd)'!I77,'Prisiau Tai (Gogledd)'!AA77)</f>
        <v>326154.76087221107</v>
      </c>
    </row>
    <row r="78" spans="2:34" x14ac:dyDescent="0.35">
      <c r="B78" s="251">
        <v>84</v>
      </c>
      <c r="C78" s="258">
        <v>250000</v>
      </c>
      <c r="D78" s="258">
        <v>253112.00000000373</v>
      </c>
      <c r="E78" s="278">
        <f>D78*(1+'Rhaniad y Ddeiliadaeth (Gog)'!C$118)</f>
        <v>265261.37600000389</v>
      </c>
      <c r="F78" s="278">
        <f>E78*(1+'Rhaniad y Ddeiliadaeth (Gog)'!D$118)</f>
        <v>280726.11422080413</v>
      </c>
      <c r="G78" s="278">
        <f>F78*(1+'Rhaniad y Ddeiliadaeth (Gog)'!E$118)</f>
        <v>300555.74561952049</v>
      </c>
      <c r="H78" s="278">
        <f>G78*(1+'Rhaniad y Ddeiliadaeth (Gog)'!F$118)</f>
        <v>316912.25115923048</v>
      </c>
      <c r="I78" s="279">
        <f>H78*(1+'Rhaniad y Ddeiliadaeth (Gog)'!G$118)</f>
        <v>330280.79149385204</v>
      </c>
      <c r="M78" s="36" t="str">
        <f t="shared" si="4"/>
        <v/>
      </c>
      <c r="N78" s="202"/>
      <c r="O78" s="13">
        <f t="shared" si="7"/>
        <v>1</v>
      </c>
      <c r="U78" s="1">
        <f t="shared" si="5"/>
        <v>84</v>
      </c>
      <c r="V78" s="4" t="str">
        <f t="shared" si="6"/>
        <v/>
      </c>
      <c r="W78" s="4" t="e">
        <f>IF($W$3=$N$3,N78,V78*(1+'Rhaniad y Ddeiliadaeth (Cymru)'!C$118))</f>
        <v>#VALUE!</v>
      </c>
      <c r="X78" s="4" t="e">
        <f>W78*(1+'Rhaniad y Ddeiliadaeth (Cymru)'!D$118)</f>
        <v>#VALUE!</v>
      </c>
      <c r="Y78" s="4" t="e">
        <f>X78*(1+'Rhaniad y Ddeiliadaeth (Cymru)'!E$118)</f>
        <v>#VALUE!</v>
      </c>
      <c r="Z78" s="4" t="e">
        <f>Y78*(1+'Rhaniad y Ddeiliadaeth (Cymru)'!F$118)</f>
        <v>#VALUE!</v>
      </c>
      <c r="AA78" s="4" t="e">
        <f>Z78*(1+'Rhaniad y Ddeiliadaeth (Cymru)'!G$118)</f>
        <v>#VALUE!</v>
      </c>
      <c r="AC78" s="260">
        <v>84</v>
      </c>
      <c r="AD78" s="4">
        <f>IF('Rhaniad y Ddeiliadaeth (Cymru)'!$D$18="Data Cofrestrfa Tir",'Prisiau Tai (Gogledd)'!E78,'Prisiau Tai (Gogledd)'!W78)</f>
        <v>265261.37600000389</v>
      </c>
      <c r="AE78" s="4">
        <f>IF('Rhaniad y Ddeiliadaeth (Cymru)'!$D$18="Data Cofrestrfa Tir",'Prisiau Tai (Gogledd)'!F78,'Prisiau Tai (Gogledd)'!X78)</f>
        <v>280726.11422080413</v>
      </c>
      <c r="AF78" s="4">
        <f>IF('Rhaniad y Ddeiliadaeth (Cymru)'!$D$18="Data Cofrestrfa Tir",'Prisiau Tai (Gogledd)'!G78,'Prisiau Tai (Gogledd)'!Y78)</f>
        <v>300555.74561952049</v>
      </c>
      <c r="AG78" s="4">
        <f>IF('Rhaniad y Ddeiliadaeth (Cymru)'!$D$18="Data Cofrestrfa Tir",'Prisiau Tai (Gogledd)'!H78,'Prisiau Tai (Gogledd)'!Z78)</f>
        <v>316912.25115923048</v>
      </c>
      <c r="AH78" s="4">
        <f>IF('Rhaniad y Ddeiliadaeth (Cymru)'!$D$18="Data Cofrestrfa Tir",'Prisiau Tai (Gogledd)'!I78,'Prisiau Tai (Gogledd)'!AA78)</f>
        <v>330280.79149385204</v>
      </c>
    </row>
    <row r="79" spans="2:34" x14ac:dyDescent="0.35">
      <c r="B79" s="251">
        <v>85</v>
      </c>
      <c r="C79" s="258">
        <v>255500</v>
      </c>
      <c r="D79" s="258">
        <v>260000</v>
      </c>
      <c r="E79" s="278">
        <f>D79*(1+'Rhaniad y Ddeiliadaeth (Gog)'!C$118)</f>
        <v>272480</v>
      </c>
      <c r="F79" s="278">
        <f>E79*(1+'Rhaniad y Ddeiliadaeth (Gog)'!D$118)</f>
        <v>288365.58400000003</v>
      </c>
      <c r="G79" s="278">
        <f>F79*(1+'Rhaniad y Ddeiliadaeth (Gog)'!E$118)</f>
        <v>308734.84410487919</v>
      </c>
      <c r="H79" s="278">
        <f>G79*(1+'Rhaniad y Ddeiliadaeth (Gog)'!F$118)</f>
        <v>325536.46331030817</v>
      </c>
      <c r="I79" s="279">
        <f>H79*(1+'Rhaniad y Ddeiliadaeth (Gog)'!G$118)</f>
        <v>339268.8050681132</v>
      </c>
      <c r="M79" s="36" t="str">
        <f t="shared" si="4"/>
        <v/>
      </c>
      <c r="N79" s="202"/>
      <c r="O79" s="13">
        <f t="shared" si="7"/>
        <v>1</v>
      </c>
      <c r="U79" s="1">
        <f t="shared" si="5"/>
        <v>85</v>
      </c>
      <c r="V79" s="4" t="str">
        <f t="shared" si="6"/>
        <v/>
      </c>
      <c r="W79" s="4" t="e">
        <f>IF($W$3=$N$3,N79,V79*(1+'Rhaniad y Ddeiliadaeth (Cymru)'!C$118))</f>
        <v>#VALUE!</v>
      </c>
      <c r="X79" s="4" t="e">
        <f>W79*(1+'Rhaniad y Ddeiliadaeth (Cymru)'!D$118)</f>
        <v>#VALUE!</v>
      </c>
      <c r="Y79" s="4" t="e">
        <f>X79*(1+'Rhaniad y Ddeiliadaeth (Cymru)'!E$118)</f>
        <v>#VALUE!</v>
      </c>
      <c r="Z79" s="4" t="e">
        <f>Y79*(1+'Rhaniad y Ddeiliadaeth (Cymru)'!F$118)</f>
        <v>#VALUE!</v>
      </c>
      <c r="AA79" s="4" t="e">
        <f>Z79*(1+'Rhaniad y Ddeiliadaeth (Cymru)'!G$118)</f>
        <v>#VALUE!</v>
      </c>
      <c r="AC79" s="260">
        <v>85</v>
      </c>
      <c r="AD79" s="4">
        <f>IF('Rhaniad y Ddeiliadaeth (Cymru)'!$D$18="Data Cofrestrfa Tir",'Prisiau Tai (Gogledd)'!E79,'Prisiau Tai (Gogledd)'!W79)</f>
        <v>272480</v>
      </c>
      <c r="AE79" s="4">
        <f>IF('Rhaniad y Ddeiliadaeth (Cymru)'!$D$18="Data Cofrestrfa Tir",'Prisiau Tai (Gogledd)'!F79,'Prisiau Tai (Gogledd)'!X79)</f>
        <v>288365.58400000003</v>
      </c>
      <c r="AF79" s="4">
        <f>IF('Rhaniad y Ddeiliadaeth (Cymru)'!$D$18="Data Cofrestrfa Tir",'Prisiau Tai (Gogledd)'!G79,'Prisiau Tai (Gogledd)'!Y79)</f>
        <v>308734.84410487919</v>
      </c>
      <c r="AG79" s="4">
        <f>IF('Rhaniad y Ddeiliadaeth (Cymru)'!$D$18="Data Cofrestrfa Tir",'Prisiau Tai (Gogledd)'!H79,'Prisiau Tai (Gogledd)'!Z79)</f>
        <v>325536.46331030817</v>
      </c>
      <c r="AH79" s="4">
        <f>IF('Rhaniad y Ddeiliadaeth (Cymru)'!$D$18="Data Cofrestrfa Tir",'Prisiau Tai (Gogledd)'!I79,'Prisiau Tai (Gogledd)'!AA79)</f>
        <v>339268.8050681132</v>
      </c>
    </row>
    <row r="80" spans="2:34" x14ac:dyDescent="0.35">
      <c r="B80" s="251">
        <v>86</v>
      </c>
      <c r="C80" s="258">
        <v>260000</v>
      </c>
      <c r="D80" s="258">
        <v>265000</v>
      </c>
      <c r="E80" s="278">
        <f>D80*(1+'Rhaniad y Ddeiliadaeth (Gog)'!C$118)</f>
        <v>277720</v>
      </c>
      <c r="F80" s="278">
        <f>E80*(1+'Rhaniad y Ddeiliadaeth (Gog)'!D$118)</f>
        <v>293911.076</v>
      </c>
      <c r="G80" s="278">
        <f>F80*(1+'Rhaniad y Ddeiliadaeth (Gog)'!E$118)</f>
        <v>314672.05264535762</v>
      </c>
      <c r="H80" s="278">
        <f>G80*(1+'Rhaniad y Ddeiliadaeth (Gog)'!F$118)</f>
        <v>331796.77991242945</v>
      </c>
      <c r="I80" s="279">
        <f>H80*(1+'Rhaniad y Ddeiliadaeth (Gog)'!G$118)</f>
        <v>345793.20516557689</v>
      </c>
      <c r="M80" s="36" t="str">
        <f t="shared" si="4"/>
        <v/>
      </c>
      <c r="N80" s="202"/>
      <c r="O80" s="13">
        <f t="shared" si="7"/>
        <v>1</v>
      </c>
      <c r="U80" s="1">
        <f t="shared" si="5"/>
        <v>86</v>
      </c>
      <c r="V80" s="4" t="str">
        <f t="shared" si="6"/>
        <v/>
      </c>
      <c r="W80" s="4" t="e">
        <f>IF($W$3=$N$3,N80,V80*(1+'Rhaniad y Ddeiliadaeth (Cymru)'!C$118))</f>
        <v>#VALUE!</v>
      </c>
      <c r="X80" s="4" t="e">
        <f>W80*(1+'Rhaniad y Ddeiliadaeth (Cymru)'!D$118)</f>
        <v>#VALUE!</v>
      </c>
      <c r="Y80" s="4" t="e">
        <f>X80*(1+'Rhaniad y Ddeiliadaeth (Cymru)'!E$118)</f>
        <v>#VALUE!</v>
      </c>
      <c r="Z80" s="4" t="e">
        <f>Y80*(1+'Rhaniad y Ddeiliadaeth (Cymru)'!F$118)</f>
        <v>#VALUE!</v>
      </c>
      <c r="AA80" s="4" t="e">
        <f>Z80*(1+'Rhaniad y Ddeiliadaeth (Cymru)'!G$118)</f>
        <v>#VALUE!</v>
      </c>
      <c r="AC80" s="260">
        <v>86</v>
      </c>
      <c r="AD80" s="4">
        <f>IF('Rhaniad y Ddeiliadaeth (Cymru)'!$D$18="Data Cofrestrfa Tir",'Prisiau Tai (Gogledd)'!E80,'Prisiau Tai (Gogledd)'!W80)</f>
        <v>277720</v>
      </c>
      <c r="AE80" s="4">
        <f>IF('Rhaniad y Ddeiliadaeth (Cymru)'!$D$18="Data Cofrestrfa Tir",'Prisiau Tai (Gogledd)'!F80,'Prisiau Tai (Gogledd)'!X80)</f>
        <v>293911.076</v>
      </c>
      <c r="AF80" s="4">
        <f>IF('Rhaniad y Ddeiliadaeth (Cymru)'!$D$18="Data Cofrestrfa Tir",'Prisiau Tai (Gogledd)'!G80,'Prisiau Tai (Gogledd)'!Y80)</f>
        <v>314672.05264535762</v>
      </c>
      <c r="AG80" s="4">
        <f>IF('Rhaniad y Ddeiliadaeth (Cymru)'!$D$18="Data Cofrestrfa Tir",'Prisiau Tai (Gogledd)'!H80,'Prisiau Tai (Gogledd)'!Z80)</f>
        <v>331796.77991242945</v>
      </c>
      <c r="AH80" s="4">
        <f>IF('Rhaniad y Ddeiliadaeth (Cymru)'!$D$18="Data Cofrestrfa Tir",'Prisiau Tai (Gogledd)'!I80,'Prisiau Tai (Gogledd)'!AA80)</f>
        <v>345793.20516557689</v>
      </c>
    </row>
    <row r="81" spans="2:34" x14ac:dyDescent="0.35">
      <c r="B81" s="251">
        <v>87</v>
      </c>
      <c r="C81" s="258">
        <v>267500</v>
      </c>
      <c r="D81" s="258">
        <v>272500</v>
      </c>
      <c r="E81" s="278">
        <f>D81*(1+'Rhaniad y Ddeiliadaeth (Gog)'!C$118)</f>
        <v>285580</v>
      </c>
      <c r="F81" s="278">
        <f>E81*(1+'Rhaniad y Ddeiliadaeth (Gog)'!D$118)</f>
        <v>302229.31400000001</v>
      </c>
      <c r="G81" s="278">
        <f>F81*(1+'Rhaniad y Ddeiliadaeth (Gog)'!E$118)</f>
        <v>323577.86545607529</v>
      </c>
      <c r="H81" s="278">
        <f>G81*(1+'Rhaniad y Ddeiliadaeth (Gog)'!F$118)</f>
        <v>341187.25481561141</v>
      </c>
      <c r="I81" s="279">
        <f>H81*(1+'Rhaniad y Ddeiliadaeth (Gog)'!G$118)</f>
        <v>355579.80531177245</v>
      </c>
      <c r="M81" s="36" t="str">
        <f t="shared" si="4"/>
        <v/>
      </c>
      <c r="N81" s="202"/>
      <c r="O81" s="13">
        <f t="shared" si="7"/>
        <v>1</v>
      </c>
      <c r="U81" s="1">
        <f t="shared" si="5"/>
        <v>87</v>
      </c>
      <c r="V81" s="4" t="str">
        <f t="shared" si="6"/>
        <v/>
      </c>
      <c r="W81" s="4" t="e">
        <f>IF($W$3=$N$3,N81,V81*(1+'Rhaniad y Ddeiliadaeth (Cymru)'!C$118))</f>
        <v>#VALUE!</v>
      </c>
      <c r="X81" s="4" t="e">
        <f>W81*(1+'Rhaniad y Ddeiliadaeth (Cymru)'!D$118)</f>
        <v>#VALUE!</v>
      </c>
      <c r="Y81" s="4" t="e">
        <f>X81*(1+'Rhaniad y Ddeiliadaeth (Cymru)'!E$118)</f>
        <v>#VALUE!</v>
      </c>
      <c r="Z81" s="4" t="e">
        <f>Y81*(1+'Rhaniad y Ddeiliadaeth (Cymru)'!F$118)</f>
        <v>#VALUE!</v>
      </c>
      <c r="AA81" s="4" t="e">
        <f>Z81*(1+'Rhaniad y Ddeiliadaeth (Cymru)'!G$118)</f>
        <v>#VALUE!</v>
      </c>
      <c r="AC81" s="260">
        <v>87</v>
      </c>
      <c r="AD81" s="4">
        <f>IF('Rhaniad y Ddeiliadaeth (Cymru)'!$D$18="Data Cofrestrfa Tir",'Prisiau Tai (Gogledd)'!E81,'Prisiau Tai (Gogledd)'!W81)</f>
        <v>285580</v>
      </c>
      <c r="AE81" s="4">
        <f>IF('Rhaniad y Ddeiliadaeth (Cymru)'!$D$18="Data Cofrestrfa Tir",'Prisiau Tai (Gogledd)'!F81,'Prisiau Tai (Gogledd)'!X81)</f>
        <v>302229.31400000001</v>
      </c>
      <c r="AF81" s="4">
        <f>IF('Rhaniad y Ddeiliadaeth (Cymru)'!$D$18="Data Cofrestrfa Tir",'Prisiau Tai (Gogledd)'!G81,'Prisiau Tai (Gogledd)'!Y81)</f>
        <v>323577.86545607529</v>
      </c>
      <c r="AG81" s="4">
        <f>IF('Rhaniad y Ddeiliadaeth (Cymru)'!$D$18="Data Cofrestrfa Tir",'Prisiau Tai (Gogledd)'!H81,'Prisiau Tai (Gogledd)'!Z81)</f>
        <v>341187.25481561141</v>
      </c>
      <c r="AH81" s="4">
        <f>IF('Rhaniad y Ddeiliadaeth (Cymru)'!$D$18="Data Cofrestrfa Tir",'Prisiau Tai (Gogledd)'!I81,'Prisiau Tai (Gogledd)'!AA81)</f>
        <v>355579.80531177245</v>
      </c>
    </row>
    <row r="82" spans="2:34" x14ac:dyDescent="0.35">
      <c r="B82" s="251">
        <v>88</v>
      </c>
      <c r="C82" s="258">
        <v>275000</v>
      </c>
      <c r="D82" s="258">
        <v>279995</v>
      </c>
      <c r="E82" s="278">
        <f>D82*(1+'Rhaniad y Ddeiliadaeth (Gog)'!C$118)</f>
        <v>293434.76</v>
      </c>
      <c r="F82" s="278">
        <f>E82*(1+'Rhaniad y Ddeiliadaeth (Gog)'!D$118)</f>
        <v>310542.00650800002</v>
      </c>
      <c r="G82" s="278">
        <f>F82*(1+'Rhaniad y Ddeiliadaeth (Gog)'!E$118)</f>
        <v>332477.74105825246</v>
      </c>
      <c r="H82" s="278">
        <f>G82*(1+'Rhaniad y Ddeiliadaeth (Gog)'!F$118)</f>
        <v>350571.46940219123</v>
      </c>
      <c r="I82" s="279">
        <f>H82*(1+'Rhaniad y Ddeiliadaeth (Gog)'!G$118)</f>
        <v>365359.88105787057</v>
      </c>
      <c r="M82" s="36" t="str">
        <f t="shared" si="4"/>
        <v/>
      </c>
      <c r="N82" s="202"/>
      <c r="O82" s="13">
        <f t="shared" si="7"/>
        <v>1</v>
      </c>
      <c r="U82" s="1">
        <f t="shared" si="5"/>
        <v>88</v>
      </c>
      <c r="V82" s="4" t="str">
        <f t="shared" si="6"/>
        <v/>
      </c>
      <c r="W82" s="4" t="e">
        <f>IF($W$3=$N$3,N82,V82*(1+'Rhaniad y Ddeiliadaeth (Cymru)'!C$118))</f>
        <v>#VALUE!</v>
      </c>
      <c r="X82" s="4" t="e">
        <f>W82*(1+'Rhaniad y Ddeiliadaeth (Cymru)'!D$118)</f>
        <v>#VALUE!</v>
      </c>
      <c r="Y82" s="4" t="e">
        <f>X82*(1+'Rhaniad y Ddeiliadaeth (Cymru)'!E$118)</f>
        <v>#VALUE!</v>
      </c>
      <c r="Z82" s="4" t="e">
        <f>Y82*(1+'Rhaniad y Ddeiliadaeth (Cymru)'!F$118)</f>
        <v>#VALUE!</v>
      </c>
      <c r="AA82" s="4" t="e">
        <f>Z82*(1+'Rhaniad y Ddeiliadaeth (Cymru)'!G$118)</f>
        <v>#VALUE!</v>
      </c>
      <c r="AC82" s="260">
        <v>88</v>
      </c>
      <c r="AD82" s="4">
        <f>IF('Rhaniad y Ddeiliadaeth (Cymru)'!$D$18="Data Cofrestrfa Tir",'Prisiau Tai (Gogledd)'!E82,'Prisiau Tai (Gogledd)'!W82)</f>
        <v>293434.76</v>
      </c>
      <c r="AE82" s="4">
        <f>IF('Rhaniad y Ddeiliadaeth (Cymru)'!$D$18="Data Cofrestrfa Tir",'Prisiau Tai (Gogledd)'!F82,'Prisiau Tai (Gogledd)'!X82)</f>
        <v>310542.00650800002</v>
      </c>
      <c r="AF82" s="4">
        <f>IF('Rhaniad y Ddeiliadaeth (Cymru)'!$D$18="Data Cofrestrfa Tir",'Prisiau Tai (Gogledd)'!G82,'Prisiau Tai (Gogledd)'!Y82)</f>
        <v>332477.74105825246</v>
      </c>
      <c r="AG82" s="4">
        <f>IF('Rhaniad y Ddeiliadaeth (Cymru)'!$D$18="Data Cofrestrfa Tir",'Prisiau Tai (Gogledd)'!H82,'Prisiau Tai (Gogledd)'!Z82)</f>
        <v>350571.46940219123</v>
      </c>
      <c r="AH82" s="4">
        <f>IF('Rhaniad y Ddeiliadaeth (Cymru)'!$D$18="Data Cofrestrfa Tir",'Prisiau Tai (Gogledd)'!I82,'Prisiau Tai (Gogledd)'!AA82)</f>
        <v>365359.88105787057</v>
      </c>
    </row>
    <row r="83" spans="2:34" x14ac:dyDescent="0.35">
      <c r="B83" s="251">
        <v>89</v>
      </c>
      <c r="C83" s="258">
        <v>280000</v>
      </c>
      <c r="D83" s="258">
        <v>285000</v>
      </c>
      <c r="E83" s="278">
        <f>D83*(1+'Rhaniad y Ddeiliadaeth (Gog)'!C$118)</f>
        <v>298680</v>
      </c>
      <c r="F83" s="278">
        <f>E83*(1+'Rhaniad y Ddeiliadaeth (Gog)'!D$118)</f>
        <v>316093.04399999999</v>
      </c>
      <c r="G83" s="278">
        <f>F83*(1+'Rhaniad y Ddeiliadaeth (Gog)'!E$118)</f>
        <v>338420.8868072714</v>
      </c>
      <c r="H83" s="278">
        <f>G83*(1+'Rhaniad y Ddeiliadaeth (Gog)'!F$118)</f>
        <v>356838.0463209147</v>
      </c>
      <c r="I83" s="279">
        <f>H83*(1+'Rhaniad y Ddeiliadaeth (Gog)'!G$118)</f>
        <v>371890.80555543175</v>
      </c>
      <c r="M83" s="36" t="str">
        <f t="shared" si="4"/>
        <v/>
      </c>
      <c r="N83" s="202"/>
      <c r="O83" s="13">
        <f t="shared" si="7"/>
        <v>1</v>
      </c>
      <c r="U83" s="1">
        <f t="shared" si="5"/>
        <v>89</v>
      </c>
      <c r="V83" s="4" t="str">
        <f t="shared" si="6"/>
        <v/>
      </c>
      <c r="W83" s="4" t="e">
        <f>IF($W$3=$N$3,N83,V83*(1+'Rhaniad y Ddeiliadaeth (Cymru)'!C$118))</f>
        <v>#VALUE!</v>
      </c>
      <c r="X83" s="4" t="e">
        <f>W83*(1+'Rhaniad y Ddeiliadaeth (Cymru)'!D$118)</f>
        <v>#VALUE!</v>
      </c>
      <c r="Y83" s="4" t="e">
        <f>X83*(1+'Rhaniad y Ddeiliadaeth (Cymru)'!E$118)</f>
        <v>#VALUE!</v>
      </c>
      <c r="Z83" s="4" t="e">
        <f>Y83*(1+'Rhaniad y Ddeiliadaeth (Cymru)'!F$118)</f>
        <v>#VALUE!</v>
      </c>
      <c r="AA83" s="4" t="e">
        <f>Z83*(1+'Rhaniad y Ddeiliadaeth (Cymru)'!G$118)</f>
        <v>#VALUE!</v>
      </c>
      <c r="AC83" s="260">
        <v>89</v>
      </c>
      <c r="AD83" s="4">
        <f>IF('Rhaniad y Ddeiliadaeth (Cymru)'!$D$18="Data Cofrestrfa Tir",'Prisiau Tai (Gogledd)'!E83,'Prisiau Tai (Gogledd)'!W83)</f>
        <v>298680</v>
      </c>
      <c r="AE83" s="4">
        <f>IF('Rhaniad y Ddeiliadaeth (Cymru)'!$D$18="Data Cofrestrfa Tir",'Prisiau Tai (Gogledd)'!F83,'Prisiau Tai (Gogledd)'!X83)</f>
        <v>316093.04399999999</v>
      </c>
      <c r="AF83" s="4">
        <f>IF('Rhaniad y Ddeiliadaeth (Cymru)'!$D$18="Data Cofrestrfa Tir",'Prisiau Tai (Gogledd)'!G83,'Prisiau Tai (Gogledd)'!Y83)</f>
        <v>338420.8868072714</v>
      </c>
      <c r="AG83" s="4">
        <f>IF('Rhaniad y Ddeiliadaeth (Cymru)'!$D$18="Data Cofrestrfa Tir",'Prisiau Tai (Gogledd)'!H83,'Prisiau Tai (Gogledd)'!Z83)</f>
        <v>356838.0463209147</v>
      </c>
      <c r="AH83" s="4">
        <f>IF('Rhaniad y Ddeiliadaeth (Cymru)'!$D$18="Data Cofrestrfa Tir",'Prisiau Tai (Gogledd)'!I83,'Prisiau Tai (Gogledd)'!AA83)</f>
        <v>371890.80555543175</v>
      </c>
    </row>
    <row r="84" spans="2:34" x14ac:dyDescent="0.35">
      <c r="B84" s="253">
        <v>90</v>
      </c>
      <c r="C84" s="259">
        <v>289950</v>
      </c>
      <c r="D84" s="259">
        <v>293300.00000000291</v>
      </c>
      <c r="E84" s="286">
        <f>D84*(1+'Rhaniad y Ddeiliadaeth (Gog)'!C$118)</f>
        <v>307378.40000000305</v>
      </c>
      <c r="F84" s="286">
        <f>E84*(1+'Rhaniad y Ddeiliadaeth (Gog)'!D$118)</f>
        <v>325298.56072000321</v>
      </c>
      <c r="G84" s="286">
        <f>F84*(1+'Rhaniad y Ddeiliadaeth (Gog)'!E$118)</f>
        <v>348276.65298446902</v>
      </c>
      <c r="H84" s="286">
        <f>G84*(1+'Rhaniad y Ddeiliadaeth (Gog)'!F$118)</f>
        <v>367230.17188043962</v>
      </c>
      <c r="I84" s="287">
        <f>H84*(1+'Rhaniad y Ddeiliadaeth (Gog)'!G$118)</f>
        <v>382721.30971722526</v>
      </c>
      <c r="M84" s="37" t="str">
        <f t="shared" si="4"/>
        <v/>
      </c>
      <c r="N84" s="203"/>
      <c r="O84" s="13">
        <f t="shared" si="7"/>
        <v>1</v>
      </c>
      <c r="U84" s="1">
        <f t="shared" si="5"/>
        <v>90</v>
      </c>
      <c r="V84" s="4" t="str">
        <f t="shared" si="6"/>
        <v/>
      </c>
      <c r="W84" s="4" t="e">
        <f>IF($W$3=$N$3,N84,V84*(1+'Rhaniad y Ddeiliadaeth (Cymru)'!C$118))</f>
        <v>#VALUE!</v>
      </c>
      <c r="X84" s="4" t="e">
        <f>W84*(1+'Rhaniad y Ddeiliadaeth (Cymru)'!D$118)</f>
        <v>#VALUE!</v>
      </c>
      <c r="Y84" s="4" t="e">
        <f>X84*(1+'Rhaniad y Ddeiliadaeth (Cymru)'!E$118)</f>
        <v>#VALUE!</v>
      </c>
      <c r="Z84" s="4" t="e">
        <f>Y84*(1+'Rhaniad y Ddeiliadaeth (Cymru)'!F$118)</f>
        <v>#VALUE!</v>
      </c>
      <c r="AA84" s="4" t="e">
        <f>Z84*(1+'Rhaniad y Ddeiliadaeth (Cymru)'!G$118)</f>
        <v>#VALUE!</v>
      </c>
      <c r="AC84" s="260">
        <v>90</v>
      </c>
      <c r="AD84" s="4">
        <f>IF('Rhaniad y Ddeiliadaeth (Cymru)'!$D$18="Data Cofrestrfa Tir",'Prisiau Tai (Gogledd)'!E84,'Prisiau Tai (Gogledd)'!W84)</f>
        <v>307378.40000000305</v>
      </c>
      <c r="AE84" s="4">
        <f>IF('Rhaniad y Ddeiliadaeth (Cymru)'!$D$18="Data Cofrestrfa Tir",'Prisiau Tai (Gogledd)'!F84,'Prisiau Tai (Gogledd)'!X84)</f>
        <v>325298.56072000321</v>
      </c>
      <c r="AF84" s="4">
        <f>IF('Rhaniad y Ddeiliadaeth (Cymru)'!$D$18="Data Cofrestrfa Tir",'Prisiau Tai (Gogledd)'!G84,'Prisiau Tai (Gogledd)'!Y84)</f>
        <v>348276.65298446902</v>
      </c>
      <c r="AG84" s="4">
        <f>IF('Rhaniad y Ddeiliadaeth (Cymru)'!$D$18="Data Cofrestrfa Tir",'Prisiau Tai (Gogledd)'!H84,'Prisiau Tai (Gogledd)'!Z84)</f>
        <v>367230.17188043962</v>
      </c>
      <c r="AH84" s="4">
        <f>IF('Rhaniad y Ddeiliadaeth (Cymru)'!$D$18="Data Cofrestrfa Tir",'Prisiau Tai (Gogledd)'!I84,'Prisiau Tai (Gogledd)'!AA84)</f>
        <v>382721.30971722526</v>
      </c>
    </row>
    <row r="85" spans="2:34" x14ac:dyDescent="0.35">
      <c r="O85" s="13">
        <f>IF(SUM(O4:O84)&gt;0,1,0)</f>
        <v>1</v>
      </c>
    </row>
  </sheetData>
  <mergeCells count="3">
    <mergeCell ref="B2:I2"/>
    <mergeCell ref="K2:N2"/>
    <mergeCell ref="K9:K10"/>
  </mergeCells>
  <dataValidations count="2">
    <dataValidation type="list" allowBlank="1" showInputMessage="1" showErrorMessage="1" sqref="L4">
      <formula1>"2017,2018"</formula1>
    </dataValidation>
    <dataValidation type="decimal" operator="greaterThan" allowBlank="1" showInputMessage="1" showErrorMessage="1" sqref="N4:N84">
      <formula1>0</formula1>
    </dataValidation>
  </dataValidations>
  <pageMargins left="0.7" right="0.7" top="0.75" bottom="0.75" header="0.3" footer="0.3"/>
  <pageSetup paperSize="9"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1:AH85"/>
  <sheetViews>
    <sheetView showGridLines="0" zoomScale="80" zoomScaleNormal="80" workbookViewId="0"/>
  </sheetViews>
  <sheetFormatPr defaultColWidth="9.1796875" defaultRowHeight="14.5" x14ac:dyDescent="0.35"/>
  <cols>
    <col min="1" max="1" width="2.1796875" style="1" customWidth="1"/>
    <col min="2" max="2" width="10.1796875" style="1" bestFit="1" customWidth="1"/>
    <col min="3" max="4" width="9.1796875" style="1"/>
    <col min="5" max="9" width="10.1796875" style="1" bestFit="1" customWidth="1"/>
    <col min="10" max="10" width="9.1796875" style="1"/>
    <col min="11" max="11" width="53.81640625" style="1" customWidth="1"/>
    <col min="12" max="12" width="9.1796875" style="1"/>
    <col min="13" max="13" width="10.1796875" style="1" customWidth="1"/>
    <col min="14" max="14" width="9.1796875" style="1"/>
    <col min="15" max="15" width="9.1796875" style="1" hidden="1" customWidth="1"/>
    <col min="16" max="20" width="9.1796875" style="1"/>
    <col min="21" max="21" width="9.1796875" style="1" hidden="1" customWidth="1"/>
    <col min="22" max="27" width="10.1796875" style="1" hidden="1" customWidth="1"/>
    <col min="28" max="29" width="9.1796875" style="1" customWidth="1"/>
    <col min="30" max="30" width="10.1796875" style="1" customWidth="1"/>
    <col min="31" max="34" width="9.1796875" style="1" customWidth="1"/>
    <col min="35" max="16384" width="9.1796875" style="1"/>
  </cols>
  <sheetData>
    <row r="1" spans="2:34" ht="9.75" customHeight="1" x14ac:dyDescent="0.35"/>
    <row r="2" spans="2:34" ht="26.25" customHeight="1" x14ac:dyDescent="0.35">
      <c r="B2" s="568" t="s">
        <v>124</v>
      </c>
      <c r="C2" s="569"/>
      <c r="D2" s="569"/>
      <c r="E2" s="569"/>
      <c r="F2" s="569"/>
      <c r="G2" s="569"/>
      <c r="H2" s="569"/>
      <c r="I2" s="570"/>
      <c r="K2" s="564" t="s">
        <v>121</v>
      </c>
      <c r="L2" s="565"/>
      <c r="M2" s="565"/>
      <c r="N2" s="566"/>
      <c r="O2" s="39"/>
      <c r="V2" s="1" t="s">
        <v>6</v>
      </c>
      <c r="AC2" s="260" t="s">
        <v>127</v>
      </c>
    </row>
    <row r="3" spans="2:34" x14ac:dyDescent="0.35">
      <c r="B3" s="257" t="s">
        <v>122</v>
      </c>
      <c r="C3" s="325" t="s">
        <v>22</v>
      </c>
      <c r="D3" s="325" t="s">
        <v>21</v>
      </c>
      <c r="E3" s="354" t="str">
        <f>Year1</f>
        <v>2019/20</v>
      </c>
      <c r="F3" s="354" t="str">
        <f>Year2</f>
        <v>2020/21</v>
      </c>
      <c r="G3" s="354" t="str">
        <f>Year3</f>
        <v>2021/22</v>
      </c>
      <c r="H3" s="354" t="str">
        <f>Year4</f>
        <v>2022/23</v>
      </c>
      <c r="I3" s="329" t="str">
        <f>Year5</f>
        <v>2023/24</v>
      </c>
      <c r="M3" s="23" t="s">
        <v>122</v>
      </c>
      <c r="N3" s="38">
        <f>L4</f>
        <v>0</v>
      </c>
      <c r="O3" s="40" t="s">
        <v>5</v>
      </c>
      <c r="V3" s="1">
        <v>2017</v>
      </c>
      <c r="W3" s="1">
        <v>2018</v>
      </c>
      <c r="X3" s="1">
        <v>2019</v>
      </c>
      <c r="Y3" s="1">
        <v>2020</v>
      </c>
      <c r="Z3" s="1">
        <v>2021</v>
      </c>
      <c r="AA3" s="1">
        <v>2022</v>
      </c>
      <c r="AD3" s="323" t="str">
        <f>Year1</f>
        <v>2019/20</v>
      </c>
      <c r="AE3" s="323" t="str">
        <f>Year2</f>
        <v>2020/21</v>
      </c>
      <c r="AF3" s="323" t="str">
        <f>Year3</f>
        <v>2021/22</v>
      </c>
      <c r="AG3" s="323" t="str">
        <f>Year4</f>
        <v>2022/23</v>
      </c>
      <c r="AH3" s="323" t="str">
        <f>Year5</f>
        <v>2023/24</v>
      </c>
    </row>
    <row r="4" spans="2:34" x14ac:dyDescent="0.35">
      <c r="B4" s="251">
        <v>10</v>
      </c>
      <c r="C4" s="258">
        <v>98000</v>
      </c>
      <c r="D4" s="258">
        <v>100000</v>
      </c>
      <c r="E4" s="278">
        <f>D4*(1+'Rhaniad y Ddeiliadaeth (Canol)'!C$118)</f>
        <v>104800</v>
      </c>
      <c r="F4" s="278">
        <f>E4*(1+'Rhaniad y Ddeiliadaeth (Canol)'!D$118)</f>
        <v>110909.84</v>
      </c>
      <c r="G4" s="278">
        <f>F4*(1+'Rhaniad y Ddeiliadaeth (Canol)'!E$118)</f>
        <v>118744.17080956891</v>
      </c>
      <c r="H4" s="278">
        <f>G4*(1+'Rhaniad y Ddeiliadaeth (Canol)'!F$118)</f>
        <v>125206.33204242621</v>
      </c>
      <c r="I4" s="279">
        <f>H4*(1+'Rhaniad y Ddeiliadaeth (Canol)'!G$118)</f>
        <v>130488.0019492743</v>
      </c>
      <c r="J4" s="4"/>
      <c r="K4" s="41" t="str">
        <f>IF('Rhaniad y Ddeiliadaeth (Canol)'!D18="Arall","Dewiswch data ar gyfer pa flwyddyn:","")</f>
        <v/>
      </c>
      <c r="L4" s="201"/>
      <c r="M4" s="36" t="str">
        <f t="shared" ref="M4:M67" si="0">IF(ISBLANK($L$4),"",B4)</f>
        <v/>
      </c>
      <c r="N4" s="202"/>
      <c r="O4" s="13">
        <f>IF(ISBLANK(N4),1,0)</f>
        <v>1</v>
      </c>
      <c r="P4" s="10" t="str">
        <f>IF(K4="","",IF(O85=1,"&lt;&lt; Nodwch y data yma.",""))</f>
        <v/>
      </c>
      <c r="U4" s="1">
        <f t="shared" ref="U4:U67" si="1">B4</f>
        <v>10</v>
      </c>
      <c r="V4" s="4" t="str">
        <f t="shared" ref="V4:V67" si="2">IF($N$3=$V$3,N4,"")</f>
        <v/>
      </c>
      <c r="W4" s="4" t="e">
        <f>IF($W$3=$N$3,N4,V4*(1+'Rhaniad y Ddeiliadaeth (Cymru)'!C$118))</f>
        <v>#VALUE!</v>
      </c>
      <c r="X4" s="4" t="e">
        <f>W4*(1+'Rhaniad y Ddeiliadaeth (Cymru)'!D$118)</f>
        <v>#VALUE!</v>
      </c>
      <c r="Y4" s="4" t="e">
        <f>X4*(1+'Rhaniad y Ddeiliadaeth (Cymru)'!E$118)</f>
        <v>#VALUE!</v>
      </c>
      <c r="Z4" s="4" t="e">
        <f>Y4*(1+'Rhaniad y Ddeiliadaeth (Cymru)'!F$118)</f>
        <v>#VALUE!</v>
      </c>
      <c r="AA4" s="4" t="e">
        <f>Z4*(1+'Rhaniad y Ddeiliadaeth (Cymru)'!G$118)</f>
        <v>#VALUE!</v>
      </c>
      <c r="AC4" s="260">
        <v>10</v>
      </c>
      <c r="AD4" s="4">
        <f>IF('Rhaniad y Ddeiliadaeth (Cymru)'!$D$18="Data Cofrestrfa Tir",'Prisiau Tai (Canolbarth)'!E4,'Prisiau Tai (Canolbarth)'!W4)</f>
        <v>104800</v>
      </c>
      <c r="AE4" s="4">
        <f>IF('Rhaniad y Ddeiliadaeth (Cymru)'!$D$18="Data Cofrestrfa Tir",'Prisiau Tai (Canolbarth)'!F4,'Prisiau Tai (Canolbarth)'!X4)</f>
        <v>110909.84</v>
      </c>
      <c r="AF4" s="4">
        <f>IF('Rhaniad y Ddeiliadaeth (Cymru)'!$D$18="Data Cofrestrfa Tir",'Prisiau Tai (Canolbarth)'!G4,'Prisiau Tai (Canolbarth)'!Y4)</f>
        <v>118744.17080956891</v>
      </c>
      <c r="AG4" s="4">
        <f>IF('Rhaniad y Ddeiliadaeth (Cymru)'!$D$18="Data Cofrestrfa Tir",'Prisiau Tai (Canolbarth)'!H4,'Prisiau Tai (Canolbarth)'!Z4)</f>
        <v>125206.33204242621</v>
      </c>
      <c r="AH4" s="4">
        <f>IF('Rhaniad y Ddeiliadaeth (Cymru)'!$D$18="Data Cofrestrfa Tir",'Prisiau Tai (Canolbarth)'!I4,'Prisiau Tai (Canolbarth)'!AA4)</f>
        <v>130488.0019492743</v>
      </c>
    </row>
    <row r="5" spans="2:34" x14ac:dyDescent="0.35">
      <c r="B5" s="251">
        <v>11</v>
      </c>
      <c r="C5" s="258">
        <v>100000</v>
      </c>
      <c r="D5" s="258">
        <v>105000</v>
      </c>
      <c r="E5" s="278">
        <f>D5*(1+'Rhaniad y Ddeiliadaeth (Canol)'!C$118)</f>
        <v>110040</v>
      </c>
      <c r="F5" s="278">
        <f>E5*(1+'Rhaniad y Ddeiliadaeth (Canol)'!D$118)</f>
        <v>116455.33199999999</v>
      </c>
      <c r="G5" s="278">
        <f>F5*(1+'Rhaniad y Ddeiliadaeth (Canol)'!E$118)</f>
        <v>124681.37935004735</v>
      </c>
      <c r="H5" s="278">
        <f>G5*(1+'Rhaniad y Ddeiliadaeth (Canol)'!F$118)</f>
        <v>131466.6486445475</v>
      </c>
      <c r="I5" s="279">
        <f>H5*(1+'Rhaniad y Ddeiliadaeth (Canol)'!G$118)</f>
        <v>137012.40204673802</v>
      </c>
      <c r="K5" s="42" t="str">
        <f>IF(K4="","","Dim ond data ar gyfer un blwyddyn sydd angen (naill ai 2017 neu 2018)")</f>
        <v/>
      </c>
      <c r="M5" s="36" t="str">
        <f t="shared" si="0"/>
        <v/>
      </c>
      <c r="N5" s="202"/>
      <c r="O5" s="13">
        <f t="shared" ref="O5:O68" si="3">IF(ISBLANK(N5),1,0)</f>
        <v>1</v>
      </c>
      <c r="U5" s="1">
        <f t="shared" si="1"/>
        <v>11</v>
      </c>
      <c r="V5" s="4" t="str">
        <f t="shared" si="2"/>
        <v/>
      </c>
      <c r="W5" s="4" t="e">
        <f>IF($W$3=$N$3,N5,V5*(1+'Rhaniad y Ddeiliadaeth (Cymru)'!C$118))</f>
        <v>#VALUE!</v>
      </c>
      <c r="X5" s="4" t="e">
        <f>W5*(1+'Rhaniad y Ddeiliadaeth (Cymru)'!D$118)</f>
        <v>#VALUE!</v>
      </c>
      <c r="Y5" s="4" t="e">
        <f>X5*(1+'Rhaniad y Ddeiliadaeth (Cymru)'!E$118)</f>
        <v>#VALUE!</v>
      </c>
      <c r="Z5" s="4" t="e">
        <f>Y5*(1+'Rhaniad y Ddeiliadaeth (Cymru)'!F$118)</f>
        <v>#VALUE!</v>
      </c>
      <c r="AA5" s="4" t="e">
        <f>Z5*(1+'Rhaniad y Ddeiliadaeth (Cymru)'!G$118)</f>
        <v>#VALUE!</v>
      </c>
      <c r="AC5" s="260">
        <v>11</v>
      </c>
      <c r="AD5" s="4">
        <f>IF('Rhaniad y Ddeiliadaeth (Cymru)'!$D$18="Data Cofrestrfa Tir",'Prisiau Tai (Canolbarth)'!E5,'Prisiau Tai (Canolbarth)'!W5)</f>
        <v>110040</v>
      </c>
      <c r="AE5" s="4">
        <f>IF('Rhaniad y Ddeiliadaeth (Cymru)'!$D$18="Data Cofrestrfa Tir",'Prisiau Tai (Canolbarth)'!F5,'Prisiau Tai (Canolbarth)'!X5)</f>
        <v>116455.33199999999</v>
      </c>
      <c r="AF5" s="4">
        <f>IF('Rhaniad y Ddeiliadaeth (Cymru)'!$D$18="Data Cofrestrfa Tir",'Prisiau Tai (Canolbarth)'!G5,'Prisiau Tai (Canolbarth)'!Y5)</f>
        <v>124681.37935004735</v>
      </c>
      <c r="AG5" s="4">
        <f>IF('Rhaniad y Ddeiliadaeth (Cymru)'!$D$18="Data Cofrestrfa Tir",'Prisiau Tai (Canolbarth)'!H5,'Prisiau Tai (Canolbarth)'!Z5)</f>
        <v>131466.6486445475</v>
      </c>
      <c r="AH5" s="4">
        <f>IF('Rhaniad y Ddeiliadaeth (Cymru)'!$D$18="Data Cofrestrfa Tir",'Prisiau Tai (Canolbarth)'!I5,'Prisiau Tai (Canolbarth)'!AA5)</f>
        <v>137012.40204673802</v>
      </c>
    </row>
    <row r="6" spans="2:34" x14ac:dyDescent="0.35">
      <c r="B6" s="251">
        <v>12</v>
      </c>
      <c r="C6" s="258">
        <v>105000</v>
      </c>
      <c r="D6" s="258">
        <v>107000</v>
      </c>
      <c r="E6" s="278">
        <f>D6*(1+'Rhaniad y Ddeiliadaeth (Canol)'!C$118)</f>
        <v>112136</v>
      </c>
      <c r="F6" s="278">
        <f>E6*(1+'Rhaniad y Ddeiliadaeth (Canol)'!D$118)</f>
        <v>118673.5288</v>
      </c>
      <c r="G6" s="278">
        <f>F6*(1+'Rhaniad y Ddeiliadaeth (Canol)'!E$118)</f>
        <v>127056.26276623874</v>
      </c>
      <c r="H6" s="278">
        <f>G6*(1+'Rhaniad y Ddeiliadaeth (Canol)'!F$118)</f>
        <v>133970.77528539606</v>
      </c>
      <c r="I6" s="279">
        <f>H6*(1+'Rhaniad y Ddeiliadaeth (Canol)'!G$118)</f>
        <v>139622.16208572351</v>
      </c>
      <c r="M6" s="36" t="str">
        <f t="shared" si="0"/>
        <v/>
      </c>
      <c r="N6" s="202"/>
      <c r="O6" s="13">
        <f t="shared" si="3"/>
        <v>1</v>
      </c>
      <c r="U6" s="1">
        <f t="shared" si="1"/>
        <v>12</v>
      </c>
      <c r="V6" s="4" t="str">
        <f t="shared" si="2"/>
        <v/>
      </c>
      <c r="W6" s="4" t="e">
        <f>IF($W$3=$N$3,N6,V6*(1+'Rhaniad y Ddeiliadaeth (Cymru)'!C$118))</f>
        <v>#VALUE!</v>
      </c>
      <c r="X6" s="4" t="e">
        <f>W6*(1+'Rhaniad y Ddeiliadaeth (Cymru)'!D$118)</f>
        <v>#VALUE!</v>
      </c>
      <c r="Y6" s="4" t="e">
        <f>X6*(1+'Rhaniad y Ddeiliadaeth (Cymru)'!E$118)</f>
        <v>#VALUE!</v>
      </c>
      <c r="Z6" s="4" t="e">
        <f>Y6*(1+'Rhaniad y Ddeiliadaeth (Cymru)'!F$118)</f>
        <v>#VALUE!</v>
      </c>
      <c r="AA6" s="4" t="e">
        <f>Z6*(1+'Rhaniad y Ddeiliadaeth (Cymru)'!G$118)</f>
        <v>#VALUE!</v>
      </c>
      <c r="AC6" s="260">
        <v>12</v>
      </c>
      <c r="AD6" s="4">
        <f>IF('Rhaniad y Ddeiliadaeth (Cymru)'!$D$18="Data Cofrestrfa Tir",'Prisiau Tai (Canolbarth)'!E6,'Prisiau Tai (Canolbarth)'!W6)</f>
        <v>112136</v>
      </c>
      <c r="AE6" s="4">
        <f>IF('Rhaniad y Ddeiliadaeth (Cymru)'!$D$18="Data Cofrestrfa Tir",'Prisiau Tai (Canolbarth)'!F6,'Prisiau Tai (Canolbarth)'!X6)</f>
        <v>118673.5288</v>
      </c>
      <c r="AF6" s="4">
        <f>IF('Rhaniad y Ddeiliadaeth (Cymru)'!$D$18="Data Cofrestrfa Tir",'Prisiau Tai (Canolbarth)'!G6,'Prisiau Tai (Canolbarth)'!Y6)</f>
        <v>127056.26276623874</v>
      </c>
      <c r="AG6" s="4">
        <f>IF('Rhaniad y Ddeiliadaeth (Cymru)'!$D$18="Data Cofrestrfa Tir",'Prisiau Tai (Canolbarth)'!H6,'Prisiau Tai (Canolbarth)'!Z6)</f>
        <v>133970.77528539606</v>
      </c>
      <c r="AH6" s="4">
        <f>IF('Rhaniad y Ddeiliadaeth (Cymru)'!$D$18="Data Cofrestrfa Tir",'Prisiau Tai (Canolbarth)'!I6,'Prisiau Tai (Canolbarth)'!AA6)</f>
        <v>139622.16208572351</v>
      </c>
    </row>
    <row r="7" spans="2:34" x14ac:dyDescent="0.35">
      <c r="B7" s="251">
        <v>13</v>
      </c>
      <c r="C7" s="258">
        <v>107000</v>
      </c>
      <c r="D7" s="258">
        <v>110000</v>
      </c>
      <c r="E7" s="278">
        <f>D7*(1+'Rhaniad y Ddeiliadaeth (Canol)'!C$118)</f>
        <v>115280</v>
      </c>
      <c r="F7" s="278">
        <f>E7*(1+'Rhaniad y Ddeiliadaeth (Canol)'!D$118)</f>
        <v>122000.82400000001</v>
      </c>
      <c r="G7" s="278">
        <f>F7*(1+'Rhaniad y Ddeiliadaeth (Canol)'!E$118)</f>
        <v>130618.58789052581</v>
      </c>
      <c r="H7" s="278">
        <f>G7*(1+'Rhaniad y Ddeiliadaeth (Canol)'!F$118)</f>
        <v>137726.96524666884</v>
      </c>
      <c r="I7" s="279">
        <f>H7*(1+'Rhaniad y Ddeiliadaeth (Canol)'!G$118)</f>
        <v>143536.80214420176</v>
      </c>
      <c r="K7" s="10" t="str">
        <f>IF(K4="","",IF(O85=1,"Dewis defnyddiwr anghyflawn",IF(O85=0,"Dewis defnyddiwr yn gyflawn","")))</f>
        <v/>
      </c>
      <c r="M7" s="36" t="str">
        <f t="shared" si="0"/>
        <v/>
      </c>
      <c r="N7" s="202"/>
      <c r="O7" s="13">
        <f t="shared" si="3"/>
        <v>1</v>
      </c>
      <c r="U7" s="1">
        <f t="shared" si="1"/>
        <v>13</v>
      </c>
      <c r="V7" s="4" t="str">
        <f t="shared" si="2"/>
        <v/>
      </c>
      <c r="W7" s="4" t="e">
        <f>IF($W$3=$N$3,N7,V7*(1+'Rhaniad y Ddeiliadaeth (Cymru)'!C$118))</f>
        <v>#VALUE!</v>
      </c>
      <c r="X7" s="4" t="e">
        <f>W7*(1+'Rhaniad y Ddeiliadaeth (Cymru)'!D$118)</f>
        <v>#VALUE!</v>
      </c>
      <c r="Y7" s="4" t="e">
        <f>X7*(1+'Rhaniad y Ddeiliadaeth (Cymru)'!E$118)</f>
        <v>#VALUE!</v>
      </c>
      <c r="Z7" s="4" t="e">
        <f>Y7*(1+'Rhaniad y Ddeiliadaeth (Cymru)'!F$118)</f>
        <v>#VALUE!</v>
      </c>
      <c r="AA7" s="4" t="e">
        <f>Z7*(1+'Rhaniad y Ddeiliadaeth (Cymru)'!G$118)</f>
        <v>#VALUE!</v>
      </c>
      <c r="AC7" s="260">
        <v>13</v>
      </c>
      <c r="AD7" s="4">
        <f>IF('Rhaniad y Ddeiliadaeth (Cymru)'!$D$18="Data Cofrestrfa Tir",'Prisiau Tai (Canolbarth)'!E7,'Prisiau Tai (Canolbarth)'!W7)</f>
        <v>115280</v>
      </c>
      <c r="AE7" s="4">
        <f>IF('Rhaniad y Ddeiliadaeth (Cymru)'!$D$18="Data Cofrestrfa Tir",'Prisiau Tai (Canolbarth)'!F7,'Prisiau Tai (Canolbarth)'!X7)</f>
        <v>122000.82400000001</v>
      </c>
      <c r="AF7" s="4">
        <f>IF('Rhaniad y Ddeiliadaeth (Cymru)'!$D$18="Data Cofrestrfa Tir",'Prisiau Tai (Canolbarth)'!G7,'Prisiau Tai (Canolbarth)'!Y7)</f>
        <v>130618.58789052581</v>
      </c>
      <c r="AG7" s="4">
        <f>IF('Rhaniad y Ddeiliadaeth (Cymru)'!$D$18="Data Cofrestrfa Tir",'Prisiau Tai (Canolbarth)'!H7,'Prisiau Tai (Canolbarth)'!Z7)</f>
        <v>137726.96524666884</v>
      </c>
      <c r="AH7" s="4">
        <f>IF('Rhaniad y Ddeiliadaeth (Cymru)'!$D$18="Data Cofrestrfa Tir",'Prisiau Tai (Canolbarth)'!I7,'Prisiau Tai (Canolbarth)'!AA7)</f>
        <v>143536.80214420176</v>
      </c>
    </row>
    <row r="8" spans="2:34" x14ac:dyDescent="0.35">
      <c r="B8" s="251">
        <v>14</v>
      </c>
      <c r="C8" s="258">
        <v>110000</v>
      </c>
      <c r="D8" s="258">
        <v>112000</v>
      </c>
      <c r="E8" s="278">
        <f>D8*(1+'Rhaniad y Ddeiliadaeth (Canol)'!C$118)</f>
        <v>117376</v>
      </c>
      <c r="F8" s="278">
        <f>E8*(1+'Rhaniad y Ddeiliadaeth (Canol)'!D$118)</f>
        <v>124219.0208</v>
      </c>
      <c r="G8" s="278">
        <f>F8*(1+'Rhaniad y Ddeiliadaeth (Canol)'!E$118)</f>
        <v>132993.47130671717</v>
      </c>
      <c r="H8" s="278">
        <f>G8*(1+'Rhaniad y Ddeiliadaeth (Canol)'!F$118)</f>
        <v>140231.09188751734</v>
      </c>
      <c r="I8" s="279">
        <f>H8*(1+'Rhaniad y Ddeiliadaeth (Canol)'!G$118)</f>
        <v>146146.5621831872</v>
      </c>
      <c r="M8" s="36" t="str">
        <f t="shared" si="0"/>
        <v/>
      </c>
      <c r="N8" s="202"/>
      <c r="O8" s="13">
        <f t="shared" si="3"/>
        <v>1</v>
      </c>
      <c r="U8" s="1">
        <f t="shared" si="1"/>
        <v>14</v>
      </c>
      <c r="V8" s="4" t="str">
        <f t="shared" si="2"/>
        <v/>
      </c>
      <c r="W8" s="4" t="e">
        <f>IF($W$3=$N$3,N8,V8*(1+'Rhaniad y Ddeiliadaeth (Cymru)'!C$118))</f>
        <v>#VALUE!</v>
      </c>
      <c r="X8" s="4" t="e">
        <f>W8*(1+'Rhaniad y Ddeiliadaeth (Cymru)'!D$118)</f>
        <v>#VALUE!</v>
      </c>
      <c r="Y8" s="4" t="e">
        <f>X8*(1+'Rhaniad y Ddeiliadaeth (Cymru)'!E$118)</f>
        <v>#VALUE!</v>
      </c>
      <c r="Z8" s="4" t="e">
        <f>Y8*(1+'Rhaniad y Ddeiliadaeth (Cymru)'!F$118)</f>
        <v>#VALUE!</v>
      </c>
      <c r="AA8" s="4" t="e">
        <f>Z8*(1+'Rhaniad y Ddeiliadaeth (Cymru)'!G$118)</f>
        <v>#VALUE!</v>
      </c>
      <c r="AC8" s="260">
        <v>14</v>
      </c>
      <c r="AD8" s="4">
        <f>IF('Rhaniad y Ddeiliadaeth (Cymru)'!$D$18="Data Cofrestrfa Tir",'Prisiau Tai (Canolbarth)'!E8,'Prisiau Tai (Canolbarth)'!W8)</f>
        <v>117376</v>
      </c>
      <c r="AE8" s="4">
        <f>IF('Rhaniad y Ddeiliadaeth (Cymru)'!$D$18="Data Cofrestrfa Tir",'Prisiau Tai (Canolbarth)'!F8,'Prisiau Tai (Canolbarth)'!X8)</f>
        <v>124219.0208</v>
      </c>
      <c r="AF8" s="4">
        <f>IF('Rhaniad y Ddeiliadaeth (Cymru)'!$D$18="Data Cofrestrfa Tir",'Prisiau Tai (Canolbarth)'!G8,'Prisiau Tai (Canolbarth)'!Y8)</f>
        <v>132993.47130671717</v>
      </c>
      <c r="AG8" s="4">
        <f>IF('Rhaniad y Ddeiliadaeth (Cymru)'!$D$18="Data Cofrestrfa Tir",'Prisiau Tai (Canolbarth)'!H8,'Prisiau Tai (Canolbarth)'!Z8)</f>
        <v>140231.09188751734</v>
      </c>
      <c r="AH8" s="4">
        <f>IF('Rhaniad y Ddeiliadaeth (Cymru)'!$D$18="Data Cofrestrfa Tir",'Prisiau Tai (Canolbarth)'!I8,'Prisiau Tai (Canolbarth)'!AA8)</f>
        <v>146146.5621831872</v>
      </c>
    </row>
    <row r="9" spans="2:34" ht="14.5" customHeight="1" x14ac:dyDescent="0.35">
      <c r="B9" s="251">
        <v>15</v>
      </c>
      <c r="C9" s="258">
        <v>112074.99999999999</v>
      </c>
      <c r="D9" s="258">
        <v>115000</v>
      </c>
      <c r="E9" s="278">
        <f>D9*(1+'Rhaniad y Ddeiliadaeth (Canol)'!C$118)</f>
        <v>120520</v>
      </c>
      <c r="F9" s="278">
        <f>E9*(1+'Rhaniad y Ddeiliadaeth (Canol)'!D$118)</f>
        <v>127546.31600000001</v>
      </c>
      <c r="G9" s="278">
        <f>F9*(1+'Rhaniad y Ddeiliadaeth (Canol)'!E$118)</f>
        <v>136555.79643100424</v>
      </c>
      <c r="H9" s="278">
        <f>G9*(1+'Rhaniad y Ddeiliadaeth (Canol)'!F$118)</f>
        <v>143987.28184879012</v>
      </c>
      <c r="I9" s="279">
        <f>H9*(1+'Rhaniad y Ddeiliadaeth (Canol)'!G$118)</f>
        <v>150061.20224166545</v>
      </c>
      <c r="K9" s="567" t="str">
        <f>IF(K4="","Os ydych am ddefnyddio eich dosraniad data incwm eich hunan, newidiwch y dewis yn y blwch","")</f>
        <v>Os ydych am ddefnyddio eich dosraniad data incwm eich hunan, newidiwch y dewis yn y blwch</v>
      </c>
      <c r="M9" s="36" t="str">
        <f t="shared" si="0"/>
        <v/>
      </c>
      <c r="N9" s="202"/>
      <c r="O9" s="13">
        <f t="shared" si="3"/>
        <v>1</v>
      </c>
      <c r="U9" s="1">
        <f t="shared" si="1"/>
        <v>15</v>
      </c>
      <c r="V9" s="4" t="str">
        <f t="shared" si="2"/>
        <v/>
      </c>
      <c r="W9" s="4" t="e">
        <f>IF($W$3=$N$3,N9,V9*(1+'Rhaniad y Ddeiliadaeth (Cymru)'!C$118))</f>
        <v>#VALUE!</v>
      </c>
      <c r="X9" s="4" t="e">
        <f>W9*(1+'Rhaniad y Ddeiliadaeth (Cymru)'!D$118)</f>
        <v>#VALUE!</v>
      </c>
      <c r="Y9" s="4" t="e">
        <f>X9*(1+'Rhaniad y Ddeiliadaeth (Cymru)'!E$118)</f>
        <v>#VALUE!</v>
      </c>
      <c r="Z9" s="4" t="e">
        <f>Y9*(1+'Rhaniad y Ddeiliadaeth (Cymru)'!F$118)</f>
        <v>#VALUE!</v>
      </c>
      <c r="AA9" s="4" t="e">
        <f>Z9*(1+'Rhaniad y Ddeiliadaeth (Cymru)'!G$118)</f>
        <v>#VALUE!</v>
      </c>
      <c r="AC9" s="260">
        <v>15</v>
      </c>
      <c r="AD9" s="4">
        <f>IF('Rhaniad y Ddeiliadaeth (Cymru)'!$D$18="Data Cofrestrfa Tir",'Prisiau Tai (Canolbarth)'!E9,'Prisiau Tai (Canolbarth)'!W9)</f>
        <v>120520</v>
      </c>
      <c r="AE9" s="4">
        <f>IF('Rhaniad y Ddeiliadaeth (Cymru)'!$D$18="Data Cofrestrfa Tir",'Prisiau Tai (Canolbarth)'!F9,'Prisiau Tai (Canolbarth)'!X9)</f>
        <v>127546.31600000001</v>
      </c>
      <c r="AF9" s="4">
        <f>IF('Rhaniad y Ddeiliadaeth (Cymru)'!$D$18="Data Cofrestrfa Tir",'Prisiau Tai (Canolbarth)'!G9,'Prisiau Tai (Canolbarth)'!Y9)</f>
        <v>136555.79643100424</v>
      </c>
      <c r="AG9" s="4">
        <f>IF('Rhaniad y Ddeiliadaeth (Cymru)'!$D$18="Data Cofrestrfa Tir",'Prisiau Tai (Canolbarth)'!H9,'Prisiau Tai (Canolbarth)'!Z9)</f>
        <v>143987.28184879012</v>
      </c>
      <c r="AH9" s="4">
        <f>IF('Rhaniad y Ddeiliadaeth (Cymru)'!$D$18="Data Cofrestrfa Tir",'Prisiau Tai (Canolbarth)'!I9,'Prisiau Tai (Canolbarth)'!AA9)</f>
        <v>150061.20224166545</v>
      </c>
    </row>
    <row r="10" spans="2:34" x14ac:dyDescent="0.35">
      <c r="B10" s="251">
        <v>16</v>
      </c>
      <c r="C10" s="258">
        <v>115000</v>
      </c>
      <c r="D10" s="258">
        <v>117000</v>
      </c>
      <c r="E10" s="278">
        <f>D10*(1+'Rhaniad y Ddeiliadaeth (Canol)'!C$118)</f>
        <v>122616</v>
      </c>
      <c r="F10" s="278">
        <f>E10*(1+'Rhaniad y Ddeiliadaeth (Canol)'!D$118)</f>
        <v>129764.5128</v>
      </c>
      <c r="G10" s="278">
        <f>F10*(1+'Rhaniad y Ddeiliadaeth (Canol)'!E$118)</f>
        <v>138930.67984719563</v>
      </c>
      <c r="H10" s="278">
        <f>G10*(1+'Rhaniad y Ddeiliadaeth (Canol)'!F$118)</f>
        <v>146491.40848963865</v>
      </c>
      <c r="I10" s="279">
        <f>H10*(1+'Rhaniad y Ddeiliadaeth (Canol)'!G$118)</f>
        <v>152670.96228065091</v>
      </c>
      <c r="K10" s="567"/>
      <c r="M10" s="36" t="str">
        <f t="shared" si="0"/>
        <v/>
      </c>
      <c r="N10" s="202"/>
      <c r="O10" s="13">
        <f t="shared" si="3"/>
        <v>1</v>
      </c>
      <c r="U10" s="1">
        <f t="shared" si="1"/>
        <v>16</v>
      </c>
      <c r="V10" s="4" t="str">
        <f t="shared" si="2"/>
        <v/>
      </c>
      <c r="W10" s="4" t="e">
        <f>IF($W$3=$N$3,N10,V10*(1+'Rhaniad y Ddeiliadaeth (Cymru)'!C$118))</f>
        <v>#VALUE!</v>
      </c>
      <c r="X10" s="4" t="e">
        <f>W10*(1+'Rhaniad y Ddeiliadaeth (Cymru)'!D$118)</f>
        <v>#VALUE!</v>
      </c>
      <c r="Y10" s="4" t="e">
        <f>X10*(1+'Rhaniad y Ddeiliadaeth (Cymru)'!E$118)</f>
        <v>#VALUE!</v>
      </c>
      <c r="Z10" s="4" t="e">
        <f>Y10*(1+'Rhaniad y Ddeiliadaeth (Cymru)'!F$118)</f>
        <v>#VALUE!</v>
      </c>
      <c r="AA10" s="4" t="e">
        <f>Z10*(1+'Rhaniad y Ddeiliadaeth (Cymru)'!G$118)</f>
        <v>#VALUE!</v>
      </c>
      <c r="AC10" s="260">
        <v>16</v>
      </c>
      <c r="AD10" s="4">
        <f>IF('Rhaniad y Ddeiliadaeth (Cymru)'!$D$18="Data Cofrestrfa Tir",'Prisiau Tai (Canolbarth)'!E10,'Prisiau Tai (Canolbarth)'!W10)</f>
        <v>122616</v>
      </c>
      <c r="AE10" s="4">
        <f>IF('Rhaniad y Ddeiliadaeth (Cymru)'!$D$18="Data Cofrestrfa Tir",'Prisiau Tai (Canolbarth)'!F10,'Prisiau Tai (Canolbarth)'!X10)</f>
        <v>129764.5128</v>
      </c>
      <c r="AF10" s="4">
        <f>IF('Rhaniad y Ddeiliadaeth (Cymru)'!$D$18="Data Cofrestrfa Tir",'Prisiau Tai (Canolbarth)'!G10,'Prisiau Tai (Canolbarth)'!Y10)</f>
        <v>138930.67984719563</v>
      </c>
      <c r="AG10" s="4">
        <f>IF('Rhaniad y Ddeiliadaeth (Cymru)'!$D$18="Data Cofrestrfa Tir",'Prisiau Tai (Canolbarth)'!H10,'Prisiau Tai (Canolbarth)'!Z10)</f>
        <v>146491.40848963865</v>
      </c>
      <c r="AH10" s="4">
        <f>IF('Rhaniad y Ddeiliadaeth (Cymru)'!$D$18="Data Cofrestrfa Tir",'Prisiau Tai (Canolbarth)'!I10,'Prisiau Tai (Canolbarth)'!AA10)</f>
        <v>152670.96228065091</v>
      </c>
    </row>
    <row r="11" spans="2:34" x14ac:dyDescent="0.35">
      <c r="B11" s="251">
        <v>17</v>
      </c>
      <c r="C11" s="258">
        <v>116500</v>
      </c>
      <c r="D11" s="258">
        <v>120000</v>
      </c>
      <c r="E11" s="278">
        <f>D11*(1+'Rhaniad y Ddeiliadaeth (Canol)'!C$118)</f>
        <v>125760</v>
      </c>
      <c r="F11" s="278">
        <f>E11*(1+'Rhaniad y Ddeiliadaeth (Canol)'!D$118)</f>
        <v>133091.80799999999</v>
      </c>
      <c r="G11" s="278">
        <f>F11*(1+'Rhaniad y Ddeiliadaeth (Canol)'!E$118)</f>
        <v>142493.00497148267</v>
      </c>
      <c r="H11" s="278">
        <f>G11*(1+'Rhaniad y Ddeiliadaeth (Canol)'!F$118)</f>
        <v>150247.59845091144</v>
      </c>
      <c r="I11" s="279">
        <f>H11*(1+'Rhaniad y Ddeiliadaeth (Canol)'!G$118)</f>
        <v>156585.60233912914</v>
      </c>
      <c r="K11" s="246"/>
      <c r="M11" s="36" t="str">
        <f t="shared" si="0"/>
        <v/>
      </c>
      <c r="N11" s="202"/>
      <c r="O11" s="13">
        <f t="shared" si="3"/>
        <v>1</v>
      </c>
      <c r="U11" s="1">
        <f t="shared" si="1"/>
        <v>17</v>
      </c>
      <c r="V11" s="4" t="str">
        <f t="shared" si="2"/>
        <v/>
      </c>
      <c r="W11" s="4" t="e">
        <f>IF($W$3=$N$3,N11,V11*(1+'Rhaniad y Ddeiliadaeth (Cymru)'!C$118))</f>
        <v>#VALUE!</v>
      </c>
      <c r="X11" s="4" t="e">
        <f>W11*(1+'Rhaniad y Ddeiliadaeth (Cymru)'!D$118)</f>
        <v>#VALUE!</v>
      </c>
      <c r="Y11" s="4" t="e">
        <f>X11*(1+'Rhaniad y Ddeiliadaeth (Cymru)'!E$118)</f>
        <v>#VALUE!</v>
      </c>
      <c r="Z11" s="4" t="e">
        <f>Y11*(1+'Rhaniad y Ddeiliadaeth (Cymru)'!F$118)</f>
        <v>#VALUE!</v>
      </c>
      <c r="AA11" s="4" t="e">
        <f>Z11*(1+'Rhaniad y Ddeiliadaeth (Cymru)'!G$118)</f>
        <v>#VALUE!</v>
      </c>
      <c r="AC11" s="260">
        <v>17</v>
      </c>
      <c r="AD11" s="4">
        <f>IF('Rhaniad y Ddeiliadaeth (Cymru)'!$D$18="Data Cofrestrfa Tir",'Prisiau Tai (Canolbarth)'!E11,'Prisiau Tai (Canolbarth)'!W11)</f>
        <v>125760</v>
      </c>
      <c r="AE11" s="4">
        <f>IF('Rhaniad y Ddeiliadaeth (Cymru)'!$D$18="Data Cofrestrfa Tir",'Prisiau Tai (Canolbarth)'!F11,'Prisiau Tai (Canolbarth)'!X11)</f>
        <v>133091.80799999999</v>
      </c>
      <c r="AF11" s="4">
        <f>IF('Rhaniad y Ddeiliadaeth (Cymru)'!$D$18="Data Cofrestrfa Tir",'Prisiau Tai (Canolbarth)'!G11,'Prisiau Tai (Canolbarth)'!Y11)</f>
        <v>142493.00497148267</v>
      </c>
      <c r="AG11" s="4">
        <f>IF('Rhaniad y Ddeiliadaeth (Cymru)'!$D$18="Data Cofrestrfa Tir",'Prisiau Tai (Canolbarth)'!H11,'Prisiau Tai (Canolbarth)'!Z11)</f>
        <v>150247.59845091144</v>
      </c>
      <c r="AH11" s="4">
        <f>IF('Rhaniad y Ddeiliadaeth (Cymru)'!$D$18="Data Cofrestrfa Tir",'Prisiau Tai (Canolbarth)'!I11,'Prisiau Tai (Canolbarth)'!AA11)</f>
        <v>156585.60233912914</v>
      </c>
    </row>
    <row r="12" spans="2:34" x14ac:dyDescent="0.35">
      <c r="B12" s="251">
        <v>18</v>
      </c>
      <c r="C12" s="258">
        <v>119000</v>
      </c>
      <c r="D12" s="258">
        <v>121060</v>
      </c>
      <c r="E12" s="278">
        <f>D12*(1+'Rhaniad y Ddeiliadaeth (Canol)'!C$118)</f>
        <v>126870.88</v>
      </c>
      <c r="F12" s="278">
        <f>E12*(1+'Rhaniad y Ddeiliadaeth (Canol)'!D$118)</f>
        <v>134267.45230400001</v>
      </c>
      <c r="G12" s="278">
        <f>F12*(1+'Rhaniad y Ddeiliadaeth (Canol)'!E$118)</f>
        <v>143751.69318206413</v>
      </c>
      <c r="H12" s="278">
        <f>G12*(1+'Rhaniad y Ddeiliadaeth (Canol)'!F$118)</f>
        <v>151574.78557056119</v>
      </c>
      <c r="I12" s="279">
        <f>H12*(1+'Rhaniad y Ddeiliadaeth (Canol)'!G$118)</f>
        <v>157968.77515979149</v>
      </c>
      <c r="K12" s="246"/>
      <c r="M12" s="36" t="str">
        <f t="shared" si="0"/>
        <v/>
      </c>
      <c r="N12" s="202"/>
      <c r="O12" s="13">
        <f t="shared" si="3"/>
        <v>1</v>
      </c>
      <c r="U12" s="1">
        <f t="shared" si="1"/>
        <v>18</v>
      </c>
      <c r="V12" s="4" t="str">
        <f t="shared" si="2"/>
        <v/>
      </c>
      <c r="W12" s="4" t="e">
        <f>IF($W$3=$N$3,N12,V12*(1+'Rhaniad y Ddeiliadaeth (Cymru)'!C$118))</f>
        <v>#VALUE!</v>
      </c>
      <c r="X12" s="4" t="e">
        <f>W12*(1+'Rhaniad y Ddeiliadaeth (Cymru)'!D$118)</f>
        <v>#VALUE!</v>
      </c>
      <c r="Y12" s="4" t="e">
        <f>X12*(1+'Rhaniad y Ddeiliadaeth (Cymru)'!E$118)</f>
        <v>#VALUE!</v>
      </c>
      <c r="Z12" s="4" t="e">
        <f>Y12*(1+'Rhaniad y Ddeiliadaeth (Cymru)'!F$118)</f>
        <v>#VALUE!</v>
      </c>
      <c r="AA12" s="4" t="e">
        <f>Z12*(1+'Rhaniad y Ddeiliadaeth (Cymru)'!G$118)</f>
        <v>#VALUE!</v>
      </c>
      <c r="AC12" s="260">
        <v>18</v>
      </c>
      <c r="AD12" s="4">
        <f>IF('Rhaniad y Ddeiliadaeth (Cymru)'!$D$18="Data Cofrestrfa Tir",'Prisiau Tai (Canolbarth)'!E12,'Prisiau Tai (Canolbarth)'!W12)</f>
        <v>126870.88</v>
      </c>
      <c r="AE12" s="4">
        <f>IF('Rhaniad y Ddeiliadaeth (Cymru)'!$D$18="Data Cofrestrfa Tir",'Prisiau Tai (Canolbarth)'!F12,'Prisiau Tai (Canolbarth)'!X12)</f>
        <v>134267.45230400001</v>
      </c>
      <c r="AF12" s="4">
        <f>IF('Rhaniad y Ddeiliadaeth (Cymru)'!$D$18="Data Cofrestrfa Tir",'Prisiau Tai (Canolbarth)'!G12,'Prisiau Tai (Canolbarth)'!Y12)</f>
        <v>143751.69318206413</v>
      </c>
      <c r="AG12" s="4">
        <f>IF('Rhaniad y Ddeiliadaeth (Cymru)'!$D$18="Data Cofrestrfa Tir",'Prisiau Tai (Canolbarth)'!H12,'Prisiau Tai (Canolbarth)'!Z12)</f>
        <v>151574.78557056119</v>
      </c>
      <c r="AH12" s="4">
        <f>IF('Rhaniad y Ddeiliadaeth (Cymru)'!$D$18="Data Cofrestrfa Tir",'Prisiau Tai (Canolbarth)'!I12,'Prisiau Tai (Canolbarth)'!AA12)</f>
        <v>157968.77515979149</v>
      </c>
    </row>
    <row r="13" spans="2:34" x14ac:dyDescent="0.35">
      <c r="B13" s="251">
        <v>19</v>
      </c>
      <c r="C13" s="258">
        <v>120000</v>
      </c>
      <c r="D13" s="258">
        <v>124000</v>
      </c>
      <c r="E13" s="278">
        <f>D13*(1+'Rhaniad y Ddeiliadaeth (Canol)'!C$118)</f>
        <v>129952</v>
      </c>
      <c r="F13" s="278">
        <f>E13*(1+'Rhaniad y Ddeiliadaeth (Canol)'!D$118)</f>
        <v>137528.2016</v>
      </c>
      <c r="G13" s="278">
        <f>F13*(1+'Rhaniad y Ddeiliadaeth (Canol)'!E$118)</f>
        <v>147242.77180386544</v>
      </c>
      <c r="H13" s="278">
        <f>G13*(1+'Rhaniad y Ddeiliadaeth (Canol)'!F$118)</f>
        <v>155255.85173260848</v>
      </c>
      <c r="I13" s="279">
        <f>H13*(1+'Rhaniad y Ddeiliadaeth (Canol)'!G$118)</f>
        <v>161805.12241710012</v>
      </c>
      <c r="K13" s="246"/>
      <c r="M13" s="36" t="str">
        <f t="shared" si="0"/>
        <v/>
      </c>
      <c r="N13" s="202"/>
      <c r="O13" s="13">
        <f t="shared" si="3"/>
        <v>1</v>
      </c>
      <c r="U13" s="1">
        <f t="shared" si="1"/>
        <v>19</v>
      </c>
      <c r="V13" s="4" t="str">
        <f t="shared" si="2"/>
        <v/>
      </c>
      <c r="W13" s="4" t="e">
        <f>IF($W$3=$N$3,N13,V13*(1+'Rhaniad y Ddeiliadaeth (Cymru)'!C$118))</f>
        <v>#VALUE!</v>
      </c>
      <c r="X13" s="4" t="e">
        <f>W13*(1+'Rhaniad y Ddeiliadaeth (Cymru)'!D$118)</f>
        <v>#VALUE!</v>
      </c>
      <c r="Y13" s="4" t="e">
        <f>X13*(1+'Rhaniad y Ddeiliadaeth (Cymru)'!E$118)</f>
        <v>#VALUE!</v>
      </c>
      <c r="Z13" s="4" t="e">
        <f>Y13*(1+'Rhaniad y Ddeiliadaeth (Cymru)'!F$118)</f>
        <v>#VALUE!</v>
      </c>
      <c r="AA13" s="4" t="e">
        <f>Z13*(1+'Rhaniad y Ddeiliadaeth (Cymru)'!G$118)</f>
        <v>#VALUE!</v>
      </c>
      <c r="AC13" s="260">
        <v>19</v>
      </c>
      <c r="AD13" s="4">
        <f>IF('Rhaniad y Ddeiliadaeth (Cymru)'!$D$18="Data Cofrestrfa Tir",'Prisiau Tai (Canolbarth)'!E13,'Prisiau Tai (Canolbarth)'!W13)</f>
        <v>129952</v>
      </c>
      <c r="AE13" s="4">
        <f>IF('Rhaniad y Ddeiliadaeth (Cymru)'!$D$18="Data Cofrestrfa Tir",'Prisiau Tai (Canolbarth)'!F13,'Prisiau Tai (Canolbarth)'!X13)</f>
        <v>137528.2016</v>
      </c>
      <c r="AF13" s="4">
        <f>IF('Rhaniad y Ddeiliadaeth (Cymru)'!$D$18="Data Cofrestrfa Tir",'Prisiau Tai (Canolbarth)'!G13,'Prisiau Tai (Canolbarth)'!Y13)</f>
        <v>147242.77180386544</v>
      </c>
      <c r="AG13" s="4">
        <f>IF('Rhaniad y Ddeiliadaeth (Cymru)'!$D$18="Data Cofrestrfa Tir",'Prisiau Tai (Canolbarth)'!H13,'Prisiau Tai (Canolbarth)'!Z13)</f>
        <v>155255.85173260848</v>
      </c>
      <c r="AH13" s="4">
        <f>IF('Rhaniad y Ddeiliadaeth (Cymru)'!$D$18="Data Cofrestrfa Tir",'Prisiau Tai (Canolbarth)'!I13,'Prisiau Tai (Canolbarth)'!AA13)</f>
        <v>161805.12241710012</v>
      </c>
    </row>
    <row r="14" spans="2:34" x14ac:dyDescent="0.35">
      <c r="B14" s="251">
        <v>20</v>
      </c>
      <c r="C14" s="258">
        <v>123000</v>
      </c>
      <c r="D14" s="258">
        <v>125000</v>
      </c>
      <c r="E14" s="278">
        <f>D14*(1+'Rhaniad y Ddeiliadaeth (Canol)'!C$118)</f>
        <v>131000</v>
      </c>
      <c r="F14" s="278">
        <f>E14*(1+'Rhaniad y Ddeiliadaeth (Canol)'!D$118)</f>
        <v>138637.29999999999</v>
      </c>
      <c r="G14" s="278">
        <f>F14*(1+'Rhaniad y Ddeiliadaeth (Canol)'!E$118)</f>
        <v>148430.21351196113</v>
      </c>
      <c r="H14" s="278">
        <f>G14*(1+'Rhaniad y Ddeiliadaeth (Canol)'!F$118)</f>
        <v>156507.91505303275</v>
      </c>
      <c r="I14" s="279">
        <f>H14*(1+'Rhaniad y Ddeiliadaeth (Canol)'!G$118)</f>
        <v>163110.00243659285</v>
      </c>
      <c r="K14" s="246"/>
      <c r="M14" s="36" t="str">
        <f t="shared" si="0"/>
        <v/>
      </c>
      <c r="N14" s="202"/>
      <c r="O14" s="13">
        <f t="shared" si="3"/>
        <v>1</v>
      </c>
      <c r="U14" s="1">
        <f t="shared" si="1"/>
        <v>20</v>
      </c>
      <c r="V14" s="4" t="str">
        <f t="shared" si="2"/>
        <v/>
      </c>
      <c r="W14" s="4" t="e">
        <f>IF($W$3=$N$3,N14,V14*(1+'Rhaniad y Ddeiliadaeth (Cymru)'!C$118))</f>
        <v>#VALUE!</v>
      </c>
      <c r="X14" s="4" t="e">
        <f>W14*(1+'Rhaniad y Ddeiliadaeth (Cymru)'!D$118)</f>
        <v>#VALUE!</v>
      </c>
      <c r="Y14" s="4" t="e">
        <f>X14*(1+'Rhaniad y Ddeiliadaeth (Cymru)'!E$118)</f>
        <v>#VALUE!</v>
      </c>
      <c r="Z14" s="4" t="e">
        <f>Y14*(1+'Rhaniad y Ddeiliadaeth (Cymru)'!F$118)</f>
        <v>#VALUE!</v>
      </c>
      <c r="AA14" s="4" t="e">
        <f>Z14*(1+'Rhaniad y Ddeiliadaeth (Cymru)'!G$118)</f>
        <v>#VALUE!</v>
      </c>
      <c r="AC14" s="260">
        <v>20</v>
      </c>
      <c r="AD14" s="4">
        <f>IF('Rhaniad y Ddeiliadaeth (Cymru)'!$D$18="Data Cofrestrfa Tir",'Prisiau Tai (Canolbarth)'!E14,'Prisiau Tai (Canolbarth)'!W14)</f>
        <v>131000</v>
      </c>
      <c r="AE14" s="4">
        <f>IF('Rhaniad y Ddeiliadaeth (Cymru)'!$D$18="Data Cofrestrfa Tir",'Prisiau Tai (Canolbarth)'!F14,'Prisiau Tai (Canolbarth)'!X14)</f>
        <v>138637.29999999999</v>
      </c>
      <c r="AF14" s="4">
        <f>IF('Rhaniad y Ddeiliadaeth (Cymru)'!$D$18="Data Cofrestrfa Tir",'Prisiau Tai (Canolbarth)'!G14,'Prisiau Tai (Canolbarth)'!Y14)</f>
        <v>148430.21351196113</v>
      </c>
      <c r="AG14" s="4">
        <f>IF('Rhaniad y Ddeiliadaeth (Cymru)'!$D$18="Data Cofrestrfa Tir",'Prisiau Tai (Canolbarth)'!H14,'Prisiau Tai (Canolbarth)'!Z14)</f>
        <v>156507.91505303275</v>
      </c>
      <c r="AH14" s="4">
        <f>IF('Rhaniad y Ddeiliadaeth (Cymru)'!$D$18="Data Cofrestrfa Tir",'Prisiau Tai (Canolbarth)'!I14,'Prisiau Tai (Canolbarth)'!AA14)</f>
        <v>163110.00243659285</v>
      </c>
    </row>
    <row r="15" spans="2:34" x14ac:dyDescent="0.35">
      <c r="B15" s="251">
        <v>21</v>
      </c>
      <c r="C15" s="258">
        <v>125000</v>
      </c>
      <c r="D15" s="258">
        <v>126000</v>
      </c>
      <c r="E15" s="278">
        <f>D15*(1+'Rhaniad y Ddeiliadaeth (Canol)'!C$118)</f>
        <v>132048</v>
      </c>
      <c r="F15" s="278">
        <f>E15*(1+'Rhaniad y Ddeiliadaeth (Canol)'!D$118)</f>
        <v>139746.39840000001</v>
      </c>
      <c r="G15" s="278">
        <f>F15*(1+'Rhaniad y Ddeiliadaeth (Canol)'!E$118)</f>
        <v>149617.65522005683</v>
      </c>
      <c r="H15" s="278">
        <f>G15*(1+'Rhaniad y Ddeiliadaeth (Canol)'!F$118)</f>
        <v>157759.97837345701</v>
      </c>
      <c r="I15" s="279">
        <f>H15*(1+'Rhaniad y Ddeiliadaeth (Canol)'!G$118)</f>
        <v>164414.88245608562</v>
      </c>
      <c r="K15" s="246"/>
      <c r="M15" s="36" t="str">
        <f t="shared" si="0"/>
        <v/>
      </c>
      <c r="N15" s="202"/>
      <c r="O15" s="13">
        <f t="shared" si="3"/>
        <v>1</v>
      </c>
      <c r="U15" s="1">
        <f t="shared" si="1"/>
        <v>21</v>
      </c>
      <c r="V15" s="4" t="str">
        <f t="shared" si="2"/>
        <v/>
      </c>
      <c r="W15" s="4" t="e">
        <f>IF($W$3=$N$3,N15,V15*(1+'Rhaniad y Ddeiliadaeth (Cymru)'!C$118))</f>
        <v>#VALUE!</v>
      </c>
      <c r="X15" s="4" t="e">
        <f>W15*(1+'Rhaniad y Ddeiliadaeth (Cymru)'!D$118)</f>
        <v>#VALUE!</v>
      </c>
      <c r="Y15" s="4" t="e">
        <f>X15*(1+'Rhaniad y Ddeiliadaeth (Cymru)'!E$118)</f>
        <v>#VALUE!</v>
      </c>
      <c r="Z15" s="4" t="e">
        <f>Y15*(1+'Rhaniad y Ddeiliadaeth (Cymru)'!F$118)</f>
        <v>#VALUE!</v>
      </c>
      <c r="AA15" s="4" t="e">
        <f>Z15*(1+'Rhaniad y Ddeiliadaeth (Cymru)'!G$118)</f>
        <v>#VALUE!</v>
      </c>
      <c r="AC15" s="260">
        <v>21</v>
      </c>
      <c r="AD15" s="4">
        <f>IF('Rhaniad y Ddeiliadaeth (Cymru)'!$D$18="Data Cofrestrfa Tir",'Prisiau Tai (Canolbarth)'!E15,'Prisiau Tai (Canolbarth)'!W15)</f>
        <v>132048</v>
      </c>
      <c r="AE15" s="4">
        <f>IF('Rhaniad y Ddeiliadaeth (Cymru)'!$D$18="Data Cofrestrfa Tir",'Prisiau Tai (Canolbarth)'!F15,'Prisiau Tai (Canolbarth)'!X15)</f>
        <v>139746.39840000001</v>
      </c>
      <c r="AF15" s="4">
        <f>IF('Rhaniad y Ddeiliadaeth (Cymru)'!$D$18="Data Cofrestrfa Tir",'Prisiau Tai (Canolbarth)'!G15,'Prisiau Tai (Canolbarth)'!Y15)</f>
        <v>149617.65522005683</v>
      </c>
      <c r="AG15" s="4">
        <f>IF('Rhaniad y Ddeiliadaeth (Cymru)'!$D$18="Data Cofrestrfa Tir",'Prisiau Tai (Canolbarth)'!H15,'Prisiau Tai (Canolbarth)'!Z15)</f>
        <v>157759.97837345701</v>
      </c>
      <c r="AH15" s="4">
        <f>IF('Rhaniad y Ddeiliadaeth (Cymru)'!$D$18="Data Cofrestrfa Tir",'Prisiau Tai (Canolbarth)'!I15,'Prisiau Tai (Canolbarth)'!AA15)</f>
        <v>164414.88245608562</v>
      </c>
    </row>
    <row r="16" spans="2:34" x14ac:dyDescent="0.35">
      <c r="B16" s="251">
        <v>22</v>
      </c>
      <c r="C16" s="258">
        <v>126009.99999999999</v>
      </c>
      <c r="D16" s="258">
        <v>128000</v>
      </c>
      <c r="E16" s="278">
        <f>D16*(1+'Rhaniad y Ddeiliadaeth (Canol)'!C$118)</f>
        <v>134144</v>
      </c>
      <c r="F16" s="278">
        <f>E16*(1+'Rhaniad y Ddeiliadaeth (Canol)'!D$118)</f>
        <v>141964.59520000001</v>
      </c>
      <c r="G16" s="278">
        <f>F16*(1+'Rhaniad y Ddeiliadaeth (Canol)'!E$118)</f>
        <v>151992.53863624821</v>
      </c>
      <c r="H16" s="278">
        <f>G16*(1+'Rhaniad y Ddeiliadaeth (Canol)'!F$118)</f>
        <v>160264.10501430553</v>
      </c>
      <c r="I16" s="279">
        <f>H16*(1+'Rhaniad y Ddeiliadaeth (Canol)'!G$118)</f>
        <v>167024.64249507111</v>
      </c>
      <c r="M16" s="36" t="str">
        <f t="shared" si="0"/>
        <v/>
      </c>
      <c r="N16" s="202"/>
      <c r="O16" s="13">
        <f t="shared" si="3"/>
        <v>1</v>
      </c>
      <c r="U16" s="1">
        <f t="shared" si="1"/>
        <v>22</v>
      </c>
      <c r="V16" s="4" t="str">
        <f t="shared" si="2"/>
        <v/>
      </c>
      <c r="W16" s="4" t="e">
        <f>IF($W$3=$N$3,N16,V16*(1+'Rhaniad y Ddeiliadaeth (Cymru)'!C$118))</f>
        <v>#VALUE!</v>
      </c>
      <c r="X16" s="4" t="e">
        <f>W16*(1+'Rhaniad y Ddeiliadaeth (Cymru)'!D$118)</f>
        <v>#VALUE!</v>
      </c>
      <c r="Y16" s="4" t="e">
        <f>X16*(1+'Rhaniad y Ddeiliadaeth (Cymru)'!E$118)</f>
        <v>#VALUE!</v>
      </c>
      <c r="Z16" s="4" t="e">
        <f>Y16*(1+'Rhaniad y Ddeiliadaeth (Cymru)'!F$118)</f>
        <v>#VALUE!</v>
      </c>
      <c r="AA16" s="4" t="e">
        <f>Z16*(1+'Rhaniad y Ddeiliadaeth (Cymru)'!G$118)</f>
        <v>#VALUE!</v>
      </c>
      <c r="AC16" s="260">
        <v>22</v>
      </c>
      <c r="AD16" s="4">
        <f>IF('Rhaniad y Ddeiliadaeth (Cymru)'!$D$18="Data Cofrestrfa Tir",'Prisiau Tai (Canolbarth)'!E16,'Prisiau Tai (Canolbarth)'!W16)</f>
        <v>134144</v>
      </c>
      <c r="AE16" s="4">
        <f>IF('Rhaniad y Ddeiliadaeth (Cymru)'!$D$18="Data Cofrestrfa Tir",'Prisiau Tai (Canolbarth)'!F16,'Prisiau Tai (Canolbarth)'!X16)</f>
        <v>141964.59520000001</v>
      </c>
      <c r="AF16" s="4">
        <f>IF('Rhaniad y Ddeiliadaeth (Cymru)'!$D$18="Data Cofrestrfa Tir",'Prisiau Tai (Canolbarth)'!G16,'Prisiau Tai (Canolbarth)'!Y16)</f>
        <v>151992.53863624821</v>
      </c>
      <c r="AG16" s="4">
        <f>IF('Rhaniad y Ddeiliadaeth (Cymru)'!$D$18="Data Cofrestrfa Tir",'Prisiau Tai (Canolbarth)'!H16,'Prisiau Tai (Canolbarth)'!Z16)</f>
        <v>160264.10501430553</v>
      </c>
      <c r="AH16" s="4">
        <f>IF('Rhaniad y Ddeiliadaeth (Cymru)'!$D$18="Data Cofrestrfa Tir",'Prisiau Tai (Canolbarth)'!I16,'Prisiau Tai (Canolbarth)'!AA16)</f>
        <v>167024.64249507111</v>
      </c>
    </row>
    <row r="17" spans="2:34" x14ac:dyDescent="0.35">
      <c r="B17" s="251">
        <v>23</v>
      </c>
      <c r="C17" s="258">
        <v>128000</v>
      </c>
      <c r="D17" s="258">
        <v>130000</v>
      </c>
      <c r="E17" s="278">
        <f>D17*(1+'Rhaniad y Ddeiliadaeth (Canol)'!C$118)</f>
        <v>136240</v>
      </c>
      <c r="F17" s="278">
        <f>E17*(1+'Rhaniad y Ddeiliadaeth (Canol)'!D$118)</f>
        <v>144182.79200000002</v>
      </c>
      <c r="G17" s="278">
        <f>F17*(1+'Rhaniad y Ddeiliadaeth (Canol)'!E$118)</f>
        <v>154367.42205243959</v>
      </c>
      <c r="H17" s="278">
        <f>G17*(1+'Rhaniad y Ddeiliadaeth (Canol)'!F$118)</f>
        <v>162768.23165515409</v>
      </c>
      <c r="I17" s="279">
        <f>H17*(1+'Rhaniad y Ddeiliadaeth (Canol)'!G$118)</f>
        <v>169634.4025340566</v>
      </c>
      <c r="M17" s="36" t="str">
        <f t="shared" si="0"/>
        <v/>
      </c>
      <c r="N17" s="202"/>
      <c r="O17" s="13">
        <f t="shared" si="3"/>
        <v>1</v>
      </c>
      <c r="U17" s="1">
        <f t="shared" si="1"/>
        <v>23</v>
      </c>
      <c r="V17" s="4" t="str">
        <f t="shared" si="2"/>
        <v/>
      </c>
      <c r="W17" s="4" t="e">
        <f>IF($W$3=$N$3,N17,V17*(1+'Rhaniad y Ddeiliadaeth (Cymru)'!C$118))</f>
        <v>#VALUE!</v>
      </c>
      <c r="X17" s="4" t="e">
        <f>W17*(1+'Rhaniad y Ddeiliadaeth (Cymru)'!D$118)</f>
        <v>#VALUE!</v>
      </c>
      <c r="Y17" s="4" t="e">
        <f>X17*(1+'Rhaniad y Ddeiliadaeth (Cymru)'!E$118)</f>
        <v>#VALUE!</v>
      </c>
      <c r="Z17" s="4" t="e">
        <f>Y17*(1+'Rhaniad y Ddeiliadaeth (Cymru)'!F$118)</f>
        <v>#VALUE!</v>
      </c>
      <c r="AA17" s="4" t="e">
        <f>Z17*(1+'Rhaniad y Ddeiliadaeth (Cymru)'!G$118)</f>
        <v>#VALUE!</v>
      </c>
      <c r="AC17" s="260">
        <v>23</v>
      </c>
      <c r="AD17" s="4">
        <f>IF('Rhaniad y Ddeiliadaeth (Cymru)'!$D$18="Data Cofrestrfa Tir",'Prisiau Tai (Canolbarth)'!E17,'Prisiau Tai (Canolbarth)'!W17)</f>
        <v>136240</v>
      </c>
      <c r="AE17" s="4">
        <f>IF('Rhaniad y Ddeiliadaeth (Cymru)'!$D$18="Data Cofrestrfa Tir",'Prisiau Tai (Canolbarth)'!F17,'Prisiau Tai (Canolbarth)'!X17)</f>
        <v>144182.79200000002</v>
      </c>
      <c r="AF17" s="4">
        <f>IF('Rhaniad y Ddeiliadaeth (Cymru)'!$D$18="Data Cofrestrfa Tir",'Prisiau Tai (Canolbarth)'!G17,'Prisiau Tai (Canolbarth)'!Y17)</f>
        <v>154367.42205243959</v>
      </c>
      <c r="AG17" s="4">
        <f>IF('Rhaniad y Ddeiliadaeth (Cymru)'!$D$18="Data Cofrestrfa Tir",'Prisiau Tai (Canolbarth)'!H17,'Prisiau Tai (Canolbarth)'!Z17)</f>
        <v>162768.23165515409</v>
      </c>
      <c r="AH17" s="4">
        <f>IF('Rhaniad y Ddeiliadaeth (Cymru)'!$D$18="Data Cofrestrfa Tir",'Prisiau Tai (Canolbarth)'!I17,'Prisiau Tai (Canolbarth)'!AA17)</f>
        <v>169634.4025340566</v>
      </c>
    </row>
    <row r="18" spans="2:34" x14ac:dyDescent="0.35">
      <c r="B18" s="251">
        <v>24</v>
      </c>
      <c r="C18" s="258">
        <v>130000</v>
      </c>
      <c r="D18" s="258">
        <v>132000</v>
      </c>
      <c r="E18" s="278">
        <f>D18*(1+'Rhaniad y Ddeiliadaeth (Canol)'!C$118)</f>
        <v>138336</v>
      </c>
      <c r="F18" s="278">
        <f>E18*(1+'Rhaniad y Ddeiliadaeth (Canol)'!D$118)</f>
        <v>146400.98879999999</v>
      </c>
      <c r="G18" s="278">
        <f>F18*(1+'Rhaniad y Ddeiliadaeth (Canol)'!E$118)</f>
        <v>156742.30546863095</v>
      </c>
      <c r="H18" s="278">
        <f>G18*(1+'Rhaniad y Ddeiliadaeth (Canol)'!F$118)</f>
        <v>165272.35829600258</v>
      </c>
      <c r="I18" s="279">
        <f>H18*(1+'Rhaniad y Ddeiliadaeth (Canol)'!G$118)</f>
        <v>172244.16257304206</v>
      </c>
      <c r="M18" s="36" t="str">
        <f t="shared" si="0"/>
        <v/>
      </c>
      <c r="N18" s="202"/>
      <c r="O18" s="13">
        <f t="shared" si="3"/>
        <v>1</v>
      </c>
      <c r="U18" s="1">
        <f t="shared" si="1"/>
        <v>24</v>
      </c>
      <c r="V18" s="4" t="str">
        <f t="shared" si="2"/>
        <v/>
      </c>
      <c r="W18" s="4" t="e">
        <f>IF($W$3=$N$3,N18,V18*(1+'Rhaniad y Ddeiliadaeth (Cymru)'!C$118))</f>
        <v>#VALUE!</v>
      </c>
      <c r="X18" s="4" t="e">
        <f>W18*(1+'Rhaniad y Ddeiliadaeth (Cymru)'!D$118)</f>
        <v>#VALUE!</v>
      </c>
      <c r="Y18" s="4" t="e">
        <f>X18*(1+'Rhaniad y Ddeiliadaeth (Cymru)'!E$118)</f>
        <v>#VALUE!</v>
      </c>
      <c r="Z18" s="4" t="e">
        <f>Y18*(1+'Rhaniad y Ddeiliadaeth (Cymru)'!F$118)</f>
        <v>#VALUE!</v>
      </c>
      <c r="AA18" s="4" t="e">
        <f>Z18*(1+'Rhaniad y Ddeiliadaeth (Cymru)'!G$118)</f>
        <v>#VALUE!</v>
      </c>
      <c r="AC18" s="260">
        <v>24</v>
      </c>
      <c r="AD18" s="4">
        <f>IF('Rhaniad y Ddeiliadaeth (Cymru)'!$D$18="Data Cofrestrfa Tir",'Prisiau Tai (Canolbarth)'!E18,'Prisiau Tai (Canolbarth)'!W18)</f>
        <v>138336</v>
      </c>
      <c r="AE18" s="4">
        <f>IF('Rhaniad y Ddeiliadaeth (Cymru)'!$D$18="Data Cofrestrfa Tir",'Prisiau Tai (Canolbarth)'!F18,'Prisiau Tai (Canolbarth)'!X18)</f>
        <v>146400.98879999999</v>
      </c>
      <c r="AF18" s="4">
        <f>IF('Rhaniad y Ddeiliadaeth (Cymru)'!$D$18="Data Cofrestrfa Tir",'Prisiau Tai (Canolbarth)'!G18,'Prisiau Tai (Canolbarth)'!Y18)</f>
        <v>156742.30546863095</v>
      </c>
      <c r="AG18" s="4">
        <f>IF('Rhaniad y Ddeiliadaeth (Cymru)'!$D$18="Data Cofrestrfa Tir",'Prisiau Tai (Canolbarth)'!H18,'Prisiau Tai (Canolbarth)'!Z18)</f>
        <v>165272.35829600258</v>
      </c>
      <c r="AH18" s="4">
        <f>IF('Rhaniad y Ddeiliadaeth (Cymru)'!$D$18="Data Cofrestrfa Tir",'Prisiau Tai (Canolbarth)'!I18,'Prisiau Tai (Canolbarth)'!AA18)</f>
        <v>172244.16257304206</v>
      </c>
    </row>
    <row r="19" spans="2:34" x14ac:dyDescent="0.35">
      <c r="B19" s="251">
        <v>25</v>
      </c>
      <c r="C19" s="258">
        <v>132000</v>
      </c>
      <c r="D19" s="258">
        <v>135000</v>
      </c>
      <c r="E19" s="278">
        <f>D19*(1+'Rhaniad y Ddeiliadaeth (Canol)'!C$118)</f>
        <v>141480</v>
      </c>
      <c r="F19" s="278">
        <f>E19*(1+'Rhaniad y Ddeiliadaeth (Canol)'!D$118)</f>
        <v>149728.28400000001</v>
      </c>
      <c r="G19" s="278">
        <f>F19*(1+'Rhaniad y Ddeiliadaeth (Canol)'!E$118)</f>
        <v>160304.63059291805</v>
      </c>
      <c r="H19" s="278">
        <f>G19*(1+'Rhaniad y Ddeiliadaeth (Canol)'!F$118)</f>
        <v>169028.5482572754</v>
      </c>
      <c r="I19" s="279">
        <f>H19*(1+'Rhaniad y Ddeiliadaeth (Canol)'!G$118)</f>
        <v>176158.80263152032</v>
      </c>
      <c r="M19" s="36" t="str">
        <f t="shared" si="0"/>
        <v/>
      </c>
      <c r="N19" s="202"/>
      <c r="O19" s="13">
        <f t="shared" si="3"/>
        <v>1</v>
      </c>
      <c r="U19" s="1">
        <f t="shared" si="1"/>
        <v>25</v>
      </c>
      <c r="V19" s="4" t="str">
        <f t="shared" si="2"/>
        <v/>
      </c>
      <c r="W19" s="4" t="e">
        <f>IF($W$3=$N$3,N19,V19*(1+'Rhaniad y Ddeiliadaeth (Cymru)'!C$118))</f>
        <v>#VALUE!</v>
      </c>
      <c r="X19" s="4" t="e">
        <f>W19*(1+'Rhaniad y Ddeiliadaeth (Cymru)'!D$118)</f>
        <v>#VALUE!</v>
      </c>
      <c r="Y19" s="4" t="e">
        <f>X19*(1+'Rhaniad y Ddeiliadaeth (Cymru)'!E$118)</f>
        <v>#VALUE!</v>
      </c>
      <c r="Z19" s="4" t="e">
        <f>Y19*(1+'Rhaniad y Ddeiliadaeth (Cymru)'!F$118)</f>
        <v>#VALUE!</v>
      </c>
      <c r="AA19" s="4" t="e">
        <f>Z19*(1+'Rhaniad y Ddeiliadaeth (Cymru)'!G$118)</f>
        <v>#VALUE!</v>
      </c>
      <c r="AC19" s="260">
        <v>25</v>
      </c>
      <c r="AD19" s="4">
        <f>IF('Rhaniad y Ddeiliadaeth (Cymru)'!$D$18="Data Cofrestrfa Tir",'Prisiau Tai (Canolbarth)'!E19,'Prisiau Tai (Canolbarth)'!W19)</f>
        <v>141480</v>
      </c>
      <c r="AE19" s="4">
        <f>IF('Rhaniad y Ddeiliadaeth (Cymru)'!$D$18="Data Cofrestrfa Tir",'Prisiau Tai (Canolbarth)'!F19,'Prisiau Tai (Canolbarth)'!X19)</f>
        <v>149728.28400000001</v>
      </c>
      <c r="AF19" s="4">
        <f>IF('Rhaniad y Ddeiliadaeth (Cymru)'!$D$18="Data Cofrestrfa Tir",'Prisiau Tai (Canolbarth)'!G19,'Prisiau Tai (Canolbarth)'!Y19)</f>
        <v>160304.63059291805</v>
      </c>
      <c r="AG19" s="4">
        <f>IF('Rhaniad y Ddeiliadaeth (Cymru)'!$D$18="Data Cofrestrfa Tir",'Prisiau Tai (Canolbarth)'!H19,'Prisiau Tai (Canolbarth)'!Z19)</f>
        <v>169028.5482572754</v>
      </c>
      <c r="AH19" s="4">
        <f>IF('Rhaniad y Ddeiliadaeth (Cymru)'!$D$18="Data Cofrestrfa Tir",'Prisiau Tai (Canolbarth)'!I19,'Prisiau Tai (Canolbarth)'!AA19)</f>
        <v>176158.80263152032</v>
      </c>
    </row>
    <row r="20" spans="2:34" x14ac:dyDescent="0.35">
      <c r="B20" s="251">
        <v>26</v>
      </c>
      <c r="C20" s="258">
        <v>135000</v>
      </c>
      <c r="D20" s="258">
        <v>135000</v>
      </c>
      <c r="E20" s="278">
        <f>D20*(1+'Rhaniad y Ddeiliadaeth (Canol)'!C$118)</f>
        <v>141480</v>
      </c>
      <c r="F20" s="278">
        <f>E20*(1+'Rhaniad y Ddeiliadaeth (Canol)'!D$118)</f>
        <v>149728.28400000001</v>
      </c>
      <c r="G20" s="278">
        <f>F20*(1+'Rhaniad y Ddeiliadaeth (Canol)'!E$118)</f>
        <v>160304.63059291805</v>
      </c>
      <c r="H20" s="278">
        <f>G20*(1+'Rhaniad y Ddeiliadaeth (Canol)'!F$118)</f>
        <v>169028.5482572754</v>
      </c>
      <c r="I20" s="279">
        <f>H20*(1+'Rhaniad y Ddeiliadaeth (Canol)'!G$118)</f>
        <v>176158.80263152032</v>
      </c>
      <c r="M20" s="36" t="str">
        <f t="shared" si="0"/>
        <v/>
      </c>
      <c r="N20" s="202"/>
      <c r="O20" s="13">
        <f t="shared" si="3"/>
        <v>1</v>
      </c>
      <c r="U20" s="1">
        <f t="shared" si="1"/>
        <v>26</v>
      </c>
      <c r="V20" s="4" t="str">
        <f t="shared" si="2"/>
        <v/>
      </c>
      <c r="W20" s="4" t="e">
        <f>IF($W$3=$N$3,N20,V20*(1+'Rhaniad y Ddeiliadaeth (Cymru)'!C$118))</f>
        <v>#VALUE!</v>
      </c>
      <c r="X20" s="4" t="e">
        <f>W20*(1+'Rhaniad y Ddeiliadaeth (Cymru)'!D$118)</f>
        <v>#VALUE!</v>
      </c>
      <c r="Y20" s="4" t="e">
        <f>X20*(1+'Rhaniad y Ddeiliadaeth (Cymru)'!E$118)</f>
        <v>#VALUE!</v>
      </c>
      <c r="Z20" s="4" t="e">
        <f>Y20*(1+'Rhaniad y Ddeiliadaeth (Cymru)'!F$118)</f>
        <v>#VALUE!</v>
      </c>
      <c r="AA20" s="4" t="e">
        <f>Z20*(1+'Rhaniad y Ddeiliadaeth (Cymru)'!G$118)</f>
        <v>#VALUE!</v>
      </c>
      <c r="AC20" s="260">
        <v>26</v>
      </c>
      <c r="AD20" s="4">
        <f>IF('Rhaniad y Ddeiliadaeth (Cymru)'!$D$18="Data Cofrestrfa Tir",'Prisiau Tai (Canolbarth)'!E20,'Prisiau Tai (Canolbarth)'!W20)</f>
        <v>141480</v>
      </c>
      <c r="AE20" s="4">
        <f>IF('Rhaniad y Ddeiliadaeth (Cymru)'!$D$18="Data Cofrestrfa Tir",'Prisiau Tai (Canolbarth)'!F20,'Prisiau Tai (Canolbarth)'!X20)</f>
        <v>149728.28400000001</v>
      </c>
      <c r="AF20" s="4">
        <f>IF('Rhaniad y Ddeiliadaeth (Cymru)'!$D$18="Data Cofrestrfa Tir",'Prisiau Tai (Canolbarth)'!G20,'Prisiau Tai (Canolbarth)'!Y20)</f>
        <v>160304.63059291805</v>
      </c>
      <c r="AG20" s="4">
        <f>IF('Rhaniad y Ddeiliadaeth (Cymru)'!$D$18="Data Cofrestrfa Tir",'Prisiau Tai (Canolbarth)'!H20,'Prisiau Tai (Canolbarth)'!Z20)</f>
        <v>169028.5482572754</v>
      </c>
      <c r="AH20" s="4">
        <f>IF('Rhaniad y Ddeiliadaeth (Cymru)'!$D$18="Data Cofrestrfa Tir",'Prisiau Tai (Canolbarth)'!I20,'Prisiau Tai (Canolbarth)'!AA20)</f>
        <v>176158.80263152032</v>
      </c>
    </row>
    <row r="21" spans="2:34" x14ac:dyDescent="0.35">
      <c r="B21" s="251">
        <v>27</v>
      </c>
      <c r="C21" s="258">
        <v>136021.00000000003</v>
      </c>
      <c r="D21" s="258">
        <v>137500</v>
      </c>
      <c r="E21" s="278">
        <f>D21*(1+'Rhaniad y Ddeiliadaeth (Canol)'!C$118)</f>
        <v>144100</v>
      </c>
      <c r="F21" s="278">
        <f>E21*(1+'Rhaniad y Ddeiliadaeth (Canol)'!D$118)</f>
        <v>152501.03</v>
      </c>
      <c r="G21" s="278">
        <f>F21*(1+'Rhaniad y Ddeiliadaeth (Canol)'!E$118)</f>
        <v>163273.23486315724</v>
      </c>
      <c r="H21" s="278">
        <f>G21*(1+'Rhaniad y Ddeiliadaeth (Canol)'!F$118)</f>
        <v>172158.70655833601</v>
      </c>
      <c r="I21" s="279">
        <f>H21*(1+'Rhaniad y Ddeiliadaeth (Canol)'!G$118)</f>
        <v>179421.00268025213</v>
      </c>
      <c r="M21" s="36" t="str">
        <f t="shared" si="0"/>
        <v/>
      </c>
      <c r="N21" s="202"/>
      <c r="O21" s="13">
        <f t="shared" si="3"/>
        <v>1</v>
      </c>
      <c r="U21" s="1">
        <f t="shared" si="1"/>
        <v>27</v>
      </c>
      <c r="V21" s="4" t="str">
        <f t="shared" si="2"/>
        <v/>
      </c>
      <c r="W21" s="4" t="e">
        <f>IF($W$3=$N$3,N21,V21*(1+'Rhaniad y Ddeiliadaeth (Cymru)'!C$118))</f>
        <v>#VALUE!</v>
      </c>
      <c r="X21" s="4" t="e">
        <f>W21*(1+'Rhaniad y Ddeiliadaeth (Cymru)'!D$118)</f>
        <v>#VALUE!</v>
      </c>
      <c r="Y21" s="4" t="e">
        <f>X21*(1+'Rhaniad y Ddeiliadaeth (Cymru)'!E$118)</f>
        <v>#VALUE!</v>
      </c>
      <c r="Z21" s="4" t="e">
        <f>Y21*(1+'Rhaniad y Ddeiliadaeth (Cymru)'!F$118)</f>
        <v>#VALUE!</v>
      </c>
      <c r="AA21" s="4" t="e">
        <f>Z21*(1+'Rhaniad y Ddeiliadaeth (Cymru)'!G$118)</f>
        <v>#VALUE!</v>
      </c>
      <c r="AC21" s="260">
        <v>27</v>
      </c>
      <c r="AD21" s="4">
        <f>IF('Rhaniad y Ddeiliadaeth (Cymru)'!$D$18="Data Cofrestrfa Tir",'Prisiau Tai (Canolbarth)'!E21,'Prisiau Tai (Canolbarth)'!W21)</f>
        <v>144100</v>
      </c>
      <c r="AE21" s="4">
        <f>IF('Rhaniad y Ddeiliadaeth (Cymru)'!$D$18="Data Cofrestrfa Tir",'Prisiau Tai (Canolbarth)'!F21,'Prisiau Tai (Canolbarth)'!X21)</f>
        <v>152501.03</v>
      </c>
      <c r="AF21" s="4">
        <f>IF('Rhaniad y Ddeiliadaeth (Cymru)'!$D$18="Data Cofrestrfa Tir",'Prisiau Tai (Canolbarth)'!G21,'Prisiau Tai (Canolbarth)'!Y21)</f>
        <v>163273.23486315724</v>
      </c>
      <c r="AG21" s="4">
        <f>IF('Rhaniad y Ddeiliadaeth (Cymru)'!$D$18="Data Cofrestrfa Tir",'Prisiau Tai (Canolbarth)'!H21,'Prisiau Tai (Canolbarth)'!Z21)</f>
        <v>172158.70655833601</v>
      </c>
      <c r="AH21" s="4">
        <f>IF('Rhaniad y Ddeiliadaeth (Cymru)'!$D$18="Data Cofrestrfa Tir",'Prisiau Tai (Canolbarth)'!I21,'Prisiau Tai (Canolbarth)'!AA21)</f>
        <v>179421.00268025213</v>
      </c>
    </row>
    <row r="22" spans="2:34" x14ac:dyDescent="0.35">
      <c r="B22" s="251">
        <v>28</v>
      </c>
      <c r="C22" s="258">
        <v>138500</v>
      </c>
      <c r="D22" s="258">
        <v>140000</v>
      </c>
      <c r="E22" s="278">
        <f>D22*(1+'Rhaniad y Ddeiliadaeth (Canol)'!C$118)</f>
        <v>146720</v>
      </c>
      <c r="F22" s="278">
        <f>E22*(1+'Rhaniad y Ddeiliadaeth (Canol)'!D$118)</f>
        <v>155273.77600000001</v>
      </c>
      <c r="G22" s="278">
        <f>F22*(1+'Rhaniad y Ddeiliadaeth (Canol)'!E$118)</f>
        <v>166241.83913339648</v>
      </c>
      <c r="H22" s="278">
        <f>G22*(1+'Rhaniad y Ddeiliadaeth (Canol)'!F$118)</f>
        <v>175288.86485939671</v>
      </c>
      <c r="I22" s="279">
        <f>H22*(1+'Rhaniad y Ddeiliadaeth (Canol)'!G$118)</f>
        <v>182683.20272898403</v>
      </c>
      <c r="M22" s="36" t="str">
        <f t="shared" si="0"/>
        <v/>
      </c>
      <c r="N22" s="202"/>
      <c r="O22" s="13">
        <f t="shared" si="3"/>
        <v>1</v>
      </c>
      <c r="U22" s="1">
        <f t="shared" si="1"/>
        <v>28</v>
      </c>
      <c r="V22" s="4" t="str">
        <f t="shared" si="2"/>
        <v/>
      </c>
      <c r="W22" s="4" t="e">
        <f>IF($W$3=$N$3,N22,V22*(1+'Rhaniad y Ddeiliadaeth (Cymru)'!C$118))</f>
        <v>#VALUE!</v>
      </c>
      <c r="X22" s="4" t="e">
        <f>W22*(1+'Rhaniad y Ddeiliadaeth (Cymru)'!D$118)</f>
        <v>#VALUE!</v>
      </c>
      <c r="Y22" s="4" t="e">
        <f>X22*(1+'Rhaniad y Ddeiliadaeth (Cymru)'!E$118)</f>
        <v>#VALUE!</v>
      </c>
      <c r="Z22" s="4" t="e">
        <f>Y22*(1+'Rhaniad y Ddeiliadaeth (Cymru)'!F$118)</f>
        <v>#VALUE!</v>
      </c>
      <c r="AA22" s="4" t="e">
        <f>Z22*(1+'Rhaniad y Ddeiliadaeth (Cymru)'!G$118)</f>
        <v>#VALUE!</v>
      </c>
      <c r="AC22" s="260">
        <v>28</v>
      </c>
      <c r="AD22" s="4">
        <f>IF('Rhaniad y Ddeiliadaeth (Cymru)'!$D$18="Data Cofrestrfa Tir",'Prisiau Tai (Canolbarth)'!E22,'Prisiau Tai (Canolbarth)'!W22)</f>
        <v>146720</v>
      </c>
      <c r="AE22" s="4">
        <f>IF('Rhaniad y Ddeiliadaeth (Cymru)'!$D$18="Data Cofrestrfa Tir",'Prisiau Tai (Canolbarth)'!F22,'Prisiau Tai (Canolbarth)'!X22)</f>
        <v>155273.77600000001</v>
      </c>
      <c r="AF22" s="4">
        <f>IF('Rhaniad y Ddeiliadaeth (Cymru)'!$D$18="Data Cofrestrfa Tir",'Prisiau Tai (Canolbarth)'!G22,'Prisiau Tai (Canolbarth)'!Y22)</f>
        <v>166241.83913339648</v>
      </c>
      <c r="AG22" s="4">
        <f>IF('Rhaniad y Ddeiliadaeth (Cymru)'!$D$18="Data Cofrestrfa Tir",'Prisiau Tai (Canolbarth)'!H22,'Prisiau Tai (Canolbarth)'!Z22)</f>
        <v>175288.86485939671</v>
      </c>
      <c r="AH22" s="4">
        <f>IF('Rhaniad y Ddeiliadaeth (Cymru)'!$D$18="Data Cofrestrfa Tir",'Prisiau Tai (Canolbarth)'!I22,'Prisiau Tai (Canolbarth)'!AA22)</f>
        <v>182683.20272898403</v>
      </c>
    </row>
    <row r="23" spans="2:34" x14ac:dyDescent="0.35">
      <c r="B23" s="251">
        <v>29</v>
      </c>
      <c r="C23" s="258">
        <v>140000</v>
      </c>
      <c r="D23" s="258">
        <v>142610.00000000012</v>
      </c>
      <c r="E23" s="278">
        <f>D23*(1+'Rhaniad y Ddeiliadaeth (Canol)'!C$118)</f>
        <v>149455.28000000012</v>
      </c>
      <c r="F23" s="278">
        <f>E23*(1+'Rhaniad y Ddeiliadaeth (Canol)'!D$118)</f>
        <v>158168.52282400013</v>
      </c>
      <c r="G23" s="278">
        <f>F23*(1+'Rhaniad y Ddeiliadaeth (Canol)'!E$118)</f>
        <v>169341.06199152637</v>
      </c>
      <c r="H23" s="278">
        <f>G23*(1+'Rhaniad y Ddeiliadaeth (Canol)'!F$118)</f>
        <v>178556.75012570416</v>
      </c>
      <c r="I23" s="279">
        <f>H23*(1+'Rhaniad y Ddeiliadaeth (Canol)'!G$118)</f>
        <v>186088.93957986025</v>
      </c>
      <c r="M23" s="36" t="str">
        <f t="shared" si="0"/>
        <v/>
      </c>
      <c r="N23" s="202"/>
      <c r="O23" s="13">
        <f t="shared" si="3"/>
        <v>1</v>
      </c>
      <c r="U23" s="1">
        <f t="shared" si="1"/>
        <v>29</v>
      </c>
      <c r="V23" s="4" t="str">
        <f t="shared" si="2"/>
        <v/>
      </c>
      <c r="W23" s="4" t="e">
        <f>IF($W$3=$N$3,N23,V23*(1+'Rhaniad y Ddeiliadaeth (Cymru)'!C$118))</f>
        <v>#VALUE!</v>
      </c>
      <c r="X23" s="4" t="e">
        <f>W23*(1+'Rhaniad y Ddeiliadaeth (Cymru)'!D$118)</f>
        <v>#VALUE!</v>
      </c>
      <c r="Y23" s="4" t="e">
        <f>X23*(1+'Rhaniad y Ddeiliadaeth (Cymru)'!E$118)</f>
        <v>#VALUE!</v>
      </c>
      <c r="Z23" s="4" t="e">
        <f>Y23*(1+'Rhaniad y Ddeiliadaeth (Cymru)'!F$118)</f>
        <v>#VALUE!</v>
      </c>
      <c r="AA23" s="4" t="e">
        <f>Z23*(1+'Rhaniad y Ddeiliadaeth (Cymru)'!G$118)</f>
        <v>#VALUE!</v>
      </c>
      <c r="AC23" s="260">
        <v>29</v>
      </c>
      <c r="AD23" s="4">
        <f>IF('Rhaniad y Ddeiliadaeth (Cymru)'!$D$18="Data Cofrestrfa Tir",'Prisiau Tai (Canolbarth)'!E23,'Prisiau Tai (Canolbarth)'!W23)</f>
        <v>149455.28000000012</v>
      </c>
      <c r="AE23" s="4">
        <f>IF('Rhaniad y Ddeiliadaeth (Cymru)'!$D$18="Data Cofrestrfa Tir",'Prisiau Tai (Canolbarth)'!F23,'Prisiau Tai (Canolbarth)'!X23)</f>
        <v>158168.52282400013</v>
      </c>
      <c r="AF23" s="4">
        <f>IF('Rhaniad y Ddeiliadaeth (Cymru)'!$D$18="Data Cofrestrfa Tir",'Prisiau Tai (Canolbarth)'!G23,'Prisiau Tai (Canolbarth)'!Y23)</f>
        <v>169341.06199152637</v>
      </c>
      <c r="AG23" s="4">
        <f>IF('Rhaniad y Ddeiliadaeth (Cymru)'!$D$18="Data Cofrestrfa Tir",'Prisiau Tai (Canolbarth)'!H23,'Prisiau Tai (Canolbarth)'!Z23)</f>
        <v>178556.75012570416</v>
      </c>
      <c r="AH23" s="4">
        <f>IF('Rhaniad y Ddeiliadaeth (Cymru)'!$D$18="Data Cofrestrfa Tir",'Prisiau Tai (Canolbarth)'!I23,'Prisiau Tai (Canolbarth)'!AA23)</f>
        <v>186088.93957986025</v>
      </c>
    </row>
    <row r="24" spans="2:34" x14ac:dyDescent="0.35">
      <c r="B24" s="251">
        <v>30</v>
      </c>
      <c r="C24" s="258">
        <v>140000</v>
      </c>
      <c r="D24" s="258">
        <v>145000</v>
      </c>
      <c r="E24" s="278">
        <f>D24*(1+'Rhaniad y Ddeiliadaeth (Canol)'!C$118)</f>
        <v>151960</v>
      </c>
      <c r="F24" s="278">
        <f>E24*(1+'Rhaniad y Ddeiliadaeth (Canol)'!D$118)</f>
        <v>160819.26800000001</v>
      </c>
      <c r="G24" s="278">
        <f>F24*(1+'Rhaniad y Ddeiliadaeth (Canol)'!E$118)</f>
        <v>172179.04767387494</v>
      </c>
      <c r="H24" s="278">
        <f>G24*(1+'Rhaniad y Ddeiliadaeth (Canol)'!F$118)</f>
        <v>181549.18146151802</v>
      </c>
      <c r="I24" s="279">
        <f>H24*(1+'Rhaniad y Ddeiliadaeth (Canol)'!G$118)</f>
        <v>189207.60282644775</v>
      </c>
      <c r="M24" s="36" t="str">
        <f t="shared" si="0"/>
        <v/>
      </c>
      <c r="N24" s="202"/>
      <c r="O24" s="13">
        <f t="shared" si="3"/>
        <v>1</v>
      </c>
      <c r="U24" s="1">
        <f t="shared" si="1"/>
        <v>30</v>
      </c>
      <c r="V24" s="4" t="str">
        <f t="shared" si="2"/>
        <v/>
      </c>
      <c r="W24" s="4" t="e">
        <f>IF($W$3=$N$3,N24,V24*(1+'Rhaniad y Ddeiliadaeth (Cymru)'!C$118))</f>
        <v>#VALUE!</v>
      </c>
      <c r="X24" s="4" t="e">
        <f>W24*(1+'Rhaniad y Ddeiliadaeth (Cymru)'!D$118)</f>
        <v>#VALUE!</v>
      </c>
      <c r="Y24" s="4" t="e">
        <f>X24*(1+'Rhaniad y Ddeiliadaeth (Cymru)'!E$118)</f>
        <v>#VALUE!</v>
      </c>
      <c r="Z24" s="4" t="e">
        <f>Y24*(1+'Rhaniad y Ddeiliadaeth (Cymru)'!F$118)</f>
        <v>#VALUE!</v>
      </c>
      <c r="AA24" s="4" t="e">
        <f>Z24*(1+'Rhaniad y Ddeiliadaeth (Cymru)'!G$118)</f>
        <v>#VALUE!</v>
      </c>
      <c r="AC24" s="260">
        <v>30</v>
      </c>
      <c r="AD24" s="4">
        <f>IF('Rhaniad y Ddeiliadaeth (Cymru)'!$D$18="Data Cofrestrfa Tir",'Prisiau Tai (Canolbarth)'!E24,'Prisiau Tai (Canolbarth)'!W24)</f>
        <v>151960</v>
      </c>
      <c r="AE24" s="4">
        <f>IF('Rhaniad y Ddeiliadaeth (Cymru)'!$D$18="Data Cofrestrfa Tir",'Prisiau Tai (Canolbarth)'!F24,'Prisiau Tai (Canolbarth)'!X24)</f>
        <v>160819.26800000001</v>
      </c>
      <c r="AF24" s="4">
        <f>IF('Rhaniad y Ddeiliadaeth (Cymru)'!$D$18="Data Cofrestrfa Tir",'Prisiau Tai (Canolbarth)'!G24,'Prisiau Tai (Canolbarth)'!Y24)</f>
        <v>172179.04767387494</v>
      </c>
      <c r="AG24" s="4">
        <f>IF('Rhaniad y Ddeiliadaeth (Cymru)'!$D$18="Data Cofrestrfa Tir",'Prisiau Tai (Canolbarth)'!H24,'Prisiau Tai (Canolbarth)'!Z24)</f>
        <v>181549.18146151802</v>
      </c>
      <c r="AH24" s="4">
        <f>IF('Rhaniad y Ddeiliadaeth (Cymru)'!$D$18="Data Cofrestrfa Tir",'Prisiau Tai (Canolbarth)'!I24,'Prisiau Tai (Canolbarth)'!AA24)</f>
        <v>189207.60282644775</v>
      </c>
    </row>
    <row r="25" spans="2:34" x14ac:dyDescent="0.35">
      <c r="B25" s="251">
        <v>31</v>
      </c>
      <c r="C25" s="258">
        <v>144000</v>
      </c>
      <c r="D25" s="258">
        <v>147000</v>
      </c>
      <c r="E25" s="278">
        <f>D25*(1+'Rhaniad y Ddeiliadaeth (Canol)'!C$118)</f>
        <v>154056</v>
      </c>
      <c r="F25" s="278">
        <f>E25*(1+'Rhaniad y Ddeiliadaeth (Canol)'!D$118)</f>
        <v>163037.46480000002</v>
      </c>
      <c r="G25" s="278">
        <f>F25*(1+'Rhaniad y Ddeiliadaeth (Canol)'!E$118)</f>
        <v>174553.93109006633</v>
      </c>
      <c r="H25" s="278">
        <f>G25*(1+'Rhaniad y Ddeiliadaeth (Canol)'!F$118)</f>
        <v>184053.30810236654</v>
      </c>
      <c r="I25" s="279">
        <f>H25*(1+'Rhaniad y Ddeiliadaeth (Canol)'!G$118)</f>
        <v>191817.36286543324</v>
      </c>
      <c r="M25" s="36" t="str">
        <f t="shared" si="0"/>
        <v/>
      </c>
      <c r="N25" s="202"/>
      <c r="O25" s="13">
        <f t="shared" si="3"/>
        <v>1</v>
      </c>
      <c r="U25" s="1">
        <f t="shared" si="1"/>
        <v>31</v>
      </c>
      <c r="V25" s="4" t="str">
        <f t="shared" si="2"/>
        <v/>
      </c>
      <c r="W25" s="4" t="e">
        <f>IF($W$3=$N$3,N25,V25*(1+'Rhaniad y Ddeiliadaeth (Cymru)'!C$118))</f>
        <v>#VALUE!</v>
      </c>
      <c r="X25" s="4" t="e">
        <f>W25*(1+'Rhaniad y Ddeiliadaeth (Cymru)'!D$118)</f>
        <v>#VALUE!</v>
      </c>
      <c r="Y25" s="4" t="e">
        <f>X25*(1+'Rhaniad y Ddeiliadaeth (Cymru)'!E$118)</f>
        <v>#VALUE!</v>
      </c>
      <c r="Z25" s="4" t="e">
        <f>Y25*(1+'Rhaniad y Ddeiliadaeth (Cymru)'!F$118)</f>
        <v>#VALUE!</v>
      </c>
      <c r="AA25" s="4" t="e">
        <f>Z25*(1+'Rhaniad y Ddeiliadaeth (Cymru)'!G$118)</f>
        <v>#VALUE!</v>
      </c>
      <c r="AC25" s="260">
        <v>31</v>
      </c>
      <c r="AD25" s="4">
        <f>IF('Rhaniad y Ddeiliadaeth (Cymru)'!$D$18="Data Cofrestrfa Tir",'Prisiau Tai (Canolbarth)'!E25,'Prisiau Tai (Canolbarth)'!W25)</f>
        <v>154056</v>
      </c>
      <c r="AE25" s="4">
        <f>IF('Rhaniad y Ddeiliadaeth (Cymru)'!$D$18="Data Cofrestrfa Tir",'Prisiau Tai (Canolbarth)'!F25,'Prisiau Tai (Canolbarth)'!X25)</f>
        <v>163037.46480000002</v>
      </c>
      <c r="AF25" s="4">
        <f>IF('Rhaniad y Ddeiliadaeth (Cymru)'!$D$18="Data Cofrestrfa Tir",'Prisiau Tai (Canolbarth)'!G25,'Prisiau Tai (Canolbarth)'!Y25)</f>
        <v>174553.93109006633</v>
      </c>
      <c r="AG25" s="4">
        <f>IF('Rhaniad y Ddeiliadaeth (Cymru)'!$D$18="Data Cofrestrfa Tir",'Prisiau Tai (Canolbarth)'!H25,'Prisiau Tai (Canolbarth)'!Z25)</f>
        <v>184053.30810236654</v>
      </c>
      <c r="AH25" s="4">
        <f>IF('Rhaniad y Ddeiliadaeth (Cymru)'!$D$18="Data Cofrestrfa Tir",'Prisiau Tai (Canolbarth)'!I25,'Prisiau Tai (Canolbarth)'!AA25)</f>
        <v>191817.36286543324</v>
      </c>
    </row>
    <row r="26" spans="2:34" x14ac:dyDescent="0.35">
      <c r="B26" s="251">
        <v>32</v>
      </c>
      <c r="C26" s="258">
        <v>145000</v>
      </c>
      <c r="D26" s="258">
        <v>149476.00000000003</v>
      </c>
      <c r="E26" s="278">
        <f>D26*(1+'Rhaniad y Ddeiliadaeth (Canol)'!C$118)</f>
        <v>156650.84800000003</v>
      </c>
      <c r="F26" s="278">
        <f>E26*(1+'Rhaniad y Ddeiliadaeth (Canol)'!D$118)</f>
        <v>165783.59243840002</v>
      </c>
      <c r="G26" s="278">
        <f>F26*(1+'Rhaniad y Ddeiliadaeth (Canol)'!E$118)</f>
        <v>177494.03675931125</v>
      </c>
      <c r="H26" s="278">
        <f>G26*(1+'Rhaniad y Ddeiliadaeth (Canol)'!F$118)</f>
        <v>187153.41688373702</v>
      </c>
      <c r="I26" s="279">
        <f>H26*(1+'Rhaniad y Ddeiliadaeth (Canol)'!G$118)</f>
        <v>195048.24579369728</v>
      </c>
      <c r="M26" s="36" t="str">
        <f t="shared" si="0"/>
        <v/>
      </c>
      <c r="N26" s="202"/>
      <c r="O26" s="13">
        <f t="shared" si="3"/>
        <v>1</v>
      </c>
      <c r="U26" s="1">
        <f t="shared" si="1"/>
        <v>32</v>
      </c>
      <c r="V26" s="4" t="str">
        <f t="shared" si="2"/>
        <v/>
      </c>
      <c r="W26" s="4" t="e">
        <f>IF($W$3=$N$3,N26,V26*(1+'Rhaniad y Ddeiliadaeth (Cymru)'!C$118))</f>
        <v>#VALUE!</v>
      </c>
      <c r="X26" s="4" t="e">
        <f>W26*(1+'Rhaniad y Ddeiliadaeth (Cymru)'!D$118)</f>
        <v>#VALUE!</v>
      </c>
      <c r="Y26" s="4" t="e">
        <f>X26*(1+'Rhaniad y Ddeiliadaeth (Cymru)'!E$118)</f>
        <v>#VALUE!</v>
      </c>
      <c r="Z26" s="4" t="e">
        <f>Y26*(1+'Rhaniad y Ddeiliadaeth (Cymru)'!F$118)</f>
        <v>#VALUE!</v>
      </c>
      <c r="AA26" s="4" t="e">
        <f>Z26*(1+'Rhaniad y Ddeiliadaeth (Cymru)'!G$118)</f>
        <v>#VALUE!</v>
      </c>
      <c r="AC26" s="260">
        <v>32</v>
      </c>
      <c r="AD26" s="4">
        <f>IF('Rhaniad y Ddeiliadaeth (Cymru)'!$D$18="Data Cofrestrfa Tir",'Prisiau Tai (Canolbarth)'!E26,'Prisiau Tai (Canolbarth)'!W26)</f>
        <v>156650.84800000003</v>
      </c>
      <c r="AE26" s="4">
        <f>IF('Rhaniad y Ddeiliadaeth (Cymru)'!$D$18="Data Cofrestrfa Tir",'Prisiau Tai (Canolbarth)'!F26,'Prisiau Tai (Canolbarth)'!X26)</f>
        <v>165783.59243840002</v>
      </c>
      <c r="AF26" s="4">
        <f>IF('Rhaniad y Ddeiliadaeth (Cymru)'!$D$18="Data Cofrestrfa Tir",'Prisiau Tai (Canolbarth)'!G26,'Prisiau Tai (Canolbarth)'!Y26)</f>
        <v>177494.03675931125</v>
      </c>
      <c r="AG26" s="4">
        <f>IF('Rhaniad y Ddeiliadaeth (Cymru)'!$D$18="Data Cofrestrfa Tir",'Prisiau Tai (Canolbarth)'!H26,'Prisiau Tai (Canolbarth)'!Z26)</f>
        <v>187153.41688373702</v>
      </c>
      <c r="AH26" s="4">
        <f>IF('Rhaniad y Ddeiliadaeth (Cymru)'!$D$18="Data Cofrestrfa Tir",'Prisiau Tai (Canolbarth)'!I26,'Prisiau Tai (Canolbarth)'!AA26)</f>
        <v>195048.24579369728</v>
      </c>
    </row>
    <row r="27" spans="2:34" x14ac:dyDescent="0.35">
      <c r="B27" s="251">
        <v>33</v>
      </c>
      <c r="C27" s="258">
        <v>147000</v>
      </c>
      <c r="D27" s="258">
        <v>150000</v>
      </c>
      <c r="E27" s="278">
        <f>D27*(1+'Rhaniad y Ddeiliadaeth (Canol)'!C$118)</f>
        <v>157200</v>
      </c>
      <c r="F27" s="278">
        <f>E27*(1+'Rhaniad y Ddeiliadaeth (Canol)'!D$118)</f>
        <v>166364.76</v>
      </c>
      <c r="G27" s="278">
        <f>F27*(1+'Rhaniad y Ddeiliadaeth (Canol)'!E$118)</f>
        <v>178116.25621435337</v>
      </c>
      <c r="H27" s="278">
        <f>G27*(1+'Rhaniad y Ddeiliadaeth (Canol)'!F$118)</f>
        <v>187809.4980636393</v>
      </c>
      <c r="I27" s="279">
        <f>H27*(1+'Rhaniad y Ddeiliadaeth (Canol)'!G$118)</f>
        <v>195732.00292391144</v>
      </c>
      <c r="M27" s="36" t="str">
        <f t="shared" si="0"/>
        <v/>
      </c>
      <c r="N27" s="202"/>
      <c r="O27" s="13">
        <f t="shared" si="3"/>
        <v>1</v>
      </c>
      <c r="U27" s="1">
        <f t="shared" si="1"/>
        <v>33</v>
      </c>
      <c r="V27" s="4" t="str">
        <f t="shared" si="2"/>
        <v/>
      </c>
      <c r="W27" s="4" t="e">
        <f>IF($W$3=$N$3,N27,V27*(1+'Rhaniad y Ddeiliadaeth (Cymru)'!C$118))</f>
        <v>#VALUE!</v>
      </c>
      <c r="X27" s="4" t="e">
        <f>W27*(1+'Rhaniad y Ddeiliadaeth (Cymru)'!D$118)</f>
        <v>#VALUE!</v>
      </c>
      <c r="Y27" s="4" t="e">
        <f>X27*(1+'Rhaniad y Ddeiliadaeth (Cymru)'!E$118)</f>
        <v>#VALUE!</v>
      </c>
      <c r="Z27" s="4" t="e">
        <f>Y27*(1+'Rhaniad y Ddeiliadaeth (Cymru)'!F$118)</f>
        <v>#VALUE!</v>
      </c>
      <c r="AA27" s="4" t="e">
        <f>Z27*(1+'Rhaniad y Ddeiliadaeth (Cymru)'!G$118)</f>
        <v>#VALUE!</v>
      </c>
      <c r="AC27" s="260">
        <v>33</v>
      </c>
      <c r="AD27" s="4">
        <f>IF('Rhaniad y Ddeiliadaeth (Cymru)'!$D$18="Data Cofrestrfa Tir",'Prisiau Tai (Canolbarth)'!E27,'Prisiau Tai (Canolbarth)'!W27)</f>
        <v>157200</v>
      </c>
      <c r="AE27" s="4">
        <f>IF('Rhaniad y Ddeiliadaeth (Cymru)'!$D$18="Data Cofrestrfa Tir",'Prisiau Tai (Canolbarth)'!F27,'Prisiau Tai (Canolbarth)'!X27)</f>
        <v>166364.76</v>
      </c>
      <c r="AF27" s="4">
        <f>IF('Rhaniad y Ddeiliadaeth (Cymru)'!$D$18="Data Cofrestrfa Tir",'Prisiau Tai (Canolbarth)'!G27,'Prisiau Tai (Canolbarth)'!Y27)</f>
        <v>178116.25621435337</v>
      </c>
      <c r="AG27" s="4">
        <f>IF('Rhaniad y Ddeiliadaeth (Cymru)'!$D$18="Data Cofrestrfa Tir",'Prisiau Tai (Canolbarth)'!H27,'Prisiau Tai (Canolbarth)'!Z27)</f>
        <v>187809.4980636393</v>
      </c>
      <c r="AH27" s="4">
        <f>IF('Rhaniad y Ddeiliadaeth (Cymru)'!$D$18="Data Cofrestrfa Tir",'Prisiau Tai (Canolbarth)'!I27,'Prisiau Tai (Canolbarth)'!AA27)</f>
        <v>195732.00292391144</v>
      </c>
    </row>
    <row r="28" spans="2:34" x14ac:dyDescent="0.35">
      <c r="B28" s="251">
        <v>34</v>
      </c>
      <c r="C28" s="258">
        <v>148500</v>
      </c>
      <c r="D28" s="258">
        <v>152000</v>
      </c>
      <c r="E28" s="278">
        <f>D28*(1+'Rhaniad y Ddeiliadaeth (Canol)'!C$118)</f>
        <v>159296</v>
      </c>
      <c r="F28" s="278">
        <f>E28*(1+'Rhaniad y Ddeiliadaeth (Canol)'!D$118)</f>
        <v>168582.95680000001</v>
      </c>
      <c r="G28" s="278">
        <f>F28*(1+'Rhaniad y Ddeiliadaeth (Canol)'!E$118)</f>
        <v>180491.13963054476</v>
      </c>
      <c r="H28" s="278">
        <f>G28*(1+'Rhaniad y Ddeiliadaeth (Canol)'!F$118)</f>
        <v>190313.62470448785</v>
      </c>
      <c r="I28" s="279">
        <f>H28*(1+'Rhaniad y Ddeiliadaeth (Canol)'!G$118)</f>
        <v>198341.76296289696</v>
      </c>
      <c r="M28" s="36" t="str">
        <f t="shared" si="0"/>
        <v/>
      </c>
      <c r="N28" s="202"/>
      <c r="O28" s="13">
        <f t="shared" si="3"/>
        <v>1</v>
      </c>
      <c r="U28" s="1">
        <f t="shared" si="1"/>
        <v>34</v>
      </c>
      <c r="V28" s="4" t="str">
        <f t="shared" si="2"/>
        <v/>
      </c>
      <c r="W28" s="4" t="e">
        <f>IF($W$3=$N$3,N28,V28*(1+'Rhaniad y Ddeiliadaeth (Cymru)'!C$118))</f>
        <v>#VALUE!</v>
      </c>
      <c r="X28" s="4" t="e">
        <f>W28*(1+'Rhaniad y Ddeiliadaeth (Cymru)'!D$118)</f>
        <v>#VALUE!</v>
      </c>
      <c r="Y28" s="4" t="e">
        <f>X28*(1+'Rhaniad y Ddeiliadaeth (Cymru)'!E$118)</f>
        <v>#VALUE!</v>
      </c>
      <c r="Z28" s="4" t="e">
        <f>Y28*(1+'Rhaniad y Ddeiliadaeth (Cymru)'!F$118)</f>
        <v>#VALUE!</v>
      </c>
      <c r="AA28" s="4" t="e">
        <f>Z28*(1+'Rhaniad y Ddeiliadaeth (Cymru)'!G$118)</f>
        <v>#VALUE!</v>
      </c>
      <c r="AC28" s="260">
        <v>34</v>
      </c>
      <c r="AD28" s="4">
        <f>IF('Rhaniad y Ddeiliadaeth (Cymru)'!$D$18="Data Cofrestrfa Tir",'Prisiau Tai (Canolbarth)'!E28,'Prisiau Tai (Canolbarth)'!W28)</f>
        <v>159296</v>
      </c>
      <c r="AE28" s="4">
        <f>IF('Rhaniad y Ddeiliadaeth (Cymru)'!$D$18="Data Cofrestrfa Tir",'Prisiau Tai (Canolbarth)'!F28,'Prisiau Tai (Canolbarth)'!X28)</f>
        <v>168582.95680000001</v>
      </c>
      <c r="AF28" s="4">
        <f>IF('Rhaniad y Ddeiliadaeth (Cymru)'!$D$18="Data Cofrestrfa Tir",'Prisiau Tai (Canolbarth)'!G28,'Prisiau Tai (Canolbarth)'!Y28)</f>
        <v>180491.13963054476</v>
      </c>
      <c r="AG28" s="4">
        <f>IF('Rhaniad y Ddeiliadaeth (Cymru)'!$D$18="Data Cofrestrfa Tir",'Prisiau Tai (Canolbarth)'!H28,'Prisiau Tai (Canolbarth)'!Z28)</f>
        <v>190313.62470448785</v>
      </c>
      <c r="AH28" s="4">
        <f>IF('Rhaniad y Ddeiliadaeth (Cymru)'!$D$18="Data Cofrestrfa Tir",'Prisiau Tai (Canolbarth)'!I28,'Prisiau Tai (Canolbarth)'!AA28)</f>
        <v>198341.76296289696</v>
      </c>
    </row>
    <row r="29" spans="2:34" x14ac:dyDescent="0.35">
      <c r="B29" s="251">
        <v>35</v>
      </c>
      <c r="C29" s="258">
        <v>150000</v>
      </c>
      <c r="D29" s="258">
        <v>155000</v>
      </c>
      <c r="E29" s="278">
        <f>D29*(1+'Rhaniad y Ddeiliadaeth (Canol)'!C$118)</f>
        <v>162440</v>
      </c>
      <c r="F29" s="278">
        <f>E29*(1+'Rhaniad y Ddeiliadaeth (Canol)'!D$118)</f>
        <v>171910.25200000001</v>
      </c>
      <c r="G29" s="278">
        <f>F29*(1+'Rhaniad y Ddeiliadaeth (Canol)'!E$118)</f>
        <v>184053.46475483183</v>
      </c>
      <c r="H29" s="278">
        <f>G29*(1+'Rhaniad y Ddeiliadaeth (Canol)'!F$118)</f>
        <v>194069.81466576064</v>
      </c>
      <c r="I29" s="279">
        <f>H29*(1+'Rhaniad y Ddeiliadaeth (Canol)'!G$118)</f>
        <v>202256.40302137518</v>
      </c>
      <c r="M29" s="36" t="str">
        <f t="shared" si="0"/>
        <v/>
      </c>
      <c r="N29" s="202"/>
      <c r="O29" s="13">
        <f t="shared" si="3"/>
        <v>1</v>
      </c>
      <c r="U29" s="1">
        <f t="shared" si="1"/>
        <v>35</v>
      </c>
      <c r="V29" s="4" t="str">
        <f t="shared" si="2"/>
        <v/>
      </c>
      <c r="W29" s="4" t="e">
        <f>IF($W$3=$N$3,N29,V29*(1+'Rhaniad y Ddeiliadaeth (Cymru)'!C$118))</f>
        <v>#VALUE!</v>
      </c>
      <c r="X29" s="4" t="e">
        <f>W29*(1+'Rhaniad y Ddeiliadaeth (Cymru)'!D$118)</f>
        <v>#VALUE!</v>
      </c>
      <c r="Y29" s="4" t="e">
        <f>X29*(1+'Rhaniad y Ddeiliadaeth (Cymru)'!E$118)</f>
        <v>#VALUE!</v>
      </c>
      <c r="Z29" s="4" t="e">
        <f>Y29*(1+'Rhaniad y Ddeiliadaeth (Cymru)'!F$118)</f>
        <v>#VALUE!</v>
      </c>
      <c r="AA29" s="4" t="e">
        <f>Z29*(1+'Rhaniad y Ddeiliadaeth (Cymru)'!G$118)</f>
        <v>#VALUE!</v>
      </c>
      <c r="AC29" s="260">
        <v>35</v>
      </c>
      <c r="AD29" s="4">
        <f>IF('Rhaniad y Ddeiliadaeth (Cymru)'!$D$18="Data Cofrestrfa Tir",'Prisiau Tai (Canolbarth)'!E29,'Prisiau Tai (Canolbarth)'!W29)</f>
        <v>162440</v>
      </c>
      <c r="AE29" s="4">
        <f>IF('Rhaniad y Ddeiliadaeth (Cymru)'!$D$18="Data Cofrestrfa Tir",'Prisiau Tai (Canolbarth)'!F29,'Prisiau Tai (Canolbarth)'!X29)</f>
        <v>171910.25200000001</v>
      </c>
      <c r="AF29" s="4">
        <f>IF('Rhaniad y Ddeiliadaeth (Cymru)'!$D$18="Data Cofrestrfa Tir",'Prisiau Tai (Canolbarth)'!G29,'Prisiau Tai (Canolbarth)'!Y29)</f>
        <v>184053.46475483183</v>
      </c>
      <c r="AG29" s="4">
        <f>IF('Rhaniad y Ddeiliadaeth (Cymru)'!$D$18="Data Cofrestrfa Tir",'Prisiau Tai (Canolbarth)'!H29,'Prisiau Tai (Canolbarth)'!Z29)</f>
        <v>194069.81466576064</v>
      </c>
      <c r="AH29" s="4">
        <f>IF('Rhaniad y Ddeiliadaeth (Cymru)'!$D$18="Data Cofrestrfa Tir",'Prisiau Tai (Canolbarth)'!I29,'Prisiau Tai (Canolbarth)'!AA29)</f>
        <v>202256.40302137518</v>
      </c>
    </row>
    <row r="30" spans="2:34" x14ac:dyDescent="0.35">
      <c r="B30" s="251">
        <v>36</v>
      </c>
      <c r="C30" s="258">
        <v>150000</v>
      </c>
      <c r="D30" s="258">
        <v>155000</v>
      </c>
      <c r="E30" s="278">
        <f>D30*(1+'Rhaniad y Ddeiliadaeth (Canol)'!C$118)</f>
        <v>162440</v>
      </c>
      <c r="F30" s="278">
        <f>E30*(1+'Rhaniad y Ddeiliadaeth (Canol)'!D$118)</f>
        <v>171910.25200000001</v>
      </c>
      <c r="G30" s="278">
        <f>F30*(1+'Rhaniad y Ddeiliadaeth (Canol)'!E$118)</f>
        <v>184053.46475483183</v>
      </c>
      <c r="H30" s="278">
        <f>G30*(1+'Rhaniad y Ddeiliadaeth (Canol)'!F$118)</f>
        <v>194069.81466576064</v>
      </c>
      <c r="I30" s="279">
        <f>H30*(1+'Rhaniad y Ddeiliadaeth (Canol)'!G$118)</f>
        <v>202256.40302137518</v>
      </c>
      <c r="M30" s="36" t="str">
        <f t="shared" si="0"/>
        <v/>
      </c>
      <c r="N30" s="202"/>
      <c r="O30" s="13">
        <f t="shared" si="3"/>
        <v>1</v>
      </c>
      <c r="U30" s="1">
        <f t="shared" si="1"/>
        <v>36</v>
      </c>
      <c r="V30" s="4" t="str">
        <f t="shared" si="2"/>
        <v/>
      </c>
      <c r="W30" s="4" t="e">
        <f>IF($W$3=$N$3,N30,V30*(1+'Rhaniad y Ddeiliadaeth (Cymru)'!C$118))</f>
        <v>#VALUE!</v>
      </c>
      <c r="X30" s="4" t="e">
        <f>W30*(1+'Rhaniad y Ddeiliadaeth (Cymru)'!D$118)</f>
        <v>#VALUE!</v>
      </c>
      <c r="Y30" s="4" t="e">
        <f>X30*(1+'Rhaniad y Ddeiliadaeth (Cymru)'!E$118)</f>
        <v>#VALUE!</v>
      </c>
      <c r="Z30" s="4" t="e">
        <f>Y30*(1+'Rhaniad y Ddeiliadaeth (Cymru)'!F$118)</f>
        <v>#VALUE!</v>
      </c>
      <c r="AA30" s="4" t="e">
        <f>Z30*(1+'Rhaniad y Ddeiliadaeth (Cymru)'!G$118)</f>
        <v>#VALUE!</v>
      </c>
      <c r="AC30" s="260">
        <v>36</v>
      </c>
      <c r="AD30" s="4">
        <f>IF('Rhaniad y Ddeiliadaeth (Cymru)'!$D$18="Data Cofrestrfa Tir",'Prisiau Tai (Canolbarth)'!E30,'Prisiau Tai (Canolbarth)'!W30)</f>
        <v>162440</v>
      </c>
      <c r="AE30" s="4">
        <f>IF('Rhaniad y Ddeiliadaeth (Cymru)'!$D$18="Data Cofrestrfa Tir",'Prisiau Tai (Canolbarth)'!F30,'Prisiau Tai (Canolbarth)'!X30)</f>
        <v>171910.25200000001</v>
      </c>
      <c r="AF30" s="4">
        <f>IF('Rhaniad y Ddeiliadaeth (Cymru)'!$D$18="Data Cofrestrfa Tir",'Prisiau Tai (Canolbarth)'!G30,'Prisiau Tai (Canolbarth)'!Y30)</f>
        <v>184053.46475483183</v>
      </c>
      <c r="AG30" s="4">
        <f>IF('Rhaniad y Ddeiliadaeth (Cymru)'!$D$18="Data Cofrestrfa Tir",'Prisiau Tai (Canolbarth)'!H30,'Prisiau Tai (Canolbarth)'!Z30)</f>
        <v>194069.81466576064</v>
      </c>
      <c r="AH30" s="4">
        <f>IF('Rhaniad y Ddeiliadaeth (Cymru)'!$D$18="Data Cofrestrfa Tir",'Prisiau Tai (Canolbarth)'!I30,'Prisiau Tai (Canolbarth)'!AA30)</f>
        <v>202256.40302137518</v>
      </c>
    </row>
    <row r="31" spans="2:34" x14ac:dyDescent="0.35">
      <c r="B31" s="251">
        <v>37</v>
      </c>
      <c r="C31" s="258">
        <v>153000</v>
      </c>
      <c r="D31" s="258">
        <v>158000</v>
      </c>
      <c r="E31" s="278">
        <f>D31*(1+'Rhaniad y Ddeiliadaeth (Canol)'!C$118)</f>
        <v>165584</v>
      </c>
      <c r="F31" s="278">
        <f>E31*(1+'Rhaniad y Ddeiliadaeth (Canol)'!D$118)</f>
        <v>175237.5472</v>
      </c>
      <c r="G31" s="278">
        <f>F31*(1+'Rhaniad y Ddeiliadaeth (Canol)'!E$118)</f>
        <v>187615.78987911888</v>
      </c>
      <c r="H31" s="278">
        <f>G31*(1+'Rhaniad y Ddeiliadaeth (Canol)'!F$118)</f>
        <v>197826.0046270334</v>
      </c>
      <c r="I31" s="279">
        <f>H31*(1+'Rhaniad y Ddeiliadaeth (Canol)'!G$118)</f>
        <v>206171.04307985341</v>
      </c>
      <c r="M31" s="36" t="str">
        <f t="shared" si="0"/>
        <v/>
      </c>
      <c r="N31" s="202"/>
      <c r="O31" s="13">
        <f t="shared" si="3"/>
        <v>1</v>
      </c>
      <c r="U31" s="1">
        <f t="shared" si="1"/>
        <v>37</v>
      </c>
      <c r="V31" s="4" t="str">
        <f t="shared" si="2"/>
        <v/>
      </c>
      <c r="W31" s="4" t="e">
        <f>IF($W$3=$N$3,N31,V31*(1+'Rhaniad y Ddeiliadaeth (Cymru)'!C$118))</f>
        <v>#VALUE!</v>
      </c>
      <c r="X31" s="4" t="e">
        <f>W31*(1+'Rhaniad y Ddeiliadaeth (Cymru)'!D$118)</f>
        <v>#VALUE!</v>
      </c>
      <c r="Y31" s="4" t="e">
        <f>X31*(1+'Rhaniad y Ddeiliadaeth (Cymru)'!E$118)</f>
        <v>#VALUE!</v>
      </c>
      <c r="Z31" s="4" t="e">
        <f>Y31*(1+'Rhaniad y Ddeiliadaeth (Cymru)'!F$118)</f>
        <v>#VALUE!</v>
      </c>
      <c r="AA31" s="4" t="e">
        <f>Z31*(1+'Rhaniad y Ddeiliadaeth (Cymru)'!G$118)</f>
        <v>#VALUE!</v>
      </c>
      <c r="AC31" s="260">
        <v>37</v>
      </c>
      <c r="AD31" s="4">
        <f>IF('Rhaniad y Ddeiliadaeth (Cymru)'!$D$18="Data Cofrestrfa Tir",'Prisiau Tai (Canolbarth)'!E31,'Prisiau Tai (Canolbarth)'!W31)</f>
        <v>165584</v>
      </c>
      <c r="AE31" s="4">
        <f>IF('Rhaniad y Ddeiliadaeth (Cymru)'!$D$18="Data Cofrestrfa Tir",'Prisiau Tai (Canolbarth)'!F31,'Prisiau Tai (Canolbarth)'!X31)</f>
        <v>175237.5472</v>
      </c>
      <c r="AF31" s="4">
        <f>IF('Rhaniad y Ddeiliadaeth (Cymru)'!$D$18="Data Cofrestrfa Tir",'Prisiau Tai (Canolbarth)'!G31,'Prisiau Tai (Canolbarth)'!Y31)</f>
        <v>187615.78987911888</v>
      </c>
      <c r="AG31" s="4">
        <f>IF('Rhaniad y Ddeiliadaeth (Cymru)'!$D$18="Data Cofrestrfa Tir",'Prisiau Tai (Canolbarth)'!H31,'Prisiau Tai (Canolbarth)'!Z31)</f>
        <v>197826.0046270334</v>
      </c>
      <c r="AH31" s="4">
        <f>IF('Rhaniad y Ddeiliadaeth (Cymru)'!$D$18="Data Cofrestrfa Tir",'Prisiau Tai (Canolbarth)'!I31,'Prisiau Tai (Canolbarth)'!AA31)</f>
        <v>206171.04307985341</v>
      </c>
    </row>
    <row r="32" spans="2:34" x14ac:dyDescent="0.35">
      <c r="B32" s="251">
        <v>38</v>
      </c>
      <c r="C32" s="258">
        <v>155000</v>
      </c>
      <c r="D32" s="258">
        <v>160000</v>
      </c>
      <c r="E32" s="278">
        <f>D32*(1+'Rhaniad y Ddeiliadaeth (Canol)'!C$118)</f>
        <v>167680</v>
      </c>
      <c r="F32" s="278">
        <f>E32*(1+'Rhaniad y Ddeiliadaeth (Canol)'!D$118)</f>
        <v>177455.74400000001</v>
      </c>
      <c r="G32" s="278">
        <f>F32*(1+'Rhaniad y Ddeiliadaeth (Canol)'!E$118)</f>
        <v>189990.67329531026</v>
      </c>
      <c r="H32" s="278">
        <f>G32*(1+'Rhaniad y Ddeiliadaeth (Canol)'!F$118)</f>
        <v>200330.13126788192</v>
      </c>
      <c r="I32" s="279">
        <f>H32*(1+'Rhaniad y Ddeiliadaeth (Canol)'!G$118)</f>
        <v>208780.80311883887</v>
      </c>
      <c r="M32" s="36" t="str">
        <f t="shared" si="0"/>
        <v/>
      </c>
      <c r="N32" s="202"/>
      <c r="O32" s="13">
        <f t="shared" si="3"/>
        <v>1</v>
      </c>
      <c r="U32" s="1">
        <f t="shared" si="1"/>
        <v>38</v>
      </c>
      <c r="V32" s="4" t="str">
        <f t="shared" si="2"/>
        <v/>
      </c>
      <c r="W32" s="4" t="e">
        <f>IF($W$3=$N$3,N32,V32*(1+'Rhaniad y Ddeiliadaeth (Cymru)'!C$118))</f>
        <v>#VALUE!</v>
      </c>
      <c r="X32" s="4" t="e">
        <f>W32*(1+'Rhaniad y Ddeiliadaeth (Cymru)'!D$118)</f>
        <v>#VALUE!</v>
      </c>
      <c r="Y32" s="4" t="e">
        <f>X32*(1+'Rhaniad y Ddeiliadaeth (Cymru)'!E$118)</f>
        <v>#VALUE!</v>
      </c>
      <c r="Z32" s="4" t="e">
        <f>Y32*(1+'Rhaniad y Ddeiliadaeth (Cymru)'!F$118)</f>
        <v>#VALUE!</v>
      </c>
      <c r="AA32" s="4" t="e">
        <f>Z32*(1+'Rhaniad y Ddeiliadaeth (Cymru)'!G$118)</f>
        <v>#VALUE!</v>
      </c>
      <c r="AC32" s="260">
        <v>38</v>
      </c>
      <c r="AD32" s="4">
        <f>IF('Rhaniad y Ddeiliadaeth (Cymru)'!$D$18="Data Cofrestrfa Tir",'Prisiau Tai (Canolbarth)'!E32,'Prisiau Tai (Canolbarth)'!W32)</f>
        <v>167680</v>
      </c>
      <c r="AE32" s="4">
        <f>IF('Rhaniad y Ddeiliadaeth (Cymru)'!$D$18="Data Cofrestrfa Tir",'Prisiau Tai (Canolbarth)'!F32,'Prisiau Tai (Canolbarth)'!X32)</f>
        <v>177455.74400000001</v>
      </c>
      <c r="AF32" s="4">
        <f>IF('Rhaniad y Ddeiliadaeth (Cymru)'!$D$18="Data Cofrestrfa Tir",'Prisiau Tai (Canolbarth)'!G32,'Prisiau Tai (Canolbarth)'!Y32)</f>
        <v>189990.67329531026</v>
      </c>
      <c r="AG32" s="4">
        <f>IF('Rhaniad y Ddeiliadaeth (Cymru)'!$D$18="Data Cofrestrfa Tir",'Prisiau Tai (Canolbarth)'!H32,'Prisiau Tai (Canolbarth)'!Z32)</f>
        <v>200330.13126788192</v>
      </c>
      <c r="AH32" s="4">
        <f>IF('Rhaniad y Ddeiliadaeth (Cymru)'!$D$18="Data Cofrestrfa Tir",'Prisiau Tai (Canolbarth)'!I32,'Prisiau Tai (Canolbarth)'!AA32)</f>
        <v>208780.80311883887</v>
      </c>
    </row>
    <row r="33" spans="2:34" x14ac:dyDescent="0.35">
      <c r="B33" s="251">
        <v>39</v>
      </c>
      <c r="C33" s="258">
        <v>157500</v>
      </c>
      <c r="D33" s="258">
        <v>160000</v>
      </c>
      <c r="E33" s="278">
        <f>D33*(1+'Rhaniad y Ddeiliadaeth (Canol)'!C$118)</f>
        <v>167680</v>
      </c>
      <c r="F33" s="278">
        <f>E33*(1+'Rhaniad y Ddeiliadaeth (Canol)'!D$118)</f>
        <v>177455.74400000001</v>
      </c>
      <c r="G33" s="278">
        <f>F33*(1+'Rhaniad y Ddeiliadaeth (Canol)'!E$118)</f>
        <v>189990.67329531026</v>
      </c>
      <c r="H33" s="278">
        <f>G33*(1+'Rhaniad y Ddeiliadaeth (Canol)'!F$118)</f>
        <v>200330.13126788192</v>
      </c>
      <c r="I33" s="279">
        <f>H33*(1+'Rhaniad y Ddeiliadaeth (Canol)'!G$118)</f>
        <v>208780.80311883887</v>
      </c>
      <c r="M33" s="36" t="str">
        <f t="shared" si="0"/>
        <v/>
      </c>
      <c r="N33" s="202"/>
      <c r="O33" s="13">
        <f t="shared" si="3"/>
        <v>1</v>
      </c>
      <c r="U33" s="1">
        <f t="shared" si="1"/>
        <v>39</v>
      </c>
      <c r="V33" s="4" t="str">
        <f t="shared" si="2"/>
        <v/>
      </c>
      <c r="W33" s="4" t="e">
        <f>IF($W$3=$N$3,N33,V33*(1+'Rhaniad y Ddeiliadaeth (Cymru)'!C$118))</f>
        <v>#VALUE!</v>
      </c>
      <c r="X33" s="4" t="e">
        <f>W33*(1+'Rhaniad y Ddeiliadaeth (Cymru)'!D$118)</f>
        <v>#VALUE!</v>
      </c>
      <c r="Y33" s="4" t="e">
        <f>X33*(1+'Rhaniad y Ddeiliadaeth (Cymru)'!E$118)</f>
        <v>#VALUE!</v>
      </c>
      <c r="Z33" s="4" t="e">
        <f>Y33*(1+'Rhaniad y Ddeiliadaeth (Cymru)'!F$118)</f>
        <v>#VALUE!</v>
      </c>
      <c r="AA33" s="4" t="e">
        <f>Z33*(1+'Rhaniad y Ddeiliadaeth (Cymru)'!G$118)</f>
        <v>#VALUE!</v>
      </c>
      <c r="AC33" s="260">
        <v>39</v>
      </c>
      <c r="AD33" s="4">
        <f>IF('Rhaniad y Ddeiliadaeth (Cymru)'!$D$18="Data Cofrestrfa Tir",'Prisiau Tai (Canolbarth)'!E33,'Prisiau Tai (Canolbarth)'!W33)</f>
        <v>167680</v>
      </c>
      <c r="AE33" s="4">
        <f>IF('Rhaniad y Ddeiliadaeth (Cymru)'!$D$18="Data Cofrestrfa Tir",'Prisiau Tai (Canolbarth)'!F33,'Prisiau Tai (Canolbarth)'!X33)</f>
        <v>177455.74400000001</v>
      </c>
      <c r="AF33" s="4">
        <f>IF('Rhaniad y Ddeiliadaeth (Cymru)'!$D$18="Data Cofrestrfa Tir",'Prisiau Tai (Canolbarth)'!G33,'Prisiau Tai (Canolbarth)'!Y33)</f>
        <v>189990.67329531026</v>
      </c>
      <c r="AG33" s="4">
        <f>IF('Rhaniad y Ddeiliadaeth (Cymru)'!$D$18="Data Cofrestrfa Tir",'Prisiau Tai (Canolbarth)'!H33,'Prisiau Tai (Canolbarth)'!Z33)</f>
        <v>200330.13126788192</v>
      </c>
      <c r="AH33" s="4">
        <f>IF('Rhaniad y Ddeiliadaeth (Cymru)'!$D$18="Data Cofrestrfa Tir",'Prisiau Tai (Canolbarth)'!I33,'Prisiau Tai (Canolbarth)'!AA33)</f>
        <v>208780.80311883887</v>
      </c>
    </row>
    <row r="34" spans="2:34" x14ac:dyDescent="0.35">
      <c r="B34" s="251">
        <v>40</v>
      </c>
      <c r="C34" s="258">
        <v>159200.00000000006</v>
      </c>
      <c r="D34" s="258">
        <v>162000</v>
      </c>
      <c r="E34" s="278">
        <f>D34*(1+'Rhaniad y Ddeiliadaeth (Canol)'!C$118)</f>
        <v>169776</v>
      </c>
      <c r="F34" s="278">
        <f>E34*(1+'Rhaniad y Ddeiliadaeth (Canol)'!D$118)</f>
        <v>179673.94080000001</v>
      </c>
      <c r="G34" s="278">
        <f>F34*(1+'Rhaniad y Ddeiliadaeth (Canol)'!E$118)</f>
        <v>192365.55671150165</v>
      </c>
      <c r="H34" s="278">
        <f>G34*(1+'Rhaniad y Ddeiliadaeth (Canol)'!F$118)</f>
        <v>202834.25790873045</v>
      </c>
      <c r="I34" s="279">
        <f>H34*(1+'Rhaniad y Ddeiliadaeth (Canol)'!G$118)</f>
        <v>211390.56315782436</v>
      </c>
      <c r="M34" s="36" t="str">
        <f t="shared" si="0"/>
        <v/>
      </c>
      <c r="N34" s="202"/>
      <c r="O34" s="13">
        <f t="shared" si="3"/>
        <v>1</v>
      </c>
      <c r="U34" s="1">
        <f t="shared" si="1"/>
        <v>40</v>
      </c>
      <c r="V34" s="4" t="str">
        <f t="shared" si="2"/>
        <v/>
      </c>
      <c r="W34" s="4" t="e">
        <f>IF($W$3=$N$3,N34,V34*(1+'Rhaniad y Ddeiliadaeth (Cymru)'!C$118))</f>
        <v>#VALUE!</v>
      </c>
      <c r="X34" s="4" t="e">
        <f>W34*(1+'Rhaniad y Ddeiliadaeth (Cymru)'!D$118)</f>
        <v>#VALUE!</v>
      </c>
      <c r="Y34" s="4" t="e">
        <f>X34*(1+'Rhaniad y Ddeiliadaeth (Cymru)'!E$118)</f>
        <v>#VALUE!</v>
      </c>
      <c r="Z34" s="4" t="e">
        <f>Y34*(1+'Rhaniad y Ddeiliadaeth (Cymru)'!F$118)</f>
        <v>#VALUE!</v>
      </c>
      <c r="AA34" s="4" t="e">
        <f>Z34*(1+'Rhaniad y Ddeiliadaeth (Cymru)'!G$118)</f>
        <v>#VALUE!</v>
      </c>
      <c r="AC34" s="260">
        <v>40</v>
      </c>
      <c r="AD34" s="4">
        <f>IF('Rhaniad y Ddeiliadaeth (Cymru)'!$D$18="Data Cofrestrfa Tir",'Prisiau Tai (Canolbarth)'!E34,'Prisiau Tai (Canolbarth)'!W34)</f>
        <v>169776</v>
      </c>
      <c r="AE34" s="4">
        <f>IF('Rhaniad y Ddeiliadaeth (Cymru)'!$D$18="Data Cofrestrfa Tir",'Prisiau Tai (Canolbarth)'!F34,'Prisiau Tai (Canolbarth)'!X34)</f>
        <v>179673.94080000001</v>
      </c>
      <c r="AF34" s="4">
        <f>IF('Rhaniad y Ddeiliadaeth (Cymru)'!$D$18="Data Cofrestrfa Tir",'Prisiau Tai (Canolbarth)'!G34,'Prisiau Tai (Canolbarth)'!Y34)</f>
        <v>192365.55671150165</v>
      </c>
      <c r="AG34" s="4">
        <f>IF('Rhaniad y Ddeiliadaeth (Cymru)'!$D$18="Data Cofrestrfa Tir",'Prisiau Tai (Canolbarth)'!H34,'Prisiau Tai (Canolbarth)'!Z34)</f>
        <v>202834.25790873045</v>
      </c>
      <c r="AH34" s="4">
        <f>IF('Rhaniad y Ddeiliadaeth (Cymru)'!$D$18="Data Cofrestrfa Tir",'Prisiau Tai (Canolbarth)'!I34,'Prisiau Tai (Canolbarth)'!AA34)</f>
        <v>211390.56315782436</v>
      </c>
    </row>
    <row r="35" spans="2:34" x14ac:dyDescent="0.35">
      <c r="B35" s="251">
        <v>41</v>
      </c>
      <c r="C35" s="258">
        <v>160000</v>
      </c>
      <c r="D35" s="258">
        <v>165000</v>
      </c>
      <c r="E35" s="278">
        <f>D35*(1+'Rhaniad y Ddeiliadaeth (Canol)'!C$118)</f>
        <v>172920</v>
      </c>
      <c r="F35" s="278">
        <f>E35*(1+'Rhaniad y Ddeiliadaeth (Canol)'!D$118)</f>
        <v>183001.236</v>
      </c>
      <c r="G35" s="278">
        <f>F35*(1+'Rhaniad y Ddeiliadaeth (Canol)'!E$118)</f>
        <v>195927.88183578869</v>
      </c>
      <c r="H35" s="278">
        <f>G35*(1+'Rhaniad y Ddeiliadaeth (Canol)'!F$118)</f>
        <v>206590.44787000323</v>
      </c>
      <c r="I35" s="279">
        <f>H35*(1+'Rhaniad y Ddeiliadaeth (Canol)'!G$118)</f>
        <v>215305.20321630259</v>
      </c>
      <c r="M35" s="36" t="str">
        <f t="shared" si="0"/>
        <v/>
      </c>
      <c r="N35" s="202"/>
      <c r="O35" s="13">
        <f t="shared" si="3"/>
        <v>1</v>
      </c>
      <c r="U35" s="1">
        <f t="shared" si="1"/>
        <v>41</v>
      </c>
      <c r="V35" s="4" t="str">
        <f t="shared" si="2"/>
        <v/>
      </c>
      <c r="W35" s="4" t="e">
        <f>IF($W$3=$N$3,N35,V35*(1+'Rhaniad y Ddeiliadaeth (Cymru)'!C$118))</f>
        <v>#VALUE!</v>
      </c>
      <c r="X35" s="4" t="e">
        <f>W35*(1+'Rhaniad y Ddeiliadaeth (Cymru)'!D$118)</f>
        <v>#VALUE!</v>
      </c>
      <c r="Y35" s="4" t="e">
        <f>X35*(1+'Rhaniad y Ddeiliadaeth (Cymru)'!E$118)</f>
        <v>#VALUE!</v>
      </c>
      <c r="Z35" s="4" t="e">
        <f>Y35*(1+'Rhaniad y Ddeiliadaeth (Cymru)'!F$118)</f>
        <v>#VALUE!</v>
      </c>
      <c r="AA35" s="4" t="e">
        <f>Z35*(1+'Rhaniad y Ddeiliadaeth (Cymru)'!G$118)</f>
        <v>#VALUE!</v>
      </c>
      <c r="AC35" s="260">
        <v>41</v>
      </c>
      <c r="AD35" s="4">
        <f>IF('Rhaniad y Ddeiliadaeth (Cymru)'!$D$18="Data Cofrestrfa Tir",'Prisiau Tai (Canolbarth)'!E35,'Prisiau Tai (Canolbarth)'!W35)</f>
        <v>172920</v>
      </c>
      <c r="AE35" s="4">
        <f>IF('Rhaniad y Ddeiliadaeth (Cymru)'!$D$18="Data Cofrestrfa Tir",'Prisiau Tai (Canolbarth)'!F35,'Prisiau Tai (Canolbarth)'!X35)</f>
        <v>183001.236</v>
      </c>
      <c r="AF35" s="4">
        <f>IF('Rhaniad y Ddeiliadaeth (Cymru)'!$D$18="Data Cofrestrfa Tir",'Prisiau Tai (Canolbarth)'!G35,'Prisiau Tai (Canolbarth)'!Y35)</f>
        <v>195927.88183578869</v>
      </c>
      <c r="AG35" s="4">
        <f>IF('Rhaniad y Ddeiliadaeth (Cymru)'!$D$18="Data Cofrestrfa Tir",'Prisiau Tai (Canolbarth)'!H35,'Prisiau Tai (Canolbarth)'!Z35)</f>
        <v>206590.44787000323</v>
      </c>
      <c r="AH35" s="4">
        <f>IF('Rhaniad y Ddeiliadaeth (Cymru)'!$D$18="Data Cofrestrfa Tir",'Prisiau Tai (Canolbarth)'!I35,'Prisiau Tai (Canolbarth)'!AA35)</f>
        <v>215305.20321630259</v>
      </c>
    </row>
    <row r="36" spans="2:34" x14ac:dyDescent="0.35">
      <c r="B36" s="251">
        <v>42</v>
      </c>
      <c r="C36" s="258">
        <v>162500</v>
      </c>
      <c r="D36" s="258">
        <v>165000</v>
      </c>
      <c r="E36" s="278">
        <f>D36*(1+'Rhaniad y Ddeiliadaeth (Canol)'!C$118)</f>
        <v>172920</v>
      </c>
      <c r="F36" s="278">
        <f>E36*(1+'Rhaniad y Ddeiliadaeth (Canol)'!D$118)</f>
        <v>183001.236</v>
      </c>
      <c r="G36" s="278">
        <f>F36*(1+'Rhaniad y Ddeiliadaeth (Canol)'!E$118)</f>
        <v>195927.88183578869</v>
      </c>
      <c r="H36" s="278">
        <f>G36*(1+'Rhaniad y Ddeiliadaeth (Canol)'!F$118)</f>
        <v>206590.44787000323</v>
      </c>
      <c r="I36" s="279">
        <f>H36*(1+'Rhaniad y Ddeiliadaeth (Canol)'!G$118)</f>
        <v>215305.20321630259</v>
      </c>
      <c r="M36" s="36" t="str">
        <f t="shared" si="0"/>
        <v/>
      </c>
      <c r="N36" s="202"/>
      <c r="O36" s="13">
        <f t="shared" si="3"/>
        <v>1</v>
      </c>
      <c r="U36" s="1">
        <f t="shared" si="1"/>
        <v>42</v>
      </c>
      <c r="V36" s="4" t="str">
        <f t="shared" si="2"/>
        <v/>
      </c>
      <c r="W36" s="4" t="e">
        <f>IF($W$3=$N$3,N36,V36*(1+'Rhaniad y Ddeiliadaeth (Cymru)'!C$118))</f>
        <v>#VALUE!</v>
      </c>
      <c r="X36" s="4" t="e">
        <f>W36*(1+'Rhaniad y Ddeiliadaeth (Cymru)'!D$118)</f>
        <v>#VALUE!</v>
      </c>
      <c r="Y36" s="4" t="e">
        <f>X36*(1+'Rhaniad y Ddeiliadaeth (Cymru)'!E$118)</f>
        <v>#VALUE!</v>
      </c>
      <c r="Z36" s="4" t="e">
        <f>Y36*(1+'Rhaniad y Ddeiliadaeth (Cymru)'!F$118)</f>
        <v>#VALUE!</v>
      </c>
      <c r="AA36" s="4" t="e">
        <f>Z36*(1+'Rhaniad y Ddeiliadaeth (Cymru)'!G$118)</f>
        <v>#VALUE!</v>
      </c>
      <c r="AC36" s="260">
        <v>42</v>
      </c>
      <c r="AD36" s="4">
        <f>IF('Rhaniad y Ddeiliadaeth (Cymru)'!$D$18="Data Cofrestrfa Tir",'Prisiau Tai (Canolbarth)'!E36,'Prisiau Tai (Canolbarth)'!W36)</f>
        <v>172920</v>
      </c>
      <c r="AE36" s="4">
        <f>IF('Rhaniad y Ddeiliadaeth (Cymru)'!$D$18="Data Cofrestrfa Tir",'Prisiau Tai (Canolbarth)'!F36,'Prisiau Tai (Canolbarth)'!X36)</f>
        <v>183001.236</v>
      </c>
      <c r="AF36" s="4">
        <f>IF('Rhaniad y Ddeiliadaeth (Cymru)'!$D$18="Data Cofrestrfa Tir",'Prisiau Tai (Canolbarth)'!G36,'Prisiau Tai (Canolbarth)'!Y36)</f>
        <v>195927.88183578869</v>
      </c>
      <c r="AG36" s="4">
        <f>IF('Rhaniad y Ddeiliadaeth (Cymru)'!$D$18="Data Cofrestrfa Tir",'Prisiau Tai (Canolbarth)'!H36,'Prisiau Tai (Canolbarth)'!Z36)</f>
        <v>206590.44787000323</v>
      </c>
      <c r="AH36" s="4">
        <f>IF('Rhaniad y Ddeiliadaeth (Cymru)'!$D$18="Data Cofrestrfa Tir",'Prisiau Tai (Canolbarth)'!I36,'Prisiau Tai (Canolbarth)'!AA36)</f>
        <v>215305.20321630259</v>
      </c>
    </row>
    <row r="37" spans="2:34" x14ac:dyDescent="0.35">
      <c r="B37" s="251">
        <v>43</v>
      </c>
      <c r="C37" s="258">
        <v>165000</v>
      </c>
      <c r="D37" s="258">
        <v>167500</v>
      </c>
      <c r="E37" s="278">
        <f>D37*(1+'Rhaniad y Ddeiliadaeth (Canol)'!C$118)</f>
        <v>175540</v>
      </c>
      <c r="F37" s="278">
        <f>E37*(1+'Rhaniad y Ddeiliadaeth (Canol)'!D$118)</f>
        <v>185773.98199999999</v>
      </c>
      <c r="G37" s="278">
        <f>F37*(1+'Rhaniad y Ddeiliadaeth (Canol)'!E$118)</f>
        <v>198896.48610602791</v>
      </c>
      <c r="H37" s="278">
        <f>G37*(1+'Rhaniad y Ddeiliadaeth (Canol)'!F$118)</f>
        <v>209720.60617106388</v>
      </c>
      <c r="I37" s="279">
        <f>H37*(1+'Rhaniad y Ddeiliadaeth (Canol)'!G$118)</f>
        <v>218567.40326503443</v>
      </c>
      <c r="M37" s="36" t="str">
        <f t="shared" si="0"/>
        <v/>
      </c>
      <c r="N37" s="202"/>
      <c r="O37" s="13">
        <f t="shared" si="3"/>
        <v>1</v>
      </c>
      <c r="U37" s="1">
        <f t="shared" si="1"/>
        <v>43</v>
      </c>
      <c r="V37" s="4" t="str">
        <f t="shared" si="2"/>
        <v/>
      </c>
      <c r="W37" s="4" t="e">
        <f>IF($W$3=$N$3,N37,V37*(1+'Rhaniad y Ddeiliadaeth (Cymru)'!C$118))</f>
        <v>#VALUE!</v>
      </c>
      <c r="X37" s="4" t="e">
        <f>W37*(1+'Rhaniad y Ddeiliadaeth (Cymru)'!D$118)</f>
        <v>#VALUE!</v>
      </c>
      <c r="Y37" s="4" t="e">
        <f>X37*(1+'Rhaniad y Ddeiliadaeth (Cymru)'!E$118)</f>
        <v>#VALUE!</v>
      </c>
      <c r="Z37" s="4" t="e">
        <f>Y37*(1+'Rhaniad y Ddeiliadaeth (Cymru)'!F$118)</f>
        <v>#VALUE!</v>
      </c>
      <c r="AA37" s="4" t="e">
        <f>Z37*(1+'Rhaniad y Ddeiliadaeth (Cymru)'!G$118)</f>
        <v>#VALUE!</v>
      </c>
      <c r="AC37" s="260">
        <v>43</v>
      </c>
      <c r="AD37" s="4">
        <f>IF('Rhaniad y Ddeiliadaeth (Cymru)'!$D$18="Data Cofrestrfa Tir",'Prisiau Tai (Canolbarth)'!E37,'Prisiau Tai (Canolbarth)'!W37)</f>
        <v>175540</v>
      </c>
      <c r="AE37" s="4">
        <f>IF('Rhaniad y Ddeiliadaeth (Cymru)'!$D$18="Data Cofrestrfa Tir",'Prisiau Tai (Canolbarth)'!F37,'Prisiau Tai (Canolbarth)'!X37)</f>
        <v>185773.98199999999</v>
      </c>
      <c r="AF37" s="4">
        <f>IF('Rhaniad y Ddeiliadaeth (Cymru)'!$D$18="Data Cofrestrfa Tir",'Prisiau Tai (Canolbarth)'!G37,'Prisiau Tai (Canolbarth)'!Y37)</f>
        <v>198896.48610602791</v>
      </c>
      <c r="AG37" s="4">
        <f>IF('Rhaniad y Ddeiliadaeth (Cymru)'!$D$18="Data Cofrestrfa Tir",'Prisiau Tai (Canolbarth)'!H37,'Prisiau Tai (Canolbarth)'!Z37)</f>
        <v>209720.60617106388</v>
      </c>
      <c r="AH37" s="4">
        <f>IF('Rhaniad y Ddeiliadaeth (Cymru)'!$D$18="Data Cofrestrfa Tir",'Prisiau Tai (Canolbarth)'!I37,'Prisiau Tai (Canolbarth)'!AA37)</f>
        <v>218567.40326503443</v>
      </c>
    </row>
    <row r="38" spans="2:34" x14ac:dyDescent="0.35">
      <c r="B38" s="251">
        <v>44</v>
      </c>
      <c r="C38" s="258">
        <v>165000</v>
      </c>
      <c r="D38" s="258">
        <v>170000</v>
      </c>
      <c r="E38" s="278">
        <f>D38*(1+'Rhaniad y Ddeiliadaeth (Canol)'!C$118)</f>
        <v>178160</v>
      </c>
      <c r="F38" s="278">
        <f>E38*(1+'Rhaniad y Ddeiliadaeth (Canol)'!D$118)</f>
        <v>188546.728</v>
      </c>
      <c r="G38" s="278">
        <f>F38*(1+'Rhaniad y Ddeiliadaeth (Canol)'!E$118)</f>
        <v>201865.09037626715</v>
      </c>
      <c r="H38" s="278">
        <f>G38*(1+'Rhaniad y Ddeiliadaeth (Canol)'!F$118)</f>
        <v>212850.76447212455</v>
      </c>
      <c r="I38" s="279">
        <f>H38*(1+'Rhaniad y Ddeiliadaeth (Canol)'!G$118)</f>
        <v>221829.6033137663</v>
      </c>
      <c r="M38" s="36" t="str">
        <f t="shared" si="0"/>
        <v/>
      </c>
      <c r="N38" s="202"/>
      <c r="O38" s="13">
        <f t="shared" si="3"/>
        <v>1</v>
      </c>
      <c r="U38" s="1">
        <f t="shared" si="1"/>
        <v>44</v>
      </c>
      <c r="V38" s="4" t="str">
        <f t="shared" si="2"/>
        <v/>
      </c>
      <c r="W38" s="4" t="e">
        <f>IF($W$3=$N$3,N38,V38*(1+'Rhaniad y Ddeiliadaeth (Cymru)'!C$118))</f>
        <v>#VALUE!</v>
      </c>
      <c r="X38" s="4" t="e">
        <f>W38*(1+'Rhaniad y Ddeiliadaeth (Cymru)'!D$118)</f>
        <v>#VALUE!</v>
      </c>
      <c r="Y38" s="4" t="e">
        <f>X38*(1+'Rhaniad y Ddeiliadaeth (Cymru)'!E$118)</f>
        <v>#VALUE!</v>
      </c>
      <c r="Z38" s="4" t="e">
        <f>Y38*(1+'Rhaniad y Ddeiliadaeth (Cymru)'!F$118)</f>
        <v>#VALUE!</v>
      </c>
      <c r="AA38" s="4" t="e">
        <f>Z38*(1+'Rhaniad y Ddeiliadaeth (Cymru)'!G$118)</f>
        <v>#VALUE!</v>
      </c>
      <c r="AC38" s="260">
        <v>44</v>
      </c>
      <c r="AD38" s="4">
        <f>IF('Rhaniad y Ddeiliadaeth (Cymru)'!$D$18="Data Cofrestrfa Tir",'Prisiau Tai (Canolbarth)'!E38,'Prisiau Tai (Canolbarth)'!W38)</f>
        <v>178160</v>
      </c>
      <c r="AE38" s="4">
        <f>IF('Rhaniad y Ddeiliadaeth (Cymru)'!$D$18="Data Cofrestrfa Tir",'Prisiau Tai (Canolbarth)'!F38,'Prisiau Tai (Canolbarth)'!X38)</f>
        <v>188546.728</v>
      </c>
      <c r="AF38" s="4">
        <f>IF('Rhaniad y Ddeiliadaeth (Cymru)'!$D$18="Data Cofrestrfa Tir",'Prisiau Tai (Canolbarth)'!G38,'Prisiau Tai (Canolbarth)'!Y38)</f>
        <v>201865.09037626715</v>
      </c>
      <c r="AG38" s="4">
        <f>IF('Rhaniad y Ddeiliadaeth (Cymru)'!$D$18="Data Cofrestrfa Tir",'Prisiau Tai (Canolbarth)'!H38,'Prisiau Tai (Canolbarth)'!Z38)</f>
        <v>212850.76447212455</v>
      </c>
      <c r="AH38" s="4">
        <f>IF('Rhaniad y Ddeiliadaeth (Cymru)'!$D$18="Data Cofrestrfa Tir",'Prisiau Tai (Canolbarth)'!I38,'Prisiau Tai (Canolbarth)'!AA38)</f>
        <v>221829.6033137663</v>
      </c>
    </row>
    <row r="39" spans="2:34" x14ac:dyDescent="0.35">
      <c r="B39" s="251">
        <v>45</v>
      </c>
      <c r="C39" s="258">
        <v>167225.00000000003</v>
      </c>
      <c r="D39" s="258">
        <v>173000</v>
      </c>
      <c r="E39" s="278">
        <f>D39*(1+'Rhaniad y Ddeiliadaeth (Canol)'!C$118)</f>
        <v>181304</v>
      </c>
      <c r="F39" s="278">
        <f>E39*(1+'Rhaniad y Ddeiliadaeth (Canol)'!D$118)</f>
        <v>191874.0232</v>
      </c>
      <c r="G39" s="278">
        <f>F39*(1+'Rhaniad y Ddeiliadaeth (Canol)'!E$118)</f>
        <v>205427.4155005542</v>
      </c>
      <c r="H39" s="278">
        <f>G39*(1+'Rhaniad y Ddeiliadaeth (Canol)'!F$118)</f>
        <v>216606.9544333973</v>
      </c>
      <c r="I39" s="279">
        <f>H39*(1+'Rhaniad y Ddeiliadaeth (Canol)'!G$118)</f>
        <v>225744.2433722445</v>
      </c>
      <c r="M39" s="36" t="str">
        <f t="shared" si="0"/>
        <v/>
      </c>
      <c r="N39" s="202"/>
      <c r="O39" s="13">
        <f t="shared" si="3"/>
        <v>1</v>
      </c>
      <c r="U39" s="1">
        <f t="shared" si="1"/>
        <v>45</v>
      </c>
      <c r="V39" s="4" t="str">
        <f t="shared" si="2"/>
        <v/>
      </c>
      <c r="W39" s="4" t="e">
        <f>IF($W$3=$N$3,N39,V39*(1+'Rhaniad y Ddeiliadaeth (Cymru)'!C$118))</f>
        <v>#VALUE!</v>
      </c>
      <c r="X39" s="4" t="e">
        <f>W39*(1+'Rhaniad y Ddeiliadaeth (Cymru)'!D$118)</f>
        <v>#VALUE!</v>
      </c>
      <c r="Y39" s="4" t="e">
        <f>X39*(1+'Rhaniad y Ddeiliadaeth (Cymru)'!E$118)</f>
        <v>#VALUE!</v>
      </c>
      <c r="Z39" s="4" t="e">
        <f>Y39*(1+'Rhaniad y Ddeiliadaeth (Cymru)'!F$118)</f>
        <v>#VALUE!</v>
      </c>
      <c r="AA39" s="4" t="e">
        <f>Z39*(1+'Rhaniad y Ddeiliadaeth (Cymru)'!G$118)</f>
        <v>#VALUE!</v>
      </c>
      <c r="AC39" s="260">
        <v>45</v>
      </c>
      <c r="AD39" s="4">
        <f>IF('Rhaniad y Ddeiliadaeth (Cymru)'!$D$18="Data Cofrestrfa Tir",'Prisiau Tai (Canolbarth)'!E39,'Prisiau Tai (Canolbarth)'!W39)</f>
        <v>181304</v>
      </c>
      <c r="AE39" s="4">
        <f>IF('Rhaniad y Ddeiliadaeth (Cymru)'!$D$18="Data Cofrestrfa Tir",'Prisiau Tai (Canolbarth)'!F39,'Prisiau Tai (Canolbarth)'!X39)</f>
        <v>191874.0232</v>
      </c>
      <c r="AF39" s="4">
        <f>IF('Rhaniad y Ddeiliadaeth (Cymru)'!$D$18="Data Cofrestrfa Tir",'Prisiau Tai (Canolbarth)'!G39,'Prisiau Tai (Canolbarth)'!Y39)</f>
        <v>205427.4155005542</v>
      </c>
      <c r="AG39" s="4">
        <f>IF('Rhaniad y Ddeiliadaeth (Cymru)'!$D$18="Data Cofrestrfa Tir",'Prisiau Tai (Canolbarth)'!H39,'Prisiau Tai (Canolbarth)'!Z39)</f>
        <v>216606.9544333973</v>
      </c>
      <c r="AH39" s="4">
        <f>IF('Rhaniad y Ddeiliadaeth (Cymru)'!$D$18="Data Cofrestrfa Tir",'Prisiau Tai (Canolbarth)'!I39,'Prisiau Tai (Canolbarth)'!AA39)</f>
        <v>225744.2433722445</v>
      </c>
    </row>
    <row r="40" spans="2:34" x14ac:dyDescent="0.35">
      <c r="B40" s="251">
        <v>46</v>
      </c>
      <c r="C40" s="258">
        <v>170000</v>
      </c>
      <c r="D40" s="258">
        <v>175000</v>
      </c>
      <c r="E40" s="278">
        <f>D40*(1+'Rhaniad y Ddeiliadaeth (Canol)'!C$118)</f>
        <v>183400</v>
      </c>
      <c r="F40" s="278">
        <f>E40*(1+'Rhaniad y Ddeiliadaeth (Canol)'!D$118)</f>
        <v>194092.22</v>
      </c>
      <c r="G40" s="278">
        <f>F40*(1+'Rhaniad y Ddeiliadaeth (Canol)'!E$118)</f>
        <v>207802.29891674558</v>
      </c>
      <c r="H40" s="278">
        <f>G40*(1+'Rhaniad y Ddeiliadaeth (Canol)'!F$118)</f>
        <v>219111.08107424586</v>
      </c>
      <c r="I40" s="279">
        <f>H40*(1+'Rhaniad y Ddeiliadaeth (Canol)'!G$118)</f>
        <v>228354.00341123002</v>
      </c>
      <c r="M40" s="36" t="str">
        <f t="shared" si="0"/>
        <v/>
      </c>
      <c r="N40" s="202"/>
      <c r="O40" s="13">
        <f t="shared" si="3"/>
        <v>1</v>
      </c>
      <c r="U40" s="1">
        <f t="shared" si="1"/>
        <v>46</v>
      </c>
      <c r="V40" s="4" t="str">
        <f t="shared" si="2"/>
        <v/>
      </c>
      <c r="W40" s="4" t="e">
        <f>IF($W$3=$N$3,N40,V40*(1+'Rhaniad y Ddeiliadaeth (Cymru)'!C$118))</f>
        <v>#VALUE!</v>
      </c>
      <c r="X40" s="4" t="e">
        <f>W40*(1+'Rhaniad y Ddeiliadaeth (Cymru)'!D$118)</f>
        <v>#VALUE!</v>
      </c>
      <c r="Y40" s="4" t="e">
        <f>X40*(1+'Rhaniad y Ddeiliadaeth (Cymru)'!E$118)</f>
        <v>#VALUE!</v>
      </c>
      <c r="Z40" s="4" t="e">
        <f>Y40*(1+'Rhaniad y Ddeiliadaeth (Cymru)'!F$118)</f>
        <v>#VALUE!</v>
      </c>
      <c r="AA40" s="4" t="e">
        <f>Z40*(1+'Rhaniad y Ddeiliadaeth (Cymru)'!G$118)</f>
        <v>#VALUE!</v>
      </c>
      <c r="AC40" s="260">
        <v>46</v>
      </c>
      <c r="AD40" s="4">
        <f>IF('Rhaniad y Ddeiliadaeth (Cymru)'!$D$18="Data Cofrestrfa Tir",'Prisiau Tai (Canolbarth)'!E40,'Prisiau Tai (Canolbarth)'!W40)</f>
        <v>183400</v>
      </c>
      <c r="AE40" s="4">
        <f>IF('Rhaniad y Ddeiliadaeth (Cymru)'!$D$18="Data Cofrestrfa Tir",'Prisiau Tai (Canolbarth)'!F40,'Prisiau Tai (Canolbarth)'!X40)</f>
        <v>194092.22</v>
      </c>
      <c r="AF40" s="4">
        <f>IF('Rhaniad y Ddeiliadaeth (Cymru)'!$D$18="Data Cofrestrfa Tir",'Prisiau Tai (Canolbarth)'!G40,'Prisiau Tai (Canolbarth)'!Y40)</f>
        <v>207802.29891674558</v>
      </c>
      <c r="AG40" s="4">
        <f>IF('Rhaniad y Ddeiliadaeth (Cymru)'!$D$18="Data Cofrestrfa Tir",'Prisiau Tai (Canolbarth)'!H40,'Prisiau Tai (Canolbarth)'!Z40)</f>
        <v>219111.08107424586</v>
      </c>
      <c r="AH40" s="4">
        <f>IF('Rhaniad y Ddeiliadaeth (Cymru)'!$D$18="Data Cofrestrfa Tir",'Prisiau Tai (Canolbarth)'!I40,'Prisiau Tai (Canolbarth)'!AA40)</f>
        <v>228354.00341123002</v>
      </c>
    </row>
    <row r="41" spans="2:34" x14ac:dyDescent="0.35">
      <c r="B41" s="251">
        <v>47</v>
      </c>
      <c r="C41" s="258">
        <v>171135</v>
      </c>
      <c r="D41" s="258">
        <v>177500</v>
      </c>
      <c r="E41" s="278">
        <f>D41*(1+'Rhaniad y Ddeiliadaeth (Canol)'!C$118)</f>
        <v>186020</v>
      </c>
      <c r="F41" s="278">
        <f>E41*(1+'Rhaniad y Ddeiliadaeth (Canol)'!D$118)</f>
        <v>196864.96600000001</v>
      </c>
      <c r="G41" s="278">
        <f>F41*(1+'Rhaniad y Ddeiliadaeth (Canol)'!E$118)</f>
        <v>210770.90318698483</v>
      </c>
      <c r="H41" s="278">
        <f>G41*(1+'Rhaniad y Ddeiliadaeth (Canol)'!F$118)</f>
        <v>222241.23937530653</v>
      </c>
      <c r="I41" s="279">
        <f>H41*(1+'Rhaniad y Ddeiliadaeth (Canol)'!G$118)</f>
        <v>231616.20345996189</v>
      </c>
      <c r="M41" s="36" t="str">
        <f t="shared" si="0"/>
        <v/>
      </c>
      <c r="N41" s="202"/>
      <c r="O41" s="13">
        <f t="shared" si="3"/>
        <v>1</v>
      </c>
      <c r="U41" s="1">
        <f t="shared" si="1"/>
        <v>47</v>
      </c>
      <c r="V41" s="4" t="str">
        <f t="shared" si="2"/>
        <v/>
      </c>
      <c r="W41" s="4" t="e">
        <f>IF($W$3=$N$3,N41,V41*(1+'Rhaniad y Ddeiliadaeth (Cymru)'!C$118))</f>
        <v>#VALUE!</v>
      </c>
      <c r="X41" s="4" t="e">
        <f>W41*(1+'Rhaniad y Ddeiliadaeth (Cymru)'!D$118)</f>
        <v>#VALUE!</v>
      </c>
      <c r="Y41" s="4" t="e">
        <f>X41*(1+'Rhaniad y Ddeiliadaeth (Cymru)'!E$118)</f>
        <v>#VALUE!</v>
      </c>
      <c r="Z41" s="4" t="e">
        <f>Y41*(1+'Rhaniad y Ddeiliadaeth (Cymru)'!F$118)</f>
        <v>#VALUE!</v>
      </c>
      <c r="AA41" s="4" t="e">
        <f>Z41*(1+'Rhaniad y Ddeiliadaeth (Cymru)'!G$118)</f>
        <v>#VALUE!</v>
      </c>
      <c r="AC41" s="260">
        <v>47</v>
      </c>
      <c r="AD41" s="4">
        <f>IF('Rhaniad y Ddeiliadaeth (Cymru)'!$D$18="Data Cofrestrfa Tir",'Prisiau Tai (Canolbarth)'!E41,'Prisiau Tai (Canolbarth)'!W41)</f>
        <v>186020</v>
      </c>
      <c r="AE41" s="4">
        <f>IF('Rhaniad y Ddeiliadaeth (Cymru)'!$D$18="Data Cofrestrfa Tir",'Prisiau Tai (Canolbarth)'!F41,'Prisiau Tai (Canolbarth)'!X41)</f>
        <v>196864.96600000001</v>
      </c>
      <c r="AF41" s="4">
        <f>IF('Rhaniad y Ddeiliadaeth (Cymru)'!$D$18="Data Cofrestrfa Tir",'Prisiau Tai (Canolbarth)'!G41,'Prisiau Tai (Canolbarth)'!Y41)</f>
        <v>210770.90318698483</v>
      </c>
      <c r="AG41" s="4">
        <f>IF('Rhaniad y Ddeiliadaeth (Cymru)'!$D$18="Data Cofrestrfa Tir",'Prisiau Tai (Canolbarth)'!H41,'Prisiau Tai (Canolbarth)'!Z41)</f>
        <v>222241.23937530653</v>
      </c>
      <c r="AH41" s="4">
        <f>IF('Rhaniad y Ddeiliadaeth (Cymru)'!$D$18="Data Cofrestrfa Tir",'Prisiau Tai (Canolbarth)'!I41,'Prisiau Tai (Canolbarth)'!AA41)</f>
        <v>231616.20345996189</v>
      </c>
    </row>
    <row r="42" spans="2:34" x14ac:dyDescent="0.35">
      <c r="B42" s="251">
        <v>48</v>
      </c>
      <c r="C42" s="258">
        <v>174000</v>
      </c>
      <c r="D42" s="258">
        <v>180000</v>
      </c>
      <c r="E42" s="278">
        <f>D42*(1+'Rhaniad y Ddeiliadaeth (Canol)'!C$118)</f>
        <v>188640</v>
      </c>
      <c r="F42" s="278">
        <f>E42*(1+'Rhaniad y Ddeiliadaeth (Canol)'!D$118)</f>
        <v>199637.712</v>
      </c>
      <c r="G42" s="278">
        <f>F42*(1+'Rhaniad y Ddeiliadaeth (Canol)'!E$118)</f>
        <v>213739.50745722404</v>
      </c>
      <c r="H42" s="278">
        <f>G42*(1+'Rhaniad y Ddeiliadaeth (Canol)'!F$118)</f>
        <v>225371.39767636717</v>
      </c>
      <c r="I42" s="279">
        <f>H42*(1+'Rhaniad y Ddeiliadaeth (Canol)'!G$118)</f>
        <v>234878.40350869374</v>
      </c>
      <c r="M42" s="36" t="str">
        <f t="shared" si="0"/>
        <v/>
      </c>
      <c r="N42" s="202"/>
      <c r="O42" s="13">
        <f t="shared" si="3"/>
        <v>1</v>
      </c>
      <c r="U42" s="1">
        <f t="shared" si="1"/>
        <v>48</v>
      </c>
      <c r="V42" s="4" t="str">
        <f t="shared" si="2"/>
        <v/>
      </c>
      <c r="W42" s="4" t="e">
        <f>IF($W$3=$N$3,N42,V42*(1+'Rhaniad y Ddeiliadaeth (Cymru)'!C$118))</f>
        <v>#VALUE!</v>
      </c>
      <c r="X42" s="4" t="e">
        <f>W42*(1+'Rhaniad y Ddeiliadaeth (Cymru)'!D$118)</f>
        <v>#VALUE!</v>
      </c>
      <c r="Y42" s="4" t="e">
        <f>X42*(1+'Rhaniad y Ddeiliadaeth (Cymru)'!E$118)</f>
        <v>#VALUE!</v>
      </c>
      <c r="Z42" s="4" t="e">
        <f>Y42*(1+'Rhaniad y Ddeiliadaeth (Cymru)'!F$118)</f>
        <v>#VALUE!</v>
      </c>
      <c r="AA42" s="4" t="e">
        <f>Z42*(1+'Rhaniad y Ddeiliadaeth (Cymru)'!G$118)</f>
        <v>#VALUE!</v>
      </c>
      <c r="AC42" s="260">
        <v>48</v>
      </c>
      <c r="AD42" s="4">
        <f>IF('Rhaniad y Ddeiliadaeth (Cymru)'!$D$18="Data Cofrestrfa Tir",'Prisiau Tai (Canolbarth)'!E42,'Prisiau Tai (Canolbarth)'!W42)</f>
        <v>188640</v>
      </c>
      <c r="AE42" s="4">
        <f>IF('Rhaniad y Ddeiliadaeth (Cymru)'!$D$18="Data Cofrestrfa Tir",'Prisiau Tai (Canolbarth)'!F42,'Prisiau Tai (Canolbarth)'!X42)</f>
        <v>199637.712</v>
      </c>
      <c r="AF42" s="4">
        <f>IF('Rhaniad y Ddeiliadaeth (Cymru)'!$D$18="Data Cofrestrfa Tir",'Prisiau Tai (Canolbarth)'!G42,'Prisiau Tai (Canolbarth)'!Y42)</f>
        <v>213739.50745722404</v>
      </c>
      <c r="AG42" s="4">
        <f>IF('Rhaniad y Ddeiliadaeth (Cymru)'!$D$18="Data Cofrestrfa Tir",'Prisiau Tai (Canolbarth)'!H42,'Prisiau Tai (Canolbarth)'!Z42)</f>
        <v>225371.39767636717</v>
      </c>
      <c r="AH42" s="4">
        <f>IF('Rhaniad y Ddeiliadaeth (Cymru)'!$D$18="Data Cofrestrfa Tir",'Prisiau Tai (Canolbarth)'!I42,'Prisiau Tai (Canolbarth)'!AA42)</f>
        <v>234878.40350869374</v>
      </c>
    </row>
    <row r="43" spans="2:34" x14ac:dyDescent="0.35">
      <c r="B43" s="251">
        <v>49</v>
      </c>
      <c r="C43" s="258">
        <v>175000</v>
      </c>
      <c r="D43" s="258">
        <v>180000</v>
      </c>
      <c r="E43" s="278">
        <f>D43*(1+'Rhaniad y Ddeiliadaeth (Canol)'!C$118)</f>
        <v>188640</v>
      </c>
      <c r="F43" s="278">
        <f>E43*(1+'Rhaniad y Ddeiliadaeth (Canol)'!D$118)</f>
        <v>199637.712</v>
      </c>
      <c r="G43" s="278">
        <f>F43*(1+'Rhaniad y Ddeiliadaeth (Canol)'!E$118)</f>
        <v>213739.50745722404</v>
      </c>
      <c r="H43" s="278">
        <f>G43*(1+'Rhaniad y Ddeiliadaeth (Canol)'!F$118)</f>
        <v>225371.39767636717</v>
      </c>
      <c r="I43" s="279">
        <f>H43*(1+'Rhaniad y Ddeiliadaeth (Canol)'!G$118)</f>
        <v>234878.40350869374</v>
      </c>
      <c r="M43" s="36" t="str">
        <f t="shared" si="0"/>
        <v/>
      </c>
      <c r="N43" s="202"/>
      <c r="O43" s="13">
        <f t="shared" si="3"/>
        <v>1</v>
      </c>
      <c r="U43" s="1">
        <f t="shared" si="1"/>
        <v>49</v>
      </c>
      <c r="V43" s="4" t="str">
        <f t="shared" si="2"/>
        <v/>
      </c>
      <c r="W43" s="4" t="e">
        <f>IF($W$3=$N$3,N43,V43*(1+'Rhaniad y Ddeiliadaeth (Cymru)'!C$118))</f>
        <v>#VALUE!</v>
      </c>
      <c r="X43" s="4" t="e">
        <f>W43*(1+'Rhaniad y Ddeiliadaeth (Cymru)'!D$118)</f>
        <v>#VALUE!</v>
      </c>
      <c r="Y43" s="4" t="e">
        <f>X43*(1+'Rhaniad y Ddeiliadaeth (Cymru)'!E$118)</f>
        <v>#VALUE!</v>
      </c>
      <c r="Z43" s="4" t="e">
        <f>Y43*(1+'Rhaniad y Ddeiliadaeth (Cymru)'!F$118)</f>
        <v>#VALUE!</v>
      </c>
      <c r="AA43" s="4" t="e">
        <f>Z43*(1+'Rhaniad y Ddeiliadaeth (Cymru)'!G$118)</f>
        <v>#VALUE!</v>
      </c>
      <c r="AC43" s="260">
        <v>49</v>
      </c>
      <c r="AD43" s="4">
        <f>IF('Rhaniad y Ddeiliadaeth (Cymru)'!$D$18="Data Cofrestrfa Tir",'Prisiau Tai (Canolbarth)'!E43,'Prisiau Tai (Canolbarth)'!W43)</f>
        <v>188640</v>
      </c>
      <c r="AE43" s="4">
        <f>IF('Rhaniad y Ddeiliadaeth (Cymru)'!$D$18="Data Cofrestrfa Tir",'Prisiau Tai (Canolbarth)'!F43,'Prisiau Tai (Canolbarth)'!X43)</f>
        <v>199637.712</v>
      </c>
      <c r="AF43" s="4">
        <f>IF('Rhaniad y Ddeiliadaeth (Cymru)'!$D$18="Data Cofrestrfa Tir",'Prisiau Tai (Canolbarth)'!G43,'Prisiau Tai (Canolbarth)'!Y43)</f>
        <v>213739.50745722404</v>
      </c>
      <c r="AG43" s="4">
        <f>IF('Rhaniad y Ddeiliadaeth (Cymru)'!$D$18="Data Cofrestrfa Tir",'Prisiau Tai (Canolbarth)'!H43,'Prisiau Tai (Canolbarth)'!Z43)</f>
        <v>225371.39767636717</v>
      </c>
      <c r="AH43" s="4">
        <f>IF('Rhaniad y Ddeiliadaeth (Cymru)'!$D$18="Data Cofrestrfa Tir",'Prisiau Tai (Canolbarth)'!I43,'Prisiau Tai (Canolbarth)'!AA43)</f>
        <v>234878.40350869374</v>
      </c>
    </row>
    <row r="44" spans="2:34" x14ac:dyDescent="0.35">
      <c r="B44" s="251">
        <v>50</v>
      </c>
      <c r="C44" s="258">
        <v>177000</v>
      </c>
      <c r="D44" s="258">
        <v>183000</v>
      </c>
      <c r="E44" s="278">
        <f>D44*(1+'Rhaniad y Ddeiliadaeth (Canol)'!C$118)</f>
        <v>191784</v>
      </c>
      <c r="F44" s="278">
        <f>E44*(1+'Rhaniad y Ddeiliadaeth (Canol)'!D$118)</f>
        <v>202965.00719999999</v>
      </c>
      <c r="G44" s="278">
        <f>F44*(1+'Rhaniad y Ddeiliadaeth (Canol)'!E$118)</f>
        <v>217301.83258151109</v>
      </c>
      <c r="H44" s="278">
        <f>G44*(1+'Rhaniad y Ddeiliadaeth (Canol)'!F$118)</f>
        <v>229127.58763763992</v>
      </c>
      <c r="I44" s="279">
        <f>H44*(1+'Rhaniad y Ddeiliadaeth (Canol)'!G$118)</f>
        <v>238793.04356717193</v>
      </c>
      <c r="M44" s="36" t="str">
        <f t="shared" si="0"/>
        <v/>
      </c>
      <c r="N44" s="202"/>
      <c r="O44" s="13">
        <f t="shared" si="3"/>
        <v>1</v>
      </c>
      <c r="U44" s="1">
        <f t="shared" si="1"/>
        <v>50</v>
      </c>
      <c r="V44" s="4" t="str">
        <f t="shared" si="2"/>
        <v/>
      </c>
      <c r="W44" s="4" t="e">
        <f>IF($W$3=$N$3,N44,V44*(1+'Rhaniad y Ddeiliadaeth (Cymru)'!C$118))</f>
        <v>#VALUE!</v>
      </c>
      <c r="X44" s="4" t="e">
        <f>W44*(1+'Rhaniad y Ddeiliadaeth (Cymru)'!D$118)</f>
        <v>#VALUE!</v>
      </c>
      <c r="Y44" s="4" t="e">
        <f>X44*(1+'Rhaniad y Ddeiliadaeth (Cymru)'!E$118)</f>
        <v>#VALUE!</v>
      </c>
      <c r="Z44" s="4" t="e">
        <f>Y44*(1+'Rhaniad y Ddeiliadaeth (Cymru)'!F$118)</f>
        <v>#VALUE!</v>
      </c>
      <c r="AA44" s="4" t="e">
        <f>Z44*(1+'Rhaniad y Ddeiliadaeth (Cymru)'!G$118)</f>
        <v>#VALUE!</v>
      </c>
      <c r="AC44" s="260">
        <v>50</v>
      </c>
      <c r="AD44" s="4">
        <f>IF('Rhaniad y Ddeiliadaeth (Cymru)'!$D$18="Data Cofrestrfa Tir",'Prisiau Tai (Canolbarth)'!E44,'Prisiau Tai (Canolbarth)'!W44)</f>
        <v>191784</v>
      </c>
      <c r="AE44" s="4">
        <f>IF('Rhaniad y Ddeiliadaeth (Cymru)'!$D$18="Data Cofrestrfa Tir",'Prisiau Tai (Canolbarth)'!F44,'Prisiau Tai (Canolbarth)'!X44)</f>
        <v>202965.00719999999</v>
      </c>
      <c r="AF44" s="4">
        <f>IF('Rhaniad y Ddeiliadaeth (Cymru)'!$D$18="Data Cofrestrfa Tir",'Prisiau Tai (Canolbarth)'!G44,'Prisiau Tai (Canolbarth)'!Y44)</f>
        <v>217301.83258151109</v>
      </c>
      <c r="AG44" s="4">
        <f>IF('Rhaniad y Ddeiliadaeth (Cymru)'!$D$18="Data Cofrestrfa Tir",'Prisiau Tai (Canolbarth)'!H44,'Prisiau Tai (Canolbarth)'!Z44)</f>
        <v>229127.58763763992</v>
      </c>
      <c r="AH44" s="4">
        <f>IF('Rhaniad y Ddeiliadaeth (Cymru)'!$D$18="Data Cofrestrfa Tir",'Prisiau Tai (Canolbarth)'!I44,'Prisiau Tai (Canolbarth)'!AA44)</f>
        <v>238793.04356717193</v>
      </c>
    </row>
    <row r="45" spans="2:34" x14ac:dyDescent="0.35">
      <c r="B45" s="251">
        <v>51</v>
      </c>
      <c r="C45" s="258">
        <v>180000</v>
      </c>
      <c r="D45" s="258">
        <v>185000</v>
      </c>
      <c r="E45" s="278">
        <f>D45*(1+'Rhaniad y Ddeiliadaeth (Canol)'!C$118)</f>
        <v>193880</v>
      </c>
      <c r="F45" s="278">
        <f>E45*(1+'Rhaniad y Ddeiliadaeth (Canol)'!D$118)</f>
        <v>205183.204</v>
      </c>
      <c r="G45" s="278">
        <f>F45*(1+'Rhaniad y Ddeiliadaeth (Canol)'!E$118)</f>
        <v>219676.71599770247</v>
      </c>
      <c r="H45" s="278">
        <f>G45*(1+'Rhaniad y Ddeiliadaeth (Canol)'!F$118)</f>
        <v>231631.71427848845</v>
      </c>
      <c r="I45" s="279">
        <f>H45*(1+'Rhaniad y Ddeiliadaeth (Canol)'!G$118)</f>
        <v>241402.80360615742</v>
      </c>
      <c r="M45" s="36" t="str">
        <f t="shared" si="0"/>
        <v/>
      </c>
      <c r="N45" s="202"/>
      <c r="O45" s="13">
        <f t="shared" si="3"/>
        <v>1</v>
      </c>
      <c r="U45" s="1">
        <f t="shared" si="1"/>
        <v>51</v>
      </c>
      <c r="V45" s="4" t="str">
        <f t="shared" si="2"/>
        <v/>
      </c>
      <c r="W45" s="4" t="e">
        <f>IF($W$3=$N$3,N45,V45*(1+'Rhaniad y Ddeiliadaeth (Cymru)'!C$118))</f>
        <v>#VALUE!</v>
      </c>
      <c r="X45" s="4" t="e">
        <f>W45*(1+'Rhaniad y Ddeiliadaeth (Cymru)'!D$118)</f>
        <v>#VALUE!</v>
      </c>
      <c r="Y45" s="4" t="e">
        <f>X45*(1+'Rhaniad y Ddeiliadaeth (Cymru)'!E$118)</f>
        <v>#VALUE!</v>
      </c>
      <c r="Z45" s="4" t="e">
        <f>Y45*(1+'Rhaniad y Ddeiliadaeth (Cymru)'!F$118)</f>
        <v>#VALUE!</v>
      </c>
      <c r="AA45" s="4" t="e">
        <f>Z45*(1+'Rhaniad y Ddeiliadaeth (Cymru)'!G$118)</f>
        <v>#VALUE!</v>
      </c>
      <c r="AC45" s="260">
        <v>51</v>
      </c>
      <c r="AD45" s="4">
        <f>IF('Rhaniad y Ddeiliadaeth (Cymru)'!$D$18="Data Cofrestrfa Tir",'Prisiau Tai (Canolbarth)'!E45,'Prisiau Tai (Canolbarth)'!W45)</f>
        <v>193880</v>
      </c>
      <c r="AE45" s="4">
        <f>IF('Rhaniad y Ddeiliadaeth (Cymru)'!$D$18="Data Cofrestrfa Tir",'Prisiau Tai (Canolbarth)'!F45,'Prisiau Tai (Canolbarth)'!X45)</f>
        <v>205183.204</v>
      </c>
      <c r="AF45" s="4">
        <f>IF('Rhaniad y Ddeiliadaeth (Cymru)'!$D$18="Data Cofrestrfa Tir",'Prisiau Tai (Canolbarth)'!G45,'Prisiau Tai (Canolbarth)'!Y45)</f>
        <v>219676.71599770247</v>
      </c>
      <c r="AG45" s="4">
        <f>IF('Rhaniad y Ddeiliadaeth (Cymru)'!$D$18="Data Cofrestrfa Tir",'Prisiau Tai (Canolbarth)'!H45,'Prisiau Tai (Canolbarth)'!Z45)</f>
        <v>231631.71427848845</v>
      </c>
      <c r="AH45" s="4">
        <f>IF('Rhaniad y Ddeiliadaeth (Cymru)'!$D$18="Data Cofrestrfa Tir",'Prisiau Tai (Canolbarth)'!I45,'Prisiau Tai (Canolbarth)'!AA45)</f>
        <v>241402.80360615742</v>
      </c>
    </row>
    <row r="46" spans="2:34" x14ac:dyDescent="0.35">
      <c r="B46" s="251">
        <v>52</v>
      </c>
      <c r="C46" s="258">
        <v>180000</v>
      </c>
      <c r="D46" s="258">
        <v>186678.20000000039</v>
      </c>
      <c r="E46" s="278">
        <f>D46*(1+'Rhaniad y Ddeiliadaeth (Canol)'!C$118)</f>
        <v>195638.7536000004</v>
      </c>
      <c r="F46" s="278">
        <f>E46*(1+'Rhaniad y Ddeiliadaeth (Canol)'!D$118)</f>
        <v>207044.49293488043</v>
      </c>
      <c r="G46" s="278">
        <f>F46*(1+'Rhaniad y Ddeiliadaeth (Canol)'!E$118)</f>
        <v>221669.48067222914</v>
      </c>
      <c r="H46" s="278">
        <f>G46*(1+'Rhaniad y Ddeiliadaeth (Canol)'!F$118)</f>
        <v>233732.92694282497</v>
      </c>
      <c r="I46" s="279">
        <f>H46*(1+'Rhaniad y Ddeiliadaeth (Canol)'!G$118)</f>
        <v>243592.6532548707</v>
      </c>
      <c r="M46" s="36" t="str">
        <f t="shared" si="0"/>
        <v/>
      </c>
      <c r="N46" s="202"/>
      <c r="O46" s="13">
        <f t="shared" si="3"/>
        <v>1</v>
      </c>
      <c r="U46" s="1">
        <f t="shared" si="1"/>
        <v>52</v>
      </c>
      <c r="V46" s="4" t="str">
        <f t="shared" si="2"/>
        <v/>
      </c>
      <c r="W46" s="4" t="e">
        <f>IF($W$3=$N$3,N46,V46*(1+'Rhaniad y Ddeiliadaeth (Cymru)'!C$118))</f>
        <v>#VALUE!</v>
      </c>
      <c r="X46" s="4" t="e">
        <f>W46*(1+'Rhaniad y Ddeiliadaeth (Cymru)'!D$118)</f>
        <v>#VALUE!</v>
      </c>
      <c r="Y46" s="4" t="e">
        <f>X46*(1+'Rhaniad y Ddeiliadaeth (Cymru)'!E$118)</f>
        <v>#VALUE!</v>
      </c>
      <c r="Z46" s="4" t="e">
        <f>Y46*(1+'Rhaniad y Ddeiliadaeth (Cymru)'!F$118)</f>
        <v>#VALUE!</v>
      </c>
      <c r="AA46" s="4" t="e">
        <f>Z46*(1+'Rhaniad y Ddeiliadaeth (Cymru)'!G$118)</f>
        <v>#VALUE!</v>
      </c>
      <c r="AC46" s="260">
        <v>52</v>
      </c>
      <c r="AD46" s="4">
        <f>IF('Rhaniad y Ddeiliadaeth (Cymru)'!$D$18="Data Cofrestrfa Tir",'Prisiau Tai (Canolbarth)'!E46,'Prisiau Tai (Canolbarth)'!W46)</f>
        <v>195638.7536000004</v>
      </c>
      <c r="AE46" s="4">
        <f>IF('Rhaniad y Ddeiliadaeth (Cymru)'!$D$18="Data Cofrestrfa Tir",'Prisiau Tai (Canolbarth)'!F46,'Prisiau Tai (Canolbarth)'!X46)</f>
        <v>207044.49293488043</v>
      </c>
      <c r="AF46" s="4">
        <f>IF('Rhaniad y Ddeiliadaeth (Cymru)'!$D$18="Data Cofrestrfa Tir",'Prisiau Tai (Canolbarth)'!G46,'Prisiau Tai (Canolbarth)'!Y46)</f>
        <v>221669.48067222914</v>
      </c>
      <c r="AG46" s="4">
        <f>IF('Rhaniad y Ddeiliadaeth (Cymru)'!$D$18="Data Cofrestrfa Tir",'Prisiau Tai (Canolbarth)'!H46,'Prisiau Tai (Canolbarth)'!Z46)</f>
        <v>233732.92694282497</v>
      </c>
      <c r="AH46" s="4">
        <f>IF('Rhaniad y Ddeiliadaeth (Cymru)'!$D$18="Data Cofrestrfa Tir",'Prisiau Tai (Canolbarth)'!I46,'Prisiau Tai (Canolbarth)'!AA46)</f>
        <v>243592.6532548707</v>
      </c>
    </row>
    <row r="47" spans="2:34" x14ac:dyDescent="0.35">
      <c r="B47" s="251">
        <v>53</v>
      </c>
      <c r="C47" s="258">
        <v>184986.5</v>
      </c>
      <c r="D47" s="258">
        <v>190000</v>
      </c>
      <c r="E47" s="278">
        <f>D47*(1+'Rhaniad y Ddeiliadaeth (Canol)'!C$118)</f>
        <v>199120</v>
      </c>
      <c r="F47" s="278">
        <f>E47*(1+'Rhaniad y Ddeiliadaeth (Canol)'!D$118)</f>
        <v>210728.696</v>
      </c>
      <c r="G47" s="278">
        <f>F47*(1+'Rhaniad y Ddeiliadaeth (Canol)'!E$118)</f>
        <v>225613.92453818093</v>
      </c>
      <c r="H47" s="278">
        <f>G47*(1+'Rhaniad y Ddeiliadaeth (Canol)'!F$118)</f>
        <v>237892.03088060979</v>
      </c>
      <c r="I47" s="279">
        <f>H47*(1+'Rhaniad y Ddeiliadaeth (Canol)'!G$118)</f>
        <v>247927.20370362117</v>
      </c>
      <c r="M47" s="36" t="str">
        <f t="shared" si="0"/>
        <v/>
      </c>
      <c r="N47" s="202"/>
      <c r="O47" s="13">
        <f t="shared" si="3"/>
        <v>1</v>
      </c>
      <c r="U47" s="1">
        <f t="shared" si="1"/>
        <v>53</v>
      </c>
      <c r="V47" s="4" t="str">
        <f t="shared" si="2"/>
        <v/>
      </c>
      <c r="W47" s="4" t="e">
        <f>IF($W$3=$N$3,N47,V47*(1+'Rhaniad y Ddeiliadaeth (Cymru)'!C$118))</f>
        <v>#VALUE!</v>
      </c>
      <c r="X47" s="4" t="e">
        <f>W47*(1+'Rhaniad y Ddeiliadaeth (Cymru)'!D$118)</f>
        <v>#VALUE!</v>
      </c>
      <c r="Y47" s="4" t="e">
        <f>X47*(1+'Rhaniad y Ddeiliadaeth (Cymru)'!E$118)</f>
        <v>#VALUE!</v>
      </c>
      <c r="Z47" s="4" t="e">
        <f>Y47*(1+'Rhaniad y Ddeiliadaeth (Cymru)'!F$118)</f>
        <v>#VALUE!</v>
      </c>
      <c r="AA47" s="4" t="e">
        <f>Z47*(1+'Rhaniad y Ddeiliadaeth (Cymru)'!G$118)</f>
        <v>#VALUE!</v>
      </c>
      <c r="AC47" s="260">
        <v>53</v>
      </c>
      <c r="AD47" s="4">
        <f>IF('Rhaniad y Ddeiliadaeth (Cymru)'!$D$18="Data Cofrestrfa Tir",'Prisiau Tai (Canolbarth)'!E47,'Prisiau Tai (Canolbarth)'!W47)</f>
        <v>199120</v>
      </c>
      <c r="AE47" s="4">
        <f>IF('Rhaniad y Ddeiliadaeth (Cymru)'!$D$18="Data Cofrestrfa Tir",'Prisiau Tai (Canolbarth)'!F47,'Prisiau Tai (Canolbarth)'!X47)</f>
        <v>210728.696</v>
      </c>
      <c r="AF47" s="4">
        <f>IF('Rhaniad y Ddeiliadaeth (Cymru)'!$D$18="Data Cofrestrfa Tir",'Prisiau Tai (Canolbarth)'!G47,'Prisiau Tai (Canolbarth)'!Y47)</f>
        <v>225613.92453818093</v>
      </c>
      <c r="AG47" s="4">
        <f>IF('Rhaniad y Ddeiliadaeth (Cymru)'!$D$18="Data Cofrestrfa Tir",'Prisiau Tai (Canolbarth)'!H47,'Prisiau Tai (Canolbarth)'!Z47)</f>
        <v>237892.03088060979</v>
      </c>
      <c r="AH47" s="4">
        <f>IF('Rhaniad y Ddeiliadaeth (Cymru)'!$D$18="Data Cofrestrfa Tir",'Prisiau Tai (Canolbarth)'!I47,'Prisiau Tai (Canolbarth)'!AA47)</f>
        <v>247927.20370362117</v>
      </c>
    </row>
    <row r="48" spans="2:34" x14ac:dyDescent="0.35">
      <c r="B48" s="251">
        <v>54</v>
      </c>
      <c r="C48" s="258">
        <v>185000</v>
      </c>
      <c r="D48" s="258">
        <v>190000</v>
      </c>
      <c r="E48" s="278">
        <f>D48*(1+'Rhaniad y Ddeiliadaeth (Canol)'!C$118)</f>
        <v>199120</v>
      </c>
      <c r="F48" s="278">
        <f>E48*(1+'Rhaniad y Ddeiliadaeth (Canol)'!D$118)</f>
        <v>210728.696</v>
      </c>
      <c r="G48" s="278">
        <f>F48*(1+'Rhaniad y Ddeiliadaeth (Canol)'!E$118)</f>
        <v>225613.92453818093</v>
      </c>
      <c r="H48" s="278">
        <f>G48*(1+'Rhaniad y Ddeiliadaeth (Canol)'!F$118)</f>
        <v>237892.03088060979</v>
      </c>
      <c r="I48" s="279">
        <f>H48*(1+'Rhaniad y Ddeiliadaeth (Canol)'!G$118)</f>
        <v>247927.20370362117</v>
      </c>
      <c r="M48" s="36" t="str">
        <f t="shared" si="0"/>
        <v/>
      </c>
      <c r="N48" s="202"/>
      <c r="O48" s="13">
        <f t="shared" si="3"/>
        <v>1</v>
      </c>
      <c r="U48" s="1">
        <f t="shared" si="1"/>
        <v>54</v>
      </c>
      <c r="V48" s="4" t="str">
        <f t="shared" si="2"/>
        <v/>
      </c>
      <c r="W48" s="4" t="e">
        <f>IF($W$3=$N$3,N48,V48*(1+'Rhaniad y Ddeiliadaeth (Cymru)'!C$118))</f>
        <v>#VALUE!</v>
      </c>
      <c r="X48" s="4" t="e">
        <f>W48*(1+'Rhaniad y Ddeiliadaeth (Cymru)'!D$118)</f>
        <v>#VALUE!</v>
      </c>
      <c r="Y48" s="4" t="e">
        <f>X48*(1+'Rhaniad y Ddeiliadaeth (Cymru)'!E$118)</f>
        <v>#VALUE!</v>
      </c>
      <c r="Z48" s="4" t="e">
        <f>Y48*(1+'Rhaniad y Ddeiliadaeth (Cymru)'!F$118)</f>
        <v>#VALUE!</v>
      </c>
      <c r="AA48" s="4" t="e">
        <f>Z48*(1+'Rhaniad y Ddeiliadaeth (Cymru)'!G$118)</f>
        <v>#VALUE!</v>
      </c>
      <c r="AC48" s="260">
        <v>54</v>
      </c>
      <c r="AD48" s="4">
        <f>IF('Rhaniad y Ddeiliadaeth (Cymru)'!$D$18="Data Cofrestrfa Tir",'Prisiau Tai (Canolbarth)'!E48,'Prisiau Tai (Canolbarth)'!W48)</f>
        <v>199120</v>
      </c>
      <c r="AE48" s="4">
        <f>IF('Rhaniad y Ddeiliadaeth (Cymru)'!$D$18="Data Cofrestrfa Tir",'Prisiau Tai (Canolbarth)'!F48,'Prisiau Tai (Canolbarth)'!X48)</f>
        <v>210728.696</v>
      </c>
      <c r="AF48" s="4">
        <f>IF('Rhaniad y Ddeiliadaeth (Cymru)'!$D$18="Data Cofrestrfa Tir",'Prisiau Tai (Canolbarth)'!G48,'Prisiau Tai (Canolbarth)'!Y48)</f>
        <v>225613.92453818093</v>
      </c>
      <c r="AG48" s="4">
        <f>IF('Rhaniad y Ddeiliadaeth (Cymru)'!$D$18="Data Cofrestrfa Tir",'Prisiau Tai (Canolbarth)'!H48,'Prisiau Tai (Canolbarth)'!Z48)</f>
        <v>237892.03088060979</v>
      </c>
      <c r="AH48" s="4">
        <f>IF('Rhaniad y Ddeiliadaeth (Cymru)'!$D$18="Data Cofrestrfa Tir",'Prisiau Tai (Canolbarth)'!I48,'Prisiau Tai (Canolbarth)'!AA48)</f>
        <v>247927.20370362117</v>
      </c>
    </row>
    <row r="49" spans="2:34" x14ac:dyDescent="0.35">
      <c r="B49" s="251">
        <v>55</v>
      </c>
      <c r="C49" s="258">
        <v>187500</v>
      </c>
      <c r="D49" s="258">
        <v>194855.00000000073</v>
      </c>
      <c r="E49" s="278">
        <f>D49*(1+'Rhaniad y Ddeiliadaeth (Canol)'!C$118)</f>
        <v>204208.04000000076</v>
      </c>
      <c r="F49" s="278">
        <f>E49*(1+'Rhaniad y Ddeiliadaeth (Canol)'!D$118)</f>
        <v>216113.36873200082</v>
      </c>
      <c r="G49" s="278">
        <f>F49*(1+'Rhaniad y Ddeiliadaeth (Canol)'!E$118)</f>
        <v>231378.95403098638</v>
      </c>
      <c r="H49" s="278">
        <f>G49*(1+'Rhaniad y Ddeiliadaeth (Canol)'!F$118)</f>
        <v>243970.79830127049</v>
      </c>
      <c r="I49" s="279">
        <f>H49*(1+'Rhaniad y Ddeiliadaeth (Canol)'!G$118)</f>
        <v>254262.3961982594</v>
      </c>
      <c r="M49" s="36" t="str">
        <f t="shared" si="0"/>
        <v/>
      </c>
      <c r="N49" s="202"/>
      <c r="O49" s="13">
        <f t="shared" si="3"/>
        <v>1</v>
      </c>
      <c r="U49" s="1">
        <f t="shared" si="1"/>
        <v>55</v>
      </c>
      <c r="V49" s="4" t="str">
        <f t="shared" si="2"/>
        <v/>
      </c>
      <c r="W49" s="4" t="e">
        <f>IF($W$3=$N$3,N49,V49*(1+'Rhaniad y Ddeiliadaeth (Cymru)'!C$118))</f>
        <v>#VALUE!</v>
      </c>
      <c r="X49" s="4" t="e">
        <f>W49*(1+'Rhaniad y Ddeiliadaeth (Cymru)'!D$118)</f>
        <v>#VALUE!</v>
      </c>
      <c r="Y49" s="4" t="e">
        <f>X49*(1+'Rhaniad y Ddeiliadaeth (Cymru)'!E$118)</f>
        <v>#VALUE!</v>
      </c>
      <c r="Z49" s="4" t="e">
        <f>Y49*(1+'Rhaniad y Ddeiliadaeth (Cymru)'!F$118)</f>
        <v>#VALUE!</v>
      </c>
      <c r="AA49" s="4" t="e">
        <f>Z49*(1+'Rhaniad y Ddeiliadaeth (Cymru)'!G$118)</f>
        <v>#VALUE!</v>
      </c>
      <c r="AC49" s="260">
        <v>55</v>
      </c>
      <c r="AD49" s="4">
        <f>IF('Rhaniad y Ddeiliadaeth (Cymru)'!$D$18="Data Cofrestrfa Tir",'Prisiau Tai (Canolbarth)'!E49,'Prisiau Tai (Canolbarth)'!W49)</f>
        <v>204208.04000000076</v>
      </c>
      <c r="AE49" s="4">
        <f>IF('Rhaniad y Ddeiliadaeth (Cymru)'!$D$18="Data Cofrestrfa Tir",'Prisiau Tai (Canolbarth)'!F49,'Prisiau Tai (Canolbarth)'!X49)</f>
        <v>216113.36873200082</v>
      </c>
      <c r="AF49" s="4">
        <f>IF('Rhaniad y Ddeiliadaeth (Cymru)'!$D$18="Data Cofrestrfa Tir",'Prisiau Tai (Canolbarth)'!G49,'Prisiau Tai (Canolbarth)'!Y49)</f>
        <v>231378.95403098638</v>
      </c>
      <c r="AG49" s="4">
        <f>IF('Rhaniad y Ddeiliadaeth (Cymru)'!$D$18="Data Cofrestrfa Tir",'Prisiau Tai (Canolbarth)'!H49,'Prisiau Tai (Canolbarth)'!Z49)</f>
        <v>243970.79830127049</v>
      </c>
      <c r="AH49" s="4">
        <f>IF('Rhaniad y Ddeiliadaeth (Cymru)'!$D$18="Data Cofrestrfa Tir",'Prisiau Tai (Canolbarth)'!I49,'Prisiau Tai (Canolbarth)'!AA49)</f>
        <v>254262.3961982594</v>
      </c>
    </row>
    <row r="50" spans="2:34" x14ac:dyDescent="0.35">
      <c r="B50" s="251">
        <v>56</v>
      </c>
      <c r="C50" s="258">
        <v>190000</v>
      </c>
      <c r="D50" s="258">
        <v>195000</v>
      </c>
      <c r="E50" s="278">
        <f>D50*(1+'Rhaniad y Ddeiliadaeth (Canol)'!C$118)</f>
        <v>204360</v>
      </c>
      <c r="F50" s="278">
        <f>E50*(1+'Rhaniad y Ddeiliadaeth (Canol)'!D$118)</f>
        <v>216274.18799999999</v>
      </c>
      <c r="G50" s="278">
        <f>F50*(1+'Rhaniad y Ddeiliadaeth (Canol)'!E$118)</f>
        <v>231551.13307865936</v>
      </c>
      <c r="H50" s="278">
        <f>G50*(1+'Rhaniad y Ddeiliadaeth (Canol)'!F$118)</f>
        <v>244152.34748273107</v>
      </c>
      <c r="I50" s="279">
        <f>H50*(1+'Rhaniad y Ddeiliadaeth (Canol)'!G$118)</f>
        <v>254451.60380108486</v>
      </c>
      <c r="M50" s="36" t="str">
        <f t="shared" si="0"/>
        <v/>
      </c>
      <c r="N50" s="202"/>
      <c r="O50" s="13">
        <f t="shared" si="3"/>
        <v>1</v>
      </c>
      <c r="U50" s="1">
        <f t="shared" si="1"/>
        <v>56</v>
      </c>
      <c r="V50" s="4" t="str">
        <f t="shared" si="2"/>
        <v/>
      </c>
      <c r="W50" s="4" t="e">
        <f>IF($W$3=$N$3,N50,V50*(1+'Rhaniad y Ddeiliadaeth (Cymru)'!C$118))</f>
        <v>#VALUE!</v>
      </c>
      <c r="X50" s="4" t="e">
        <f>W50*(1+'Rhaniad y Ddeiliadaeth (Cymru)'!D$118)</f>
        <v>#VALUE!</v>
      </c>
      <c r="Y50" s="4" t="e">
        <f>X50*(1+'Rhaniad y Ddeiliadaeth (Cymru)'!E$118)</f>
        <v>#VALUE!</v>
      </c>
      <c r="Z50" s="4" t="e">
        <f>Y50*(1+'Rhaniad y Ddeiliadaeth (Cymru)'!F$118)</f>
        <v>#VALUE!</v>
      </c>
      <c r="AA50" s="4" t="e">
        <f>Z50*(1+'Rhaniad y Ddeiliadaeth (Cymru)'!G$118)</f>
        <v>#VALUE!</v>
      </c>
      <c r="AC50" s="260">
        <v>56</v>
      </c>
      <c r="AD50" s="4">
        <f>IF('Rhaniad y Ddeiliadaeth (Cymru)'!$D$18="Data Cofrestrfa Tir",'Prisiau Tai (Canolbarth)'!E50,'Prisiau Tai (Canolbarth)'!W50)</f>
        <v>204360</v>
      </c>
      <c r="AE50" s="4">
        <f>IF('Rhaniad y Ddeiliadaeth (Cymru)'!$D$18="Data Cofrestrfa Tir",'Prisiau Tai (Canolbarth)'!F50,'Prisiau Tai (Canolbarth)'!X50)</f>
        <v>216274.18799999999</v>
      </c>
      <c r="AF50" s="4">
        <f>IF('Rhaniad y Ddeiliadaeth (Cymru)'!$D$18="Data Cofrestrfa Tir",'Prisiau Tai (Canolbarth)'!G50,'Prisiau Tai (Canolbarth)'!Y50)</f>
        <v>231551.13307865936</v>
      </c>
      <c r="AG50" s="4">
        <f>IF('Rhaniad y Ddeiliadaeth (Cymru)'!$D$18="Data Cofrestrfa Tir",'Prisiau Tai (Canolbarth)'!H50,'Prisiau Tai (Canolbarth)'!Z50)</f>
        <v>244152.34748273107</v>
      </c>
      <c r="AH50" s="4">
        <f>IF('Rhaniad y Ddeiliadaeth (Cymru)'!$D$18="Data Cofrestrfa Tir",'Prisiau Tai (Canolbarth)'!I50,'Prisiau Tai (Canolbarth)'!AA50)</f>
        <v>254451.60380108486</v>
      </c>
    </row>
    <row r="51" spans="2:34" x14ac:dyDescent="0.35">
      <c r="B51" s="251">
        <v>57</v>
      </c>
      <c r="C51" s="258">
        <v>190000</v>
      </c>
      <c r="D51" s="258">
        <v>199950</v>
      </c>
      <c r="E51" s="278">
        <f>D51*(1+'Rhaniad y Ddeiliadaeth (Canol)'!C$118)</f>
        <v>209547.6</v>
      </c>
      <c r="F51" s="278">
        <f>E51*(1+'Rhaniad y Ddeiliadaeth (Canol)'!D$118)</f>
        <v>221764.22508</v>
      </c>
      <c r="G51" s="278">
        <f>F51*(1+'Rhaniad y Ddeiliadaeth (Canol)'!E$118)</f>
        <v>237428.96953373303</v>
      </c>
      <c r="H51" s="278">
        <f>G51*(1+'Rhaniad y Ddeiliadaeth (Canol)'!F$118)</f>
        <v>250350.06091883118</v>
      </c>
      <c r="I51" s="279">
        <f>H51*(1+'Rhaniad y Ddeiliadaeth (Canol)'!G$118)</f>
        <v>260910.75989757394</v>
      </c>
      <c r="M51" s="36" t="str">
        <f t="shared" si="0"/>
        <v/>
      </c>
      <c r="N51" s="202"/>
      <c r="O51" s="13">
        <f t="shared" si="3"/>
        <v>1</v>
      </c>
      <c r="U51" s="1">
        <f t="shared" si="1"/>
        <v>57</v>
      </c>
      <c r="V51" s="4" t="str">
        <f t="shared" si="2"/>
        <v/>
      </c>
      <c r="W51" s="4" t="e">
        <f>IF($W$3=$N$3,N51,V51*(1+'Rhaniad y Ddeiliadaeth (Cymru)'!C$118))</f>
        <v>#VALUE!</v>
      </c>
      <c r="X51" s="4" t="e">
        <f>W51*(1+'Rhaniad y Ddeiliadaeth (Cymru)'!D$118)</f>
        <v>#VALUE!</v>
      </c>
      <c r="Y51" s="4" t="e">
        <f>X51*(1+'Rhaniad y Ddeiliadaeth (Cymru)'!E$118)</f>
        <v>#VALUE!</v>
      </c>
      <c r="Z51" s="4" t="e">
        <f>Y51*(1+'Rhaniad y Ddeiliadaeth (Cymru)'!F$118)</f>
        <v>#VALUE!</v>
      </c>
      <c r="AA51" s="4" t="e">
        <f>Z51*(1+'Rhaniad y Ddeiliadaeth (Cymru)'!G$118)</f>
        <v>#VALUE!</v>
      </c>
      <c r="AC51" s="260">
        <v>57</v>
      </c>
      <c r="AD51" s="4">
        <f>IF('Rhaniad y Ddeiliadaeth (Cymru)'!$D$18="Data Cofrestrfa Tir",'Prisiau Tai (Canolbarth)'!E51,'Prisiau Tai (Canolbarth)'!W51)</f>
        <v>209547.6</v>
      </c>
      <c r="AE51" s="4">
        <f>IF('Rhaniad y Ddeiliadaeth (Cymru)'!$D$18="Data Cofrestrfa Tir",'Prisiau Tai (Canolbarth)'!F51,'Prisiau Tai (Canolbarth)'!X51)</f>
        <v>221764.22508</v>
      </c>
      <c r="AF51" s="4">
        <f>IF('Rhaniad y Ddeiliadaeth (Cymru)'!$D$18="Data Cofrestrfa Tir",'Prisiau Tai (Canolbarth)'!G51,'Prisiau Tai (Canolbarth)'!Y51)</f>
        <v>237428.96953373303</v>
      </c>
      <c r="AG51" s="4">
        <f>IF('Rhaniad y Ddeiliadaeth (Cymru)'!$D$18="Data Cofrestrfa Tir",'Prisiau Tai (Canolbarth)'!H51,'Prisiau Tai (Canolbarth)'!Z51)</f>
        <v>250350.06091883118</v>
      </c>
      <c r="AH51" s="4">
        <f>IF('Rhaniad y Ddeiliadaeth (Cymru)'!$D$18="Data Cofrestrfa Tir",'Prisiau Tai (Canolbarth)'!I51,'Prisiau Tai (Canolbarth)'!AA51)</f>
        <v>260910.75989757394</v>
      </c>
    </row>
    <row r="52" spans="2:34" x14ac:dyDescent="0.35">
      <c r="B52" s="251">
        <v>58</v>
      </c>
      <c r="C52" s="258">
        <v>193000</v>
      </c>
      <c r="D52" s="258">
        <v>202544.00000000009</v>
      </c>
      <c r="E52" s="278">
        <f>D52*(1+'Rhaniad y Ddeiliadaeth (Canol)'!C$118)</f>
        <v>212266.11200000011</v>
      </c>
      <c r="F52" s="278">
        <f>E52*(1+'Rhaniad y Ddeiliadaeth (Canol)'!D$118)</f>
        <v>224641.22632960012</v>
      </c>
      <c r="G52" s="278">
        <f>F52*(1+'Rhaniad y Ddeiliadaeth (Canol)'!E$118)</f>
        <v>240509.19332453338</v>
      </c>
      <c r="H52" s="278">
        <f>G52*(1+'Rhaniad y Ddeiliadaeth (Canol)'!F$118)</f>
        <v>253597.91317201187</v>
      </c>
      <c r="I52" s="279">
        <f>H52*(1+'Rhaniad y Ddeiliadaeth (Canol)'!G$118)</f>
        <v>264295.61866813828</v>
      </c>
      <c r="M52" s="36" t="str">
        <f t="shared" si="0"/>
        <v/>
      </c>
      <c r="N52" s="202"/>
      <c r="O52" s="13">
        <f t="shared" si="3"/>
        <v>1</v>
      </c>
      <c r="U52" s="1">
        <f t="shared" si="1"/>
        <v>58</v>
      </c>
      <c r="V52" s="4" t="str">
        <f t="shared" si="2"/>
        <v/>
      </c>
      <c r="W52" s="4" t="e">
        <f>IF($W$3=$N$3,N52,V52*(1+'Rhaniad y Ddeiliadaeth (Cymru)'!C$118))</f>
        <v>#VALUE!</v>
      </c>
      <c r="X52" s="4" t="e">
        <f>W52*(1+'Rhaniad y Ddeiliadaeth (Cymru)'!D$118)</f>
        <v>#VALUE!</v>
      </c>
      <c r="Y52" s="4" t="e">
        <f>X52*(1+'Rhaniad y Ddeiliadaeth (Cymru)'!E$118)</f>
        <v>#VALUE!</v>
      </c>
      <c r="Z52" s="4" t="e">
        <f>Y52*(1+'Rhaniad y Ddeiliadaeth (Cymru)'!F$118)</f>
        <v>#VALUE!</v>
      </c>
      <c r="AA52" s="4" t="e">
        <f>Z52*(1+'Rhaniad y Ddeiliadaeth (Cymru)'!G$118)</f>
        <v>#VALUE!</v>
      </c>
      <c r="AC52" s="260">
        <v>58</v>
      </c>
      <c r="AD52" s="4">
        <f>IF('Rhaniad y Ddeiliadaeth (Cymru)'!$D$18="Data Cofrestrfa Tir",'Prisiau Tai (Canolbarth)'!E52,'Prisiau Tai (Canolbarth)'!W52)</f>
        <v>212266.11200000011</v>
      </c>
      <c r="AE52" s="4">
        <f>IF('Rhaniad y Ddeiliadaeth (Cymru)'!$D$18="Data Cofrestrfa Tir",'Prisiau Tai (Canolbarth)'!F52,'Prisiau Tai (Canolbarth)'!X52)</f>
        <v>224641.22632960012</v>
      </c>
      <c r="AF52" s="4">
        <f>IF('Rhaniad y Ddeiliadaeth (Cymru)'!$D$18="Data Cofrestrfa Tir",'Prisiau Tai (Canolbarth)'!G52,'Prisiau Tai (Canolbarth)'!Y52)</f>
        <v>240509.19332453338</v>
      </c>
      <c r="AG52" s="4">
        <f>IF('Rhaniad y Ddeiliadaeth (Cymru)'!$D$18="Data Cofrestrfa Tir",'Prisiau Tai (Canolbarth)'!H52,'Prisiau Tai (Canolbarth)'!Z52)</f>
        <v>253597.91317201187</v>
      </c>
      <c r="AH52" s="4">
        <f>IF('Rhaniad y Ddeiliadaeth (Cymru)'!$D$18="Data Cofrestrfa Tir",'Prisiau Tai (Canolbarth)'!I52,'Prisiau Tai (Canolbarth)'!AA52)</f>
        <v>264295.61866813828</v>
      </c>
    </row>
    <row r="53" spans="2:34" x14ac:dyDescent="0.35">
      <c r="B53" s="251">
        <v>59</v>
      </c>
      <c r="C53" s="258">
        <v>195000</v>
      </c>
      <c r="D53" s="258">
        <v>206000</v>
      </c>
      <c r="E53" s="278">
        <f>D53*(1+'Rhaniad y Ddeiliadaeth (Canol)'!C$118)</f>
        <v>215888</v>
      </c>
      <c r="F53" s="278">
        <f>E53*(1+'Rhaniad y Ddeiliadaeth (Canol)'!D$118)</f>
        <v>228474.27040000001</v>
      </c>
      <c r="G53" s="278">
        <f>F53*(1+'Rhaniad y Ddeiliadaeth (Canol)'!E$118)</f>
        <v>244612.99186771197</v>
      </c>
      <c r="H53" s="278">
        <f>G53*(1+'Rhaniad y Ddeiliadaeth (Canol)'!F$118)</f>
        <v>257925.04400739798</v>
      </c>
      <c r="I53" s="279">
        <f>H53*(1+'Rhaniad y Ddeiliadaeth (Canol)'!G$118)</f>
        <v>268805.28401550505</v>
      </c>
      <c r="M53" s="36" t="str">
        <f t="shared" si="0"/>
        <v/>
      </c>
      <c r="N53" s="202"/>
      <c r="O53" s="13">
        <f t="shared" si="3"/>
        <v>1</v>
      </c>
      <c r="U53" s="1">
        <f t="shared" si="1"/>
        <v>59</v>
      </c>
      <c r="V53" s="4" t="str">
        <f t="shared" si="2"/>
        <v/>
      </c>
      <c r="W53" s="4" t="e">
        <f>IF($W$3=$N$3,N53,V53*(1+'Rhaniad y Ddeiliadaeth (Cymru)'!C$118))</f>
        <v>#VALUE!</v>
      </c>
      <c r="X53" s="4" t="e">
        <f>W53*(1+'Rhaniad y Ddeiliadaeth (Cymru)'!D$118)</f>
        <v>#VALUE!</v>
      </c>
      <c r="Y53" s="4" t="e">
        <f>X53*(1+'Rhaniad y Ddeiliadaeth (Cymru)'!E$118)</f>
        <v>#VALUE!</v>
      </c>
      <c r="Z53" s="4" t="e">
        <f>Y53*(1+'Rhaniad y Ddeiliadaeth (Cymru)'!F$118)</f>
        <v>#VALUE!</v>
      </c>
      <c r="AA53" s="4" t="e">
        <f>Z53*(1+'Rhaniad y Ddeiliadaeth (Cymru)'!G$118)</f>
        <v>#VALUE!</v>
      </c>
      <c r="AC53" s="260">
        <v>59</v>
      </c>
      <c r="AD53" s="4">
        <f>IF('Rhaniad y Ddeiliadaeth (Cymru)'!$D$18="Data Cofrestrfa Tir",'Prisiau Tai (Canolbarth)'!E53,'Prisiau Tai (Canolbarth)'!W53)</f>
        <v>215888</v>
      </c>
      <c r="AE53" s="4">
        <f>IF('Rhaniad y Ddeiliadaeth (Cymru)'!$D$18="Data Cofrestrfa Tir",'Prisiau Tai (Canolbarth)'!F53,'Prisiau Tai (Canolbarth)'!X53)</f>
        <v>228474.27040000001</v>
      </c>
      <c r="AF53" s="4">
        <f>IF('Rhaniad y Ddeiliadaeth (Cymru)'!$D$18="Data Cofrestrfa Tir",'Prisiau Tai (Canolbarth)'!G53,'Prisiau Tai (Canolbarth)'!Y53)</f>
        <v>244612.99186771197</v>
      </c>
      <c r="AG53" s="4">
        <f>IF('Rhaniad y Ddeiliadaeth (Cymru)'!$D$18="Data Cofrestrfa Tir",'Prisiau Tai (Canolbarth)'!H53,'Prisiau Tai (Canolbarth)'!Z53)</f>
        <v>257925.04400739798</v>
      </c>
      <c r="AH53" s="4">
        <f>IF('Rhaniad y Ddeiliadaeth (Cymru)'!$D$18="Data Cofrestrfa Tir",'Prisiau Tai (Canolbarth)'!I53,'Prisiau Tai (Canolbarth)'!AA53)</f>
        <v>268805.28401550505</v>
      </c>
    </row>
    <row r="54" spans="2:34" x14ac:dyDescent="0.35">
      <c r="B54" s="251">
        <v>60</v>
      </c>
      <c r="C54" s="258">
        <v>198799.99999999994</v>
      </c>
      <c r="D54" s="258">
        <v>210000</v>
      </c>
      <c r="E54" s="278">
        <f>D54*(1+'Rhaniad y Ddeiliadaeth (Canol)'!C$118)</f>
        <v>220080</v>
      </c>
      <c r="F54" s="278">
        <f>E54*(1+'Rhaniad y Ddeiliadaeth (Canol)'!D$118)</f>
        <v>232910.66399999999</v>
      </c>
      <c r="G54" s="278">
        <f>F54*(1+'Rhaniad y Ddeiliadaeth (Canol)'!E$118)</f>
        <v>249362.75870009471</v>
      </c>
      <c r="H54" s="278">
        <f>G54*(1+'Rhaniad y Ddeiliadaeth (Canol)'!F$118)</f>
        <v>262933.297289095</v>
      </c>
      <c r="I54" s="279">
        <f>H54*(1+'Rhaniad y Ddeiliadaeth (Canol)'!G$118)</f>
        <v>274024.80409347604</v>
      </c>
      <c r="M54" s="36" t="str">
        <f t="shared" si="0"/>
        <v/>
      </c>
      <c r="N54" s="202"/>
      <c r="O54" s="13">
        <f t="shared" si="3"/>
        <v>1</v>
      </c>
      <c r="U54" s="1">
        <f t="shared" si="1"/>
        <v>60</v>
      </c>
      <c r="V54" s="4" t="str">
        <f t="shared" si="2"/>
        <v/>
      </c>
      <c r="W54" s="4" t="e">
        <f>IF($W$3=$N$3,N54,V54*(1+'Rhaniad y Ddeiliadaeth (Cymru)'!C$118))</f>
        <v>#VALUE!</v>
      </c>
      <c r="X54" s="4" t="e">
        <f>W54*(1+'Rhaniad y Ddeiliadaeth (Cymru)'!D$118)</f>
        <v>#VALUE!</v>
      </c>
      <c r="Y54" s="4" t="e">
        <f>X54*(1+'Rhaniad y Ddeiliadaeth (Cymru)'!E$118)</f>
        <v>#VALUE!</v>
      </c>
      <c r="Z54" s="4" t="e">
        <f>Y54*(1+'Rhaniad y Ddeiliadaeth (Cymru)'!F$118)</f>
        <v>#VALUE!</v>
      </c>
      <c r="AA54" s="4" t="e">
        <f>Z54*(1+'Rhaniad y Ddeiliadaeth (Cymru)'!G$118)</f>
        <v>#VALUE!</v>
      </c>
      <c r="AC54" s="260">
        <v>60</v>
      </c>
      <c r="AD54" s="4">
        <f>IF('Rhaniad y Ddeiliadaeth (Cymru)'!$D$18="Data Cofrestrfa Tir",'Prisiau Tai (Canolbarth)'!E54,'Prisiau Tai (Canolbarth)'!W54)</f>
        <v>220080</v>
      </c>
      <c r="AE54" s="4">
        <f>IF('Rhaniad y Ddeiliadaeth (Cymru)'!$D$18="Data Cofrestrfa Tir",'Prisiau Tai (Canolbarth)'!F54,'Prisiau Tai (Canolbarth)'!X54)</f>
        <v>232910.66399999999</v>
      </c>
      <c r="AF54" s="4">
        <f>IF('Rhaniad y Ddeiliadaeth (Cymru)'!$D$18="Data Cofrestrfa Tir",'Prisiau Tai (Canolbarth)'!G54,'Prisiau Tai (Canolbarth)'!Y54)</f>
        <v>249362.75870009471</v>
      </c>
      <c r="AG54" s="4">
        <f>IF('Rhaniad y Ddeiliadaeth (Cymru)'!$D$18="Data Cofrestrfa Tir",'Prisiau Tai (Canolbarth)'!H54,'Prisiau Tai (Canolbarth)'!Z54)</f>
        <v>262933.297289095</v>
      </c>
      <c r="AH54" s="4">
        <f>IF('Rhaniad y Ddeiliadaeth (Cymru)'!$D$18="Data Cofrestrfa Tir",'Prisiau Tai (Canolbarth)'!I54,'Prisiau Tai (Canolbarth)'!AA54)</f>
        <v>274024.80409347604</v>
      </c>
    </row>
    <row r="55" spans="2:34" x14ac:dyDescent="0.35">
      <c r="B55" s="251">
        <v>61</v>
      </c>
      <c r="C55" s="258">
        <v>200000</v>
      </c>
      <c r="D55" s="258">
        <v>212990.00000000047</v>
      </c>
      <c r="E55" s="278">
        <f>D55*(1+'Rhaniad y Ddeiliadaeth (Canol)'!C$118)</f>
        <v>223213.52000000048</v>
      </c>
      <c r="F55" s="278">
        <f>E55*(1+'Rhaniad y Ddeiliadaeth (Canol)'!D$118)</f>
        <v>236226.86821600053</v>
      </c>
      <c r="G55" s="278">
        <f>F55*(1+'Rhaniad y Ddeiliadaeth (Canol)'!E$118)</f>
        <v>252913.20940730139</v>
      </c>
      <c r="H55" s="278">
        <f>G55*(1+'Rhaniad y Ddeiliadaeth (Canol)'!F$118)</f>
        <v>266676.96661716414</v>
      </c>
      <c r="I55" s="279">
        <f>H55*(1+'Rhaniad y Ddeiliadaeth (Canol)'!G$118)</f>
        <v>277926.39535175991</v>
      </c>
      <c r="M55" s="36" t="str">
        <f t="shared" si="0"/>
        <v/>
      </c>
      <c r="N55" s="202"/>
      <c r="O55" s="13">
        <f t="shared" si="3"/>
        <v>1</v>
      </c>
      <c r="U55" s="1">
        <f t="shared" si="1"/>
        <v>61</v>
      </c>
      <c r="V55" s="4" t="str">
        <f t="shared" si="2"/>
        <v/>
      </c>
      <c r="W55" s="4" t="e">
        <f>IF($W$3=$N$3,N55,V55*(1+'Rhaniad y Ddeiliadaeth (Cymru)'!C$118))</f>
        <v>#VALUE!</v>
      </c>
      <c r="X55" s="4" t="e">
        <f>W55*(1+'Rhaniad y Ddeiliadaeth (Cymru)'!D$118)</f>
        <v>#VALUE!</v>
      </c>
      <c r="Y55" s="4" t="e">
        <f>X55*(1+'Rhaniad y Ddeiliadaeth (Cymru)'!E$118)</f>
        <v>#VALUE!</v>
      </c>
      <c r="Z55" s="4" t="e">
        <f>Y55*(1+'Rhaniad y Ddeiliadaeth (Cymru)'!F$118)</f>
        <v>#VALUE!</v>
      </c>
      <c r="AA55" s="4" t="e">
        <f>Z55*(1+'Rhaniad y Ddeiliadaeth (Cymru)'!G$118)</f>
        <v>#VALUE!</v>
      </c>
      <c r="AC55" s="260">
        <v>61</v>
      </c>
      <c r="AD55" s="4">
        <f>IF('Rhaniad y Ddeiliadaeth (Cymru)'!$D$18="Data Cofrestrfa Tir",'Prisiau Tai (Canolbarth)'!E55,'Prisiau Tai (Canolbarth)'!W55)</f>
        <v>223213.52000000048</v>
      </c>
      <c r="AE55" s="4">
        <f>IF('Rhaniad y Ddeiliadaeth (Cymru)'!$D$18="Data Cofrestrfa Tir",'Prisiau Tai (Canolbarth)'!F55,'Prisiau Tai (Canolbarth)'!X55)</f>
        <v>236226.86821600053</v>
      </c>
      <c r="AF55" s="4">
        <f>IF('Rhaniad y Ddeiliadaeth (Cymru)'!$D$18="Data Cofrestrfa Tir",'Prisiau Tai (Canolbarth)'!G55,'Prisiau Tai (Canolbarth)'!Y55)</f>
        <v>252913.20940730139</v>
      </c>
      <c r="AG55" s="4">
        <f>IF('Rhaniad y Ddeiliadaeth (Cymru)'!$D$18="Data Cofrestrfa Tir",'Prisiau Tai (Canolbarth)'!H55,'Prisiau Tai (Canolbarth)'!Z55)</f>
        <v>266676.96661716414</v>
      </c>
      <c r="AH55" s="4">
        <f>IF('Rhaniad y Ddeiliadaeth (Cymru)'!$D$18="Data Cofrestrfa Tir",'Prisiau Tai (Canolbarth)'!I55,'Prisiau Tai (Canolbarth)'!AA55)</f>
        <v>277926.39535175991</v>
      </c>
    </row>
    <row r="56" spans="2:34" x14ac:dyDescent="0.35">
      <c r="B56" s="251">
        <v>62</v>
      </c>
      <c r="C56" s="258">
        <v>203000</v>
      </c>
      <c r="D56" s="258">
        <v>215000</v>
      </c>
      <c r="E56" s="278">
        <f>D56*(1+'Rhaniad y Ddeiliadaeth (Canol)'!C$118)</f>
        <v>225320</v>
      </c>
      <c r="F56" s="278">
        <f>E56*(1+'Rhaniad y Ddeiliadaeth (Canol)'!D$118)</f>
        <v>238456.15600000002</v>
      </c>
      <c r="G56" s="278">
        <f>F56*(1+'Rhaniad y Ddeiliadaeth (Canol)'!E$118)</f>
        <v>255299.96724057317</v>
      </c>
      <c r="H56" s="278">
        <f>G56*(1+'Rhaniad y Ddeiliadaeth (Canol)'!F$118)</f>
        <v>269193.61389121634</v>
      </c>
      <c r="I56" s="279">
        <f>H56*(1+'Rhaniad y Ddeiliadaeth (Canol)'!G$118)</f>
        <v>280549.20419093978</v>
      </c>
      <c r="M56" s="36" t="str">
        <f t="shared" si="0"/>
        <v/>
      </c>
      <c r="N56" s="202"/>
      <c r="O56" s="13">
        <f t="shared" si="3"/>
        <v>1</v>
      </c>
      <c r="U56" s="1">
        <f t="shared" si="1"/>
        <v>62</v>
      </c>
      <c r="V56" s="4" t="str">
        <f t="shared" si="2"/>
        <v/>
      </c>
      <c r="W56" s="4" t="e">
        <f>IF($W$3=$N$3,N56,V56*(1+'Rhaniad y Ddeiliadaeth (Cymru)'!C$118))</f>
        <v>#VALUE!</v>
      </c>
      <c r="X56" s="4" t="e">
        <f>W56*(1+'Rhaniad y Ddeiliadaeth (Cymru)'!D$118)</f>
        <v>#VALUE!</v>
      </c>
      <c r="Y56" s="4" t="e">
        <f>X56*(1+'Rhaniad y Ddeiliadaeth (Cymru)'!E$118)</f>
        <v>#VALUE!</v>
      </c>
      <c r="Z56" s="4" t="e">
        <f>Y56*(1+'Rhaniad y Ddeiliadaeth (Cymru)'!F$118)</f>
        <v>#VALUE!</v>
      </c>
      <c r="AA56" s="4" t="e">
        <f>Z56*(1+'Rhaniad y Ddeiliadaeth (Cymru)'!G$118)</f>
        <v>#VALUE!</v>
      </c>
      <c r="AC56" s="260">
        <v>62</v>
      </c>
      <c r="AD56" s="4">
        <f>IF('Rhaniad y Ddeiliadaeth (Cymru)'!$D$18="Data Cofrestrfa Tir",'Prisiau Tai (Canolbarth)'!E56,'Prisiau Tai (Canolbarth)'!W56)</f>
        <v>225320</v>
      </c>
      <c r="AE56" s="4">
        <f>IF('Rhaniad y Ddeiliadaeth (Cymru)'!$D$18="Data Cofrestrfa Tir",'Prisiau Tai (Canolbarth)'!F56,'Prisiau Tai (Canolbarth)'!X56)</f>
        <v>238456.15600000002</v>
      </c>
      <c r="AF56" s="4">
        <f>IF('Rhaniad y Ddeiliadaeth (Cymru)'!$D$18="Data Cofrestrfa Tir",'Prisiau Tai (Canolbarth)'!G56,'Prisiau Tai (Canolbarth)'!Y56)</f>
        <v>255299.96724057317</v>
      </c>
      <c r="AG56" s="4">
        <f>IF('Rhaniad y Ddeiliadaeth (Cymru)'!$D$18="Data Cofrestrfa Tir",'Prisiau Tai (Canolbarth)'!H56,'Prisiau Tai (Canolbarth)'!Z56)</f>
        <v>269193.61389121634</v>
      </c>
      <c r="AH56" s="4">
        <f>IF('Rhaniad y Ddeiliadaeth (Cymru)'!$D$18="Data Cofrestrfa Tir",'Prisiau Tai (Canolbarth)'!I56,'Prisiau Tai (Canolbarth)'!AA56)</f>
        <v>280549.20419093978</v>
      </c>
    </row>
    <row r="57" spans="2:34" x14ac:dyDescent="0.35">
      <c r="B57" s="251">
        <v>63</v>
      </c>
      <c r="C57" s="258">
        <v>207000</v>
      </c>
      <c r="D57" s="258">
        <v>220000</v>
      </c>
      <c r="E57" s="278">
        <f>D57*(1+'Rhaniad y Ddeiliadaeth (Canol)'!C$118)</f>
        <v>230560</v>
      </c>
      <c r="F57" s="278">
        <f>E57*(1+'Rhaniad y Ddeiliadaeth (Canol)'!D$118)</f>
        <v>244001.64800000002</v>
      </c>
      <c r="G57" s="278">
        <f>F57*(1+'Rhaniad y Ddeiliadaeth (Canol)'!E$118)</f>
        <v>261237.17578105163</v>
      </c>
      <c r="H57" s="278">
        <f>G57*(1+'Rhaniad y Ddeiliadaeth (Canol)'!F$118)</f>
        <v>275453.93049333768</v>
      </c>
      <c r="I57" s="279">
        <f>H57*(1+'Rhaniad y Ddeiliadaeth (Canol)'!G$118)</f>
        <v>287073.60428840353</v>
      </c>
      <c r="M57" s="36" t="str">
        <f t="shared" si="0"/>
        <v/>
      </c>
      <c r="N57" s="202"/>
      <c r="O57" s="13">
        <f t="shared" si="3"/>
        <v>1</v>
      </c>
      <c r="U57" s="1">
        <f t="shared" si="1"/>
        <v>63</v>
      </c>
      <c r="V57" s="4" t="str">
        <f t="shared" si="2"/>
        <v/>
      </c>
      <c r="W57" s="4" t="e">
        <f>IF($W$3=$N$3,N57,V57*(1+'Rhaniad y Ddeiliadaeth (Cymru)'!C$118))</f>
        <v>#VALUE!</v>
      </c>
      <c r="X57" s="4" t="e">
        <f>W57*(1+'Rhaniad y Ddeiliadaeth (Cymru)'!D$118)</f>
        <v>#VALUE!</v>
      </c>
      <c r="Y57" s="4" t="e">
        <f>X57*(1+'Rhaniad y Ddeiliadaeth (Cymru)'!E$118)</f>
        <v>#VALUE!</v>
      </c>
      <c r="Z57" s="4" t="e">
        <f>Y57*(1+'Rhaniad y Ddeiliadaeth (Cymru)'!F$118)</f>
        <v>#VALUE!</v>
      </c>
      <c r="AA57" s="4" t="e">
        <f>Z57*(1+'Rhaniad y Ddeiliadaeth (Cymru)'!G$118)</f>
        <v>#VALUE!</v>
      </c>
      <c r="AC57" s="260">
        <v>63</v>
      </c>
      <c r="AD57" s="4">
        <f>IF('Rhaniad y Ddeiliadaeth (Cymru)'!$D$18="Data Cofrestrfa Tir",'Prisiau Tai (Canolbarth)'!E57,'Prisiau Tai (Canolbarth)'!W57)</f>
        <v>230560</v>
      </c>
      <c r="AE57" s="4">
        <f>IF('Rhaniad y Ddeiliadaeth (Cymru)'!$D$18="Data Cofrestrfa Tir",'Prisiau Tai (Canolbarth)'!F57,'Prisiau Tai (Canolbarth)'!X57)</f>
        <v>244001.64800000002</v>
      </c>
      <c r="AF57" s="4">
        <f>IF('Rhaniad y Ddeiliadaeth (Cymru)'!$D$18="Data Cofrestrfa Tir",'Prisiau Tai (Canolbarth)'!G57,'Prisiau Tai (Canolbarth)'!Y57)</f>
        <v>261237.17578105163</v>
      </c>
      <c r="AG57" s="4">
        <f>IF('Rhaniad y Ddeiliadaeth (Cymru)'!$D$18="Data Cofrestrfa Tir",'Prisiau Tai (Canolbarth)'!H57,'Prisiau Tai (Canolbarth)'!Z57)</f>
        <v>275453.93049333768</v>
      </c>
      <c r="AH57" s="4">
        <f>IF('Rhaniad y Ddeiliadaeth (Cymru)'!$D$18="Data Cofrestrfa Tir",'Prisiau Tai (Canolbarth)'!I57,'Prisiau Tai (Canolbarth)'!AA57)</f>
        <v>287073.60428840353</v>
      </c>
    </row>
    <row r="58" spans="2:34" x14ac:dyDescent="0.35">
      <c r="B58" s="251">
        <v>64</v>
      </c>
      <c r="C58" s="258">
        <v>210000</v>
      </c>
      <c r="D58" s="258">
        <v>220000</v>
      </c>
      <c r="E58" s="278">
        <f>D58*(1+'Rhaniad y Ddeiliadaeth (Canol)'!C$118)</f>
        <v>230560</v>
      </c>
      <c r="F58" s="278">
        <f>E58*(1+'Rhaniad y Ddeiliadaeth (Canol)'!D$118)</f>
        <v>244001.64800000002</v>
      </c>
      <c r="G58" s="278">
        <f>F58*(1+'Rhaniad y Ddeiliadaeth (Canol)'!E$118)</f>
        <v>261237.17578105163</v>
      </c>
      <c r="H58" s="278">
        <f>G58*(1+'Rhaniad y Ddeiliadaeth (Canol)'!F$118)</f>
        <v>275453.93049333768</v>
      </c>
      <c r="I58" s="279">
        <f>H58*(1+'Rhaniad y Ddeiliadaeth (Canol)'!G$118)</f>
        <v>287073.60428840353</v>
      </c>
      <c r="M58" s="36" t="str">
        <f t="shared" si="0"/>
        <v/>
      </c>
      <c r="N58" s="202"/>
      <c r="O58" s="13">
        <f t="shared" si="3"/>
        <v>1</v>
      </c>
      <c r="U58" s="1">
        <f t="shared" si="1"/>
        <v>64</v>
      </c>
      <c r="V58" s="4" t="str">
        <f t="shared" si="2"/>
        <v/>
      </c>
      <c r="W58" s="4" t="e">
        <f>IF($W$3=$N$3,N58,V58*(1+'Rhaniad y Ddeiliadaeth (Cymru)'!C$118))</f>
        <v>#VALUE!</v>
      </c>
      <c r="X58" s="4" t="e">
        <f>W58*(1+'Rhaniad y Ddeiliadaeth (Cymru)'!D$118)</f>
        <v>#VALUE!</v>
      </c>
      <c r="Y58" s="4" t="e">
        <f>X58*(1+'Rhaniad y Ddeiliadaeth (Cymru)'!E$118)</f>
        <v>#VALUE!</v>
      </c>
      <c r="Z58" s="4" t="e">
        <f>Y58*(1+'Rhaniad y Ddeiliadaeth (Cymru)'!F$118)</f>
        <v>#VALUE!</v>
      </c>
      <c r="AA58" s="4" t="e">
        <f>Z58*(1+'Rhaniad y Ddeiliadaeth (Cymru)'!G$118)</f>
        <v>#VALUE!</v>
      </c>
      <c r="AC58" s="260">
        <v>64</v>
      </c>
      <c r="AD58" s="4">
        <f>IF('Rhaniad y Ddeiliadaeth (Cymru)'!$D$18="Data Cofrestrfa Tir",'Prisiau Tai (Canolbarth)'!E58,'Prisiau Tai (Canolbarth)'!W58)</f>
        <v>230560</v>
      </c>
      <c r="AE58" s="4">
        <f>IF('Rhaniad y Ddeiliadaeth (Cymru)'!$D$18="Data Cofrestrfa Tir",'Prisiau Tai (Canolbarth)'!F58,'Prisiau Tai (Canolbarth)'!X58)</f>
        <v>244001.64800000002</v>
      </c>
      <c r="AF58" s="4">
        <f>IF('Rhaniad y Ddeiliadaeth (Cymru)'!$D$18="Data Cofrestrfa Tir",'Prisiau Tai (Canolbarth)'!G58,'Prisiau Tai (Canolbarth)'!Y58)</f>
        <v>261237.17578105163</v>
      </c>
      <c r="AG58" s="4">
        <f>IF('Rhaniad y Ddeiliadaeth (Cymru)'!$D$18="Data Cofrestrfa Tir",'Prisiau Tai (Canolbarth)'!H58,'Prisiau Tai (Canolbarth)'!Z58)</f>
        <v>275453.93049333768</v>
      </c>
      <c r="AH58" s="4">
        <f>IF('Rhaniad y Ddeiliadaeth (Cymru)'!$D$18="Data Cofrestrfa Tir",'Prisiau Tai (Canolbarth)'!I58,'Prisiau Tai (Canolbarth)'!AA58)</f>
        <v>287073.60428840353</v>
      </c>
    </row>
    <row r="59" spans="2:34" x14ac:dyDescent="0.35">
      <c r="B59" s="251">
        <v>65</v>
      </c>
      <c r="C59" s="258">
        <v>212500</v>
      </c>
      <c r="D59" s="258">
        <v>224175.00000000023</v>
      </c>
      <c r="E59" s="278">
        <f>D59*(1+'Rhaniad y Ddeiliadaeth (Canol)'!C$118)</f>
        <v>234935.40000000026</v>
      </c>
      <c r="F59" s="278">
        <f>E59*(1+'Rhaniad y Ddeiliadaeth (Canol)'!D$118)</f>
        <v>248632.13382000028</v>
      </c>
      <c r="G59" s="278">
        <f>F59*(1+'Rhaniad y Ddeiliadaeth (Canol)'!E$118)</f>
        <v>266194.74491235142</v>
      </c>
      <c r="H59" s="278">
        <f>G59*(1+'Rhaniad y Ddeiliadaeth (Canol)'!F$118)</f>
        <v>280681.29485610931</v>
      </c>
      <c r="I59" s="279">
        <f>H59*(1+'Rhaniad y Ddeiliadaeth (Canol)'!G$118)</f>
        <v>292521.47836978605</v>
      </c>
      <c r="M59" s="36" t="str">
        <f t="shared" si="0"/>
        <v/>
      </c>
      <c r="N59" s="202"/>
      <c r="O59" s="13">
        <f t="shared" si="3"/>
        <v>1</v>
      </c>
      <c r="U59" s="1">
        <f t="shared" si="1"/>
        <v>65</v>
      </c>
      <c r="V59" s="4" t="str">
        <f t="shared" si="2"/>
        <v/>
      </c>
      <c r="W59" s="4" t="e">
        <f>IF($W$3=$N$3,N59,V59*(1+'Rhaniad y Ddeiliadaeth (Cymru)'!C$118))</f>
        <v>#VALUE!</v>
      </c>
      <c r="X59" s="4" t="e">
        <f>W59*(1+'Rhaniad y Ddeiliadaeth (Cymru)'!D$118)</f>
        <v>#VALUE!</v>
      </c>
      <c r="Y59" s="4" t="e">
        <f>X59*(1+'Rhaniad y Ddeiliadaeth (Cymru)'!E$118)</f>
        <v>#VALUE!</v>
      </c>
      <c r="Z59" s="4" t="e">
        <f>Y59*(1+'Rhaniad y Ddeiliadaeth (Cymru)'!F$118)</f>
        <v>#VALUE!</v>
      </c>
      <c r="AA59" s="4" t="e">
        <f>Z59*(1+'Rhaniad y Ddeiliadaeth (Cymru)'!G$118)</f>
        <v>#VALUE!</v>
      </c>
      <c r="AC59" s="260">
        <v>65</v>
      </c>
      <c r="AD59" s="4">
        <f>IF('Rhaniad y Ddeiliadaeth (Cymru)'!$D$18="Data Cofrestrfa Tir",'Prisiau Tai (Canolbarth)'!E59,'Prisiau Tai (Canolbarth)'!W59)</f>
        <v>234935.40000000026</v>
      </c>
      <c r="AE59" s="4">
        <f>IF('Rhaniad y Ddeiliadaeth (Cymru)'!$D$18="Data Cofrestrfa Tir",'Prisiau Tai (Canolbarth)'!F59,'Prisiau Tai (Canolbarth)'!X59)</f>
        <v>248632.13382000028</v>
      </c>
      <c r="AF59" s="4">
        <f>IF('Rhaniad y Ddeiliadaeth (Cymru)'!$D$18="Data Cofrestrfa Tir",'Prisiau Tai (Canolbarth)'!G59,'Prisiau Tai (Canolbarth)'!Y59)</f>
        <v>266194.74491235142</v>
      </c>
      <c r="AG59" s="4">
        <f>IF('Rhaniad y Ddeiliadaeth (Cymru)'!$D$18="Data Cofrestrfa Tir",'Prisiau Tai (Canolbarth)'!H59,'Prisiau Tai (Canolbarth)'!Z59)</f>
        <v>280681.29485610931</v>
      </c>
      <c r="AH59" s="4">
        <f>IF('Rhaniad y Ddeiliadaeth (Cymru)'!$D$18="Data Cofrestrfa Tir",'Prisiau Tai (Canolbarth)'!I59,'Prisiau Tai (Canolbarth)'!AA59)</f>
        <v>292521.47836978605</v>
      </c>
    </row>
    <row r="60" spans="2:34" x14ac:dyDescent="0.35">
      <c r="B60" s="251">
        <v>66</v>
      </c>
      <c r="C60" s="258">
        <v>215000</v>
      </c>
      <c r="D60" s="258">
        <v>225000</v>
      </c>
      <c r="E60" s="278">
        <f>D60*(1+'Rhaniad y Ddeiliadaeth (Canol)'!C$118)</f>
        <v>235800</v>
      </c>
      <c r="F60" s="278">
        <f>E60*(1+'Rhaniad y Ddeiliadaeth (Canol)'!D$118)</f>
        <v>249547.14</v>
      </c>
      <c r="G60" s="278">
        <f>F60*(1+'Rhaniad y Ddeiliadaeth (Canol)'!E$118)</f>
        <v>267174.38432153006</v>
      </c>
      <c r="H60" s="278">
        <f>G60*(1+'Rhaniad y Ddeiliadaeth (Canol)'!F$118)</f>
        <v>281714.24709545897</v>
      </c>
      <c r="I60" s="279">
        <f>H60*(1+'Rhaniad y Ddeiliadaeth (Canol)'!G$118)</f>
        <v>293598.00438586721</v>
      </c>
      <c r="M60" s="36" t="str">
        <f t="shared" si="0"/>
        <v/>
      </c>
      <c r="N60" s="202"/>
      <c r="O60" s="13">
        <f t="shared" si="3"/>
        <v>1</v>
      </c>
      <c r="U60" s="1">
        <f t="shared" si="1"/>
        <v>66</v>
      </c>
      <c r="V60" s="4" t="str">
        <f t="shared" si="2"/>
        <v/>
      </c>
      <c r="W60" s="4" t="e">
        <f>IF($W$3=$N$3,N60,V60*(1+'Rhaniad y Ddeiliadaeth (Cymru)'!C$118))</f>
        <v>#VALUE!</v>
      </c>
      <c r="X60" s="4" t="e">
        <f>W60*(1+'Rhaniad y Ddeiliadaeth (Cymru)'!D$118)</f>
        <v>#VALUE!</v>
      </c>
      <c r="Y60" s="4" t="e">
        <f>X60*(1+'Rhaniad y Ddeiliadaeth (Cymru)'!E$118)</f>
        <v>#VALUE!</v>
      </c>
      <c r="Z60" s="4" t="e">
        <f>Y60*(1+'Rhaniad y Ddeiliadaeth (Cymru)'!F$118)</f>
        <v>#VALUE!</v>
      </c>
      <c r="AA60" s="4" t="e">
        <f>Z60*(1+'Rhaniad y Ddeiliadaeth (Cymru)'!G$118)</f>
        <v>#VALUE!</v>
      </c>
      <c r="AC60" s="260">
        <v>66</v>
      </c>
      <c r="AD60" s="4">
        <f>IF('Rhaniad y Ddeiliadaeth (Cymru)'!$D$18="Data Cofrestrfa Tir",'Prisiau Tai (Canolbarth)'!E60,'Prisiau Tai (Canolbarth)'!W60)</f>
        <v>235800</v>
      </c>
      <c r="AE60" s="4">
        <f>IF('Rhaniad y Ddeiliadaeth (Cymru)'!$D$18="Data Cofrestrfa Tir",'Prisiau Tai (Canolbarth)'!F60,'Prisiau Tai (Canolbarth)'!X60)</f>
        <v>249547.14</v>
      </c>
      <c r="AF60" s="4">
        <f>IF('Rhaniad y Ddeiliadaeth (Cymru)'!$D$18="Data Cofrestrfa Tir",'Prisiau Tai (Canolbarth)'!G60,'Prisiau Tai (Canolbarth)'!Y60)</f>
        <v>267174.38432153006</v>
      </c>
      <c r="AG60" s="4">
        <f>IF('Rhaniad y Ddeiliadaeth (Cymru)'!$D$18="Data Cofrestrfa Tir",'Prisiau Tai (Canolbarth)'!H60,'Prisiau Tai (Canolbarth)'!Z60)</f>
        <v>281714.24709545897</v>
      </c>
      <c r="AH60" s="4">
        <f>IF('Rhaniad y Ddeiliadaeth (Cymru)'!$D$18="Data Cofrestrfa Tir",'Prisiau Tai (Canolbarth)'!I60,'Prisiau Tai (Canolbarth)'!AA60)</f>
        <v>293598.00438586721</v>
      </c>
    </row>
    <row r="61" spans="2:34" x14ac:dyDescent="0.35">
      <c r="B61" s="251">
        <v>67</v>
      </c>
      <c r="C61" s="258">
        <v>218000</v>
      </c>
      <c r="D61" s="258">
        <v>229953.00000000006</v>
      </c>
      <c r="E61" s="278">
        <f>D61*(1+'Rhaniad y Ddeiliadaeth (Canol)'!C$118)</f>
        <v>240990.74400000006</v>
      </c>
      <c r="F61" s="278">
        <f>E61*(1+'Rhaniad y Ddeiliadaeth (Canol)'!D$118)</f>
        <v>255040.50437520008</v>
      </c>
      <c r="G61" s="278">
        <f>F61*(1+'Rhaniad y Ddeiliadaeth (Canol)'!E$118)</f>
        <v>273055.78310172807</v>
      </c>
      <c r="H61" s="278">
        <f>G61*(1+'Rhaniad y Ddeiliadaeth (Canol)'!F$118)</f>
        <v>287915.71672152041</v>
      </c>
      <c r="I61" s="279">
        <f>H61*(1+'Rhaniad y Ddeiliadaeth (Canol)'!G$118)</f>
        <v>300061.0751224148</v>
      </c>
      <c r="M61" s="36" t="str">
        <f t="shared" si="0"/>
        <v/>
      </c>
      <c r="N61" s="202"/>
      <c r="O61" s="13">
        <f t="shared" si="3"/>
        <v>1</v>
      </c>
      <c r="U61" s="1">
        <f t="shared" si="1"/>
        <v>67</v>
      </c>
      <c r="V61" s="4" t="str">
        <f t="shared" si="2"/>
        <v/>
      </c>
      <c r="W61" s="4" t="e">
        <f>IF($W$3=$N$3,N61,V61*(1+'Rhaniad y Ddeiliadaeth (Cymru)'!C$118))</f>
        <v>#VALUE!</v>
      </c>
      <c r="X61" s="4" t="e">
        <f>W61*(1+'Rhaniad y Ddeiliadaeth (Cymru)'!D$118)</f>
        <v>#VALUE!</v>
      </c>
      <c r="Y61" s="4" t="e">
        <f>X61*(1+'Rhaniad y Ddeiliadaeth (Cymru)'!E$118)</f>
        <v>#VALUE!</v>
      </c>
      <c r="Z61" s="4" t="e">
        <f>Y61*(1+'Rhaniad y Ddeiliadaeth (Cymru)'!F$118)</f>
        <v>#VALUE!</v>
      </c>
      <c r="AA61" s="4" t="e">
        <f>Z61*(1+'Rhaniad y Ddeiliadaeth (Cymru)'!G$118)</f>
        <v>#VALUE!</v>
      </c>
      <c r="AC61" s="260">
        <v>67</v>
      </c>
      <c r="AD61" s="4">
        <f>IF('Rhaniad y Ddeiliadaeth (Cymru)'!$D$18="Data Cofrestrfa Tir",'Prisiau Tai (Canolbarth)'!E61,'Prisiau Tai (Canolbarth)'!W61)</f>
        <v>240990.74400000006</v>
      </c>
      <c r="AE61" s="4">
        <f>IF('Rhaniad y Ddeiliadaeth (Cymru)'!$D$18="Data Cofrestrfa Tir",'Prisiau Tai (Canolbarth)'!F61,'Prisiau Tai (Canolbarth)'!X61)</f>
        <v>255040.50437520008</v>
      </c>
      <c r="AF61" s="4">
        <f>IF('Rhaniad y Ddeiliadaeth (Cymru)'!$D$18="Data Cofrestrfa Tir",'Prisiau Tai (Canolbarth)'!G61,'Prisiau Tai (Canolbarth)'!Y61)</f>
        <v>273055.78310172807</v>
      </c>
      <c r="AG61" s="4">
        <f>IF('Rhaniad y Ddeiliadaeth (Cymru)'!$D$18="Data Cofrestrfa Tir",'Prisiau Tai (Canolbarth)'!H61,'Prisiau Tai (Canolbarth)'!Z61)</f>
        <v>287915.71672152041</v>
      </c>
      <c r="AH61" s="4">
        <f>IF('Rhaniad y Ddeiliadaeth (Cymru)'!$D$18="Data Cofrestrfa Tir",'Prisiau Tai (Canolbarth)'!I61,'Prisiau Tai (Canolbarth)'!AA61)</f>
        <v>300061.0751224148</v>
      </c>
    </row>
    <row r="62" spans="2:34" x14ac:dyDescent="0.35">
      <c r="B62" s="251">
        <v>68</v>
      </c>
      <c r="C62" s="258">
        <v>220000</v>
      </c>
      <c r="D62" s="258">
        <v>230000</v>
      </c>
      <c r="E62" s="278">
        <f>D62*(1+'Rhaniad y Ddeiliadaeth (Canol)'!C$118)</f>
        <v>241040</v>
      </c>
      <c r="F62" s="278">
        <f>E62*(1+'Rhaniad y Ddeiliadaeth (Canol)'!D$118)</f>
        <v>255092.63200000001</v>
      </c>
      <c r="G62" s="278">
        <f>F62*(1+'Rhaniad y Ddeiliadaeth (Canol)'!E$118)</f>
        <v>273111.59286200849</v>
      </c>
      <c r="H62" s="278">
        <f>G62*(1+'Rhaniad y Ddeiliadaeth (Canol)'!F$118)</f>
        <v>287974.56369758025</v>
      </c>
      <c r="I62" s="279">
        <f>H62*(1+'Rhaniad y Ddeiliadaeth (Canol)'!G$118)</f>
        <v>300122.4044833309</v>
      </c>
      <c r="M62" s="36" t="str">
        <f t="shared" si="0"/>
        <v/>
      </c>
      <c r="N62" s="202"/>
      <c r="O62" s="13">
        <f t="shared" si="3"/>
        <v>1</v>
      </c>
      <c r="U62" s="1">
        <f t="shared" si="1"/>
        <v>68</v>
      </c>
      <c r="V62" s="4" t="str">
        <f t="shared" si="2"/>
        <v/>
      </c>
      <c r="W62" s="4" t="e">
        <f>IF($W$3=$N$3,N62,V62*(1+'Rhaniad y Ddeiliadaeth (Cymru)'!C$118))</f>
        <v>#VALUE!</v>
      </c>
      <c r="X62" s="4" t="e">
        <f>W62*(1+'Rhaniad y Ddeiliadaeth (Cymru)'!D$118)</f>
        <v>#VALUE!</v>
      </c>
      <c r="Y62" s="4" t="e">
        <f>X62*(1+'Rhaniad y Ddeiliadaeth (Cymru)'!E$118)</f>
        <v>#VALUE!</v>
      </c>
      <c r="Z62" s="4" t="e">
        <f>Y62*(1+'Rhaniad y Ddeiliadaeth (Cymru)'!F$118)</f>
        <v>#VALUE!</v>
      </c>
      <c r="AA62" s="4" t="e">
        <f>Z62*(1+'Rhaniad y Ddeiliadaeth (Cymru)'!G$118)</f>
        <v>#VALUE!</v>
      </c>
      <c r="AC62" s="260">
        <v>68</v>
      </c>
      <c r="AD62" s="4">
        <f>IF('Rhaniad y Ddeiliadaeth (Cymru)'!$D$18="Data Cofrestrfa Tir",'Prisiau Tai (Canolbarth)'!E62,'Prisiau Tai (Canolbarth)'!W62)</f>
        <v>241040</v>
      </c>
      <c r="AE62" s="4">
        <f>IF('Rhaniad y Ddeiliadaeth (Cymru)'!$D$18="Data Cofrestrfa Tir",'Prisiau Tai (Canolbarth)'!F62,'Prisiau Tai (Canolbarth)'!X62)</f>
        <v>255092.63200000001</v>
      </c>
      <c r="AF62" s="4">
        <f>IF('Rhaniad y Ddeiliadaeth (Cymru)'!$D$18="Data Cofrestrfa Tir",'Prisiau Tai (Canolbarth)'!G62,'Prisiau Tai (Canolbarth)'!Y62)</f>
        <v>273111.59286200849</v>
      </c>
      <c r="AG62" s="4">
        <f>IF('Rhaniad y Ddeiliadaeth (Cymru)'!$D$18="Data Cofrestrfa Tir",'Prisiau Tai (Canolbarth)'!H62,'Prisiau Tai (Canolbarth)'!Z62)</f>
        <v>287974.56369758025</v>
      </c>
      <c r="AH62" s="4">
        <f>IF('Rhaniad y Ddeiliadaeth (Cymru)'!$D$18="Data Cofrestrfa Tir",'Prisiau Tai (Canolbarth)'!I62,'Prisiau Tai (Canolbarth)'!AA62)</f>
        <v>300122.4044833309</v>
      </c>
    </row>
    <row r="63" spans="2:34" x14ac:dyDescent="0.35">
      <c r="B63" s="251">
        <v>69</v>
      </c>
      <c r="C63" s="258">
        <v>222500</v>
      </c>
      <c r="D63" s="258">
        <v>235000</v>
      </c>
      <c r="E63" s="278">
        <f>D63*(1+'Rhaniad y Ddeiliadaeth (Canol)'!C$118)</f>
        <v>246280</v>
      </c>
      <c r="F63" s="278">
        <f>E63*(1+'Rhaniad y Ddeiliadaeth (Canol)'!D$118)</f>
        <v>260638.12400000001</v>
      </c>
      <c r="G63" s="278">
        <f>F63*(1+'Rhaniad y Ddeiliadaeth (Canol)'!E$118)</f>
        <v>279048.80140248698</v>
      </c>
      <c r="H63" s="278">
        <f>G63*(1+'Rhaniad y Ddeiliadaeth (Canol)'!F$118)</f>
        <v>294234.88029970165</v>
      </c>
      <c r="I63" s="279">
        <f>H63*(1+'Rhaniad y Ddeiliadaeth (Canol)'!G$118)</f>
        <v>306646.80458079471</v>
      </c>
      <c r="M63" s="36" t="str">
        <f t="shared" si="0"/>
        <v/>
      </c>
      <c r="N63" s="202"/>
      <c r="O63" s="13">
        <f t="shared" si="3"/>
        <v>1</v>
      </c>
      <c r="U63" s="1">
        <f t="shared" si="1"/>
        <v>69</v>
      </c>
      <c r="V63" s="4" t="str">
        <f t="shared" si="2"/>
        <v/>
      </c>
      <c r="W63" s="4" t="e">
        <f>IF($W$3=$N$3,N63,V63*(1+'Rhaniad y Ddeiliadaeth (Cymru)'!C$118))</f>
        <v>#VALUE!</v>
      </c>
      <c r="X63" s="4" t="e">
        <f>W63*(1+'Rhaniad y Ddeiliadaeth (Cymru)'!D$118)</f>
        <v>#VALUE!</v>
      </c>
      <c r="Y63" s="4" t="e">
        <f>X63*(1+'Rhaniad y Ddeiliadaeth (Cymru)'!E$118)</f>
        <v>#VALUE!</v>
      </c>
      <c r="Z63" s="4" t="e">
        <f>Y63*(1+'Rhaniad y Ddeiliadaeth (Cymru)'!F$118)</f>
        <v>#VALUE!</v>
      </c>
      <c r="AA63" s="4" t="e">
        <f>Z63*(1+'Rhaniad y Ddeiliadaeth (Cymru)'!G$118)</f>
        <v>#VALUE!</v>
      </c>
      <c r="AC63" s="260">
        <v>69</v>
      </c>
      <c r="AD63" s="4">
        <f>IF('Rhaniad y Ddeiliadaeth (Cymru)'!$D$18="Data Cofrestrfa Tir",'Prisiau Tai (Canolbarth)'!E63,'Prisiau Tai (Canolbarth)'!W63)</f>
        <v>246280</v>
      </c>
      <c r="AE63" s="4">
        <f>IF('Rhaniad y Ddeiliadaeth (Cymru)'!$D$18="Data Cofrestrfa Tir",'Prisiau Tai (Canolbarth)'!F63,'Prisiau Tai (Canolbarth)'!X63)</f>
        <v>260638.12400000001</v>
      </c>
      <c r="AF63" s="4">
        <f>IF('Rhaniad y Ddeiliadaeth (Cymru)'!$D$18="Data Cofrestrfa Tir",'Prisiau Tai (Canolbarth)'!G63,'Prisiau Tai (Canolbarth)'!Y63)</f>
        <v>279048.80140248698</v>
      </c>
      <c r="AG63" s="4">
        <f>IF('Rhaniad y Ddeiliadaeth (Cymru)'!$D$18="Data Cofrestrfa Tir",'Prisiau Tai (Canolbarth)'!H63,'Prisiau Tai (Canolbarth)'!Z63)</f>
        <v>294234.88029970165</v>
      </c>
      <c r="AH63" s="4">
        <f>IF('Rhaniad y Ddeiliadaeth (Cymru)'!$D$18="Data Cofrestrfa Tir",'Prisiau Tai (Canolbarth)'!I63,'Prisiau Tai (Canolbarth)'!AA63)</f>
        <v>306646.80458079471</v>
      </c>
    </row>
    <row r="64" spans="2:34" x14ac:dyDescent="0.35">
      <c r="B64" s="251">
        <v>70</v>
      </c>
      <c r="C64" s="258">
        <v>225000</v>
      </c>
      <c r="D64" s="258">
        <v>237300.00000000064</v>
      </c>
      <c r="E64" s="278">
        <f>D64*(1+'Rhaniad y Ddeiliadaeth (Canol)'!C$118)</f>
        <v>248690.40000000069</v>
      </c>
      <c r="F64" s="278">
        <f>E64*(1+'Rhaniad y Ddeiliadaeth (Canol)'!D$118)</f>
        <v>263189.05032000074</v>
      </c>
      <c r="G64" s="278">
        <f>F64*(1+'Rhaniad y Ddeiliadaeth (Canol)'!E$118)</f>
        <v>281779.91733110783</v>
      </c>
      <c r="H64" s="278">
        <f>G64*(1+'Rhaniad y Ddeiliadaeth (Canol)'!F$118)</f>
        <v>297114.62593667826</v>
      </c>
      <c r="I64" s="279">
        <f>H64*(1+'Rhaniad y Ddeiliadaeth (Canol)'!G$118)</f>
        <v>309648.02862562885</v>
      </c>
      <c r="M64" s="36" t="str">
        <f t="shared" si="0"/>
        <v/>
      </c>
      <c r="N64" s="202"/>
      <c r="O64" s="13">
        <f t="shared" si="3"/>
        <v>1</v>
      </c>
      <c r="U64" s="1">
        <f t="shared" si="1"/>
        <v>70</v>
      </c>
      <c r="V64" s="4" t="str">
        <f t="shared" si="2"/>
        <v/>
      </c>
      <c r="W64" s="4" t="e">
        <f>IF($W$3=$N$3,N64,V64*(1+'Rhaniad y Ddeiliadaeth (Cymru)'!C$118))</f>
        <v>#VALUE!</v>
      </c>
      <c r="X64" s="4" t="e">
        <f>W64*(1+'Rhaniad y Ddeiliadaeth (Cymru)'!D$118)</f>
        <v>#VALUE!</v>
      </c>
      <c r="Y64" s="4" t="e">
        <f>X64*(1+'Rhaniad y Ddeiliadaeth (Cymru)'!E$118)</f>
        <v>#VALUE!</v>
      </c>
      <c r="Z64" s="4" t="e">
        <f>Y64*(1+'Rhaniad y Ddeiliadaeth (Cymru)'!F$118)</f>
        <v>#VALUE!</v>
      </c>
      <c r="AA64" s="4" t="e">
        <f>Z64*(1+'Rhaniad y Ddeiliadaeth (Cymru)'!G$118)</f>
        <v>#VALUE!</v>
      </c>
      <c r="AC64" s="260">
        <v>70</v>
      </c>
      <c r="AD64" s="4">
        <f>IF('Rhaniad y Ddeiliadaeth (Cymru)'!$D$18="Data Cofrestrfa Tir",'Prisiau Tai (Canolbarth)'!E64,'Prisiau Tai (Canolbarth)'!W64)</f>
        <v>248690.40000000069</v>
      </c>
      <c r="AE64" s="4">
        <f>IF('Rhaniad y Ddeiliadaeth (Cymru)'!$D$18="Data Cofrestrfa Tir",'Prisiau Tai (Canolbarth)'!F64,'Prisiau Tai (Canolbarth)'!X64)</f>
        <v>263189.05032000074</v>
      </c>
      <c r="AF64" s="4">
        <f>IF('Rhaniad y Ddeiliadaeth (Cymru)'!$D$18="Data Cofrestrfa Tir",'Prisiau Tai (Canolbarth)'!G64,'Prisiau Tai (Canolbarth)'!Y64)</f>
        <v>281779.91733110783</v>
      </c>
      <c r="AG64" s="4">
        <f>IF('Rhaniad y Ddeiliadaeth (Cymru)'!$D$18="Data Cofrestrfa Tir",'Prisiau Tai (Canolbarth)'!H64,'Prisiau Tai (Canolbarth)'!Z64)</f>
        <v>297114.62593667826</v>
      </c>
      <c r="AH64" s="4">
        <f>IF('Rhaniad y Ddeiliadaeth (Cymru)'!$D$18="Data Cofrestrfa Tir",'Prisiau Tai (Canolbarth)'!I64,'Prisiau Tai (Canolbarth)'!AA64)</f>
        <v>309648.02862562885</v>
      </c>
    </row>
    <row r="65" spans="2:34" x14ac:dyDescent="0.35">
      <c r="B65" s="251">
        <v>71</v>
      </c>
      <c r="C65" s="258">
        <v>229950</v>
      </c>
      <c r="D65" s="258">
        <v>240000</v>
      </c>
      <c r="E65" s="278">
        <f>D65*(1+'Rhaniad y Ddeiliadaeth (Canol)'!C$118)</f>
        <v>251520</v>
      </c>
      <c r="F65" s="278">
        <f>E65*(1+'Rhaniad y Ddeiliadaeth (Canol)'!D$118)</f>
        <v>266183.61599999998</v>
      </c>
      <c r="G65" s="278">
        <f>F65*(1+'Rhaniad y Ddeiliadaeth (Canol)'!E$118)</f>
        <v>284986.00994296535</v>
      </c>
      <c r="H65" s="278">
        <f>G65*(1+'Rhaniad y Ddeiliadaeth (Canol)'!F$118)</f>
        <v>300495.19690182287</v>
      </c>
      <c r="I65" s="279">
        <f>H65*(1+'Rhaniad y Ddeiliadaeth (Canol)'!G$118)</f>
        <v>313171.20467825828</v>
      </c>
      <c r="M65" s="36" t="str">
        <f t="shared" si="0"/>
        <v/>
      </c>
      <c r="N65" s="202"/>
      <c r="O65" s="13">
        <f t="shared" si="3"/>
        <v>1</v>
      </c>
      <c r="U65" s="1">
        <f t="shared" si="1"/>
        <v>71</v>
      </c>
      <c r="V65" s="4" t="str">
        <f t="shared" si="2"/>
        <v/>
      </c>
      <c r="W65" s="4" t="e">
        <f>IF($W$3=$N$3,N65,V65*(1+'Rhaniad y Ddeiliadaeth (Cymru)'!C$118))</f>
        <v>#VALUE!</v>
      </c>
      <c r="X65" s="4" t="e">
        <f>W65*(1+'Rhaniad y Ddeiliadaeth (Cymru)'!D$118)</f>
        <v>#VALUE!</v>
      </c>
      <c r="Y65" s="4" t="e">
        <f>X65*(1+'Rhaniad y Ddeiliadaeth (Cymru)'!E$118)</f>
        <v>#VALUE!</v>
      </c>
      <c r="Z65" s="4" t="e">
        <f>Y65*(1+'Rhaniad y Ddeiliadaeth (Cymru)'!F$118)</f>
        <v>#VALUE!</v>
      </c>
      <c r="AA65" s="4" t="e">
        <f>Z65*(1+'Rhaniad y Ddeiliadaeth (Cymru)'!G$118)</f>
        <v>#VALUE!</v>
      </c>
      <c r="AC65" s="260">
        <v>71</v>
      </c>
      <c r="AD65" s="4">
        <f>IF('Rhaniad y Ddeiliadaeth (Cymru)'!$D$18="Data Cofrestrfa Tir",'Prisiau Tai (Canolbarth)'!E65,'Prisiau Tai (Canolbarth)'!W65)</f>
        <v>251520</v>
      </c>
      <c r="AE65" s="4">
        <f>IF('Rhaniad y Ddeiliadaeth (Cymru)'!$D$18="Data Cofrestrfa Tir",'Prisiau Tai (Canolbarth)'!F65,'Prisiau Tai (Canolbarth)'!X65)</f>
        <v>266183.61599999998</v>
      </c>
      <c r="AF65" s="4">
        <f>IF('Rhaniad y Ddeiliadaeth (Cymru)'!$D$18="Data Cofrestrfa Tir",'Prisiau Tai (Canolbarth)'!G65,'Prisiau Tai (Canolbarth)'!Y65)</f>
        <v>284986.00994296535</v>
      </c>
      <c r="AG65" s="4">
        <f>IF('Rhaniad y Ddeiliadaeth (Cymru)'!$D$18="Data Cofrestrfa Tir",'Prisiau Tai (Canolbarth)'!H65,'Prisiau Tai (Canolbarth)'!Z65)</f>
        <v>300495.19690182287</v>
      </c>
      <c r="AH65" s="4">
        <f>IF('Rhaniad y Ddeiliadaeth (Cymru)'!$D$18="Data Cofrestrfa Tir",'Prisiau Tai (Canolbarth)'!I65,'Prisiau Tai (Canolbarth)'!AA65)</f>
        <v>313171.20467825828</v>
      </c>
    </row>
    <row r="66" spans="2:34" x14ac:dyDescent="0.35">
      <c r="B66" s="251">
        <v>72</v>
      </c>
      <c r="C66" s="258">
        <v>231000</v>
      </c>
      <c r="D66" s="258">
        <v>245000</v>
      </c>
      <c r="E66" s="278">
        <f>D66*(1+'Rhaniad y Ddeiliadaeth (Canol)'!C$118)</f>
        <v>256760</v>
      </c>
      <c r="F66" s="278">
        <f>E66*(1+'Rhaniad y Ddeiliadaeth (Canol)'!D$118)</f>
        <v>271729.10800000001</v>
      </c>
      <c r="G66" s="278">
        <f>F66*(1+'Rhaniad y Ddeiliadaeth (Canol)'!E$118)</f>
        <v>290923.21848344384</v>
      </c>
      <c r="H66" s="278">
        <f>G66*(1+'Rhaniad y Ddeiliadaeth (Canol)'!F$118)</f>
        <v>306755.51350394421</v>
      </c>
      <c r="I66" s="279">
        <f>H66*(1+'Rhaniad y Ddeiliadaeth (Canol)'!G$118)</f>
        <v>319695.60477572202</v>
      </c>
      <c r="M66" s="36" t="str">
        <f t="shared" si="0"/>
        <v/>
      </c>
      <c r="N66" s="202"/>
      <c r="O66" s="13">
        <f t="shared" si="3"/>
        <v>1</v>
      </c>
      <c r="U66" s="1">
        <f t="shared" si="1"/>
        <v>72</v>
      </c>
      <c r="V66" s="4" t="str">
        <f t="shared" si="2"/>
        <v/>
      </c>
      <c r="W66" s="4" t="e">
        <f>IF($W$3=$N$3,N66,V66*(1+'Rhaniad y Ddeiliadaeth (Cymru)'!C$118))</f>
        <v>#VALUE!</v>
      </c>
      <c r="X66" s="4" t="e">
        <f>W66*(1+'Rhaniad y Ddeiliadaeth (Cymru)'!D$118)</f>
        <v>#VALUE!</v>
      </c>
      <c r="Y66" s="4" t="e">
        <f>X66*(1+'Rhaniad y Ddeiliadaeth (Cymru)'!E$118)</f>
        <v>#VALUE!</v>
      </c>
      <c r="Z66" s="4" t="e">
        <f>Y66*(1+'Rhaniad y Ddeiliadaeth (Cymru)'!F$118)</f>
        <v>#VALUE!</v>
      </c>
      <c r="AA66" s="4" t="e">
        <f>Z66*(1+'Rhaniad y Ddeiliadaeth (Cymru)'!G$118)</f>
        <v>#VALUE!</v>
      </c>
      <c r="AC66" s="260">
        <v>72</v>
      </c>
      <c r="AD66" s="4">
        <f>IF('Rhaniad y Ddeiliadaeth (Cymru)'!$D$18="Data Cofrestrfa Tir",'Prisiau Tai (Canolbarth)'!E66,'Prisiau Tai (Canolbarth)'!W66)</f>
        <v>256760</v>
      </c>
      <c r="AE66" s="4">
        <f>IF('Rhaniad y Ddeiliadaeth (Cymru)'!$D$18="Data Cofrestrfa Tir",'Prisiau Tai (Canolbarth)'!F66,'Prisiau Tai (Canolbarth)'!X66)</f>
        <v>271729.10800000001</v>
      </c>
      <c r="AF66" s="4">
        <f>IF('Rhaniad y Ddeiliadaeth (Cymru)'!$D$18="Data Cofrestrfa Tir",'Prisiau Tai (Canolbarth)'!G66,'Prisiau Tai (Canolbarth)'!Y66)</f>
        <v>290923.21848344384</v>
      </c>
      <c r="AG66" s="4">
        <f>IF('Rhaniad y Ddeiliadaeth (Cymru)'!$D$18="Data Cofrestrfa Tir",'Prisiau Tai (Canolbarth)'!H66,'Prisiau Tai (Canolbarth)'!Z66)</f>
        <v>306755.51350394421</v>
      </c>
      <c r="AH66" s="4">
        <f>IF('Rhaniad y Ddeiliadaeth (Cymru)'!$D$18="Data Cofrestrfa Tir",'Prisiau Tai (Canolbarth)'!I66,'Prisiau Tai (Canolbarth)'!AA66)</f>
        <v>319695.60477572202</v>
      </c>
    </row>
    <row r="67" spans="2:34" x14ac:dyDescent="0.35">
      <c r="B67" s="251">
        <v>73</v>
      </c>
      <c r="C67" s="258">
        <v>235000</v>
      </c>
      <c r="D67" s="258">
        <v>247500</v>
      </c>
      <c r="E67" s="278">
        <f>D67*(1+'Rhaniad y Ddeiliadaeth (Canol)'!C$118)</f>
        <v>259380</v>
      </c>
      <c r="F67" s="278">
        <f>E67*(1+'Rhaniad y Ddeiliadaeth (Canol)'!D$118)</f>
        <v>274501.85399999999</v>
      </c>
      <c r="G67" s="278">
        <f>F67*(1+'Rhaniad y Ddeiliadaeth (Canol)'!E$118)</f>
        <v>293891.82275368302</v>
      </c>
      <c r="H67" s="278">
        <f>G67*(1+'Rhaniad y Ddeiliadaeth (Canol)'!F$118)</f>
        <v>309885.67180500482</v>
      </c>
      <c r="I67" s="279">
        <f>H67*(1+'Rhaniad y Ddeiliadaeth (Canol)'!G$118)</f>
        <v>322957.80482445384</v>
      </c>
      <c r="M67" s="36" t="str">
        <f t="shared" si="0"/>
        <v/>
      </c>
      <c r="N67" s="202"/>
      <c r="O67" s="13">
        <f t="shared" si="3"/>
        <v>1</v>
      </c>
      <c r="U67" s="1">
        <f t="shared" si="1"/>
        <v>73</v>
      </c>
      <c r="V67" s="4" t="str">
        <f t="shared" si="2"/>
        <v/>
      </c>
      <c r="W67" s="4" t="e">
        <f>IF($W$3=$N$3,N67,V67*(1+'Rhaniad y Ddeiliadaeth (Cymru)'!C$118))</f>
        <v>#VALUE!</v>
      </c>
      <c r="X67" s="4" t="e">
        <f>W67*(1+'Rhaniad y Ddeiliadaeth (Cymru)'!D$118)</f>
        <v>#VALUE!</v>
      </c>
      <c r="Y67" s="4" t="e">
        <f>X67*(1+'Rhaniad y Ddeiliadaeth (Cymru)'!E$118)</f>
        <v>#VALUE!</v>
      </c>
      <c r="Z67" s="4" t="e">
        <f>Y67*(1+'Rhaniad y Ddeiliadaeth (Cymru)'!F$118)</f>
        <v>#VALUE!</v>
      </c>
      <c r="AA67" s="4" t="e">
        <f>Z67*(1+'Rhaniad y Ddeiliadaeth (Cymru)'!G$118)</f>
        <v>#VALUE!</v>
      </c>
      <c r="AC67" s="260">
        <v>73</v>
      </c>
      <c r="AD67" s="4">
        <f>IF('Rhaniad y Ddeiliadaeth (Cymru)'!$D$18="Data Cofrestrfa Tir",'Prisiau Tai (Canolbarth)'!E67,'Prisiau Tai (Canolbarth)'!W67)</f>
        <v>259380</v>
      </c>
      <c r="AE67" s="4">
        <f>IF('Rhaniad y Ddeiliadaeth (Cymru)'!$D$18="Data Cofrestrfa Tir",'Prisiau Tai (Canolbarth)'!F67,'Prisiau Tai (Canolbarth)'!X67)</f>
        <v>274501.85399999999</v>
      </c>
      <c r="AF67" s="4">
        <f>IF('Rhaniad y Ddeiliadaeth (Cymru)'!$D$18="Data Cofrestrfa Tir",'Prisiau Tai (Canolbarth)'!G67,'Prisiau Tai (Canolbarth)'!Y67)</f>
        <v>293891.82275368302</v>
      </c>
      <c r="AG67" s="4">
        <f>IF('Rhaniad y Ddeiliadaeth (Cymru)'!$D$18="Data Cofrestrfa Tir",'Prisiau Tai (Canolbarth)'!H67,'Prisiau Tai (Canolbarth)'!Z67)</f>
        <v>309885.67180500482</v>
      </c>
      <c r="AH67" s="4">
        <f>IF('Rhaniad y Ddeiliadaeth (Cymru)'!$D$18="Data Cofrestrfa Tir",'Prisiau Tai (Canolbarth)'!I67,'Prisiau Tai (Canolbarth)'!AA67)</f>
        <v>322957.80482445384</v>
      </c>
    </row>
    <row r="68" spans="2:34" x14ac:dyDescent="0.35">
      <c r="B68" s="251">
        <v>74</v>
      </c>
      <c r="C68" s="258">
        <v>237670.00000000006</v>
      </c>
      <c r="D68" s="258">
        <v>250000</v>
      </c>
      <c r="E68" s="278">
        <f>D68*(1+'Rhaniad y Ddeiliadaeth (Canol)'!C$118)</f>
        <v>262000</v>
      </c>
      <c r="F68" s="278">
        <f>E68*(1+'Rhaniad y Ddeiliadaeth (Canol)'!D$118)</f>
        <v>277274.59999999998</v>
      </c>
      <c r="G68" s="278">
        <f>F68*(1+'Rhaniad y Ddeiliadaeth (Canol)'!E$118)</f>
        <v>296860.42702392227</v>
      </c>
      <c r="H68" s="278">
        <f>G68*(1+'Rhaniad y Ddeiliadaeth (Canol)'!F$118)</f>
        <v>313015.83010606549</v>
      </c>
      <c r="I68" s="279">
        <f>H68*(1+'Rhaniad y Ddeiliadaeth (Canol)'!G$118)</f>
        <v>326220.00487318571</v>
      </c>
      <c r="M68" s="36" t="str">
        <f t="shared" ref="M68:M84" si="4">IF(ISBLANK($L$4),"",B68)</f>
        <v/>
      </c>
      <c r="N68" s="202"/>
      <c r="O68" s="13">
        <f t="shared" si="3"/>
        <v>1</v>
      </c>
      <c r="U68" s="1">
        <f t="shared" ref="U68:U84" si="5">B68</f>
        <v>74</v>
      </c>
      <c r="V68" s="4" t="str">
        <f t="shared" ref="V68:V84" si="6">IF($N$3=$V$3,N68,"")</f>
        <v/>
      </c>
      <c r="W68" s="4" t="e">
        <f>IF($W$3=$N$3,N68,V68*(1+'Rhaniad y Ddeiliadaeth (Cymru)'!C$118))</f>
        <v>#VALUE!</v>
      </c>
      <c r="X68" s="4" t="e">
        <f>W68*(1+'Rhaniad y Ddeiliadaeth (Cymru)'!D$118)</f>
        <v>#VALUE!</v>
      </c>
      <c r="Y68" s="4" t="e">
        <f>X68*(1+'Rhaniad y Ddeiliadaeth (Cymru)'!E$118)</f>
        <v>#VALUE!</v>
      </c>
      <c r="Z68" s="4" t="e">
        <f>Y68*(1+'Rhaniad y Ddeiliadaeth (Cymru)'!F$118)</f>
        <v>#VALUE!</v>
      </c>
      <c r="AA68" s="4" t="e">
        <f>Z68*(1+'Rhaniad y Ddeiliadaeth (Cymru)'!G$118)</f>
        <v>#VALUE!</v>
      </c>
      <c r="AC68" s="260">
        <v>74</v>
      </c>
      <c r="AD68" s="4">
        <f>IF('Rhaniad y Ddeiliadaeth (Cymru)'!$D$18="Data Cofrestrfa Tir",'Prisiau Tai (Canolbarth)'!E68,'Prisiau Tai (Canolbarth)'!W68)</f>
        <v>262000</v>
      </c>
      <c r="AE68" s="4">
        <f>IF('Rhaniad y Ddeiliadaeth (Cymru)'!$D$18="Data Cofrestrfa Tir",'Prisiau Tai (Canolbarth)'!F68,'Prisiau Tai (Canolbarth)'!X68)</f>
        <v>277274.59999999998</v>
      </c>
      <c r="AF68" s="4">
        <f>IF('Rhaniad y Ddeiliadaeth (Cymru)'!$D$18="Data Cofrestrfa Tir",'Prisiau Tai (Canolbarth)'!G68,'Prisiau Tai (Canolbarth)'!Y68)</f>
        <v>296860.42702392227</v>
      </c>
      <c r="AG68" s="4">
        <f>IF('Rhaniad y Ddeiliadaeth (Cymru)'!$D$18="Data Cofrestrfa Tir",'Prisiau Tai (Canolbarth)'!H68,'Prisiau Tai (Canolbarth)'!Z68)</f>
        <v>313015.83010606549</v>
      </c>
      <c r="AH68" s="4">
        <f>IF('Rhaniad y Ddeiliadaeth (Cymru)'!$D$18="Data Cofrestrfa Tir",'Prisiau Tai (Canolbarth)'!I68,'Prisiau Tai (Canolbarth)'!AA68)</f>
        <v>326220.00487318571</v>
      </c>
    </row>
    <row r="69" spans="2:34" x14ac:dyDescent="0.35">
      <c r="B69" s="251">
        <v>75</v>
      </c>
      <c r="C69" s="258">
        <v>240000</v>
      </c>
      <c r="D69" s="258">
        <v>255000</v>
      </c>
      <c r="E69" s="278">
        <f>D69*(1+'Rhaniad y Ddeiliadaeth (Canol)'!C$118)</f>
        <v>267240</v>
      </c>
      <c r="F69" s="278">
        <f>E69*(1+'Rhaniad y Ddeiliadaeth (Canol)'!D$118)</f>
        <v>282820.092</v>
      </c>
      <c r="G69" s="278">
        <f>F69*(1+'Rhaniad y Ddeiliadaeth (Canol)'!E$118)</f>
        <v>302797.6355644007</v>
      </c>
      <c r="H69" s="278">
        <f>G69*(1+'Rhaniad y Ddeiliadaeth (Canol)'!F$118)</f>
        <v>319276.14670818677</v>
      </c>
      <c r="I69" s="279">
        <f>H69*(1+'Rhaniad y Ddeiliadaeth (Canol)'!G$118)</f>
        <v>332744.4049706494</v>
      </c>
      <c r="M69" s="36" t="str">
        <f t="shared" si="4"/>
        <v/>
      </c>
      <c r="N69" s="202"/>
      <c r="O69" s="13">
        <f t="shared" ref="O69:O84" si="7">IF(ISBLANK(N69),1,0)</f>
        <v>1</v>
      </c>
      <c r="U69" s="1">
        <f t="shared" si="5"/>
        <v>75</v>
      </c>
      <c r="V69" s="4" t="str">
        <f t="shared" si="6"/>
        <v/>
      </c>
      <c r="W69" s="4" t="e">
        <f>IF($W$3=$N$3,N69,V69*(1+'Rhaniad y Ddeiliadaeth (Cymru)'!C$118))</f>
        <v>#VALUE!</v>
      </c>
      <c r="X69" s="4" t="e">
        <f>W69*(1+'Rhaniad y Ddeiliadaeth (Cymru)'!D$118)</f>
        <v>#VALUE!</v>
      </c>
      <c r="Y69" s="4" t="e">
        <f>X69*(1+'Rhaniad y Ddeiliadaeth (Cymru)'!E$118)</f>
        <v>#VALUE!</v>
      </c>
      <c r="Z69" s="4" t="e">
        <f>Y69*(1+'Rhaniad y Ddeiliadaeth (Cymru)'!F$118)</f>
        <v>#VALUE!</v>
      </c>
      <c r="AA69" s="4" t="e">
        <f>Z69*(1+'Rhaniad y Ddeiliadaeth (Cymru)'!G$118)</f>
        <v>#VALUE!</v>
      </c>
      <c r="AC69" s="260">
        <v>75</v>
      </c>
      <c r="AD69" s="4">
        <f>IF('Rhaniad y Ddeiliadaeth (Cymru)'!$D$18="Data Cofrestrfa Tir",'Prisiau Tai (Canolbarth)'!E69,'Prisiau Tai (Canolbarth)'!W69)</f>
        <v>267240</v>
      </c>
      <c r="AE69" s="4">
        <f>IF('Rhaniad y Ddeiliadaeth (Cymru)'!$D$18="Data Cofrestrfa Tir",'Prisiau Tai (Canolbarth)'!F69,'Prisiau Tai (Canolbarth)'!X69)</f>
        <v>282820.092</v>
      </c>
      <c r="AF69" s="4">
        <f>IF('Rhaniad y Ddeiliadaeth (Cymru)'!$D$18="Data Cofrestrfa Tir",'Prisiau Tai (Canolbarth)'!G69,'Prisiau Tai (Canolbarth)'!Y69)</f>
        <v>302797.6355644007</v>
      </c>
      <c r="AG69" s="4">
        <f>IF('Rhaniad y Ddeiliadaeth (Cymru)'!$D$18="Data Cofrestrfa Tir",'Prisiau Tai (Canolbarth)'!H69,'Prisiau Tai (Canolbarth)'!Z69)</f>
        <v>319276.14670818677</v>
      </c>
      <c r="AH69" s="4">
        <f>IF('Rhaniad y Ddeiliadaeth (Cymru)'!$D$18="Data Cofrestrfa Tir",'Prisiau Tai (Canolbarth)'!I69,'Prisiau Tai (Canolbarth)'!AA69)</f>
        <v>332744.4049706494</v>
      </c>
    </row>
    <row r="70" spans="2:34" x14ac:dyDescent="0.35">
      <c r="B70" s="251">
        <v>76</v>
      </c>
      <c r="C70" s="258">
        <v>245000</v>
      </c>
      <c r="D70" s="258">
        <v>259980.60000000006</v>
      </c>
      <c r="E70" s="278">
        <f>D70*(1+'Rhaniad y Ddeiliadaeth (Canol)'!C$118)</f>
        <v>272459.6688000001</v>
      </c>
      <c r="F70" s="278">
        <f>E70*(1+'Rhaniad y Ddeiliadaeth (Canol)'!D$118)</f>
        <v>288344.0674910401</v>
      </c>
      <c r="G70" s="278">
        <f>F70*(1+'Rhaniad y Ddeiliadaeth (Canol)'!E$118)</f>
        <v>308711.80773574219</v>
      </c>
      <c r="H70" s="278">
        <f>G70*(1+'Rhaniad y Ddeiliadaeth (Canol)'!F$118)</f>
        <v>325512.17328189197</v>
      </c>
      <c r="I70" s="279">
        <f>H70*(1+'Rhaniad y Ddeiliadaeth (Canol)'!G$118)</f>
        <v>339243.49039573508</v>
      </c>
      <c r="M70" s="36" t="str">
        <f t="shared" si="4"/>
        <v/>
      </c>
      <c r="N70" s="202"/>
      <c r="O70" s="13">
        <f t="shared" si="7"/>
        <v>1</v>
      </c>
      <c r="U70" s="1">
        <f t="shared" si="5"/>
        <v>76</v>
      </c>
      <c r="V70" s="4" t="str">
        <f t="shared" si="6"/>
        <v/>
      </c>
      <c r="W70" s="4" t="e">
        <f>IF($W$3=$N$3,N70,V70*(1+'Rhaniad y Ddeiliadaeth (Cymru)'!C$118))</f>
        <v>#VALUE!</v>
      </c>
      <c r="X70" s="4" t="e">
        <f>W70*(1+'Rhaniad y Ddeiliadaeth (Cymru)'!D$118)</f>
        <v>#VALUE!</v>
      </c>
      <c r="Y70" s="4" t="e">
        <f>X70*(1+'Rhaniad y Ddeiliadaeth (Cymru)'!E$118)</f>
        <v>#VALUE!</v>
      </c>
      <c r="Z70" s="4" t="e">
        <f>Y70*(1+'Rhaniad y Ddeiliadaeth (Cymru)'!F$118)</f>
        <v>#VALUE!</v>
      </c>
      <c r="AA70" s="4" t="e">
        <f>Z70*(1+'Rhaniad y Ddeiliadaeth (Cymru)'!G$118)</f>
        <v>#VALUE!</v>
      </c>
      <c r="AC70" s="260">
        <v>76</v>
      </c>
      <c r="AD70" s="4">
        <f>IF('Rhaniad y Ddeiliadaeth (Cymru)'!$D$18="Data Cofrestrfa Tir",'Prisiau Tai (Canolbarth)'!E70,'Prisiau Tai (Canolbarth)'!W70)</f>
        <v>272459.6688000001</v>
      </c>
      <c r="AE70" s="4">
        <f>IF('Rhaniad y Ddeiliadaeth (Cymru)'!$D$18="Data Cofrestrfa Tir",'Prisiau Tai (Canolbarth)'!F70,'Prisiau Tai (Canolbarth)'!X70)</f>
        <v>288344.0674910401</v>
      </c>
      <c r="AF70" s="4">
        <f>IF('Rhaniad y Ddeiliadaeth (Cymru)'!$D$18="Data Cofrestrfa Tir",'Prisiau Tai (Canolbarth)'!G70,'Prisiau Tai (Canolbarth)'!Y70)</f>
        <v>308711.80773574219</v>
      </c>
      <c r="AG70" s="4">
        <f>IF('Rhaniad y Ddeiliadaeth (Cymru)'!$D$18="Data Cofrestrfa Tir",'Prisiau Tai (Canolbarth)'!H70,'Prisiau Tai (Canolbarth)'!Z70)</f>
        <v>325512.17328189197</v>
      </c>
      <c r="AH70" s="4">
        <f>IF('Rhaniad y Ddeiliadaeth (Cymru)'!$D$18="Data Cofrestrfa Tir",'Prisiau Tai (Canolbarth)'!I70,'Prisiau Tai (Canolbarth)'!AA70)</f>
        <v>339243.49039573508</v>
      </c>
    </row>
    <row r="71" spans="2:34" x14ac:dyDescent="0.35">
      <c r="B71" s="251">
        <v>77</v>
      </c>
      <c r="C71" s="258">
        <v>249285.00000000009</v>
      </c>
      <c r="D71" s="258">
        <v>263860.00000000151</v>
      </c>
      <c r="E71" s="278">
        <f>D71*(1+'Rhaniad y Ddeiliadaeth (Canol)'!C$118)</f>
        <v>276525.2800000016</v>
      </c>
      <c r="F71" s="278">
        <f>E71*(1+'Rhaniad y Ddeiliadaeth (Canol)'!D$118)</f>
        <v>292646.70382400171</v>
      </c>
      <c r="G71" s="278">
        <f>F71*(1+'Rhaniad y Ddeiliadaeth (Canol)'!E$118)</f>
        <v>313318.36909813038</v>
      </c>
      <c r="H71" s="278">
        <f>G71*(1+'Rhaniad y Ddeiliadaeth (Canol)'!F$118)</f>
        <v>330369.42772714776</v>
      </c>
      <c r="I71" s="279">
        <f>H71*(1+'Rhaniad y Ddeiliadaeth (Canol)'!G$118)</f>
        <v>344305.64194335724</v>
      </c>
      <c r="M71" s="36" t="str">
        <f t="shared" si="4"/>
        <v/>
      </c>
      <c r="N71" s="202"/>
      <c r="O71" s="13">
        <f t="shared" si="7"/>
        <v>1</v>
      </c>
      <c r="U71" s="1">
        <f t="shared" si="5"/>
        <v>77</v>
      </c>
      <c r="V71" s="4" t="str">
        <f t="shared" si="6"/>
        <v/>
      </c>
      <c r="W71" s="4" t="e">
        <f>IF($W$3=$N$3,N71,V71*(1+'Rhaniad y Ddeiliadaeth (Cymru)'!C$118))</f>
        <v>#VALUE!</v>
      </c>
      <c r="X71" s="4" t="e">
        <f>W71*(1+'Rhaniad y Ddeiliadaeth (Cymru)'!D$118)</f>
        <v>#VALUE!</v>
      </c>
      <c r="Y71" s="4" t="e">
        <f>X71*(1+'Rhaniad y Ddeiliadaeth (Cymru)'!E$118)</f>
        <v>#VALUE!</v>
      </c>
      <c r="Z71" s="4" t="e">
        <f>Y71*(1+'Rhaniad y Ddeiliadaeth (Cymru)'!F$118)</f>
        <v>#VALUE!</v>
      </c>
      <c r="AA71" s="4" t="e">
        <f>Z71*(1+'Rhaniad y Ddeiliadaeth (Cymru)'!G$118)</f>
        <v>#VALUE!</v>
      </c>
      <c r="AC71" s="260">
        <v>77</v>
      </c>
      <c r="AD71" s="4">
        <f>IF('Rhaniad y Ddeiliadaeth (Cymru)'!$D$18="Data Cofrestrfa Tir",'Prisiau Tai (Canolbarth)'!E71,'Prisiau Tai (Canolbarth)'!W71)</f>
        <v>276525.2800000016</v>
      </c>
      <c r="AE71" s="4">
        <f>IF('Rhaniad y Ddeiliadaeth (Cymru)'!$D$18="Data Cofrestrfa Tir",'Prisiau Tai (Canolbarth)'!F71,'Prisiau Tai (Canolbarth)'!X71)</f>
        <v>292646.70382400171</v>
      </c>
      <c r="AF71" s="4">
        <f>IF('Rhaniad y Ddeiliadaeth (Cymru)'!$D$18="Data Cofrestrfa Tir",'Prisiau Tai (Canolbarth)'!G71,'Prisiau Tai (Canolbarth)'!Y71)</f>
        <v>313318.36909813038</v>
      </c>
      <c r="AG71" s="4">
        <f>IF('Rhaniad y Ddeiliadaeth (Cymru)'!$D$18="Data Cofrestrfa Tir",'Prisiau Tai (Canolbarth)'!H71,'Prisiau Tai (Canolbarth)'!Z71)</f>
        <v>330369.42772714776</v>
      </c>
      <c r="AH71" s="4">
        <f>IF('Rhaniad y Ddeiliadaeth (Cymru)'!$D$18="Data Cofrestrfa Tir",'Prisiau Tai (Canolbarth)'!I71,'Prisiau Tai (Canolbarth)'!AA71)</f>
        <v>344305.64194335724</v>
      </c>
    </row>
    <row r="72" spans="2:34" x14ac:dyDescent="0.35">
      <c r="B72" s="251">
        <v>78</v>
      </c>
      <c r="C72" s="258">
        <v>250000</v>
      </c>
      <c r="D72" s="258">
        <v>266260.00000000035</v>
      </c>
      <c r="E72" s="278">
        <f>D72*(1+'Rhaniad y Ddeiliadaeth (Canol)'!C$118)</f>
        <v>279040.48000000039</v>
      </c>
      <c r="F72" s="278">
        <f>E72*(1+'Rhaniad y Ddeiliadaeth (Canol)'!D$118)</f>
        <v>295308.53998400044</v>
      </c>
      <c r="G72" s="278">
        <f>F72*(1+'Rhaniad y Ddeiliadaeth (Canol)'!E$118)</f>
        <v>316168.22919755866</v>
      </c>
      <c r="H72" s="278">
        <f>G72*(1+'Rhaniad y Ddeiliadaeth (Canol)'!F$118)</f>
        <v>333374.37969616451</v>
      </c>
      <c r="I72" s="279">
        <f>H72*(1+'Rhaniad y Ddeiliadaeth (Canol)'!G$118)</f>
        <v>347437.35399013828</v>
      </c>
      <c r="M72" s="36" t="str">
        <f t="shared" si="4"/>
        <v/>
      </c>
      <c r="N72" s="202"/>
      <c r="O72" s="13">
        <f t="shared" si="7"/>
        <v>1</v>
      </c>
      <c r="U72" s="1">
        <f t="shared" si="5"/>
        <v>78</v>
      </c>
      <c r="V72" s="4" t="str">
        <f t="shared" si="6"/>
        <v/>
      </c>
      <c r="W72" s="4" t="e">
        <f>IF($W$3=$N$3,N72,V72*(1+'Rhaniad y Ddeiliadaeth (Cymru)'!C$118))</f>
        <v>#VALUE!</v>
      </c>
      <c r="X72" s="4" t="e">
        <f>W72*(1+'Rhaniad y Ddeiliadaeth (Cymru)'!D$118)</f>
        <v>#VALUE!</v>
      </c>
      <c r="Y72" s="4" t="e">
        <f>X72*(1+'Rhaniad y Ddeiliadaeth (Cymru)'!E$118)</f>
        <v>#VALUE!</v>
      </c>
      <c r="Z72" s="4" t="e">
        <f>Y72*(1+'Rhaniad y Ddeiliadaeth (Cymru)'!F$118)</f>
        <v>#VALUE!</v>
      </c>
      <c r="AA72" s="4" t="e">
        <f>Z72*(1+'Rhaniad y Ddeiliadaeth (Cymru)'!G$118)</f>
        <v>#VALUE!</v>
      </c>
      <c r="AC72" s="260">
        <v>78</v>
      </c>
      <c r="AD72" s="4">
        <f>IF('Rhaniad y Ddeiliadaeth (Cymru)'!$D$18="Data Cofrestrfa Tir",'Prisiau Tai (Canolbarth)'!E72,'Prisiau Tai (Canolbarth)'!W72)</f>
        <v>279040.48000000039</v>
      </c>
      <c r="AE72" s="4">
        <f>IF('Rhaniad y Ddeiliadaeth (Cymru)'!$D$18="Data Cofrestrfa Tir",'Prisiau Tai (Canolbarth)'!F72,'Prisiau Tai (Canolbarth)'!X72)</f>
        <v>295308.53998400044</v>
      </c>
      <c r="AF72" s="4">
        <f>IF('Rhaniad y Ddeiliadaeth (Cymru)'!$D$18="Data Cofrestrfa Tir",'Prisiau Tai (Canolbarth)'!G72,'Prisiau Tai (Canolbarth)'!Y72)</f>
        <v>316168.22919755866</v>
      </c>
      <c r="AG72" s="4">
        <f>IF('Rhaniad y Ddeiliadaeth (Cymru)'!$D$18="Data Cofrestrfa Tir",'Prisiau Tai (Canolbarth)'!H72,'Prisiau Tai (Canolbarth)'!Z72)</f>
        <v>333374.37969616451</v>
      </c>
      <c r="AH72" s="4">
        <f>IF('Rhaniad y Ddeiliadaeth (Cymru)'!$D$18="Data Cofrestrfa Tir",'Prisiau Tai (Canolbarth)'!I72,'Prisiau Tai (Canolbarth)'!AA72)</f>
        <v>347437.35399013828</v>
      </c>
    </row>
    <row r="73" spans="2:34" x14ac:dyDescent="0.35">
      <c r="B73" s="251">
        <v>79</v>
      </c>
      <c r="C73" s="258">
        <v>257000</v>
      </c>
      <c r="D73" s="258">
        <v>270000</v>
      </c>
      <c r="E73" s="278">
        <f>D73*(1+'Rhaniad y Ddeiliadaeth (Canol)'!C$118)</f>
        <v>282960</v>
      </c>
      <c r="F73" s="278">
        <f>E73*(1+'Rhaniad y Ddeiliadaeth (Canol)'!D$118)</f>
        <v>299456.56800000003</v>
      </c>
      <c r="G73" s="278">
        <f>F73*(1+'Rhaniad y Ddeiliadaeth (Canol)'!E$118)</f>
        <v>320609.26118583611</v>
      </c>
      <c r="H73" s="278">
        <f>G73*(1+'Rhaniad y Ddeiliadaeth (Canol)'!F$118)</f>
        <v>338057.09651455079</v>
      </c>
      <c r="I73" s="279">
        <f>H73*(1+'Rhaniad y Ddeiliadaeth (Canol)'!G$118)</f>
        <v>352317.60526304063</v>
      </c>
      <c r="M73" s="36" t="str">
        <f t="shared" si="4"/>
        <v/>
      </c>
      <c r="N73" s="202"/>
      <c r="O73" s="13">
        <f t="shared" si="7"/>
        <v>1</v>
      </c>
      <c r="U73" s="1">
        <f t="shared" si="5"/>
        <v>79</v>
      </c>
      <c r="V73" s="4" t="str">
        <f t="shared" si="6"/>
        <v/>
      </c>
      <c r="W73" s="4" t="e">
        <f>IF($W$3=$N$3,N73,V73*(1+'Rhaniad y Ddeiliadaeth (Cymru)'!C$118))</f>
        <v>#VALUE!</v>
      </c>
      <c r="X73" s="4" t="e">
        <f>W73*(1+'Rhaniad y Ddeiliadaeth (Cymru)'!D$118)</f>
        <v>#VALUE!</v>
      </c>
      <c r="Y73" s="4" t="e">
        <f>X73*(1+'Rhaniad y Ddeiliadaeth (Cymru)'!E$118)</f>
        <v>#VALUE!</v>
      </c>
      <c r="Z73" s="4" t="e">
        <f>Y73*(1+'Rhaniad y Ddeiliadaeth (Cymru)'!F$118)</f>
        <v>#VALUE!</v>
      </c>
      <c r="AA73" s="4" t="e">
        <f>Z73*(1+'Rhaniad y Ddeiliadaeth (Cymru)'!G$118)</f>
        <v>#VALUE!</v>
      </c>
      <c r="AC73" s="260">
        <v>79</v>
      </c>
      <c r="AD73" s="4">
        <f>IF('Rhaniad y Ddeiliadaeth (Cymru)'!$D$18="Data Cofrestrfa Tir",'Prisiau Tai (Canolbarth)'!E73,'Prisiau Tai (Canolbarth)'!W73)</f>
        <v>282960</v>
      </c>
      <c r="AE73" s="4">
        <f>IF('Rhaniad y Ddeiliadaeth (Cymru)'!$D$18="Data Cofrestrfa Tir",'Prisiau Tai (Canolbarth)'!F73,'Prisiau Tai (Canolbarth)'!X73)</f>
        <v>299456.56800000003</v>
      </c>
      <c r="AF73" s="4">
        <f>IF('Rhaniad y Ddeiliadaeth (Cymru)'!$D$18="Data Cofrestrfa Tir",'Prisiau Tai (Canolbarth)'!G73,'Prisiau Tai (Canolbarth)'!Y73)</f>
        <v>320609.26118583611</v>
      </c>
      <c r="AG73" s="4">
        <f>IF('Rhaniad y Ddeiliadaeth (Cymru)'!$D$18="Data Cofrestrfa Tir",'Prisiau Tai (Canolbarth)'!H73,'Prisiau Tai (Canolbarth)'!Z73)</f>
        <v>338057.09651455079</v>
      </c>
      <c r="AH73" s="4">
        <f>IF('Rhaniad y Ddeiliadaeth (Cymru)'!$D$18="Data Cofrestrfa Tir",'Prisiau Tai (Canolbarth)'!I73,'Prisiau Tai (Canolbarth)'!AA73)</f>
        <v>352317.60526304063</v>
      </c>
    </row>
    <row r="74" spans="2:34" x14ac:dyDescent="0.35">
      <c r="B74" s="251">
        <v>80</v>
      </c>
      <c r="C74" s="258">
        <v>264460.00000000047</v>
      </c>
      <c r="D74" s="258">
        <v>275000</v>
      </c>
      <c r="E74" s="278">
        <f>D74*(1+'Rhaniad y Ddeiliadaeth (Canol)'!C$118)</f>
        <v>288200</v>
      </c>
      <c r="F74" s="278">
        <f>E74*(1+'Rhaniad y Ddeiliadaeth (Canol)'!D$118)</f>
        <v>305002.06</v>
      </c>
      <c r="G74" s="278">
        <f>F74*(1+'Rhaniad y Ddeiliadaeth (Canol)'!E$118)</f>
        <v>326546.46972631448</v>
      </c>
      <c r="H74" s="278">
        <f>G74*(1+'Rhaniad y Ddeiliadaeth (Canol)'!F$118)</f>
        <v>344317.41311667202</v>
      </c>
      <c r="I74" s="279">
        <f>H74*(1+'Rhaniad y Ddeiliadaeth (Canol)'!G$118)</f>
        <v>358842.00536050426</v>
      </c>
      <c r="M74" s="36" t="str">
        <f t="shared" si="4"/>
        <v/>
      </c>
      <c r="N74" s="202"/>
      <c r="O74" s="13">
        <f t="shared" si="7"/>
        <v>1</v>
      </c>
      <c r="U74" s="1">
        <f t="shared" si="5"/>
        <v>80</v>
      </c>
      <c r="V74" s="4" t="str">
        <f t="shared" si="6"/>
        <v/>
      </c>
      <c r="W74" s="4" t="e">
        <f>IF($W$3=$N$3,N74,V74*(1+'Rhaniad y Ddeiliadaeth (Cymru)'!C$118))</f>
        <v>#VALUE!</v>
      </c>
      <c r="X74" s="4" t="e">
        <f>W74*(1+'Rhaniad y Ddeiliadaeth (Cymru)'!D$118)</f>
        <v>#VALUE!</v>
      </c>
      <c r="Y74" s="4" t="e">
        <f>X74*(1+'Rhaniad y Ddeiliadaeth (Cymru)'!E$118)</f>
        <v>#VALUE!</v>
      </c>
      <c r="Z74" s="4" t="e">
        <f>Y74*(1+'Rhaniad y Ddeiliadaeth (Cymru)'!F$118)</f>
        <v>#VALUE!</v>
      </c>
      <c r="AA74" s="4" t="e">
        <f>Z74*(1+'Rhaniad y Ddeiliadaeth (Cymru)'!G$118)</f>
        <v>#VALUE!</v>
      </c>
      <c r="AC74" s="260">
        <v>80</v>
      </c>
      <c r="AD74" s="4">
        <f>IF('Rhaniad y Ddeiliadaeth (Cymru)'!$D$18="Data Cofrestrfa Tir",'Prisiau Tai (Canolbarth)'!E74,'Prisiau Tai (Canolbarth)'!W74)</f>
        <v>288200</v>
      </c>
      <c r="AE74" s="4">
        <f>IF('Rhaniad y Ddeiliadaeth (Cymru)'!$D$18="Data Cofrestrfa Tir",'Prisiau Tai (Canolbarth)'!F74,'Prisiau Tai (Canolbarth)'!X74)</f>
        <v>305002.06</v>
      </c>
      <c r="AF74" s="4">
        <f>IF('Rhaniad y Ddeiliadaeth (Cymru)'!$D$18="Data Cofrestrfa Tir",'Prisiau Tai (Canolbarth)'!G74,'Prisiau Tai (Canolbarth)'!Y74)</f>
        <v>326546.46972631448</v>
      </c>
      <c r="AG74" s="4">
        <f>IF('Rhaniad y Ddeiliadaeth (Cymru)'!$D$18="Data Cofrestrfa Tir",'Prisiau Tai (Canolbarth)'!H74,'Prisiau Tai (Canolbarth)'!Z74)</f>
        <v>344317.41311667202</v>
      </c>
      <c r="AH74" s="4">
        <f>IF('Rhaniad y Ddeiliadaeth (Cymru)'!$D$18="Data Cofrestrfa Tir",'Prisiau Tai (Canolbarth)'!I74,'Prisiau Tai (Canolbarth)'!AA74)</f>
        <v>358842.00536050426</v>
      </c>
    </row>
    <row r="75" spans="2:34" x14ac:dyDescent="0.35">
      <c r="B75" s="251">
        <v>81</v>
      </c>
      <c r="C75" s="258">
        <v>269000</v>
      </c>
      <c r="D75" s="258">
        <v>279000</v>
      </c>
      <c r="E75" s="278">
        <f>D75*(1+'Rhaniad y Ddeiliadaeth (Canol)'!C$118)</f>
        <v>292392</v>
      </c>
      <c r="F75" s="278">
        <f>E75*(1+'Rhaniad y Ddeiliadaeth (Canol)'!D$118)</f>
        <v>309438.45360000001</v>
      </c>
      <c r="G75" s="278">
        <f>F75*(1+'Rhaniad y Ddeiliadaeth (Canol)'!E$118)</f>
        <v>331296.23655869724</v>
      </c>
      <c r="H75" s="278">
        <f>G75*(1+'Rhaniad y Ddeiliadaeth (Canol)'!F$118)</f>
        <v>349325.66639836907</v>
      </c>
      <c r="I75" s="279">
        <f>H75*(1+'Rhaniad y Ddeiliadaeth (Canol)'!G$118)</f>
        <v>364061.52543847525</v>
      </c>
      <c r="M75" s="36" t="str">
        <f t="shared" si="4"/>
        <v/>
      </c>
      <c r="N75" s="202"/>
      <c r="O75" s="13">
        <f t="shared" si="7"/>
        <v>1</v>
      </c>
      <c r="U75" s="1">
        <f t="shared" si="5"/>
        <v>81</v>
      </c>
      <c r="V75" s="4" t="str">
        <f t="shared" si="6"/>
        <v/>
      </c>
      <c r="W75" s="4" t="e">
        <f>IF($W$3=$N$3,N75,V75*(1+'Rhaniad y Ddeiliadaeth (Cymru)'!C$118))</f>
        <v>#VALUE!</v>
      </c>
      <c r="X75" s="4" t="e">
        <f>W75*(1+'Rhaniad y Ddeiliadaeth (Cymru)'!D$118)</f>
        <v>#VALUE!</v>
      </c>
      <c r="Y75" s="4" t="e">
        <f>X75*(1+'Rhaniad y Ddeiliadaeth (Cymru)'!E$118)</f>
        <v>#VALUE!</v>
      </c>
      <c r="Z75" s="4" t="e">
        <f>Y75*(1+'Rhaniad y Ddeiliadaeth (Cymru)'!F$118)</f>
        <v>#VALUE!</v>
      </c>
      <c r="AA75" s="4" t="e">
        <f>Z75*(1+'Rhaniad y Ddeiliadaeth (Cymru)'!G$118)</f>
        <v>#VALUE!</v>
      </c>
      <c r="AC75" s="260">
        <v>81</v>
      </c>
      <c r="AD75" s="4">
        <f>IF('Rhaniad y Ddeiliadaeth (Cymru)'!$D$18="Data Cofrestrfa Tir",'Prisiau Tai (Canolbarth)'!E75,'Prisiau Tai (Canolbarth)'!W75)</f>
        <v>292392</v>
      </c>
      <c r="AE75" s="4">
        <f>IF('Rhaniad y Ddeiliadaeth (Cymru)'!$D$18="Data Cofrestrfa Tir",'Prisiau Tai (Canolbarth)'!F75,'Prisiau Tai (Canolbarth)'!X75)</f>
        <v>309438.45360000001</v>
      </c>
      <c r="AF75" s="4">
        <f>IF('Rhaniad y Ddeiliadaeth (Cymru)'!$D$18="Data Cofrestrfa Tir",'Prisiau Tai (Canolbarth)'!G75,'Prisiau Tai (Canolbarth)'!Y75)</f>
        <v>331296.23655869724</v>
      </c>
      <c r="AG75" s="4">
        <f>IF('Rhaniad y Ddeiliadaeth (Cymru)'!$D$18="Data Cofrestrfa Tir",'Prisiau Tai (Canolbarth)'!H75,'Prisiau Tai (Canolbarth)'!Z75)</f>
        <v>349325.66639836907</v>
      </c>
      <c r="AH75" s="4">
        <f>IF('Rhaniad y Ddeiliadaeth (Cymru)'!$D$18="Data Cofrestrfa Tir",'Prisiau Tai (Canolbarth)'!I75,'Prisiau Tai (Canolbarth)'!AA75)</f>
        <v>364061.52543847525</v>
      </c>
    </row>
    <row r="76" spans="2:34" x14ac:dyDescent="0.35">
      <c r="B76" s="251">
        <v>82</v>
      </c>
      <c r="C76" s="258">
        <v>272806.89999999997</v>
      </c>
      <c r="D76" s="258">
        <v>280000</v>
      </c>
      <c r="E76" s="278">
        <f>D76*(1+'Rhaniad y Ddeiliadaeth (Canol)'!C$118)</f>
        <v>293440</v>
      </c>
      <c r="F76" s="278">
        <f>E76*(1+'Rhaniad y Ddeiliadaeth (Canol)'!D$118)</f>
        <v>310547.55200000003</v>
      </c>
      <c r="G76" s="278">
        <f>F76*(1+'Rhaniad y Ddeiliadaeth (Canol)'!E$118)</f>
        <v>332483.67826679297</v>
      </c>
      <c r="H76" s="278">
        <f>G76*(1+'Rhaniad y Ddeiliadaeth (Canol)'!F$118)</f>
        <v>350577.72971879342</v>
      </c>
      <c r="I76" s="279">
        <f>H76*(1+'Rhaniad y Ddeiliadaeth (Canol)'!G$118)</f>
        <v>365366.40545796807</v>
      </c>
      <c r="M76" s="36" t="str">
        <f t="shared" si="4"/>
        <v/>
      </c>
      <c r="N76" s="202"/>
      <c r="O76" s="13">
        <f t="shared" si="7"/>
        <v>1</v>
      </c>
      <c r="U76" s="1">
        <f t="shared" si="5"/>
        <v>82</v>
      </c>
      <c r="V76" s="4" t="str">
        <f t="shared" si="6"/>
        <v/>
      </c>
      <c r="W76" s="4" t="e">
        <f>IF($W$3=$N$3,N76,V76*(1+'Rhaniad y Ddeiliadaeth (Cymru)'!C$118))</f>
        <v>#VALUE!</v>
      </c>
      <c r="X76" s="4" t="e">
        <f>W76*(1+'Rhaniad y Ddeiliadaeth (Cymru)'!D$118)</f>
        <v>#VALUE!</v>
      </c>
      <c r="Y76" s="4" t="e">
        <f>X76*(1+'Rhaniad y Ddeiliadaeth (Cymru)'!E$118)</f>
        <v>#VALUE!</v>
      </c>
      <c r="Z76" s="4" t="e">
        <f>Y76*(1+'Rhaniad y Ddeiliadaeth (Cymru)'!F$118)</f>
        <v>#VALUE!</v>
      </c>
      <c r="AA76" s="4" t="e">
        <f>Z76*(1+'Rhaniad y Ddeiliadaeth (Cymru)'!G$118)</f>
        <v>#VALUE!</v>
      </c>
      <c r="AC76" s="260">
        <v>82</v>
      </c>
      <c r="AD76" s="4">
        <f>IF('Rhaniad y Ddeiliadaeth (Cymru)'!$D$18="Data Cofrestrfa Tir",'Prisiau Tai (Canolbarth)'!E76,'Prisiau Tai (Canolbarth)'!W76)</f>
        <v>293440</v>
      </c>
      <c r="AE76" s="4">
        <f>IF('Rhaniad y Ddeiliadaeth (Cymru)'!$D$18="Data Cofrestrfa Tir",'Prisiau Tai (Canolbarth)'!F76,'Prisiau Tai (Canolbarth)'!X76)</f>
        <v>310547.55200000003</v>
      </c>
      <c r="AF76" s="4">
        <f>IF('Rhaniad y Ddeiliadaeth (Cymru)'!$D$18="Data Cofrestrfa Tir",'Prisiau Tai (Canolbarth)'!G76,'Prisiau Tai (Canolbarth)'!Y76)</f>
        <v>332483.67826679297</v>
      </c>
      <c r="AG76" s="4">
        <f>IF('Rhaniad y Ddeiliadaeth (Cymru)'!$D$18="Data Cofrestrfa Tir",'Prisiau Tai (Canolbarth)'!H76,'Prisiau Tai (Canolbarth)'!Z76)</f>
        <v>350577.72971879342</v>
      </c>
      <c r="AH76" s="4">
        <f>IF('Rhaniad y Ddeiliadaeth (Cymru)'!$D$18="Data Cofrestrfa Tir",'Prisiau Tai (Canolbarth)'!I76,'Prisiau Tai (Canolbarth)'!AA76)</f>
        <v>365366.40545796807</v>
      </c>
    </row>
    <row r="77" spans="2:34" x14ac:dyDescent="0.35">
      <c r="B77" s="251">
        <v>83</v>
      </c>
      <c r="C77" s="258">
        <v>280000</v>
      </c>
      <c r="D77" s="258">
        <v>287000</v>
      </c>
      <c r="E77" s="278">
        <f>D77*(1+'Rhaniad y Ddeiliadaeth (Canol)'!C$118)</f>
        <v>300776</v>
      </c>
      <c r="F77" s="278">
        <f>E77*(1+'Rhaniad y Ddeiliadaeth (Canol)'!D$118)</f>
        <v>318311.24080000003</v>
      </c>
      <c r="G77" s="278">
        <f>F77*(1+'Rhaniad y Ddeiliadaeth (Canol)'!E$118)</f>
        <v>340795.77022346278</v>
      </c>
      <c r="H77" s="278">
        <f>G77*(1+'Rhaniad y Ddeiliadaeth (Canol)'!F$118)</f>
        <v>359342.17296176322</v>
      </c>
      <c r="I77" s="279">
        <f>H77*(1+'Rhaniad y Ddeiliadaeth (Canol)'!G$118)</f>
        <v>374500.56559441728</v>
      </c>
      <c r="M77" s="36" t="str">
        <f t="shared" si="4"/>
        <v/>
      </c>
      <c r="N77" s="202"/>
      <c r="O77" s="13">
        <f t="shared" si="7"/>
        <v>1</v>
      </c>
      <c r="U77" s="1">
        <f t="shared" si="5"/>
        <v>83</v>
      </c>
      <c r="V77" s="4" t="str">
        <f t="shared" si="6"/>
        <v/>
      </c>
      <c r="W77" s="4" t="e">
        <f>IF($W$3=$N$3,N77,V77*(1+'Rhaniad y Ddeiliadaeth (Cymru)'!C$118))</f>
        <v>#VALUE!</v>
      </c>
      <c r="X77" s="4" t="e">
        <f>W77*(1+'Rhaniad y Ddeiliadaeth (Cymru)'!D$118)</f>
        <v>#VALUE!</v>
      </c>
      <c r="Y77" s="4" t="e">
        <f>X77*(1+'Rhaniad y Ddeiliadaeth (Cymru)'!E$118)</f>
        <v>#VALUE!</v>
      </c>
      <c r="Z77" s="4" t="e">
        <f>Y77*(1+'Rhaniad y Ddeiliadaeth (Cymru)'!F$118)</f>
        <v>#VALUE!</v>
      </c>
      <c r="AA77" s="4" t="e">
        <f>Z77*(1+'Rhaniad y Ddeiliadaeth (Cymru)'!G$118)</f>
        <v>#VALUE!</v>
      </c>
      <c r="AC77" s="260">
        <v>83</v>
      </c>
      <c r="AD77" s="4">
        <f>IF('Rhaniad y Ddeiliadaeth (Cymru)'!$D$18="Data Cofrestrfa Tir",'Prisiau Tai (Canolbarth)'!E77,'Prisiau Tai (Canolbarth)'!W77)</f>
        <v>300776</v>
      </c>
      <c r="AE77" s="4">
        <f>IF('Rhaniad y Ddeiliadaeth (Cymru)'!$D$18="Data Cofrestrfa Tir",'Prisiau Tai (Canolbarth)'!F77,'Prisiau Tai (Canolbarth)'!X77)</f>
        <v>318311.24080000003</v>
      </c>
      <c r="AF77" s="4">
        <f>IF('Rhaniad y Ddeiliadaeth (Cymru)'!$D$18="Data Cofrestrfa Tir",'Prisiau Tai (Canolbarth)'!G77,'Prisiau Tai (Canolbarth)'!Y77)</f>
        <v>340795.77022346278</v>
      </c>
      <c r="AG77" s="4">
        <f>IF('Rhaniad y Ddeiliadaeth (Cymru)'!$D$18="Data Cofrestrfa Tir",'Prisiau Tai (Canolbarth)'!H77,'Prisiau Tai (Canolbarth)'!Z77)</f>
        <v>359342.17296176322</v>
      </c>
      <c r="AH77" s="4">
        <f>IF('Rhaniad y Ddeiliadaeth (Cymru)'!$D$18="Data Cofrestrfa Tir",'Prisiau Tai (Canolbarth)'!I77,'Prisiau Tai (Canolbarth)'!AA77)</f>
        <v>374500.56559441728</v>
      </c>
    </row>
    <row r="78" spans="2:34" x14ac:dyDescent="0.35">
      <c r="B78" s="251">
        <v>84</v>
      </c>
      <c r="C78" s="258">
        <v>283000</v>
      </c>
      <c r="D78" s="258">
        <v>291000</v>
      </c>
      <c r="E78" s="278">
        <f>D78*(1+'Rhaniad y Ddeiliadaeth (Canol)'!C$118)</f>
        <v>304968</v>
      </c>
      <c r="F78" s="278">
        <f>E78*(1+'Rhaniad y Ddeiliadaeth (Canol)'!D$118)</f>
        <v>322747.63439999998</v>
      </c>
      <c r="G78" s="278">
        <f>F78*(1+'Rhaniad y Ddeiliadaeth (Canol)'!E$118)</f>
        <v>345545.53705584549</v>
      </c>
      <c r="H78" s="278">
        <f>G78*(1+'Rhaniad y Ddeiliadaeth (Canol)'!F$118)</f>
        <v>364350.42624346021</v>
      </c>
      <c r="I78" s="279">
        <f>H78*(1+'Rhaniad y Ddeiliadaeth (Canol)'!G$118)</f>
        <v>379720.0856723882</v>
      </c>
      <c r="M78" s="36" t="str">
        <f t="shared" si="4"/>
        <v/>
      </c>
      <c r="N78" s="202"/>
      <c r="O78" s="13">
        <f t="shared" si="7"/>
        <v>1</v>
      </c>
      <c r="U78" s="1">
        <f t="shared" si="5"/>
        <v>84</v>
      </c>
      <c r="V78" s="4" t="str">
        <f t="shared" si="6"/>
        <v/>
      </c>
      <c r="W78" s="4" t="e">
        <f>IF($W$3=$N$3,N78,V78*(1+'Rhaniad y Ddeiliadaeth (Cymru)'!C$118))</f>
        <v>#VALUE!</v>
      </c>
      <c r="X78" s="4" t="e">
        <f>W78*(1+'Rhaniad y Ddeiliadaeth (Cymru)'!D$118)</f>
        <v>#VALUE!</v>
      </c>
      <c r="Y78" s="4" t="e">
        <f>X78*(1+'Rhaniad y Ddeiliadaeth (Cymru)'!E$118)</f>
        <v>#VALUE!</v>
      </c>
      <c r="Z78" s="4" t="e">
        <f>Y78*(1+'Rhaniad y Ddeiliadaeth (Cymru)'!F$118)</f>
        <v>#VALUE!</v>
      </c>
      <c r="AA78" s="4" t="e">
        <f>Z78*(1+'Rhaniad y Ddeiliadaeth (Cymru)'!G$118)</f>
        <v>#VALUE!</v>
      </c>
      <c r="AC78" s="260">
        <v>84</v>
      </c>
      <c r="AD78" s="4">
        <f>IF('Rhaniad y Ddeiliadaeth (Cymru)'!$D$18="Data Cofrestrfa Tir",'Prisiau Tai (Canolbarth)'!E78,'Prisiau Tai (Canolbarth)'!W78)</f>
        <v>304968</v>
      </c>
      <c r="AE78" s="4">
        <f>IF('Rhaniad y Ddeiliadaeth (Cymru)'!$D$18="Data Cofrestrfa Tir",'Prisiau Tai (Canolbarth)'!F78,'Prisiau Tai (Canolbarth)'!X78)</f>
        <v>322747.63439999998</v>
      </c>
      <c r="AF78" s="4">
        <f>IF('Rhaniad y Ddeiliadaeth (Cymru)'!$D$18="Data Cofrestrfa Tir",'Prisiau Tai (Canolbarth)'!G78,'Prisiau Tai (Canolbarth)'!Y78)</f>
        <v>345545.53705584549</v>
      </c>
      <c r="AG78" s="4">
        <f>IF('Rhaniad y Ddeiliadaeth (Cymru)'!$D$18="Data Cofrestrfa Tir",'Prisiau Tai (Canolbarth)'!H78,'Prisiau Tai (Canolbarth)'!Z78)</f>
        <v>364350.42624346021</v>
      </c>
      <c r="AH78" s="4">
        <f>IF('Rhaniad y Ddeiliadaeth (Cymru)'!$D$18="Data Cofrestrfa Tir",'Prisiau Tai (Canolbarth)'!I78,'Prisiau Tai (Canolbarth)'!AA78)</f>
        <v>379720.0856723882</v>
      </c>
    </row>
    <row r="79" spans="2:34" x14ac:dyDescent="0.35">
      <c r="B79" s="251">
        <v>85</v>
      </c>
      <c r="C79" s="258">
        <v>287924.99999999994</v>
      </c>
      <c r="D79" s="258">
        <v>297650.00000000076</v>
      </c>
      <c r="E79" s="278">
        <f>D79*(1+'Rhaniad y Ddeiliadaeth (Canol)'!C$118)</f>
        <v>311937.20000000083</v>
      </c>
      <c r="F79" s="278">
        <f>E79*(1+'Rhaniad y Ddeiliadaeth (Canol)'!D$118)</f>
        <v>330123.13876000087</v>
      </c>
      <c r="G79" s="278">
        <f>F79*(1+'Rhaniad y Ddeiliadaeth (Canol)'!E$118)</f>
        <v>353442.02441468282</v>
      </c>
      <c r="H79" s="278">
        <f>G79*(1+'Rhaniad y Ddeiliadaeth (Canol)'!F$118)</f>
        <v>372676.64732428262</v>
      </c>
      <c r="I79" s="279">
        <f>H79*(1+'Rhaniad y Ddeiliadaeth (Canol)'!G$118)</f>
        <v>388397.53780201601</v>
      </c>
      <c r="M79" s="36" t="str">
        <f t="shared" si="4"/>
        <v/>
      </c>
      <c r="N79" s="202"/>
      <c r="O79" s="13">
        <f t="shared" si="7"/>
        <v>1</v>
      </c>
      <c r="U79" s="1">
        <f t="shared" si="5"/>
        <v>85</v>
      </c>
      <c r="V79" s="4" t="str">
        <f t="shared" si="6"/>
        <v/>
      </c>
      <c r="W79" s="4" t="e">
        <f>IF($W$3=$N$3,N79,V79*(1+'Rhaniad y Ddeiliadaeth (Cymru)'!C$118))</f>
        <v>#VALUE!</v>
      </c>
      <c r="X79" s="4" t="e">
        <f>W79*(1+'Rhaniad y Ddeiliadaeth (Cymru)'!D$118)</f>
        <v>#VALUE!</v>
      </c>
      <c r="Y79" s="4" t="e">
        <f>X79*(1+'Rhaniad y Ddeiliadaeth (Cymru)'!E$118)</f>
        <v>#VALUE!</v>
      </c>
      <c r="Z79" s="4" t="e">
        <f>Y79*(1+'Rhaniad y Ddeiliadaeth (Cymru)'!F$118)</f>
        <v>#VALUE!</v>
      </c>
      <c r="AA79" s="4" t="e">
        <f>Z79*(1+'Rhaniad y Ddeiliadaeth (Cymru)'!G$118)</f>
        <v>#VALUE!</v>
      </c>
      <c r="AC79" s="260">
        <v>85</v>
      </c>
      <c r="AD79" s="4">
        <f>IF('Rhaniad y Ddeiliadaeth (Cymru)'!$D$18="Data Cofrestrfa Tir",'Prisiau Tai (Canolbarth)'!E79,'Prisiau Tai (Canolbarth)'!W79)</f>
        <v>311937.20000000083</v>
      </c>
      <c r="AE79" s="4">
        <f>IF('Rhaniad y Ddeiliadaeth (Cymru)'!$D$18="Data Cofrestrfa Tir",'Prisiau Tai (Canolbarth)'!F79,'Prisiau Tai (Canolbarth)'!X79)</f>
        <v>330123.13876000087</v>
      </c>
      <c r="AF79" s="4">
        <f>IF('Rhaniad y Ddeiliadaeth (Cymru)'!$D$18="Data Cofrestrfa Tir",'Prisiau Tai (Canolbarth)'!G79,'Prisiau Tai (Canolbarth)'!Y79)</f>
        <v>353442.02441468282</v>
      </c>
      <c r="AG79" s="4">
        <f>IF('Rhaniad y Ddeiliadaeth (Cymru)'!$D$18="Data Cofrestrfa Tir",'Prisiau Tai (Canolbarth)'!H79,'Prisiau Tai (Canolbarth)'!Z79)</f>
        <v>372676.64732428262</v>
      </c>
      <c r="AH79" s="4">
        <f>IF('Rhaniad y Ddeiliadaeth (Cymru)'!$D$18="Data Cofrestrfa Tir",'Prisiau Tai (Canolbarth)'!I79,'Prisiau Tai (Canolbarth)'!AA79)</f>
        <v>388397.53780201601</v>
      </c>
    </row>
    <row r="80" spans="2:34" x14ac:dyDescent="0.35">
      <c r="B80" s="251">
        <v>86</v>
      </c>
      <c r="C80" s="258">
        <v>295000</v>
      </c>
      <c r="D80" s="258">
        <v>305000</v>
      </c>
      <c r="E80" s="278">
        <f>D80*(1+'Rhaniad y Ddeiliadaeth (Canol)'!C$118)</f>
        <v>319640</v>
      </c>
      <c r="F80" s="278">
        <f>E80*(1+'Rhaniad y Ddeiliadaeth (Canol)'!D$118)</f>
        <v>338275.01199999999</v>
      </c>
      <c r="G80" s="278">
        <f>F80*(1+'Rhaniad y Ddeiliadaeth (Canol)'!E$118)</f>
        <v>362169.72096918517</v>
      </c>
      <c r="H80" s="278">
        <f>G80*(1+'Rhaniad y Ddeiliadaeth (Canol)'!F$118)</f>
        <v>381879.31272939994</v>
      </c>
      <c r="I80" s="279">
        <f>H80*(1+'Rhaniad y Ddeiliadaeth (Canol)'!G$118)</f>
        <v>397988.40594528662</v>
      </c>
      <c r="M80" s="36" t="str">
        <f t="shared" si="4"/>
        <v/>
      </c>
      <c r="N80" s="202"/>
      <c r="O80" s="13">
        <f t="shared" si="7"/>
        <v>1</v>
      </c>
      <c r="U80" s="1">
        <f t="shared" si="5"/>
        <v>86</v>
      </c>
      <c r="V80" s="4" t="str">
        <f t="shared" si="6"/>
        <v/>
      </c>
      <c r="W80" s="4" t="e">
        <f>IF($W$3=$N$3,N80,V80*(1+'Rhaniad y Ddeiliadaeth (Cymru)'!C$118))</f>
        <v>#VALUE!</v>
      </c>
      <c r="X80" s="4" t="e">
        <f>W80*(1+'Rhaniad y Ddeiliadaeth (Cymru)'!D$118)</f>
        <v>#VALUE!</v>
      </c>
      <c r="Y80" s="4" t="e">
        <f>X80*(1+'Rhaniad y Ddeiliadaeth (Cymru)'!E$118)</f>
        <v>#VALUE!</v>
      </c>
      <c r="Z80" s="4" t="e">
        <f>Y80*(1+'Rhaniad y Ddeiliadaeth (Cymru)'!F$118)</f>
        <v>#VALUE!</v>
      </c>
      <c r="AA80" s="4" t="e">
        <f>Z80*(1+'Rhaniad y Ddeiliadaeth (Cymru)'!G$118)</f>
        <v>#VALUE!</v>
      </c>
      <c r="AC80" s="260">
        <v>86</v>
      </c>
      <c r="AD80" s="4">
        <f>IF('Rhaniad y Ddeiliadaeth (Cymru)'!$D$18="Data Cofrestrfa Tir",'Prisiau Tai (Canolbarth)'!E80,'Prisiau Tai (Canolbarth)'!W80)</f>
        <v>319640</v>
      </c>
      <c r="AE80" s="4">
        <f>IF('Rhaniad y Ddeiliadaeth (Cymru)'!$D$18="Data Cofrestrfa Tir",'Prisiau Tai (Canolbarth)'!F80,'Prisiau Tai (Canolbarth)'!X80)</f>
        <v>338275.01199999999</v>
      </c>
      <c r="AF80" s="4">
        <f>IF('Rhaniad y Ddeiliadaeth (Cymru)'!$D$18="Data Cofrestrfa Tir",'Prisiau Tai (Canolbarth)'!G80,'Prisiau Tai (Canolbarth)'!Y80)</f>
        <v>362169.72096918517</v>
      </c>
      <c r="AG80" s="4">
        <f>IF('Rhaniad y Ddeiliadaeth (Cymru)'!$D$18="Data Cofrestrfa Tir",'Prisiau Tai (Canolbarth)'!H80,'Prisiau Tai (Canolbarth)'!Z80)</f>
        <v>381879.31272939994</v>
      </c>
      <c r="AH80" s="4">
        <f>IF('Rhaniad y Ddeiliadaeth (Cymru)'!$D$18="Data Cofrestrfa Tir",'Prisiau Tai (Canolbarth)'!I80,'Prisiau Tai (Canolbarth)'!AA80)</f>
        <v>397988.40594528662</v>
      </c>
    </row>
    <row r="81" spans="2:34" x14ac:dyDescent="0.35">
      <c r="B81" s="251">
        <v>87</v>
      </c>
      <c r="C81" s="258">
        <v>300000</v>
      </c>
      <c r="D81" s="258">
        <v>310000</v>
      </c>
      <c r="E81" s="278">
        <f>D81*(1+'Rhaniad y Ddeiliadaeth (Canol)'!C$118)</f>
        <v>324880</v>
      </c>
      <c r="F81" s="278">
        <f>E81*(1+'Rhaniad y Ddeiliadaeth (Canol)'!D$118)</f>
        <v>343820.50400000002</v>
      </c>
      <c r="G81" s="278">
        <f>F81*(1+'Rhaniad y Ddeiliadaeth (Canol)'!E$118)</f>
        <v>368106.92950966366</v>
      </c>
      <c r="H81" s="278">
        <f>G81*(1+'Rhaniad y Ddeiliadaeth (Canol)'!F$118)</f>
        <v>388139.62933152128</v>
      </c>
      <c r="I81" s="279">
        <f>H81*(1+'Rhaniad y Ddeiliadaeth (Canol)'!G$118)</f>
        <v>404512.80604275037</v>
      </c>
      <c r="M81" s="36" t="str">
        <f t="shared" si="4"/>
        <v/>
      </c>
      <c r="N81" s="202"/>
      <c r="O81" s="13">
        <f t="shared" si="7"/>
        <v>1</v>
      </c>
      <c r="U81" s="1">
        <f t="shared" si="5"/>
        <v>87</v>
      </c>
      <c r="V81" s="4" t="str">
        <f t="shared" si="6"/>
        <v/>
      </c>
      <c r="W81" s="4" t="e">
        <f>IF($W$3=$N$3,N81,V81*(1+'Rhaniad y Ddeiliadaeth (Cymru)'!C$118))</f>
        <v>#VALUE!</v>
      </c>
      <c r="X81" s="4" t="e">
        <f>W81*(1+'Rhaniad y Ddeiliadaeth (Cymru)'!D$118)</f>
        <v>#VALUE!</v>
      </c>
      <c r="Y81" s="4" t="e">
        <f>X81*(1+'Rhaniad y Ddeiliadaeth (Cymru)'!E$118)</f>
        <v>#VALUE!</v>
      </c>
      <c r="Z81" s="4" t="e">
        <f>Y81*(1+'Rhaniad y Ddeiliadaeth (Cymru)'!F$118)</f>
        <v>#VALUE!</v>
      </c>
      <c r="AA81" s="4" t="e">
        <f>Z81*(1+'Rhaniad y Ddeiliadaeth (Cymru)'!G$118)</f>
        <v>#VALUE!</v>
      </c>
      <c r="AC81" s="260">
        <v>87</v>
      </c>
      <c r="AD81" s="4">
        <f>IF('Rhaniad y Ddeiliadaeth (Cymru)'!$D$18="Data Cofrestrfa Tir",'Prisiau Tai (Canolbarth)'!E81,'Prisiau Tai (Canolbarth)'!W81)</f>
        <v>324880</v>
      </c>
      <c r="AE81" s="4">
        <f>IF('Rhaniad y Ddeiliadaeth (Cymru)'!$D$18="Data Cofrestrfa Tir",'Prisiau Tai (Canolbarth)'!F81,'Prisiau Tai (Canolbarth)'!X81)</f>
        <v>343820.50400000002</v>
      </c>
      <c r="AF81" s="4">
        <f>IF('Rhaniad y Ddeiliadaeth (Cymru)'!$D$18="Data Cofrestrfa Tir",'Prisiau Tai (Canolbarth)'!G81,'Prisiau Tai (Canolbarth)'!Y81)</f>
        <v>368106.92950966366</v>
      </c>
      <c r="AG81" s="4">
        <f>IF('Rhaniad y Ddeiliadaeth (Cymru)'!$D$18="Data Cofrestrfa Tir",'Prisiau Tai (Canolbarth)'!H81,'Prisiau Tai (Canolbarth)'!Z81)</f>
        <v>388139.62933152128</v>
      </c>
      <c r="AH81" s="4">
        <f>IF('Rhaniad y Ddeiliadaeth (Cymru)'!$D$18="Data Cofrestrfa Tir",'Prisiau Tai (Canolbarth)'!I81,'Prisiau Tai (Canolbarth)'!AA81)</f>
        <v>404512.80604275037</v>
      </c>
    </row>
    <row r="82" spans="2:34" x14ac:dyDescent="0.35">
      <c r="B82" s="251">
        <v>88</v>
      </c>
      <c r="C82" s="258">
        <v>306500</v>
      </c>
      <c r="D82" s="258">
        <v>318000</v>
      </c>
      <c r="E82" s="278">
        <f>D82*(1+'Rhaniad y Ddeiliadaeth (Canol)'!C$118)</f>
        <v>333264</v>
      </c>
      <c r="F82" s="278">
        <f>E82*(1+'Rhaniad y Ddeiliadaeth (Canol)'!D$118)</f>
        <v>352693.29119999998</v>
      </c>
      <c r="G82" s="278">
        <f>F82*(1+'Rhaniad y Ddeiliadaeth (Canol)'!E$118)</f>
        <v>377606.46317442908</v>
      </c>
      <c r="H82" s="278">
        <f>G82*(1+'Rhaniad y Ddeiliadaeth (Canol)'!F$118)</f>
        <v>398156.13589491526</v>
      </c>
      <c r="I82" s="279">
        <f>H82*(1+'Rhaniad y Ddeiliadaeth (Canol)'!G$118)</f>
        <v>414951.84619869222</v>
      </c>
      <c r="M82" s="36" t="str">
        <f t="shared" si="4"/>
        <v/>
      </c>
      <c r="N82" s="202"/>
      <c r="O82" s="13">
        <f t="shared" si="7"/>
        <v>1</v>
      </c>
      <c r="U82" s="1">
        <f t="shared" si="5"/>
        <v>88</v>
      </c>
      <c r="V82" s="4" t="str">
        <f t="shared" si="6"/>
        <v/>
      </c>
      <c r="W82" s="4" t="e">
        <f>IF($W$3=$N$3,N82,V82*(1+'Rhaniad y Ddeiliadaeth (Cymru)'!C$118))</f>
        <v>#VALUE!</v>
      </c>
      <c r="X82" s="4" t="e">
        <f>W82*(1+'Rhaniad y Ddeiliadaeth (Cymru)'!D$118)</f>
        <v>#VALUE!</v>
      </c>
      <c r="Y82" s="4" t="e">
        <f>X82*(1+'Rhaniad y Ddeiliadaeth (Cymru)'!E$118)</f>
        <v>#VALUE!</v>
      </c>
      <c r="Z82" s="4" t="e">
        <f>Y82*(1+'Rhaniad y Ddeiliadaeth (Cymru)'!F$118)</f>
        <v>#VALUE!</v>
      </c>
      <c r="AA82" s="4" t="e">
        <f>Z82*(1+'Rhaniad y Ddeiliadaeth (Cymru)'!G$118)</f>
        <v>#VALUE!</v>
      </c>
      <c r="AC82" s="260">
        <v>88</v>
      </c>
      <c r="AD82" s="4">
        <f>IF('Rhaniad y Ddeiliadaeth (Cymru)'!$D$18="Data Cofrestrfa Tir",'Prisiau Tai (Canolbarth)'!E82,'Prisiau Tai (Canolbarth)'!W82)</f>
        <v>333264</v>
      </c>
      <c r="AE82" s="4">
        <f>IF('Rhaniad y Ddeiliadaeth (Cymru)'!$D$18="Data Cofrestrfa Tir",'Prisiau Tai (Canolbarth)'!F82,'Prisiau Tai (Canolbarth)'!X82)</f>
        <v>352693.29119999998</v>
      </c>
      <c r="AF82" s="4">
        <f>IF('Rhaniad y Ddeiliadaeth (Cymru)'!$D$18="Data Cofrestrfa Tir",'Prisiau Tai (Canolbarth)'!G82,'Prisiau Tai (Canolbarth)'!Y82)</f>
        <v>377606.46317442908</v>
      </c>
      <c r="AG82" s="4">
        <f>IF('Rhaniad y Ddeiliadaeth (Cymru)'!$D$18="Data Cofrestrfa Tir",'Prisiau Tai (Canolbarth)'!H82,'Prisiau Tai (Canolbarth)'!Z82)</f>
        <v>398156.13589491526</v>
      </c>
      <c r="AH82" s="4">
        <f>IF('Rhaniad y Ddeiliadaeth (Cymru)'!$D$18="Data Cofrestrfa Tir",'Prisiau Tai (Canolbarth)'!I82,'Prisiau Tai (Canolbarth)'!AA82)</f>
        <v>414951.84619869222</v>
      </c>
    </row>
    <row r="83" spans="2:34" x14ac:dyDescent="0.35">
      <c r="B83" s="251">
        <v>89</v>
      </c>
      <c r="C83" s="258">
        <v>315000</v>
      </c>
      <c r="D83" s="258">
        <v>325000</v>
      </c>
      <c r="E83" s="278">
        <f>D83*(1+'Rhaniad y Ddeiliadaeth (Canol)'!C$118)</f>
        <v>340600</v>
      </c>
      <c r="F83" s="278">
        <f>E83*(1+'Rhaniad y Ddeiliadaeth (Canol)'!D$118)</f>
        <v>360456.98</v>
      </c>
      <c r="G83" s="278">
        <f>F83*(1+'Rhaniad y Ddeiliadaeth (Canol)'!E$118)</f>
        <v>385918.55513109895</v>
      </c>
      <c r="H83" s="278">
        <f>G83*(1+'Rhaniad y Ddeiliadaeth (Canol)'!F$118)</f>
        <v>406920.57913788513</v>
      </c>
      <c r="I83" s="279">
        <f>H83*(1+'Rhaniad y Ddeiliadaeth (Canol)'!G$118)</f>
        <v>424086.00633514143</v>
      </c>
      <c r="M83" s="36" t="str">
        <f t="shared" si="4"/>
        <v/>
      </c>
      <c r="N83" s="202"/>
      <c r="O83" s="13">
        <f t="shared" si="7"/>
        <v>1</v>
      </c>
      <c r="U83" s="1">
        <f t="shared" si="5"/>
        <v>89</v>
      </c>
      <c r="V83" s="4" t="str">
        <f t="shared" si="6"/>
        <v/>
      </c>
      <c r="W83" s="4" t="e">
        <f>IF($W$3=$N$3,N83,V83*(1+'Rhaniad y Ddeiliadaeth (Cymru)'!C$118))</f>
        <v>#VALUE!</v>
      </c>
      <c r="X83" s="4" t="e">
        <f>W83*(1+'Rhaniad y Ddeiliadaeth (Cymru)'!D$118)</f>
        <v>#VALUE!</v>
      </c>
      <c r="Y83" s="4" t="e">
        <f>X83*(1+'Rhaniad y Ddeiliadaeth (Cymru)'!E$118)</f>
        <v>#VALUE!</v>
      </c>
      <c r="Z83" s="4" t="e">
        <f>Y83*(1+'Rhaniad y Ddeiliadaeth (Cymru)'!F$118)</f>
        <v>#VALUE!</v>
      </c>
      <c r="AA83" s="4" t="e">
        <f>Z83*(1+'Rhaniad y Ddeiliadaeth (Cymru)'!G$118)</f>
        <v>#VALUE!</v>
      </c>
      <c r="AC83" s="260">
        <v>89</v>
      </c>
      <c r="AD83" s="4">
        <f>IF('Rhaniad y Ddeiliadaeth (Cymru)'!$D$18="Data Cofrestrfa Tir",'Prisiau Tai (Canolbarth)'!E83,'Prisiau Tai (Canolbarth)'!W83)</f>
        <v>340600</v>
      </c>
      <c r="AE83" s="4">
        <f>IF('Rhaniad y Ddeiliadaeth (Cymru)'!$D$18="Data Cofrestrfa Tir",'Prisiau Tai (Canolbarth)'!F83,'Prisiau Tai (Canolbarth)'!X83)</f>
        <v>360456.98</v>
      </c>
      <c r="AF83" s="4">
        <f>IF('Rhaniad y Ddeiliadaeth (Cymru)'!$D$18="Data Cofrestrfa Tir",'Prisiau Tai (Canolbarth)'!G83,'Prisiau Tai (Canolbarth)'!Y83)</f>
        <v>385918.55513109895</v>
      </c>
      <c r="AG83" s="4">
        <f>IF('Rhaniad y Ddeiliadaeth (Cymru)'!$D$18="Data Cofrestrfa Tir",'Prisiau Tai (Canolbarth)'!H83,'Prisiau Tai (Canolbarth)'!Z83)</f>
        <v>406920.57913788513</v>
      </c>
      <c r="AH83" s="4">
        <f>IF('Rhaniad y Ddeiliadaeth (Cymru)'!$D$18="Data Cofrestrfa Tir",'Prisiau Tai (Canolbarth)'!I83,'Prisiau Tai (Canolbarth)'!AA83)</f>
        <v>424086.00633514143</v>
      </c>
    </row>
    <row r="84" spans="2:34" x14ac:dyDescent="0.35">
      <c r="B84" s="253">
        <v>90</v>
      </c>
      <c r="C84" s="259">
        <v>325000</v>
      </c>
      <c r="D84" s="259">
        <v>330000</v>
      </c>
      <c r="E84" s="286">
        <f>D84*(1+'Rhaniad y Ddeiliadaeth (Canol)'!C$118)</f>
        <v>345840</v>
      </c>
      <c r="F84" s="286">
        <f>E84*(1+'Rhaniad y Ddeiliadaeth (Canol)'!D$118)</f>
        <v>366002.47200000001</v>
      </c>
      <c r="G84" s="286">
        <f>F84*(1+'Rhaniad y Ddeiliadaeth (Canol)'!E$118)</f>
        <v>391855.76367157738</v>
      </c>
      <c r="H84" s="286">
        <f>G84*(1+'Rhaniad y Ddeiliadaeth (Canol)'!F$118)</f>
        <v>413180.89574000647</v>
      </c>
      <c r="I84" s="287">
        <f>H84*(1+'Rhaniad y Ddeiliadaeth (Canol)'!G$118)</f>
        <v>430610.40643260517</v>
      </c>
      <c r="M84" s="37" t="str">
        <f t="shared" si="4"/>
        <v/>
      </c>
      <c r="N84" s="203"/>
      <c r="O84" s="13">
        <f t="shared" si="7"/>
        <v>1</v>
      </c>
      <c r="U84" s="1">
        <f t="shared" si="5"/>
        <v>90</v>
      </c>
      <c r="V84" s="4" t="str">
        <f t="shared" si="6"/>
        <v/>
      </c>
      <c r="W84" s="4" t="e">
        <f>IF($W$3=$N$3,N84,V84*(1+'Rhaniad y Ddeiliadaeth (Cymru)'!C$118))</f>
        <v>#VALUE!</v>
      </c>
      <c r="X84" s="4" t="e">
        <f>W84*(1+'Rhaniad y Ddeiliadaeth (Cymru)'!D$118)</f>
        <v>#VALUE!</v>
      </c>
      <c r="Y84" s="4" t="e">
        <f>X84*(1+'Rhaniad y Ddeiliadaeth (Cymru)'!E$118)</f>
        <v>#VALUE!</v>
      </c>
      <c r="Z84" s="4" t="e">
        <f>Y84*(1+'Rhaniad y Ddeiliadaeth (Cymru)'!F$118)</f>
        <v>#VALUE!</v>
      </c>
      <c r="AA84" s="4" t="e">
        <f>Z84*(1+'Rhaniad y Ddeiliadaeth (Cymru)'!G$118)</f>
        <v>#VALUE!</v>
      </c>
      <c r="AC84" s="260">
        <v>90</v>
      </c>
      <c r="AD84" s="4">
        <f>IF('Rhaniad y Ddeiliadaeth (Cymru)'!$D$18="Data Cofrestrfa Tir",'Prisiau Tai (Canolbarth)'!E84,'Prisiau Tai (Canolbarth)'!W84)</f>
        <v>345840</v>
      </c>
      <c r="AE84" s="4">
        <f>IF('Rhaniad y Ddeiliadaeth (Cymru)'!$D$18="Data Cofrestrfa Tir",'Prisiau Tai (Canolbarth)'!F84,'Prisiau Tai (Canolbarth)'!X84)</f>
        <v>366002.47200000001</v>
      </c>
      <c r="AF84" s="4">
        <f>IF('Rhaniad y Ddeiliadaeth (Cymru)'!$D$18="Data Cofrestrfa Tir",'Prisiau Tai (Canolbarth)'!G84,'Prisiau Tai (Canolbarth)'!Y84)</f>
        <v>391855.76367157738</v>
      </c>
      <c r="AG84" s="4">
        <f>IF('Rhaniad y Ddeiliadaeth (Cymru)'!$D$18="Data Cofrestrfa Tir",'Prisiau Tai (Canolbarth)'!H84,'Prisiau Tai (Canolbarth)'!Z84)</f>
        <v>413180.89574000647</v>
      </c>
      <c r="AH84" s="4">
        <f>IF('Rhaniad y Ddeiliadaeth (Cymru)'!$D$18="Data Cofrestrfa Tir",'Prisiau Tai (Canolbarth)'!I84,'Prisiau Tai (Canolbarth)'!AA84)</f>
        <v>430610.40643260517</v>
      </c>
    </row>
    <row r="85" spans="2:34" x14ac:dyDescent="0.35">
      <c r="O85" s="13">
        <f>IF(SUM(O4:O84)&gt;0,1,0)</f>
        <v>1</v>
      </c>
    </row>
  </sheetData>
  <mergeCells count="3">
    <mergeCell ref="B2:I2"/>
    <mergeCell ref="K2:N2"/>
    <mergeCell ref="K9:K10"/>
  </mergeCells>
  <dataValidations count="2">
    <dataValidation type="list" allowBlank="1" showInputMessage="1" showErrorMessage="1" sqref="L4">
      <formula1>"2017,2018"</formula1>
    </dataValidation>
    <dataValidation type="decimal" operator="greaterThan" allowBlank="1" showInputMessage="1" showErrorMessage="1" sqref="N4:N84">
      <formula1>0</formula1>
    </dataValidation>
  </dataValidations>
  <pageMargins left="0.7" right="0.7" top="0.75" bottom="0.75" header="0.3" footer="0.3"/>
  <pageSetup paperSize="9"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AH85"/>
  <sheetViews>
    <sheetView showGridLines="0" workbookViewId="0"/>
  </sheetViews>
  <sheetFormatPr defaultColWidth="9.1796875" defaultRowHeight="14.5" x14ac:dyDescent="0.35"/>
  <cols>
    <col min="1" max="1" width="2.1796875" style="1" customWidth="1"/>
    <col min="2" max="2" width="10.1796875" style="1" bestFit="1" customWidth="1"/>
    <col min="3" max="4" width="9.1796875" style="1"/>
    <col min="5" max="9" width="10.1796875" style="1" bestFit="1" customWidth="1"/>
    <col min="10" max="10" width="9.1796875" style="1"/>
    <col min="11" max="11" width="53.81640625" style="1" customWidth="1"/>
    <col min="12" max="12" width="9.1796875" style="1"/>
    <col min="13" max="13" width="10.1796875" style="1" customWidth="1"/>
    <col min="14" max="14" width="9.1796875" style="1"/>
    <col min="15" max="15" width="9.1796875" style="1" hidden="1" customWidth="1"/>
    <col min="16" max="20" width="9.1796875" style="1"/>
    <col min="21" max="21" width="9.1796875" style="1" hidden="1" customWidth="1"/>
    <col min="22" max="27" width="10.1796875" style="1" hidden="1" customWidth="1"/>
    <col min="28" max="29" width="9.1796875" style="1" customWidth="1"/>
    <col min="30" max="30" width="10.1796875" style="1" customWidth="1"/>
    <col min="31" max="34" width="9.1796875" style="1" customWidth="1"/>
    <col min="35" max="16384" width="9.1796875" style="1"/>
  </cols>
  <sheetData>
    <row r="1" spans="2:34" ht="9.75" customHeight="1" x14ac:dyDescent="0.35"/>
    <row r="2" spans="2:34" ht="26.25" customHeight="1" x14ac:dyDescent="0.35">
      <c r="B2" s="568" t="s">
        <v>123</v>
      </c>
      <c r="C2" s="569"/>
      <c r="D2" s="569"/>
      <c r="E2" s="569"/>
      <c r="F2" s="569"/>
      <c r="G2" s="569"/>
      <c r="H2" s="569"/>
      <c r="I2" s="570"/>
      <c r="K2" s="564" t="s">
        <v>121</v>
      </c>
      <c r="L2" s="565"/>
      <c r="M2" s="565"/>
      <c r="N2" s="566"/>
      <c r="O2" s="39"/>
      <c r="V2" s="1" t="s">
        <v>6</v>
      </c>
      <c r="AC2" s="260" t="s">
        <v>127</v>
      </c>
    </row>
    <row r="3" spans="2:34" x14ac:dyDescent="0.35">
      <c r="B3" s="257" t="s">
        <v>122</v>
      </c>
      <c r="C3" s="325" t="s">
        <v>22</v>
      </c>
      <c r="D3" s="325" t="s">
        <v>21</v>
      </c>
      <c r="E3" s="354" t="str">
        <f>Year1</f>
        <v>2019/20</v>
      </c>
      <c r="F3" s="354" t="str">
        <f>Year2</f>
        <v>2020/21</v>
      </c>
      <c r="G3" s="354" t="str">
        <f>Year3</f>
        <v>2021/22</v>
      </c>
      <c r="H3" s="354" t="str">
        <f>Year4</f>
        <v>2022/23</v>
      </c>
      <c r="I3" s="329" t="str">
        <f>Year5</f>
        <v>2023/24</v>
      </c>
      <c r="M3" s="23" t="s">
        <v>122</v>
      </c>
      <c r="N3" s="38">
        <f>L4</f>
        <v>0</v>
      </c>
      <c r="O3" s="40" t="s">
        <v>5</v>
      </c>
      <c r="V3" s="1">
        <v>2017</v>
      </c>
      <c r="W3" s="1">
        <v>2018</v>
      </c>
      <c r="X3" s="1">
        <v>2019</v>
      </c>
      <c r="Y3" s="1">
        <v>2020</v>
      </c>
      <c r="Z3" s="1">
        <v>2021</v>
      </c>
      <c r="AA3" s="1">
        <v>2022</v>
      </c>
      <c r="AD3" s="323" t="str">
        <f>Year1</f>
        <v>2019/20</v>
      </c>
      <c r="AE3" s="323" t="str">
        <f>Year2</f>
        <v>2020/21</v>
      </c>
      <c r="AF3" s="323" t="str">
        <f>Year3</f>
        <v>2021/22</v>
      </c>
      <c r="AG3" s="323" t="str">
        <f>Year4</f>
        <v>2022/23</v>
      </c>
      <c r="AH3" s="323" t="str">
        <f>Year5</f>
        <v>2023/24</v>
      </c>
    </row>
    <row r="4" spans="2:34" x14ac:dyDescent="0.35">
      <c r="B4" s="251">
        <v>10</v>
      </c>
      <c r="C4" s="258">
        <v>72950</v>
      </c>
      <c r="D4" s="258">
        <v>75000</v>
      </c>
      <c r="E4" s="278">
        <f>D4*(1+'Rhaniad y Ddeiliadaeth (De-o)'!C$118)</f>
        <v>78600</v>
      </c>
      <c r="F4" s="278">
        <f>E4*(1+'Rhaniad y Ddeiliadaeth (De-o)'!D$118)</f>
        <v>83182.38</v>
      </c>
      <c r="G4" s="278">
        <f>F4*(1+'Rhaniad y Ddeiliadaeth (De-o)'!E$118)</f>
        <v>89058.128107176686</v>
      </c>
      <c r="H4" s="278">
        <f>G4*(1+'Rhaniad y Ddeiliadaeth (De-o)'!F$118)</f>
        <v>93904.749031819651</v>
      </c>
      <c r="I4" s="279">
        <f>H4*(1+'Rhaniad y Ddeiliadaeth (De-o)'!G$118)</f>
        <v>97866.001461955719</v>
      </c>
      <c r="J4" s="4"/>
      <c r="K4" s="41" t="str">
        <f>IF('Rhaniad y Ddeiliadaeth (De-o)'!D18="Arall","Dewiswch data ar gyfer pa flwyddyn:","")</f>
        <v/>
      </c>
      <c r="L4" s="201"/>
      <c r="M4" s="36" t="str">
        <f t="shared" ref="M4:M67" si="0">IF(ISBLANK($L$4),"",B4)</f>
        <v/>
      </c>
      <c r="N4" s="202"/>
      <c r="O4" s="13">
        <f>IF(ISBLANK(N4),1,0)</f>
        <v>1</v>
      </c>
      <c r="P4" s="10" t="str">
        <f>IF(K4="","",IF(O85=1,"&lt;&lt; Nodwch y data yma.",""))</f>
        <v/>
      </c>
      <c r="U4" s="1">
        <f t="shared" ref="U4:U67" si="1">B4</f>
        <v>10</v>
      </c>
      <c r="V4" s="4" t="str">
        <f t="shared" ref="V4:V67" si="2">IF($N$3=$V$3,N4,"")</f>
        <v/>
      </c>
      <c r="W4" s="4" t="e">
        <f>IF($W$3=$N$3,N4,V4*(1+'Rhaniad y Ddeiliadaeth (Cymru)'!C$118))</f>
        <v>#VALUE!</v>
      </c>
      <c r="X4" s="4" t="e">
        <f>W4*(1+'Rhaniad y Ddeiliadaeth (Cymru)'!D$118)</f>
        <v>#VALUE!</v>
      </c>
      <c r="Y4" s="4" t="e">
        <f>X4*(1+'Rhaniad y Ddeiliadaeth (Cymru)'!E$118)</f>
        <v>#VALUE!</v>
      </c>
      <c r="Z4" s="4" t="e">
        <f>Y4*(1+'Rhaniad y Ddeiliadaeth (Cymru)'!F$118)</f>
        <v>#VALUE!</v>
      </c>
      <c r="AA4" s="4" t="e">
        <f>Z4*(1+'Rhaniad y Ddeiliadaeth (Cymru)'!G$118)</f>
        <v>#VALUE!</v>
      </c>
      <c r="AC4" s="260">
        <v>10</v>
      </c>
      <c r="AD4" s="4">
        <f>IF('Rhaniad y Ddeiliadaeth (Cymru)'!$D$18="Data Cofrestrfa Tir",'Prisiau Tai (De-orllewin)'!E4,'Prisiau Tai (De-orllewin)'!W4)</f>
        <v>78600</v>
      </c>
      <c r="AE4" s="4">
        <f>IF('Rhaniad y Ddeiliadaeth (Cymru)'!$D$18="Data Cofrestrfa Tir",'Prisiau Tai (De-orllewin)'!F4,'Prisiau Tai (De-orllewin)'!X4)</f>
        <v>83182.38</v>
      </c>
      <c r="AF4" s="4">
        <f>IF('Rhaniad y Ddeiliadaeth (Cymru)'!$D$18="Data Cofrestrfa Tir",'Prisiau Tai (De-orllewin)'!G4,'Prisiau Tai (De-orllewin)'!Y4)</f>
        <v>89058.128107176686</v>
      </c>
      <c r="AG4" s="4">
        <f>IF('Rhaniad y Ddeiliadaeth (Cymru)'!$D$18="Data Cofrestrfa Tir",'Prisiau Tai (De-orllewin)'!H4,'Prisiau Tai (De-orllewin)'!Z4)</f>
        <v>93904.749031819651</v>
      </c>
      <c r="AH4" s="4">
        <f>IF('Rhaniad y Ddeiliadaeth (Cymru)'!$D$18="Data Cofrestrfa Tir",'Prisiau Tai (De-orllewin)'!I4,'Prisiau Tai (De-orllewin)'!AA4)</f>
        <v>97866.001461955719</v>
      </c>
    </row>
    <row r="5" spans="2:34" x14ac:dyDescent="0.35">
      <c r="B5" s="251">
        <v>11</v>
      </c>
      <c r="C5" s="258">
        <v>75000</v>
      </c>
      <c r="D5" s="258">
        <v>76000</v>
      </c>
      <c r="E5" s="278">
        <f>D5*(1+'Rhaniad y Ddeiliadaeth (De-o)'!C$118)</f>
        <v>79648</v>
      </c>
      <c r="F5" s="278">
        <f>E5*(1+'Rhaniad y Ddeiliadaeth (De-o)'!D$118)</f>
        <v>84291.478400000007</v>
      </c>
      <c r="G5" s="278">
        <f>F5*(1+'Rhaniad y Ddeiliadaeth (De-o)'!E$118)</f>
        <v>90245.569815272378</v>
      </c>
      <c r="H5" s="278">
        <f>G5*(1+'Rhaniad y Ddeiliadaeth (De-o)'!F$118)</f>
        <v>95156.812352243927</v>
      </c>
      <c r="I5" s="279">
        <f>H5*(1+'Rhaniad y Ddeiliadaeth (De-o)'!G$118)</f>
        <v>99170.881481448479</v>
      </c>
      <c r="K5" s="42" t="str">
        <f>IF(K4="","","Dim ond data ar gyfer un blwyddyn sydd angen (naill ai 2017 neu 2018)")</f>
        <v/>
      </c>
      <c r="M5" s="36" t="str">
        <f t="shared" si="0"/>
        <v/>
      </c>
      <c r="N5" s="202"/>
      <c r="O5" s="13">
        <f t="shared" ref="O5:O68" si="3">IF(ISBLANK(N5),1,0)</f>
        <v>1</v>
      </c>
      <c r="U5" s="1">
        <f t="shared" si="1"/>
        <v>11</v>
      </c>
      <c r="V5" s="4" t="str">
        <f t="shared" si="2"/>
        <v/>
      </c>
      <c r="W5" s="4" t="e">
        <f>IF($W$3=$N$3,N5,V5*(1+'Rhaniad y Ddeiliadaeth (Cymru)'!C$118))</f>
        <v>#VALUE!</v>
      </c>
      <c r="X5" s="4" t="e">
        <f>W5*(1+'Rhaniad y Ddeiliadaeth (Cymru)'!D$118)</f>
        <v>#VALUE!</v>
      </c>
      <c r="Y5" s="4" t="e">
        <f>X5*(1+'Rhaniad y Ddeiliadaeth (Cymru)'!E$118)</f>
        <v>#VALUE!</v>
      </c>
      <c r="Z5" s="4" t="e">
        <f>Y5*(1+'Rhaniad y Ddeiliadaeth (Cymru)'!F$118)</f>
        <v>#VALUE!</v>
      </c>
      <c r="AA5" s="4" t="e">
        <f>Z5*(1+'Rhaniad y Ddeiliadaeth (Cymru)'!G$118)</f>
        <v>#VALUE!</v>
      </c>
      <c r="AC5" s="260">
        <v>11</v>
      </c>
      <c r="AD5" s="4">
        <f>IF('Rhaniad y Ddeiliadaeth (Cymru)'!$D$18="Data Cofrestrfa Tir",'Prisiau Tai (De-orllewin)'!E5,'Prisiau Tai (De-orllewin)'!W5)</f>
        <v>79648</v>
      </c>
      <c r="AE5" s="4">
        <f>IF('Rhaniad y Ddeiliadaeth (Cymru)'!$D$18="Data Cofrestrfa Tir",'Prisiau Tai (De-orllewin)'!F5,'Prisiau Tai (De-orllewin)'!X5)</f>
        <v>84291.478400000007</v>
      </c>
      <c r="AF5" s="4">
        <f>IF('Rhaniad y Ddeiliadaeth (Cymru)'!$D$18="Data Cofrestrfa Tir",'Prisiau Tai (De-orllewin)'!G5,'Prisiau Tai (De-orllewin)'!Y5)</f>
        <v>90245.569815272378</v>
      </c>
      <c r="AG5" s="4">
        <f>IF('Rhaniad y Ddeiliadaeth (Cymru)'!$D$18="Data Cofrestrfa Tir",'Prisiau Tai (De-orllewin)'!H5,'Prisiau Tai (De-orllewin)'!Z5)</f>
        <v>95156.812352243927</v>
      </c>
      <c r="AH5" s="4">
        <f>IF('Rhaniad y Ddeiliadaeth (Cymru)'!$D$18="Data Cofrestrfa Tir",'Prisiau Tai (De-orllewin)'!I5,'Prisiau Tai (De-orllewin)'!AA5)</f>
        <v>99170.881481448479</v>
      </c>
    </row>
    <row r="6" spans="2:34" x14ac:dyDescent="0.35">
      <c r="B6" s="251">
        <v>12</v>
      </c>
      <c r="C6" s="258">
        <v>76000</v>
      </c>
      <c r="D6" s="258">
        <v>79000</v>
      </c>
      <c r="E6" s="278">
        <f>D6*(1+'Rhaniad y Ddeiliadaeth (De-o)'!C$118)</f>
        <v>82792</v>
      </c>
      <c r="F6" s="278">
        <f>E6*(1+'Rhaniad y Ddeiliadaeth (De-o)'!D$118)</f>
        <v>87618.7736</v>
      </c>
      <c r="G6" s="278">
        <f>F6*(1+'Rhaniad y Ddeiliadaeth (De-o)'!E$118)</f>
        <v>93807.894939559439</v>
      </c>
      <c r="H6" s="278">
        <f>G6*(1+'Rhaniad y Ddeiliadaeth (De-o)'!F$118)</f>
        <v>98913.002313516699</v>
      </c>
      <c r="I6" s="279">
        <f>H6*(1+'Rhaniad y Ddeiliadaeth (De-o)'!G$118)</f>
        <v>103085.5215399267</v>
      </c>
      <c r="M6" s="36" t="str">
        <f t="shared" si="0"/>
        <v/>
      </c>
      <c r="N6" s="202"/>
      <c r="O6" s="13">
        <f t="shared" si="3"/>
        <v>1</v>
      </c>
      <c r="U6" s="1">
        <f t="shared" si="1"/>
        <v>12</v>
      </c>
      <c r="V6" s="4" t="str">
        <f t="shared" si="2"/>
        <v/>
      </c>
      <c r="W6" s="4" t="e">
        <f>IF($W$3=$N$3,N6,V6*(1+'Rhaniad y Ddeiliadaeth (Cymru)'!C$118))</f>
        <v>#VALUE!</v>
      </c>
      <c r="X6" s="4" t="e">
        <f>W6*(1+'Rhaniad y Ddeiliadaeth (Cymru)'!D$118)</f>
        <v>#VALUE!</v>
      </c>
      <c r="Y6" s="4" t="e">
        <f>X6*(1+'Rhaniad y Ddeiliadaeth (Cymru)'!E$118)</f>
        <v>#VALUE!</v>
      </c>
      <c r="Z6" s="4" t="e">
        <f>Y6*(1+'Rhaniad y Ddeiliadaeth (Cymru)'!F$118)</f>
        <v>#VALUE!</v>
      </c>
      <c r="AA6" s="4" t="e">
        <f>Z6*(1+'Rhaniad y Ddeiliadaeth (Cymru)'!G$118)</f>
        <v>#VALUE!</v>
      </c>
      <c r="AC6" s="260">
        <v>12</v>
      </c>
      <c r="AD6" s="4">
        <f>IF('Rhaniad y Ddeiliadaeth (Cymru)'!$D$18="Data Cofrestrfa Tir",'Prisiau Tai (De-orllewin)'!E6,'Prisiau Tai (De-orllewin)'!W6)</f>
        <v>82792</v>
      </c>
      <c r="AE6" s="4">
        <f>IF('Rhaniad y Ddeiliadaeth (Cymru)'!$D$18="Data Cofrestrfa Tir",'Prisiau Tai (De-orllewin)'!F6,'Prisiau Tai (De-orllewin)'!X6)</f>
        <v>87618.7736</v>
      </c>
      <c r="AF6" s="4">
        <f>IF('Rhaniad y Ddeiliadaeth (Cymru)'!$D$18="Data Cofrestrfa Tir",'Prisiau Tai (De-orllewin)'!G6,'Prisiau Tai (De-orllewin)'!Y6)</f>
        <v>93807.894939559439</v>
      </c>
      <c r="AG6" s="4">
        <f>IF('Rhaniad y Ddeiliadaeth (Cymru)'!$D$18="Data Cofrestrfa Tir",'Prisiau Tai (De-orllewin)'!H6,'Prisiau Tai (De-orllewin)'!Z6)</f>
        <v>98913.002313516699</v>
      </c>
      <c r="AH6" s="4">
        <f>IF('Rhaniad y Ddeiliadaeth (Cymru)'!$D$18="Data Cofrestrfa Tir",'Prisiau Tai (De-orllewin)'!I6,'Prisiau Tai (De-orllewin)'!AA6)</f>
        <v>103085.5215399267</v>
      </c>
    </row>
    <row r="7" spans="2:34" x14ac:dyDescent="0.35">
      <c r="B7" s="251">
        <v>13</v>
      </c>
      <c r="C7" s="258">
        <v>78000</v>
      </c>
      <c r="D7" s="258">
        <v>80000</v>
      </c>
      <c r="E7" s="278">
        <f>D7*(1+'Rhaniad y Ddeiliadaeth (De-o)'!C$118)</f>
        <v>83840</v>
      </c>
      <c r="F7" s="278">
        <f>E7*(1+'Rhaniad y Ddeiliadaeth (De-o)'!D$118)</f>
        <v>88727.872000000003</v>
      </c>
      <c r="G7" s="278">
        <f>F7*(1+'Rhaniad y Ddeiliadaeth (De-o)'!E$118)</f>
        <v>94995.336647655131</v>
      </c>
      <c r="H7" s="278">
        <f>G7*(1+'Rhaniad y Ddeiliadaeth (De-o)'!F$118)</f>
        <v>100165.06563394096</v>
      </c>
      <c r="I7" s="279">
        <f>H7*(1+'Rhaniad y Ddeiliadaeth (De-o)'!G$118)</f>
        <v>104390.40155941944</v>
      </c>
      <c r="K7" s="10" t="str">
        <f>IF(K4="","",IF(O85=1,"Dewis defnyddiwr anghyflawn",IF(O85=0,"Dewis defnyddiwr yn gyflawn","")))</f>
        <v/>
      </c>
      <c r="M7" s="36" t="str">
        <f t="shared" si="0"/>
        <v/>
      </c>
      <c r="N7" s="202"/>
      <c r="O7" s="13">
        <f t="shared" si="3"/>
        <v>1</v>
      </c>
      <c r="U7" s="1">
        <f t="shared" si="1"/>
        <v>13</v>
      </c>
      <c r="V7" s="4" t="str">
        <f t="shared" si="2"/>
        <v/>
      </c>
      <c r="W7" s="4" t="e">
        <f>IF($W$3=$N$3,N7,V7*(1+'Rhaniad y Ddeiliadaeth (Cymru)'!C$118))</f>
        <v>#VALUE!</v>
      </c>
      <c r="X7" s="4" t="e">
        <f>W7*(1+'Rhaniad y Ddeiliadaeth (Cymru)'!D$118)</f>
        <v>#VALUE!</v>
      </c>
      <c r="Y7" s="4" t="e">
        <f>X7*(1+'Rhaniad y Ddeiliadaeth (Cymru)'!E$118)</f>
        <v>#VALUE!</v>
      </c>
      <c r="Z7" s="4" t="e">
        <f>Y7*(1+'Rhaniad y Ddeiliadaeth (Cymru)'!F$118)</f>
        <v>#VALUE!</v>
      </c>
      <c r="AA7" s="4" t="e">
        <f>Z7*(1+'Rhaniad y Ddeiliadaeth (Cymru)'!G$118)</f>
        <v>#VALUE!</v>
      </c>
      <c r="AC7" s="260">
        <v>13</v>
      </c>
      <c r="AD7" s="4">
        <f>IF('Rhaniad y Ddeiliadaeth (Cymru)'!$D$18="Data Cofrestrfa Tir",'Prisiau Tai (De-orllewin)'!E7,'Prisiau Tai (De-orllewin)'!W7)</f>
        <v>83840</v>
      </c>
      <c r="AE7" s="4">
        <f>IF('Rhaniad y Ddeiliadaeth (Cymru)'!$D$18="Data Cofrestrfa Tir",'Prisiau Tai (De-orllewin)'!F7,'Prisiau Tai (De-orllewin)'!X7)</f>
        <v>88727.872000000003</v>
      </c>
      <c r="AF7" s="4">
        <f>IF('Rhaniad y Ddeiliadaeth (Cymru)'!$D$18="Data Cofrestrfa Tir",'Prisiau Tai (De-orllewin)'!G7,'Prisiau Tai (De-orllewin)'!Y7)</f>
        <v>94995.336647655131</v>
      </c>
      <c r="AG7" s="4">
        <f>IF('Rhaniad y Ddeiliadaeth (Cymru)'!$D$18="Data Cofrestrfa Tir",'Prisiau Tai (De-orllewin)'!H7,'Prisiau Tai (De-orllewin)'!Z7)</f>
        <v>100165.06563394096</v>
      </c>
      <c r="AH7" s="4">
        <f>IF('Rhaniad y Ddeiliadaeth (Cymru)'!$D$18="Data Cofrestrfa Tir",'Prisiau Tai (De-orllewin)'!I7,'Prisiau Tai (De-orllewin)'!AA7)</f>
        <v>104390.40155941944</v>
      </c>
    </row>
    <row r="8" spans="2:34" x14ac:dyDescent="0.35">
      <c r="B8" s="251">
        <v>14</v>
      </c>
      <c r="C8" s="258">
        <v>80000</v>
      </c>
      <c r="D8" s="258">
        <v>82000</v>
      </c>
      <c r="E8" s="278">
        <f>D8*(1+'Rhaniad y Ddeiliadaeth (De-o)'!C$118)</f>
        <v>85936</v>
      </c>
      <c r="F8" s="278">
        <f>E8*(1+'Rhaniad y Ddeiliadaeth (De-o)'!D$118)</f>
        <v>90946.068800000008</v>
      </c>
      <c r="G8" s="278">
        <f>F8*(1+'Rhaniad y Ddeiliadaeth (De-o)'!E$118)</f>
        <v>97370.220063846515</v>
      </c>
      <c r="H8" s="278">
        <f>G8*(1+'Rhaniad y Ddeiliadaeth (De-o)'!F$118)</f>
        <v>102669.1922747895</v>
      </c>
      <c r="I8" s="279">
        <f>H8*(1+'Rhaniad y Ddeiliadaeth (De-o)'!G$118)</f>
        <v>107000.16159840494</v>
      </c>
      <c r="L8" s="246"/>
      <c r="M8" s="36" t="str">
        <f t="shared" si="0"/>
        <v/>
      </c>
      <c r="N8" s="202"/>
      <c r="O8" s="13">
        <f t="shared" si="3"/>
        <v>1</v>
      </c>
      <c r="U8" s="1">
        <f t="shared" si="1"/>
        <v>14</v>
      </c>
      <c r="V8" s="4" t="str">
        <f t="shared" si="2"/>
        <v/>
      </c>
      <c r="W8" s="4" t="e">
        <f>IF($W$3=$N$3,N8,V8*(1+'Rhaniad y Ddeiliadaeth (Cymru)'!C$118))</f>
        <v>#VALUE!</v>
      </c>
      <c r="X8" s="4" t="e">
        <f>W8*(1+'Rhaniad y Ddeiliadaeth (Cymru)'!D$118)</f>
        <v>#VALUE!</v>
      </c>
      <c r="Y8" s="4" t="e">
        <f>X8*(1+'Rhaniad y Ddeiliadaeth (Cymru)'!E$118)</f>
        <v>#VALUE!</v>
      </c>
      <c r="Z8" s="4" t="e">
        <f>Y8*(1+'Rhaniad y Ddeiliadaeth (Cymru)'!F$118)</f>
        <v>#VALUE!</v>
      </c>
      <c r="AA8" s="4" t="e">
        <f>Z8*(1+'Rhaniad y Ddeiliadaeth (Cymru)'!G$118)</f>
        <v>#VALUE!</v>
      </c>
      <c r="AC8" s="260">
        <v>14</v>
      </c>
      <c r="AD8" s="4">
        <f>IF('Rhaniad y Ddeiliadaeth (Cymru)'!$D$18="Data Cofrestrfa Tir",'Prisiau Tai (De-orllewin)'!E8,'Prisiau Tai (De-orllewin)'!W8)</f>
        <v>85936</v>
      </c>
      <c r="AE8" s="4">
        <f>IF('Rhaniad y Ddeiliadaeth (Cymru)'!$D$18="Data Cofrestrfa Tir",'Prisiau Tai (De-orllewin)'!F8,'Prisiau Tai (De-orllewin)'!X8)</f>
        <v>90946.068800000008</v>
      </c>
      <c r="AF8" s="4">
        <f>IF('Rhaniad y Ddeiliadaeth (Cymru)'!$D$18="Data Cofrestrfa Tir",'Prisiau Tai (De-orllewin)'!G8,'Prisiau Tai (De-orllewin)'!Y8)</f>
        <v>97370.220063846515</v>
      </c>
      <c r="AG8" s="4">
        <f>IF('Rhaniad y Ddeiliadaeth (Cymru)'!$D$18="Data Cofrestrfa Tir",'Prisiau Tai (De-orllewin)'!H8,'Prisiau Tai (De-orllewin)'!Z8)</f>
        <v>102669.1922747895</v>
      </c>
      <c r="AH8" s="4">
        <f>IF('Rhaniad y Ddeiliadaeth (Cymru)'!$D$18="Data Cofrestrfa Tir",'Prisiau Tai (De-orllewin)'!I8,'Prisiau Tai (De-orllewin)'!AA8)</f>
        <v>107000.16159840494</v>
      </c>
    </row>
    <row r="9" spans="2:34" ht="14.5" customHeight="1" x14ac:dyDescent="0.35">
      <c r="B9" s="251">
        <v>15</v>
      </c>
      <c r="C9" s="258">
        <v>80000</v>
      </c>
      <c r="D9" s="258">
        <v>84000</v>
      </c>
      <c r="E9" s="278">
        <f>D9*(1+'Rhaniad y Ddeiliadaeth (De-o)'!C$118)</f>
        <v>88032</v>
      </c>
      <c r="F9" s="278">
        <f>E9*(1+'Rhaniad y Ddeiliadaeth (De-o)'!D$118)</f>
        <v>93164.265599999999</v>
      </c>
      <c r="G9" s="278">
        <f>F9*(1+'Rhaniad y Ddeiliadaeth (De-o)'!E$118)</f>
        <v>99745.103480037884</v>
      </c>
      <c r="H9" s="278">
        <f>G9*(1+'Rhaniad y Ddeiliadaeth (De-o)'!F$118)</f>
        <v>105173.31891563801</v>
      </c>
      <c r="I9" s="279">
        <f>H9*(1+'Rhaniad y Ddeiliadaeth (De-o)'!G$118)</f>
        <v>109609.92163739041</v>
      </c>
      <c r="K9" s="567" t="str">
        <f>IF(K4="","Os ydych am ddefnyddio eich dosraniad data incwm eich hunan, newidiwch y dewis yn y blwch","")</f>
        <v>Os ydych am ddefnyddio eich dosraniad data incwm eich hunan, newidiwch y dewis yn y blwch</v>
      </c>
      <c r="L9" s="246"/>
      <c r="M9" s="36" t="str">
        <f t="shared" si="0"/>
        <v/>
      </c>
      <c r="N9" s="202"/>
      <c r="O9" s="13">
        <f t="shared" si="3"/>
        <v>1</v>
      </c>
      <c r="U9" s="1">
        <f t="shared" si="1"/>
        <v>15</v>
      </c>
      <c r="V9" s="4" t="str">
        <f t="shared" si="2"/>
        <v/>
      </c>
      <c r="W9" s="4" t="e">
        <f>IF($W$3=$N$3,N9,V9*(1+'Rhaniad y Ddeiliadaeth (Cymru)'!C$118))</f>
        <v>#VALUE!</v>
      </c>
      <c r="X9" s="4" t="e">
        <f>W9*(1+'Rhaniad y Ddeiliadaeth (Cymru)'!D$118)</f>
        <v>#VALUE!</v>
      </c>
      <c r="Y9" s="4" t="e">
        <f>X9*(1+'Rhaniad y Ddeiliadaeth (Cymru)'!E$118)</f>
        <v>#VALUE!</v>
      </c>
      <c r="Z9" s="4" t="e">
        <f>Y9*(1+'Rhaniad y Ddeiliadaeth (Cymru)'!F$118)</f>
        <v>#VALUE!</v>
      </c>
      <c r="AA9" s="4" t="e">
        <f>Z9*(1+'Rhaniad y Ddeiliadaeth (Cymru)'!G$118)</f>
        <v>#VALUE!</v>
      </c>
      <c r="AC9" s="260">
        <v>15</v>
      </c>
      <c r="AD9" s="4">
        <f>IF('Rhaniad y Ddeiliadaeth (Cymru)'!$D$18="Data Cofrestrfa Tir",'Prisiau Tai (De-orllewin)'!E9,'Prisiau Tai (De-orllewin)'!W9)</f>
        <v>88032</v>
      </c>
      <c r="AE9" s="4">
        <f>IF('Rhaniad y Ddeiliadaeth (Cymru)'!$D$18="Data Cofrestrfa Tir",'Prisiau Tai (De-orllewin)'!F9,'Prisiau Tai (De-orllewin)'!X9)</f>
        <v>93164.265599999999</v>
      </c>
      <c r="AF9" s="4">
        <f>IF('Rhaniad y Ddeiliadaeth (Cymru)'!$D$18="Data Cofrestrfa Tir",'Prisiau Tai (De-orllewin)'!G9,'Prisiau Tai (De-orllewin)'!Y9)</f>
        <v>99745.103480037884</v>
      </c>
      <c r="AG9" s="4">
        <f>IF('Rhaniad y Ddeiliadaeth (Cymru)'!$D$18="Data Cofrestrfa Tir",'Prisiau Tai (De-orllewin)'!H9,'Prisiau Tai (De-orllewin)'!Z9)</f>
        <v>105173.31891563801</v>
      </c>
      <c r="AH9" s="4">
        <f>IF('Rhaniad y Ddeiliadaeth (Cymru)'!$D$18="Data Cofrestrfa Tir",'Prisiau Tai (De-orllewin)'!I9,'Prisiau Tai (De-orllewin)'!AA9)</f>
        <v>109609.92163739041</v>
      </c>
    </row>
    <row r="10" spans="2:34" x14ac:dyDescent="0.35">
      <c r="B10" s="251">
        <v>16</v>
      </c>
      <c r="C10" s="258">
        <v>82500</v>
      </c>
      <c r="D10" s="258">
        <v>85000</v>
      </c>
      <c r="E10" s="278">
        <f>D10*(1+'Rhaniad y Ddeiliadaeth (De-o)'!C$118)</f>
        <v>89080</v>
      </c>
      <c r="F10" s="278">
        <f>E10*(1+'Rhaniad y Ddeiliadaeth (De-o)'!D$118)</f>
        <v>94273.364000000001</v>
      </c>
      <c r="G10" s="278">
        <f>F10*(1+'Rhaniad y Ddeiliadaeth (De-o)'!E$118)</f>
        <v>100932.54518813358</v>
      </c>
      <c r="H10" s="278">
        <f>G10*(1+'Rhaniad y Ddeiliadaeth (De-o)'!F$118)</f>
        <v>106425.38223606227</v>
      </c>
      <c r="I10" s="279">
        <f>H10*(1+'Rhaniad y Ddeiliadaeth (De-o)'!G$118)</f>
        <v>110914.80165688315</v>
      </c>
      <c r="K10" s="567"/>
      <c r="L10" s="246"/>
      <c r="M10" s="36" t="str">
        <f t="shared" si="0"/>
        <v/>
      </c>
      <c r="N10" s="202"/>
      <c r="O10" s="13">
        <f t="shared" si="3"/>
        <v>1</v>
      </c>
      <c r="U10" s="1">
        <f t="shared" si="1"/>
        <v>16</v>
      </c>
      <c r="V10" s="4" t="str">
        <f t="shared" si="2"/>
        <v/>
      </c>
      <c r="W10" s="4" t="e">
        <f>IF($W$3=$N$3,N10,V10*(1+'Rhaniad y Ddeiliadaeth (Cymru)'!C$118))</f>
        <v>#VALUE!</v>
      </c>
      <c r="X10" s="4" t="e">
        <f>W10*(1+'Rhaniad y Ddeiliadaeth (Cymru)'!D$118)</f>
        <v>#VALUE!</v>
      </c>
      <c r="Y10" s="4" t="e">
        <f>X10*(1+'Rhaniad y Ddeiliadaeth (Cymru)'!E$118)</f>
        <v>#VALUE!</v>
      </c>
      <c r="Z10" s="4" t="e">
        <f>Y10*(1+'Rhaniad y Ddeiliadaeth (Cymru)'!F$118)</f>
        <v>#VALUE!</v>
      </c>
      <c r="AA10" s="4" t="e">
        <f>Z10*(1+'Rhaniad y Ddeiliadaeth (Cymru)'!G$118)</f>
        <v>#VALUE!</v>
      </c>
      <c r="AC10" s="260">
        <v>16</v>
      </c>
      <c r="AD10" s="4">
        <f>IF('Rhaniad y Ddeiliadaeth (Cymru)'!$D$18="Data Cofrestrfa Tir",'Prisiau Tai (De-orllewin)'!E10,'Prisiau Tai (De-orllewin)'!W10)</f>
        <v>89080</v>
      </c>
      <c r="AE10" s="4">
        <f>IF('Rhaniad y Ddeiliadaeth (Cymru)'!$D$18="Data Cofrestrfa Tir",'Prisiau Tai (De-orllewin)'!F10,'Prisiau Tai (De-orllewin)'!X10)</f>
        <v>94273.364000000001</v>
      </c>
      <c r="AF10" s="4">
        <f>IF('Rhaniad y Ddeiliadaeth (Cymru)'!$D$18="Data Cofrestrfa Tir",'Prisiau Tai (De-orllewin)'!G10,'Prisiau Tai (De-orllewin)'!Y10)</f>
        <v>100932.54518813358</v>
      </c>
      <c r="AG10" s="4">
        <f>IF('Rhaniad y Ddeiliadaeth (Cymru)'!$D$18="Data Cofrestrfa Tir",'Prisiau Tai (De-orllewin)'!H10,'Prisiau Tai (De-orllewin)'!Z10)</f>
        <v>106425.38223606227</v>
      </c>
      <c r="AH10" s="4">
        <f>IF('Rhaniad y Ddeiliadaeth (Cymru)'!$D$18="Data Cofrestrfa Tir",'Prisiau Tai (De-orllewin)'!I10,'Prisiau Tai (De-orllewin)'!AA10)</f>
        <v>110914.80165688315</v>
      </c>
    </row>
    <row r="11" spans="2:34" x14ac:dyDescent="0.35">
      <c r="B11" s="251">
        <v>17</v>
      </c>
      <c r="C11" s="258">
        <v>84500</v>
      </c>
      <c r="D11" s="258">
        <v>86000</v>
      </c>
      <c r="E11" s="278">
        <f>D11*(1+'Rhaniad y Ddeiliadaeth (De-o)'!C$118)</f>
        <v>90128</v>
      </c>
      <c r="F11" s="278">
        <f>E11*(1+'Rhaniad y Ddeiliadaeth (De-o)'!D$118)</f>
        <v>95382.462400000004</v>
      </c>
      <c r="G11" s="278">
        <f>F11*(1+'Rhaniad y Ddeiliadaeth (De-o)'!E$118)</f>
        <v>102119.98689622927</v>
      </c>
      <c r="H11" s="278">
        <f>G11*(1+'Rhaniad y Ddeiliadaeth (De-o)'!F$118)</f>
        <v>107677.44555648653</v>
      </c>
      <c r="I11" s="279">
        <f>H11*(1+'Rhaniad y Ddeiliadaeth (De-o)'!G$118)</f>
        <v>112219.6816763759</v>
      </c>
      <c r="K11" s="246"/>
      <c r="L11" s="246"/>
      <c r="M11" s="36" t="str">
        <f t="shared" si="0"/>
        <v/>
      </c>
      <c r="N11" s="202"/>
      <c r="O11" s="13">
        <f t="shared" si="3"/>
        <v>1</v>
      </c>
      <c r="U11" s="1">
        <f t="shared" si="1"/>
        <v>17</v>
      </c>
      <c r="V11" s="4" t="str">
        <f t="shared" si="2"/>
        <v/>
      </c>
      <c r="W11" s="4" t="e">
        <f>IF($W$3=$N$3,N11,V11*(1+'Rhaniad y Ddeiliadaeth (Cymru)'!C$118))</f>
        <v>#VALUE!</v>
      </c>
      <c r="X11" s="4" t="e">
        <f>W11*(1+'Rhaniad y Ddeiliadaeth (Cymru)'!D$118)</f>
        <v>#VALUE!</v>
      </c>
      <c r="Y11" s="4" t="e">
        <f>X11*(1+'Rhaniad y Ddeiliadaeth (Cymru)'!E$118)</f>
        <v>#VALUE!</v>
      </c>
      <c r="Z11" s="4" t="e">
        <f>Y11*(1+'Rhaniad y Ddeiliadaeth (Cymru)'!F$118)</f>
        <v>#VALUE!</v>
      </c>
      <c r="AA11" s="4" t="e">
        <f>Z11*(1+'Rhaniad y Ddeiliadaeth (Cymru)'!G$118)</f>
        <v>#VALUE!</v>
      </c>
      <c r="AC11" s="260">
        <v>17</v>
      </c>
      <c r="AD11" s="4">
        <f>IF('Rhaniad y Ddeiliadaeth (Cymru)'!$D$18="Data Cofrestrfa Tir",'Prisiau Tai (De-orllewin)'!E11,'Prisiau Tai (De-orllewin)'!W11)</f>
        <v>90128</v>
      </c>
      <c r="AE11" s="4">
        <f>IF('Rhaniad y Ddeiliadaeth (Cymru)'!$D$18="Data Cofrestrfa Tir",'Prisiau Tai (De-orllewin)'!F11,'Prisiau Tai (De-orllewin)'!X11)</f>
        <v>95382.462400000004</v>
      </c>
      <c r="AF11" s="4">
        <f>IF('Rhaniad y Ddeiliadaeth (Cymru)'!$D$18="Data Cofrestrfa Tir",'Prisiau Tai (De-orllewin)'!G11,'Prisiau Tai (De-orllewin)'!Y11)</f>
        <v>102119.98689622927</v>
      </c>
      <c r="AG11" s="4">
        <f>IF('Rhaniad y Ddeiliadaeth (Cymru)'!$D$18="Data Cofrestrfa Tir",'Prisiau Tai (De-orllewin)'!H11,'Prisiau Tai (De-orllewin)'!Z11)</f>
        <v>107677.44555648653</v>
      </c>
      <c r="AH11" s="4">
        <f>IF('Rhaniad y Ddeiliadaeth (Cymru)'!$D$18="Data Cofrestrfa Tir",'Prisiau Tai (De-orllewin)'!I11,'Prisiau Tai (De-orllewin)'!AA11)</f>
        <v>112219.6816763759</v>
      </c>
    </row>
    <row r="12" spans="2:34" x14ac:dyDescent="0.35">
      <c r="B12" s="251">
        <v>18</v>
      </c>
      <c r="C12" s="258">
        <v>85000</v>
      </c>
      <c r="D12" s="258">
        <v>88000</v>
      </c>
      <c r="E12" s="278">
        <f>D12*(1+'Rhaniad y Ddeiliadaeth (De-o)'!C$118)</f>
        <v>92224</v>
      </c>
      <c r="F12" s="278">
        <f>E12*(1+'Rhaniad y Ddeiliadaeth (De-o)'!D$118)</f>
        <v>97600.659199999995</v>
      </c>
      <c r="G12" s="278">
        <f>F12*(1+'Rhaniad y Ddeiliadaeth (De-o)'!E$118)</f>
        <v>104494.87031242064</v>
      </c>
      <c r="H12" s="278">
        <f>G12*(1+'Rhaniad y Ddeiliadaeth (De-o)'!F$118)</f>
        <v>110181.57219733506</v>
      </c>
      <c r="I12" s="279">
        <f>H12*(1+'Rhaniad y Ddeiliadaeth (De-o)'!G$118)</f>
        <v>114829.44171536139</v>
      </c>
      <c r="K12" s="246"/>
      <c r="L12" s="246"/>
      <c r="M12" s="36" t="str">
        <f t="shared" si="0"/>
        <v/>
      </c>
      <c r="N12" s="202"/>
      <c r="O12" s="13">
        <f t="shared" si="3"/>
        <v>1</v>
      </c>
      <c r="U12" s="1">
        <f t="shared" si="1"/>
        <v>18</v>
      </c>
      <c r="V12" s="4" t="str">
        <f t="shared" si="2"/>
        <v/>
      </c>
      <c r="W12" s="4" t="e">
        <f>IF($W$3=$N$3,N12,V12*(1+'Rhaniad y Ddeiliadaeth (Cymru)'!C$118))</f>
        <v>#VALUE!</v>
      </c>
      <c r="X12" s="4" t="e">
        <f>W12*(1+'Rhaniad y Ddeiliadaeth (Cymru)'!D$118)</f>
        <v>#VALUE!</v>
      </c>
      <c r="Y12" s="4" t="e">
        <f>X12*(1+'Rhaniad y Ddeiliadaeth (Cymru)'!E$118)</f>
        <v>#VALUE!</v>
      </c>
      <c r="Z12" s="4" t="e">
        <f>Y12*(1+'Rhaniad y Ddeiliadaeth (Cymru)'!F$118)</f>
        <v>#VALUE!</v>
      </c>
      <c r="AA12" s="4" t="e">
        <f>Z12*(1+'Rhaniad y Ddeiliadaeth (Cymru)'!G$118)</f>
        <v>#VALUE!</v>
      </c>
      <c r="AC12" s="260">
        <v>18</v>
      </c>
      <c r="AD12" s="4">
        <f>IF('Rhaniad y Ddeiliadaeth (Cymru)'!$D$18="Data Cofrestrfa Tir",'Prisiau Tai (De-orllewin)'!E12,'Prisiau Tai (De-orllewin)'!W12)</f>
        <v>92224</v>
      </c>
      <c r="AE12" s="4">
        <f>IF('Rhaniad y Ddeiliadaeth (Cymru)'!$D$18="Data Cofrestrfa Tir",'Prisiau Tai (De-orllewin)'!F12,'Prisiau Tai (De-orllewin)'!X12)</f>
        <v>97600.659199999995</v>
      </c>
      <c r="AF12" s="4">
        <f>IF('Rhaniad y Ddeiliadaeth (Cymru)'!$D$18="Data Cofrestrfa Tir",'Prisiau Tai (De-orllewin)'!G12,'Prisiau Tai (De-orllewin)'!Y12)</f>
        <v>104494.87031242064</v>
      </c>
      <c r="AG12" s="4">
        <f>IF('Rhaniad y Ddeiliadaeth (Cymru)'!$D$18="Data Cofrestrfa Tir",'Prisiau Tai (De-orllewin)'!H12,'Prisiau Tai (De-orllewin)'!Z12)</f>
        <v>110181.57219733506</v>
      </c>
      <c r="AH12" s="4">
        <f>IF('Rhaniad y Ddeiliadaeth (Cymru)'!$D$18="Data Cofrestrfa Tir",'Prisiau Tai (De-orllewin)'!I12,'Prisiau Tai (De-orllewin)'!AA12)</f>
        <v>114829.44171536139</v>
      </c>
    </row>
    <row r="13" spans="2:34" x14ac:dyDescent="0.35">
      <c r="B13" s="251">
        <v>19</v>
      </c>
      <c r="C13" s="258">
        <v>87000</v>
      </c>
      <c r="D13" s="258">
        <v>90000</v>
      </c>
      <c r="E13" s="278">
        <f>D13*(1+'Rhaniad y Ddeiliadaeth (De-o)'!C$118)</f>
        <v>94320</v>
      </c>
      <c r="F13" s="278">
        <f>E13*(1+'Rhaniad y Ddeiliadaeth (De-o)'!D$118)</f>
        <v>99818.856</v>
      </c>
      <c r="G13" s="278">
        <f>F13*(1+'Rhaniad y Ddeiliadaeth (De-o)'!E$118)</f>
        <v>106869.75372861202</v>
      </c>
      <c r="H13" s="278">
        <f>G13*(1+'Rhaniad y Ddeiliadaeth (De-o)'!F$118)</f>
        <v>112685.69883818358</v>
      </c>
      <c r="I13" s="279">
        <f>H13*(1+'Rhaniad y Ddeiliadaeth (De-o)'!G$118)</f>
        <v>117439.20175434687</v>
      </c>
      <c r="K13" s="246"/>
      <c r="L13" s="246"/>
      <c r="M13" s="36" t="str">
        <f t="shared" si="0"/>
        <v/>
      </c>
      <c r="N13" s="202"/>
      <c r="O13" s="13">
        <f t="shared" si="3"/>
        <v>1</v>
      </c>
      <c r="U13" s="1">
        <f t="shared" si="1"/>
        <v>19</v>
      </c>
      <c r="V13" s="4" t="str">
        <f t="shared" si="2"/>
        <v/>
      </c>
      <c r="W13" s="4" t="e">
        <f>IF($W$3=$N$3,N13,V13*(1+'Rhaniad y Ddeiliadaeth (Cymru)'!C$118))</f>
        <v>#VALUE!</v>
      </c>
      <c r="X13" s="4" t="e">
        <f>W13*(1+'Rhaniad y Ddeiliadaeth (Cymru)'!D$118)</f>
        <v>#VALUE!</v>
      </c>
      <c r="Y13" s="4" t="e">
        <f>X13*(1+'Rhaniad y Ddeiliadaeth (Cymru)'!E$118)</f>
        <v>#VALUE!</v>
      </c>
      <c r="Z13" s="4" t="e">
        <f>Y13*(1+'Rhaniad y Ddeiliadaeth (Cymru)'!F$118)</f>
        <v>#VALUE!</v>
      </c>
      <c r="AA13" s="4" t="e">
        <f>Z13*(1+'Rhaniad y Ddeiliadaeth (Cymru)'!G$118)</f>
        <v>#VALUE!</v>
      </c>
      <c r="AC13" s="260">
        <v>19</v>
      </c>
      <c r="AD13" s="4">
        <f>IF('Rhaniad y Ddeiliadaeth (Cymru)'!$D$18="Data Cofrestrfa Tir",'Prisiau Tai (De-orllewin)'!E13,'Prisiau Tai (De-orllewin)'!W13)</f>
        <v>94320</v>
      </c>
      <c r="AE13" s="4">
        <f>IF('Rhaniad y Ddeiliadaeth (Cymru)'!$D$18="Data Cofrestrfa Tir",'Prisiau Tai (De-orllewin)'!F13,'Prisiau Tai (De-orllewin)'!X13)</f>
        <v>99818.856</v>
      </c>
      <c r="AF13" s="4">
        <f>IF('Rhaniad y Ddeiliadaeth (Cymru)'!$D$18="Data Cofrestrfa Tir",'Prisiau Tai (De-orllewin)'!G13,'Prisiau Tai (De-orllewin)'!Y13)</f>
        <v>106869.75372861202</v>
      </c>
      <c r="AG13" s="4">
        <f>IF('Rhaniad y Ddeiliadaeth (Cymru)'!$D$18="Data Cofrestrfa Tir",'Prisiau Tai (De-orllewin)'!H13,'Prisiau Tai (De-orllewin)'!Z13)</f>
        <v>112685.69883818358</v>
      </c>
      <c r="AH13" s="4">
        <f>IF('Rhaniad y Ddeiliadaeth (Cymru)'!$D$18="Data Cofrestrfa Tir",'Prisiau Tai (De-orllewin)'!I13,'Prisiau Tai (De-orllewin)'!AA13)</f>
        <v>117439.20175434687</v>
      </c>
    </row>
    <row r="14" spans="2:34" x14ac:dyDescent="0.35">
      <c r="B14" s="251">
        <v>20</v>
      </c>
      <c r="C14" s="258">
        <v>89199.600000000049</v>
      </c>
      <c r="D14" s="258">
        <v>90000</v>
      </c>
      <c r="E14" s="278">
        <f>D14*(1+'Rhaniad y Ddeiliadaeth (De-o)'!C$118)</f>
        <v>94320</v>
      </c>
      <c r="F14" s="278">
        <f>E14*(1+'Rhaniad y Ddeiliadaeth (De-o)'!D$118)</f>
        <v>99818.856</v>
      </c>
      <c r="G14" s="278">
        <f>F14*(1+'Rhaniad y Ddeiliadaeth (De-o)'!E$118)</f>
        <v>106869.75372861202</v>
      </c>
      <c r="H14" s="278">
        <f>G14*(1+'Rhaniad y Ddeiliadaeth (De-o)'!F$118)</f>
        <v>112685.69883818358</v>
      </c>
      <c r="I14" s="279">
        <f>H14*(1+'Rhaniad y Ddeiliadaeth (De-o)'!G$118)</f>
        <v>117439.20175434687</v>
      </c>
      <c r="M14" s="36" t="str">
        <f t="shared" si="0"/>
        <v/>
      </c>
      <c r="N14" s="202"/>
      <c r="O14" s="13">
        <f t="shared" si="3"/>
        <v>1</v>
      </c>
      <c r="U14" s="1">
        <f t="shared" si="1"/>
        <v>20</v>
      </c>
      <c r="V14" s="4" t="str">
        <f t="shared" si="2"/>
        <v/>
      </c>
      <c r="W14" s="4" t="e">
        <f>IF($W$3=$N$3,N14,V14*(1+'Rhaniad y Ddeiliadaeth (Cymru)'!C$118))</f>
        <v>#VALUE!</v>
      </c>
      <c r="X14" s="4" t="e">
        <f>W14*(1+'Rhaniad y Ddeiliadaeth (Cymru)'!D$118)</f>
        <v>#VALUE!</v>
      </c>
      <c r="Y14" s="4" t="e">
        <f>X14*(1+'Rhaniad y Ddeiliadaeth (Cymru)'!E$118)</f>
        <v>#VALUE!</v>
      </c>
      <c r="Z14" s="4" t="e">
        <f>Y14*(1+'Rhaniad y Ddeiliadaeth (Cymru)'!F$118)</f>
        <v>#VALUE!</v>
      </c>
      <c r="AA14" s="4" t="e">
        <f>Z14*(1+'Rhaniad y Ddeiliadaeth (Cymru)'!G$118)</f>
        <v>#VALUE!</v>
      </c>
      <c r="AC14" s="260">
        <v>20</v>
      </c>
      <c r="AD14" s="4">
        <f>IF('Rhaniad y Ddeiliadaeth (Cymru)'!$D$18="Data Cofrestrfa Tir",'Prisiau Tai (De-orllewin)'!E14,'Prisiau Tai (De-orllewin)'!W14)</f>
        <v>94320</v>
      </c>
      <c r="AE14" s="4">
        <f>IF('Rhaniad y Ddeiliadaeth (Cymru)'!$D$18="Data Cofrestrfa Tir",'Prisiau Tai (De-orllewin)'!F14,'Prisiau Tai (De-orllewin)'!X14)</f>
        <v>99818.856</v>
      </c>
      <c r="AF14" s="4">
        <f>IF('Rhaniad y Ddeiliadaeth (Cymru)'!$D$18="Data Cofrestrfa Tir",'Prisiau Tai (De-orllewin)'!G14,'Prisiau Tai (De-orllewin)'!Y14)</f>
        <v>106869.75372861202</v>
      </c>
      <c r="AG14" s="4">
        <f>IF('Rhaniad y Ddeiliadaeth (Cymru)'!$D$18="Data Cofrestrfa Tir",'Prisiau Tai (De-orllewin)'!H14,'Prisiau Tai (De-orllewin)'!Z14)</f>
        <v>112685.69883818358</v>
      </c>
      <c r="AH14" s="4">
        <f>IF('Rhaniad y Ddeiliadaeth (Cymru)'!$D$18="Data Cofrestrfa Tir",'Prisiau Tai (De-orllewin)'!I14,'Prisiau Tai (De-orllewin)'!AA14)</f>
        <v>117439.20175434687</v>
      </c>
    </row>
    <row r="15" spans="2:34" x14ac:dyDescent="0.35">
      <c r="B15" s="251">
        <v>21</v>
      </c>
      <c r="C15" s="258">
        <v>90000</v>
      </c>
      <c r="D15" s="258">
        <v>92500</v>
      </c>
      <c r="E15" s="278">
        <f>D15*(1+'Rhaniad y Ddeiliadaeth (De-o)'!C$118)</f>
        <v>96940</v>
      </c>
      <c r="F15" s="278">
        <f>E15*(1+'Rhaniad y Ddeiliadaeth (De-o)'!D$118)</f>
        <v>102591.602</v>
      </c>
      <c r="G15" s="278">
        <f>F15*(1+'Rhaniad y Ddeiliadaeth (De-o)'!E$118)</f>
        <v>109838.35799885124</v>
      </c>
      <c r="H15" s="278">
        <f>G15*(1+'Rhaniad y Ddeiliadaeth (De-o)'!F$118)</f>
        <v>115815.85713924422</v>
      </c>
      <c r="I15" s="279">
        <f>H15*(1+'Rhaniad y Ddeiliadaeth (De-o)'!G$118)</f>
        <v>120701.40180307871</v>
      </c>
      <c r="M15" s="36" t="str">
        <f t="shared" si="0"/>
        <v/>
      </c>
      <c r="N15" s="202"/>
      <c r="O15" s="13">
        <f t="shared" si="3"/>
        <v>1</v>
      </c>
      <c r="U15" s="1">
        <f t="shared" si="1"/>
        <v>21</v>
      </c>
      <c r="V15" s="4" t="str">
        <f t="shared" si="2"/>
        <v/>
      </c>
      <c r="W15" s="4" t="e">
        <f>IF($W$3=$N$3,N15,V15*(1+'Rhaniad y Ddeiliadaeth (Cymru)'!C$118))</f>
        <v>#VALUE!</v>
      </c>
      <c r="X15" s="4" t="e">
        <f>W15*(1+'Rhaniad y Ddeiliadaeth (Cymru)'!D$118)</f>
        <v>#VALUE!</v>
      </c>
      <c r="Y15" s="4" t="e">
        <f>X15*(1+'Rhaniad y Ddeiliadaeth (Cymru)'!E$118)</f>
        <v>#VALUE!</v>
      </c>
      <c r="Z15" s="4" t="e">
        <f>Y15*(1+'Rhaniad y Ddeiliadaeth (Cymru)'!F$118)</f>
        <v>#VALUE!</v>
      </c>
      <c r="AA15" s="4" t="e">
        <f>Z15*(1+'Rhaniad y Ddeiliadaeth (Cymru)'!G$118)</f>
        <v>#VALUE!</v>
      </c>
      <c r="AC15" s="260">
        <v>21</v>
      </c>
      <c r="AD15" s="4">
        <f>IF('Rhaniad y Ddeiliadaeth (Cymru)'!$D$18="Data Cofrestrfa Tir",'Prisiau Tai (De-orllewin)'!E15,'Prisiau Tai (De-orllewin)'!W15)</f>
        <v>96940</v>
      </c>
      <c r="AE15" s="4">
        <f>IF('Rhaniad y Ddeiliadaeth (Cymru)'!$D$18="Data Cofrestrfa Tir",'Prisiau Tai (De-orllewin)'!F15,'Prisiau Tai (De-orllewin)'!X15)</f>
        <v>102591.602</v>
      </c>
      <c r="AF15" s="4">
        <f>IF('Rhaniad y Ddeiliadaeth (Cymru)'!$D$18="Data Cofrestrfa Tir",'Prisiau Tai (De-orllewin)'!G15,'Prisiau Tai (De-orllewin)'!Y15)</f>
        <v>109838.35799885124</v>
      </c>
      <c r="AG15" s="4">
        <f>IF('Rhaniad y Ddeiliadaeth (Cymru)'!$D$18="Data Cofrestrfa Tir",'Prisiau Tai (De-orllewin)'!H15,'Prisiau Tai (De-orllewin)'!Z15)</f>
        <v>115815.85713924422</v>
      </c>
      <c r="AH15" s="4">
        <f>IF('Rhaniad y Ddeiliadaeth (Cymru)'!$D$18="Data Cofrestrfa Tir",'Prisiau Tai (De-orllewin)'!I15,'Prisiau Tai (De-orllewin)'!AA15)</f>
        <v>120701.40180307871</v>
      </c>
    </row>
    <row r="16" spans="2:34" x14ac:dyDescent="0.35">
      <c r="B16" s="251">
        <v>22</v>
      </c>
      <c r="C16" s="258">
        <v>92000</v>
      </c>
      <c r="D16" s="258">
        <v>95000</v>
      </c>
      <c r="E16" s="278">
        <f>D16*(1+'Rhaniad y Ddeiliadaeth (De-o)'!C$118)</f>
        <v>99560</v>
      </c>
      <c r="F16" s="278">
        <f>E16*(1+'Rhaniad y Ddeiliadaeth (De-o)'!D$118)</f>
        <v>105364.348</v>
      </c>
      <c r="G16" s="278">
        <f>F16*(1+'Rhaniad y Ddeiliadaeth (De-o)'!E$118)</f>
        <v>112806.96226909047</v>
      </c>
      <c r="H16" s="278">
        <f>G16*(1+'Rhaniad y Ddeiliadaeth (De-o)'!F$118)</f>
        <v>118946.01544030489</v>
      </c>
      <c r="I16" s="279">
        <f>H16*(1+'Rhaniad y Ddeiliadaeth (De-o)'!G$118)</f>
        <v>123963.60185181058</v>
      </c>
      <c r="M16" s="36" t="str">
        <f t="shared" si="0"/>
        <v/>
      </c>
      <c r="N16" s="202"/>
      <c r="O16" s="13">
        <f t="shared" si="3"/>
        <v>1</v>
      </c>
      <c r="U16" s="1">
        <f t="shared" si="1"/>
        <v>22</v>
      </c>
      <c r="V16" s="4" t="str">
        <f t="shared" si="2"/>
        <v/>
      </c>
      <c r="W16" s="4" t="e">
        <f>IF($W$3=$N$3,N16,V16*(1+'Rhaniad y Ddeiliadaeth (Cymru)'!C$118))</f>
        <v>#VALUE!</v>
      </c>
      <c r="X16" s="4" t="e">
        <f>W16*(1+'Rhaniad y Ddeiliadaeth (Cymru)'!D$118)</f>
        <v>#VALUE!</v>
      </c>
      <c r="Y16" s="4" t="e">
        <f>X16*(1+'Rhaniad y Ddeiliadaeth (Cymru)'!E$118)</f>
        <v>#VALUE!</v>
      </c>
      <c r="Z16" s="4" t="e">
        <f>Y16*(1+'Rhaniad y Ddeiliadaeth (Cymru)'!F$118)</f>
        <v>#VALUE!</v>
      </c>
      <c r="AA16" s="4" t="e">
        <f>Z16*(1+'Rhaniad y Ddeiliadaeth (Cymru)'!G$118)</f>
        <v>#VALUE!</v>
      </c>
      <c r="AC16" s="260">
        <v>22</v>
      </c>
      <c r="AD16" s="4">
        <f>IF('Rhaniad y Ddeiliadaeth (Cymru)'!$D$18="Data Cofrestrfa Tir",'Prisiau Tai (De-orllewin)'!E16,'Prisiau Tai (De-orllewin)'!W16)</f>
        <v>99560</v>
      </c>
      <c r="AE16" s="4">
        <f>IF('Rhaniad y Ddeiliadaeth (Cymru)'!$D$18="Data Cofrestrfa Tir",'Prisiau Tai (De-orllewin)'!F16,'Prisiau Tai (De-orllewin)'!X16)</f>
        <v>105364.348</v>
      </c>
      <c r="AF16" s="4">
        <f>IF('Rhaniad y Ddeiliadaeth (Cymru)'!$D$18="Data Cofrestrfa Tir",'Prisiau Tai (De-orllewin)'!G16,'Prisiau Tai (De-orllewin)'!Y16)</f>
        <v>112806.96226909047</v>
      </c>
      <c r="AG16" s="4">
        <f>IF('Rhaniad y Ddeiliadaeth (Cymru)'!$D$18="Data Cofrestrfa Tir",'Prisiau Tai (De-orllewin)'!H16,'Prisiau Tai (De-orllewin)'!Z16)</f>
        <v>118946.01544030489</v>
      </c>
      <c r="AH16" s="4">
        <f>IF('Rhaniad y Ddeiliadaeth (Cymru)'!$D$18="Data Cofrestrfa Tir",'Prisiau Tai (De-orllewin)'!I16,'Prisiau Tai (De-orllewin)'!AA16)</f>
        <v>123963.60185181058</v>
      </c>
    </row>
    <row r="17" spans="2:34" x14ac:dyDescent="0.35">
      <c r="B17" s="251">
        <v>23</v>
      </c>
      <c r="C17" s="258">
        <v>94000</v>
      </c>
      <c r="D17" s="258">
        <v>96000</v>
      </c>
      <c r="E17" s="278">
        <f>D17*(1+'Rhaniad y Ddeiliadaeth (De-o)'!C$118)</f>
        <v>100608</v>
      </c>
      <c r="F17" s="278">
        <f>E17*(1+'Rhaniad y Ddeiliadaeth (De-o)'!D$118)</f>
        <v>106473.4464</v>
      </c>
      <c r="G17" s="278">
        <f>F17*(1+'Rhaniad y Ddeiliadaeth (De-o)'!E$118)</f>
        <v>113994.40397718616</v>
      </c>
      <c r="H17" s="278">
        <f>G17*(1+'Rhaniad y Ddeiliadaeth (De-o)'!F$118)</f>
        <v>120198.07876072916</v>
      </c>
      <c r="I17" s="279">
        <f>H17*(1+'Rhaniad y Ddeiliadaeth (De-o)'!G$118)</f>
        <v>125268.48187130333</v>
      </c>
      <c r="M17" s="36" t="str">
        <f t="shared" si="0"/>
        <v/>
      </c>
      <c r="N17" s="202"/>
      <c r="O17" s="13">
        <f t="shared" si="3"/>
        <v>1</v>
      </c>
      <c r="U17" s="1">
        <f t="shared" si="1"/>
        <v>23</v>
      </c>
      <c r="V17" s="4" t="str">
        <f t="shared" si="2"/>
        <v/>
      </c>
      <c r="W17" s="4" t="e">
        <f>IF($W$3=$N$3,N17,V17*(1+'Rhaniad y Ddeiliadaeth (Cymru)'!C$118))</f>
        <v>#VALUE!</v>
      </c>
      <c r="X17" s="4" t="e">
        <f>W17*(1+'Rhaniad y Ddeiliadaeth (Cymru)'!D$118)</f>
        <v>#VALUE!</v>
      </c>
      <c r="Y17" s="4" t="e">
        <f>X17*(1+'Rhaniad y Ddeiliadaeth (Cymru)'!E$118)</f>
        <v>#VALUE!</v>
      </c>
      <c r="Z17" s="4" t="e">
        <f>Y17*(1+'Rhaniad y Ddeiliadaeth (Cymru)'!F$118)</f>
        <v>#VALUE!</v>
      </c>
      <c r="AA17" s="4" t="e">
        <f>Z17*(1+'Rhaniad y Ddeiliadaeth (Cymru)'!G$118)</f>
        <v>#VALUE!</v>
      </c>
      <c r="AC17" s="260">
        <v>23</v>
      </c>
      <c r="AD17" s="4">
        <f>IF('Rhaniad y Ddeiliadaeth (Cymru)'!$D$18="Data Cofrestrfa Tir",'Prisiau Tai (De-orllewin)'!E17,'Prisiau Tai (De-orllewin)'!W17)</f>
        <v>100608</v>
      </c>
      <c r="AE17" s="4">
        <f>IF('Rhaniad y Ddeiliadaeth (Cymru)'!$D$18="Data Cofrestrfa Tir",'Prisiau Tai (De-orllewin)'!F17,'Prisiau Tai (De-orllewin)'!X17)</f>
        <v>106473.4464</v>
      </c>
      <c r="AF17" s="4">
        <f>IF('Rhaniad y Ddeiliadaeth (Cymru)'!$D$18="Data Cofrestrfa Tir",'Prisiau Tai (De-orllewin)'!G17,'Prisiau Tai (De-orllewin)'!Y17)</f>
        <v>113994.40397718616</v>
      </c>
      <c r="AG17" s="4">
        <f>IF('Rhaniad y Ddeiliadaeth (Cymru)'!$D$18="Data Cofrestrfa Tir",'Prisiau Tai (De-orllewin)'!H17,'Prisiau Tai (De-orllewin)'!Z17)</f>
        <v>120198.07876072916</v>
      </c>
      <c r="AH17" s="4">
        <f>IF('Rhaniad y Ddeiliadaeth (Cymru)'!$D$18="Data Cofrestrfa Tir",'Prisiau Tai (De-orllewin)'!I17,'Prisiau Tai (De-orllewin)'!AA17)</f>
        <v>125268.48187130333</v>
      </c>
    </row>
    <row r="18" spans="2:34" x14ac:dyDescent="0.35">
      <c r="B18" s="251">
        <v>24</v>
      </c>
      <c r="C18" s="258">
        <v>95000</v>
      </c>
      <c r="D18" s="258">
        <v>98000</v>
      </c>
      <c r="E18" s="278">
        <f>D18*(1+'Rhaniad y Ddeiliadaeth (De-o)'!C$118)</f>
        <v>102704</v>
      </c>
      <c r="F18" s="278">
        <f>E18*(1+'Rhaniad y Ddeiliadaeth (De-o)'!D$118)</f>
        <v>108691.64320000001</v>
      </c>
      <c r="G18" s="278">
        <f>F18*(1+'Rhaniad y Ddeiliadaeth (De-o)'!E$118)</f>
        <v>116369.28739337754</v>
      </c>
      <c r="H18" s="278">
        <f>G18*(1+'Rhaniad y Ddeiliadaeth (De-o)'!F$118)</f>
        <v>122702.2054015777</v>
      </c>
      <c r="I18" s="279">
        <f>H18*(1+'Rhaniad y Ddeiliadaeth (De-o)'!G$118)</f>
        <v>127878.24191028884</v>
      </c>
      <c r="M18" s="36" t="str">
        <f t="shared" si="0"/>
        <v/>
      </c>
      <c r="N18" s="202"/>
      <c r="O18" s="13">
        <f t="shared" si="3"/>
        <v>1</v>
      </c>
      <c r="U18" s="1">
        <f t="shared" si="1"/>
        <v>24</v>
      </c>
      <c r="V18" s="4" t="str">
        <f t="shared" si="2"/>
        <v/>
      </c>
      <c r="W18" s="4" t="e">
        <f>IF($W$3=$N$3,N18,V18*(1+'Rhaniad y Ddeiliadaeth (Cymru)'!C$118))</f>
        <v>#VALUE!</v>
      </c>
      <c r="X18" s="4" t="e">
        <f>W18*(1+'Rhaniad y Ddeiliadaeth (Cymru)'!D$118)</f>
        <v>#VALUE!</v>
      </c>
      <c r="Y18" s="4" t="e">
        <f>X18*(1+'Rhaniad y Ddeiliadaeth (Cymru)'!E$118)</f>
        <v>#VALUE!</v>
      </c>
      <c r="Z18" s="4" t="e">
        <f>Y18*(1+'Rhaniad y Ddeiliadaeth (Cymru)'!F$118)</f>
        <v>#VALUE!</v>
      </c>
      <c r="AA18" s="4" t="e">
        <f>Z18*(1+'Rhaniad y Ddeiliadaeth (Cymru)'!G$118)</f>
        <v>#VALUE!</v>
      </c>
      <c r="AC18" s="260">
        <v>24</v>
      </c>
      <c r="AD18" s="4">
        <f>IF('Rhaniad y Ddeiliadaeth (Cymru)'!$D$18="Data Cofrestrfa Tir",'Prisiau Tai (De-orllewin)'!E18,'Prisiau Tai (De-orllewin)'!W18)</f>
        <v>102704</v>
      </c>
      <c r="AE18" s="4">
        <f>IF('Rhaniad y Ddeiliadaeth (Cymru)'!$D$18="Data Cofrestrfa Tir",'Prisiau Tai (De-orllewin)'!F18,'Prisiau Tai (De-orllewin)'!X18)</f>
        <v>108691.64320000001</v>
      </c>
      <c r="AF18" s="4">
        <f>IF('Rhaniad y Ddeiliadaeth (Cymru)'!$D$18="Data Cofrestrfa Tir",'Prisiau Tai (De-orllewin)'!G18,'Prisiau Tai (De-orllewin)'!Y18)</f>
        <v>116369.28739337754</v>
      </c>
      <c r="AG18" s="4">
        <f>IF('Rhaniad y Ddeiliadaeth (Cymru)'!$D$18="Data Cofrestrfa Tir",'Prisiau Tai (De-orllewin)'!H18,'Prisiau Tai (De-orllewin)'!Z18)</f>
        <v>122702.2054015777</v>
      </c>
      <c r="AH18" s="4">
        <f>IF('Rhaniad y Ddeiliadaeth (Cymru)'!$D$18="Data Cofrestrfa Tir",'Prisiau Tai (De-orllewin)'!I18,'Prisiau Tai (De-orllewin)'!AA18)</f>
        <v>127878.24191028884</v>
      </c>
    </row>
    <row r="19" spans="2:34" x14ac:dyDescent="0.35">
      <c r="B19" s="251">
        <v>25</v>
      </c>
      <c r="C19" s="258">
        <v>96500</v>
      </c>
      <c r="D19" s="258">
        <v>100000</v>
      </c>
      <c r="E19" s="278">
        <f>D19*(1+'Rhaniad y Ddeiliadaeth (De-o)'!C$118)</f>
        <v>104800</v>
      </c>
      <c r="F19" s="278">
        <f>E19*(1+'Rhaniad y Ddeiliadaeth (De-o)'!D$118)</f>
        <v>110909.84</v>
      </c>
      <c r="G19" s="278">
        <f>F19*(1+'Rhaniad y Ddeiliadaeth (De-o)'!E$118)</f>
        <v>118744.17080956891</v>
      </c>
      <c r="H19" s="278">
        <f>G19*(1+'Rhaniad y Ddeiliadaeth (De-o)'!F$118)</f>
        <v>125206.33204242621</v>
      </c>
      <c r="I19" s="279">
        <f>H19*(1+'Rhaniad y Ddeiliadaeth (De-o)'!G$118)</f>
        <v>130488.0019492743</v>
      </c>
      <c r="M19" s="36" t="str">
        <f t="shared" si="0"/>
        <v/>
      </c>
      <c r="N19" s="202"/>
      <c r="O19" s="13">
        <f t="shared" si="3"/>
        <v>1</v>
      </c>
      <c r="U19" s="1">
        <f t="shared" si="1"/>
        <v>25</v>
      </c>
      <c r="V19" s="4" t="str">
        <f t="shared" si="2"/>
        <v/>
      </c>
      <c r="W19" s="4" t="e">
        <f>IF($W$3=$N$3,N19,V19*(1+'Rhaniad y Ddeiliadaeth (Cymru)'!C$118))</f>
        <v>#VALUE!</v>
      </c>
      <c r="X19" s="4" t="e">
        <f>W19*(1+'Rhaniad y Ddeiliadaeth (Cymru)'!D$118)</f>
        <v>#VALUE!</v>
      </c>
      <c r="Y19" s="4" t="e">
        <f>X19*(1+'Rhaniad y Ddeiliadaeth (Cymru)'!E$118)</f>
        <v>#VALUE!</v>
      </c>
      <c r="Z19" s="4" t="e">
        <f>Y19*(1+'Rhaniad y Ddeiliadaeth (Cymru)'!F$118)</f>
        <v>#VALUE!</v>
      </c>
      <c r="AA19" s="4" t="e">
        <f>Z19*(1+'Rhaniad y Ddeiliadaeth (Cymru)'!G$118)</f>
        <v>#VALUE!</v>
      </c>
      <c r="AC19" s="260">
        <v>25</v>
      </c>
      <c r="AD19" s="4">
        <f>IF('Rhaniad y Ddeiliadaeth (Cymru)'!$D$18="Data Cofrestrfa Tir",'Prisiau Tai (De-orllewin)'!E19,'Prisiau Tai (De-orllewin)'!W19)</f>
        <v>104800</v>
      </c>
      <c r="AE19" s="4">
        <f>IF('Rhaniad y Ddeiliadaeth (Cymru)'!$D$18="Data Cofrestrfa Tir",'Prisiau Tai (De-orllewin)'!F19,'Prisiau Tai (De-orllewin)'!X19)</f>
        <v>110909.84</v>
      </c>
      <c r="AF19" s="4">
        <f>IF('Rhaniad y Ddeiliadaeth (Cymru)'!$D$18="Data Cofrestrfa Tir",'Prisiau Tai (De-orllewin)'!G19,'Prisiau Tai (De-orllewin)'!Y19)</f>
        <v>118744.17080956891</v>
      </c>
      <c r="AG19" s="4">
        <f>IF('Rhaniad y Ddeiliadaeth (Cymru)'!$D$18="Data Cofrestrfa Tir",'Prisiau Tai (De-orllewin)'!H19,'Prisiau Tai (De-orllewin)'!Z19)</f>
        <v>125206.33204242621</v>
      </c>
      <c r="AH19" s="4">
        <f>IF('Rhaniad y Ddeiliadaeth (Cymru)'!$D$18="Data Cofrestrfa Tir",'Prisiau Tai (De-orllewin)'!I19,'Prisiau Tai (De-orllewin)'!AA19)</f>
        <v>130488.0019492743</v>
      </c>
    </row>
    <row r="20" spans="2:34" x14ac:dyDescent="0.35">
      <c r="B20" s="251">
        <v>26</v>
      </c>
      <c r="C20" s="258">
        <v>98000</v>
      </c>
      <c r="D20" s="258">
        <v>101000</v>
      </c>
      <c r="E20" s="278">
        <f>D20*(1+'Rhaniad y Ddeiliadaeth (De-o)'!C$118)</f>
        <v>105848</v>
      </c>
      <c r="F20" s="278">
        <f>E20*(1+'Rhaniad y Ddeiliadaeth (De-o)'!D$118)</f>
        <v>112018.9384</v>
      </c>
      <c r="G20" s="278">
        <f>F20*(1+'Rhaniad y Ddeiliadaeth (De-o)'!E$118)</f>
        <v>119931.6125176646</v>
      </c>
      <c r="H20" s="278">
        <f>G20*(1+'Rhaniad y Ddeiliadaeth (De-o)'!F$118)</f>
        <v>126458.39536285047</v>
      </c>
      <c r="I20" s="279">
        <f>H20*(1+'Rhaniad y Ddeiliadaeth (De-o)'!G$118)</f>
        <v>131792.88196876703</v>
      </c>
      <c r="M20" s="36" t="str">
        <f t="shared" si="0"/>
        <v/>
      </c>
      <c r="N20" s="202"/>
      <c r="O20" s="13">
        <f t="shared" si="3"/>
        <v>1</v>
      </c>
      <c r="U20" s="1">
        <f t="shared" si="1"/>
        <v>26</v>
      </c>
      <c r="V20" s="4" t="str">
        <f t="shared" si="2"/>
        <v/>
      </c>
      <c r="W20" s="4" t="e">
        <f>IF($W$3=$N$3,N20,V20*(1+'Rhaniad y Ddeiliadaeth (Cymru)'!C$118))</f>
        <v>#VALUE!</v>
      </c>
      <c r="X20" s="4" t="e">
        <f>W20*(1+'Rhaniad y Ddeiliadaeth (Cymru)'!D$118)</f>
        <v>#VALUE!</v>
      </c>
      <c r="Y20" s="4" t="e">
        <f>X20*(1+'Rhaniad y Ddeiliadaeth (Cymru)'!E$118)</f>
        <v>#VALUE!</v>
      </c>
      <c r="Z20" s="4" t="e">
        <f>Y20*(1+'Rhaniad y Ddeiliadaeth (Cymru)'!F$118)</f>
        <v>#VALUE!</v>
      </c>
      <c r="AA20" s="4" t="e">
        <f>Z20*(1+'Rhaniad y Ddeiliadaeth (Cymru)'!G$118)</f>
        <v>#VALUE!</v>
      </c>
      <c r="AC20" s="260">
        <v>26</v>
      </c>
      <c r="AD20" s="4">
        <f>IF('Rhaniad y Ddeiliadaeth (Cymru)'!$D$18="Data Cofrestrfa Tir",'Prisiau Tai (De-orllewin)'!E20,'Prisiau Tai (De-orllewin)'!W20)</f>
        <v>105848</v>
      </c>
      <c r="AE20" s="4">
        <f>IF('Rhaniad y Ddeiliadaeth (Cymru)'!$D$18="Data Cofrestrfa Tir",'Prisiau Tai (De-orllewin)'!F20,'Prisiau Tai (De-orllewin)'!X20)</f>
        <v>112018.9384</v>
      </c>
      <c r="AF20" s="4">
        <f>IF('Rhaniad y Ddeiliadaeth (Cymru)'!$D$18="Data Cofrestrfa Tir",'Prisiau Tai (De-orllewin)'!G20,'Prisiau Tai (De-orllewin)'!Y20)</f>
        <v>119931.6125176646</v>
      </c>
      <c r="AG20" s="4">
        <f>IF('Rhaniad y Ddeiliadaeth (Cymru)'!$D$18="Data Cofrestrfa Tir",'Prisiau Tai (De-orllewin)'!H20,'Prisiau Tai (De-orllewin)'!Z20)</f>
        <v>126458.39536285047</v>
      </c>
      <c r="AH20" s="4">
        <f>IF('Rhaniad y Ddeiliadaeth (Cymru)'!$D$18="Data Cofrestrfa Tir",'Prisiau Tai (De-orllewin)'!I20,'Prisiau Tai (De-orllewin)'!AA20)</f>
        <v>131792.88196876703</v>
      </c>
    </row>
    <row r="21" spans="2:34" x14ac:dyDescent="0.35">
      <c r="B21" s="251">
        <v>27</v>
      </c>
      <c r="C21" s="258">
        <v>100000</v>
      </c>
      <c r="D21" s="258">
        <v>103500</v>
      </c>
      <c r="E21" s="278">
        <f>D21*(1+'Rhaniad y Ddeiliadaeth (De-o)'!C$118)</f>
        <v>108468</v>
      </c>
      <c r="F21" s="278">
        <f>E21*(1+'Rhaniad y Ddeiliadaeth (De-o)'!D$118)</f>
        <v>114791.6844</v>
      </c>
      <c r="G21" s="278">
        <f>F21*(1+'Rhaniad y Ddeiliadaeth (De-o)'!E$118)</f>
        <v>122900.21678790382</v>
      </c>
      <c r="H21" s="278">
        <f>G21*(1+'Rhaniad y Ddeiliadaeth (De-o)'!F$118)</f>
        <v>129588.55366391111</v>
      </c>
      <c r="I21" s="279">
        <f>H21*(1+'Rhaniad y Ddeiliadaeth (De-o)'!G$118)</f>
        <v>135055.08201749888</v>
      </c>
      <c r="M21" s="36" t="str">
        <f t="shared" si="0"/>
        <v/>
      </c>
      <c r="N21" s="202"/>
      <c r="O21" s="13">
        <f t="shared" si="3"/>
        <v>1</v>
      </c>
      <c r="U21" s="1">
        <f t="shared" si="1"/>
        <v>27</v>
      </c>
      <c r="V21" s="4" t="str">
        <f t="shared" si="2"/>
        <v/>
      </c>
      <c r="W21" s="4" t="e">
        <f>IF($W$3=$N$3,N21,V21*(1+'Rhaniad y Ddeiliadaeth (Cymru)'!C$118))</f>
        <v>#VALUE!</v>
      </c>
      <c r="X21" s="4" t="e">
        <f>W21*(1+'Rhaniad y Ddeiliadaeth (Cymru)'!D$118)</f>
        <v>#VALUE!</v>
      </c>
      <c r="Y21" s="4" t="e">
        <f>X21*(1+'Rhaniad y Ddeiliadaeth (Cymru)'!E$118)</f>
        <v>#VALUE!</v>
      </c>
      <c r="Z21" s="4" t="e">
        <f>Y21*(1+'Rhaniad y Ddeiliadaeth (Cymru)'!F$118)</f>
        <v>#VALUE!</v>
      </c>
      <c r="AA21" s="4" t="e">
        <f>Z21*(1+'Rhaniad y Ddeiliadaeth (Cymru)'!G$118)</f>
        <v>#VALUE!</v>
      </c>
      <c r="AC21" s="260">
        <v>27</v>
      </c>
      <c r="AD21" s="4">
        <f>IF('Rhaniad y Ddeiliadaeth (Cymru)'!$D$18="Data Cofrestrfa Tir",'Prisiau Tai (De-orllewin)'!E21,'Prisiau Tai (De-orllewin)'!W21)</f>
        <v>108468</v>
      </c>
      <c r="AE21" s="4">
        <f>IF('Rhaniad y Ddeiliadaeth (Cymru)'!$D$18="Data Cofrestrfa Tir",'Prisiau Tai (De-orllewin)'!F21,'Prisiau Tai (De-orllewin)'!X21)</f>
        <v>114791.6844</v>
      </c>
      <c r="AF21" s="4">
        <f>IF('Rhaniad y Ddeiliadaeth (Cymru)'!$D$18="Data Cofrestrfa Tir",'Prisiau Tai (De-orllewin)'!G21,'Prisiau Tai (De-orllewin)'!Y21)</f>
        <v>122900.21678790382</v>
      </c>
      <c r="AG21" s="4">
        <f>IF('Rhaniad y Ddeiliadaeth (Cymru)'!$D$18="Data Cofrestrfa Tir",'Prisiau Tai (De-orllewin)'!H21,'Prisiau Tai (De-orllewin)'!Z21)</f>
        <v>129588.55366391111</v>
      </c>
      <c r="AH21" s="4">
        <f>IF('Rhaniad y Ddeiliadaeth (Cymru)'!$D$18="Data Cofrestrfa Tir",'Prisiau Tai (De-orllewin)'!I21,'Prisiau Tai (De-orllewin)'!AA21)</f>
        <v>135055.08201749888</v>
      </c>
    </row>
    <row r="22" spans="2:34" x14ac:dyDescent="0.35">
      <c r="B22" s="251">
        <v>28</v>
      </c>
      <c r="C22" s="258">
        <v>100000</v>
      </c>
      <c r="D22" s="258">
        <v>105000</v>
      </c>
      <c r="E22" s="278">
        <f>D22*(1+'Rhaniad y Ddeiliadaeth (De-o)'!C$118)</f>
        <v>110040</v>
      </c>
      <c r="F22" s="278">
        <f>E22*(1+'Rhaniad y Ddeiliadaeth (De-o)'!D$118)</f>
        <v>116455.33199999999</v>
      </c>
      <c r="G22" s="278">
        <f>F22*(1+'Rhaniad y Ddeiliadaeth (De-o)'!E$118)</f>
        <v>124681.37935004735</v>
      </c>
      <c r="H22" s="278">
        <f>G22*(1+'Rhaniad y Ddeiliadaeth (De-o)'!F$118)</f>
        <v>131466.6486445475</v>
      </c>
      <c r="I22" s="279">
        <f>H22*(1+'Rhaniad y Ddeiliadaeth (De-o)'!G$118)</f>
        <v>137012.40204673802</v>
      </c>
      <c r="M22" s="36" t="str">
        <f t="shared" si="0"/>
        <v/>
      </c>
      <c r="N22" s="202"/>
      <c r="O22" s="13">
        <f t="shared" si="3"/>
        <v>1</v>
      </c>
      <c r="U22" s="1">
        <f t="shared" si="1"/>
        <v>28</v>
      </c>
      <c r="V22" s="4" t="str">
        <f t="shared" si="2"/>
        <v/>
      </c>
      <c r="W22" s="4" t="e">
        <f>IF($W$3=$N$3,N22,V22*(1+'Rhaniad y Ddeiliadaeth (Cymru)'!C$118))</f>
        <v>#VALUE!</v>
      </c>
      <c r="X22" s="4" t="e">
        <f>W22*(1+'Rhaniad y Ddeiliadaeth (Cymru)'!D$118)</f>
        <v>#VALUE!</v>
      </c>
      <c r="Y22" s="4" t="e">
        <f>X22*(1+'Rhaniad y Ddeiliadaeth (Cymru)'!E$118)</f>
        <v>#VALUE!</v>
      </c>
      <c r="Z22" s="4" t="e">
        <f>Y22*(1+'Rhaniad y Ddeiliadaeth (Cymru)'!F$118)</f>
        <v>#VALUE!</v>
      </c>
      <c r="AA22" s="4" t="e">
        <f>Z22*(1+'Rhaniad y Ddeiliadaeth (Cymru)'!G$118)</f>
        <v>#VALUE!</v>
      </c>
      <c r="AC22" s="260">
        <v>28</v>
      </c>
      <c r="AD22" s="4">
        <f>IF('Rhaniad y Ddeiliadaeth (Cymru)'!$D$18="Data Cofrestrfa Tir",'Prisiau Tai (De-orllewin)'!E22,'Prisiau Tai (De-orllewin)'!W22)</f>
        <v>110040</v>
      </c>
      <c r="AE22" s="4">
        <f>IF('Rhaniad y Ddeiliadaeth (Cymru)'!$D$18="Data Cofrestrfa Tir",'Prisiau Tai (De-orllewin)'!F22,'Prisiau Tai (De-orllewin)'!X22)</f>
        <v>116455.33199999999</v>
      </c>
      <c r="AF22" s="4">
        <f>IF('Rhaniad y Ddeiliadaeth (Cymru)'!$D$18="Data Cofrestrfa Tir",'Prisiau Tai (De-orllewin)'!G22,'Prisiau Tai (De-orllewin)'!Y22)</f>
        <v>124681.37935004735</v>
      </c>
      <c r="AG22" s="4">
        <f>IF('Rhaniad y Ddeiliadaeth (Cymru)'!$D$18="Data Cofrestrfa Tir",'Prisiau Tai (De-orllewin)'!H22,'Prisiau Tai (De-orllewin)'!Z22)</f>
        <v>131466.6486445475</v>
      </c>
      <c r="AH22" s="4">
        <f>IF('Rhaniad y Ddeiliadaeth (Cymru)'!$D$18="Data Cofrestrfa Tir",'Prisiau Tai (De-orllewin)'!I22,'Prisiau Tai (De-orllewin)'!AA22)</f>
        <v>137012.40204673802</v>
      </c>
    </row>
    <row r="23" spans="2:34" x14ac:dyDescent="0.35">
      <c r="B23" s="251">
        <v>29</v>
      </c>
      <c r="C23" s="258">
        <v>103000</v>
      </c>
      <c r="D23" s="258">
        <v>106000</v>
      </c>
      <c r="E23" s="278">
        <f>D23*(1+'Rhaniad y Ddeiliadaeth (De-o)'!C$118)</f>
        <v>111088</v>
      </c>
      <c r="F23" s="278">
        <f>E23*(1+'Rhaniad y Ddeiliadaeth (De-o)'!D$118)</f>
        <v>117564.4304</v>
      </c>
      <c r="G23" s="278">
        <f>F23*(1+'Rhaniad y Ddeiliadaeth (De-o)'!E$118)</f>
        <v>125868.82105814305</v>
      </c>
      <c r="H23" s="278">
        <f>G23*(1+'Rhaniad y Ddeiliadaeth (De-o)'!F$118)</f>
        <v>132718.71196497176</v>
      </c>
      <c r="I23" s="279">
        <f>H23*(1+'Rhaniad y Ddeiliadaeth (De-o)'!G$118)</f>
        <v>138317.28206623075</v>
      </c>
      <c r="M23" s="36" t="str">
        <f t="shared" si="0"/>
        <v/>
      </c>
      <c r="N23" s="202"/>
      <c r="O23" s="13">
        <f t="shared" si="3"/>
        <v>1</v>
      </c>
      <c r="U23" s="1">
        <f t="shared" si="1"/>
        <v>29</v>
      </c>
      <c r="V23" s="4" t="str">
        <f t="shared" si="2"/>
        <v/>
      </c>
      <c r="W23" s="4" t="e">
        <f>IF($W$3=$N$3,N23,V23*(1+'Rhaniad y Ddeiliadaeth (Cymru)'!C$118))</f>
        <v>#VALUE!</v>
      </c>
      <c r="X23" s="4" t="e">
        <f>W23*(1+'Rhaniad y Ddeiliadaeth (Cymru)'!D$118)</f>
        <v>#VALUE!</v>
      </c>
      <c r="Y23" s="4" t="e">
        <f>X23*(1+'Rhaniad y Ddeiliadaeth (Cymru)'!E$118)</f>
        <v>#VALUE!</v>
      </c>
      <c r="Z23" s="4" t="e">
        <f>Y23*(1+'Rhaniad y Ddeiliadaeth (Cymru)'!F$118)</f>
        <v>#VALUE!</v>
      </c>
      <c r="AA23" s="4" t="e">
        <f>Z23*(1+'Rhaniad y Ddeiliadaeth (Cymru)'!G$118)</f>
        <v>#VALUE!</v>
      </c>
      <c r="AC23" s="260">
        <v>29</v>
      </c>
      <c r="AD23" s="4">
        <f>IF('Rhaniad y Ddeiliadaeth (Cymru)'!$D$18="Data Cofrestrfa Tir",'Prisiau Tai (De-orllewin)'!E23,'Prisiau Tai (De-orllewin)'!W23)</f>
        <v>111088</v>
      </c>
      <c r="AE23" s="4">
        <f>IF('Rhaniad y Ddeiliadaeth (Cymru)'!$D$18="Data Cofrestrfa Tir",'Prisiau Tai (De-orllewin)'!F23,'Prisiau Tai (De-orllewin)'!X23)</f>
        <v>117564.4304</v>
      </c>
      <c r="AF23" s="4">
        <f>IF('Rhaniad y Ddeiliadaeth (Cymru)'!$D$18="Data Cofrestrfa Tir",'Prisiau Tai (De-orllewin)'!G23,'Prisiau Tai (De-orllewin)'!Y23)</f>
        <v>125868.82105814305</v>
      </c>
      <c r="AG23" s="4">
        <f>IF('Rhaniad y Ddeiliadaeth (Cymru)'!$D$18="Data Cofrestrfa Tir",'Prisiau Tai (De-orllewin)'!H23,'Prisiau Tai (De-orllewin)'!Z23)</f>
        <v>132718.71196497176</v>
      </c>
      <c r="AH23" s="4">
        <f>IF('Rhaniad y Ddeiliadaeth (Cymru)'!$D$18="Data Cofrestrfa Tir",'Prisiau Tai (De-orllewin)'!I23,'Prisiau Tai (De-orllewin)'!AA23)</f>
        <v>138317.28206623075</v>
      </c>
    </row>
    <row r="24" spans="2:34" x14ac:dyDescent="0.35">
      <c r="B24" s="251">
        <v>30</v>
      </c>
      <c r="C24" s="258">
        <v>105000</v>
      </c>
      <c r="D24" s="258">
        <v>108150.00000000055</v>
      </c>
      <c r="E24" s="278">
        <f>D24*(1+'Rhaniad y Ddeiliadaeth (De-o)'!C$118)</f>
        <v>113341.20000000058</v>
      </c>
      <c r="F24" s="278">
        <f>E24*(1+'Rhaniad y Ddeiliadaeth (De-o)'!D$118)</f>
        <v>119948.99196000061</v>
      </c>
      <c r="G24" s="278">
        <f>F24*(1+'Rhaniad y Ddeiliadaeth (De-o)'!E$118)</f>
        <v>128421.82073054943</v>
      </c>
      <c r="H24" s="278">
        <f>G24*(1+'Rhaniad y Ddeiliadaeth (De-o)'!F$118)</f>
        <v>135410.64810388463</v>
      </c>
      <c r="I24" s="279">
        <f>H24*(1+'Rhaniad y Ddeiliadaeth (De-o)'!G$118)</f>
        <v>141122.77410814087</v>
      </c>
      <c r="M24" s="36" t="str">
        <f t="shared" si="0"/>
        <v/>
      </c>
      <c r="N24" s="202"/>
      <c r="O24" s="13">
        <f t="shared" si="3"/>
        <v>1</v>
      </c>
      <c r="U24" s="1">
        <f t="shared" si="1"/>
        <v>30</v>
      </c>
      <c r="V24" s="4" t="str">
        <f t="shared" si="2"/>
        <v/>
      </c>
      <c r="W24" s="4" t="e">
        <f>IF($W$3=$N$3,N24,V24*(1+'Rhaniad y Ddeiliadaeth (Cymru)'!C$118))</f>
        <v>#VALUE!</v>
      </c>
      <c r="X24" s="4" t="e">
        <f>W24*(1+'Rhaniad y Ddeiliadaeth (Cymru)'!D$118)</f>
        <v>#VALUE!</v>
      </c>
      <c r="Y24" s="4" t="e">
        <f>X24*(1+'Rhaniad y Ddeiliadaeth (Cymru)'!E$118)</f>
        <v>#VALUE!</v>
      </c>
      <c r="Z24" s="4" t="e">
        <f>Y24*(1+'Rhaniad y Ddeiliadaeth (Cymru)'!F$118)</f>
        <v>#VALUE!</v>
      </c>
      <c r="AA24" s="4" t="e">
        <f>Z24*(1+'Rhaniad y Ddeiliadaeth (Cymru)'!G$118)</f>
        <v>#VALUE!</v>
      </c>
      <c r="AC24" s="260">
        <v>30</v>
      </c>
      <c r="AD24" s="4">
        <f>IF('Rhaniad y Ddeiliadaeth (Cymru)'!$D$18="Data Cofrestrfa Tir",'Prisiau Tai (De-orllewin)'!E24,'Prisiau Tai (De-orllewin)'!W24)</f>
        <v>113341.20000000058</v>
      </c>
      <c r="AE24" s="4">
        <f>IF('Rhaniad y Ddeiliadaeth (Cymru)'!$D$18="Data Cofrestrfa Tir",'Prisiau Tai (De-orllewin)'!F24,'Prisiau Tai (De-orllewin)'!X24)</f>
        <v>119948.99196000061</v>
      </c>
      <c r="AF24" s="4">
        <f>IF('Rhaniad y Ddeiliadaeth (Cymru)'!$D$18="Data Cofrestrfa Tir",'Prisiau Tai (De-orllewin)'!G24,'Prisiau Tai (De-orllewin)'!Y24)</f>
        <v>128421.82073054943</v>
      </c>
      <c r="AG24" s="4">
        <f>IF('Rhaniad y Ddeiliadaeth (Cymru)'!$D$18="Data Cofrestrfa Tir",'Prisiau Tai (De-orllewin)'!H24,'Prisiau Tai (De-orllewin)'!Z24)</f>
        <v>135410.64810388463</v>
      </c>
      <c r="AH24" s="4">
        <f>IF('Rhaniad y Ddeiliadaeth (Cymru)'!$D$18="Data Cofrestrfa Tir",'Prisiau Tai (De-orllewin)'!I24,'Prisiau Tai (De-orllewin)'!AA24)</f>
        <v>141122.77410814087</v>
      </c>
    </row>
    <row r="25" spans="2:34" x14ac:dyDescent="0.35">
      <c r="B25" s="251">
        <v>31</v>
      </c>
      <c r="C25" s="258">
        <v>106000</v>
      </c>
      <c r="D25" s="258">
        <v>110000</v>
      </c>
      <c r="E25" s="278">
        <f>D25*(1+'Rhaniad y Ddeiliadaeth (De-o)'!C$118)</f>
        <v>115280</v>
      </c>
      <c r="F25" s="278">
        <f>E25*(1+'Rhaniad y Ddeiliadaeth (De-o)'!D$118)</f>
        <v>122000.82400000001</v>
      </c>
      <c r="G25" s="278">
        <f>F25*(1+'Rhaniad y Ddeiliadaeth (De-o)'!E$118)</f>
        <v>130618.58789052581</v>
      </c>
      <c r="H25" s="278">
        <f>G25*(1+'Rhaniad y Ddeiliadaeth (De-o)'!F$118)</f>
        <v>137726.96524666884</v>
      </c>
      <c r="I25" s="279">
        <f>H25*(1+'Rhaniad y Ddeiliadaeth (De-o)'!G$118)</f>
        <v>143536.80214420176</v>
      </c>
      <c r="M25" s="36" t="str">
        <f t="shared" si="0"/>
        <v/>
      </c>
      <c r="N25" s="202"/>
      <c r="O25" s="13">
        <f t="shared" si="3"/>
        <v>1</v>
      </c>
      <c r="U25" s="1">
        <f t="shared" si="1"/>
        <v>31</v>
      </c>
      <c r="V25" s="4" t="str">
        <f t="shared" si="2"/>
        <v/>
      </c>
      <c r="W25" s="4" t="e">
        <f>IF($W$3=$N$3,N25,V25*(1+'Rhaniad y Ddeiliadaeth (Cymru)'!C$118))</f>
        <v>#VALUE!</v>
      </c>
      <c r="X25" s="4" t="e">
        <f>W25*(1+'Rhaniad y Ddeiliadaeth (Cymru)'!D$118)</f>
        <v>#VALUE!</v>
      </c>
      <c r="Y25" s="4" t="e">
        <f>X25*(1+'Rhaniad y Ddeiliadaeth (Cymru)'!E$118)</f>
        <v>#VALUE!</v>
      </c>
      <c r="Z25" s="4" t="e">
        <f>Y25*(1+'Rhaniad y Ddeiliadaeth (Cymru)'!F$118)</f>
        <v>#VALUE!</v>
      </c>
      <c r="AA25" s="4" t="e">
        <f>Z25*(1+'Rhaniad y Ddeiliadaeth (Cymru)'!G$118)</f>
        <v>#VALUE!</v>
      </c>
      <c r="AC25" s="260">
        <v>31</v>
      </c>
      <c r="AD25" s="4">
        <f>IF('Rhaniad y Ddeiliadaeth (Cymru)'!$D$18="Data Cofrestrfa Tir",'Prisiau Tai (De-orllewin)'!E25,'Prisiau Tai (De-orllewin)'!W25)</f>
        <v>115280</v>
      </c>
      <c r="AE25" s="4">
        <f>IF('Rhaniad y Ddeiliadaeth (Cymru)'!$D$18="Data Cofrestrfa Tir",'Prisiau Tai (De-orllewin)'!F25,'Prisiau Tai (De-orllewin)'!X25)</f>
        <v>122000.82400000001</v>
      </c>
      <c r="AF25" s="4">
        <f>IF('Rhaniad y Ddeiliadaeth (Cymru)'!$D$18="Data Cofrestrfa Tir",'Prisiau Tai (De-orllewin)'!G25,'Prisiau Tai (De-orllewin)'!Y25)</f>
        <v>130618.58789052581</v>
      </c>
      <c r="AG25" s="4">
        <f>IF('Rhaniad y Ddeiliadaeth (Cymru)'!$D$18="Data Cofrestrfa Tir",'Prisiau Tai (De-orllewin)'!H25,'Prisiau Tai (De-orllewin)'!Z25)</f>
        <v>137726.96524666884</v>
      </c>
      <c r="AH25" s="4">
        <f>IF('Rhaniad y Ddeiliadaeth (Cymru)'!$D$18="Data Cofrestrfa Tir",'Prisiau Tai (De-orllewin)'!I25,'Prisiau Tai (De-orllewin)'!AA25)</f>
        <v>143536.80214420176</v>
      </c>
    </row>
    <row r="26" spans="2:34" x14ac:dyDescent="0.35">
      <c r="B26" s="251">
        <v>32</v>
      </c>
      <c r="C26" s="258">
        <v>108000</v>
      </c>
      <c r="D26" s="258">
        <v>111000</v>
      </c>
      <c r="E26" s="278">
        <f>D26*(1+'Rhaniad y Ddeiliadaeth (De-o)'!C$118)</f>
        <v>116328</v>
      </c>
      <c r="F26" s="278">
        <f>E26*(1+'Rhaniad y Ddeiliadaeth (De-o)'!D$118)</f>
        <v>123109.9224</v>
      </c>
      <c r="G26" s="278">
        <f>F26*(1+'Rhaniad y Ddeiliadaeth (De-o)'!E$118)</f>
        <v>131806.02959862148</v>
      </c>
      <c r="H26" s="278">
        <f>G26*(1+'Rhaniad y Ddeiliadaeth (De-o)'!F$118)</f>
        <v>138979.02856709308</v>
      </c>
      <c r="I26" s="279">
        <f>H26*(1+'Rhaniad y Ddeiliadaeth (De-o)'!G$118)</f>
        <v>144841.68216369447</v>
      </c>
      <c r="M26" s="36" t="str">
        <f t="shared" si="0"/>
        <v/>
      </c>
      <c r="N26" s="202"/>
      <c r="O26" s="13">
        <f t="shared" si="3"/>
        <v>1</v>
      </c>
      <c r="U26" s="1">
        <f t="shared" si="1"/>
        <v>32</v>
      </c>
      <c r="V26" s="4" t="str">
        <f t="shared" si="2"/>
        <v/>
      </c>
      <c r="W26" s="4" t="e">
        <f>IF($W$3=$N$3,N26,V26*(1+'Rhaniad y Ddeiliadaeth (Cymru)'!C$118))</f>
        <v>#VALUE!</v>
      </c>
      <c r="X26" s="4" t="e">
        <f>W26*(1+'Rhaniad y Ddeiliadaeth (Cymru)'!D$118)</f>
        <v>#VALUE!</v>
      </c>
      <c r="Y26" s="4" t="e">
        <f>X26*(1+'Rhaniad y Ddeiliadaeth (Cymru)'!E$118)</f>
        <v>#VALUE!</v>
      </c>
      <c r="Z26" s="4" t="e">
        <f>Y26*(1+'Rhaniad y Ddeiliadaeth (Cymru)'!F$118)</f>
        <v>#VALUE!</v>
      </c>
      <c r="AA26" s="4" t="e">
        <f>Z26*(1+'Rhaniad y Ddeiliadaeth (Cymru)'!G$118)</f>
        <v>#VALUE!</v>
      </c>
      <c r="AC26" s="260">
        <v>32</v>
      </c>
      <c r="AD26" s="4">
        <f>IF('Rhaniad y Ddeiliadaeth (Cymru)'!$D$18="Data Cofrestrfa Tir",'Prisiau Tai (De-orllewin)'!E26,'Prisiau Tai (De-orllewin)'!W26)</f>
        <v>116328</v>
      </c>
      <c r="AE26" s="4">
        <f>IF('Rhaniad y Ddeiliadaeth (Cymru)'!$D$18="Data Cofrestrfa Tir",'Prisiau Tai (De-orllewin)'!F26,'Prisiau Tai (De-orllewin)'!X26)</f>
        <v>123109.9224</v>
      </c>
      <c r="AF26" s="4">
        <f>IF('Rhaniad y Ddeiliadaeth (Cymru)'!$D$18="Data Cofrestrfa Tir",'Prisiau Tai (De-orllewin)'!G26,'Prisiau Tai (De-orllewin)'!Y26)</f>
        <v>131806.02959862148</v>
      </c>
      <c r="AG26" s="4">
        <f>IF('Rhaniad y Ddeiliadaeth (Cymru)'!$D$18="Data Cofrestrfa Tir",'Prisiau Tai (De-orllewin)'!H26,'Prisiau Tai (De-orllewin)'!Z26)</f>
        <v>138979.02856709308</v>
      </c>
      <c r="AH26" s="4">
        <f>IF('Rhaniad y Ddeiliadaeth (Cymru)'!$D$18="Data Cofrestrfa Tir",'Prisiau Tai (De-orllewin)'!I26,'Prisiau Tai (De-orllewin)'!AA26)</f>
        <v>144841.68216369447</v>
      </c>
    </row>
    <row r="27" spans="2:34" x14ac:dyDescent="0.35">
      <c r="B27" s="251">
        <v>33</v>
      </c>
      <c r="C27" s="258">
        <v>110000</v>
      </c>
      <c r="D27" s="258">
        <v>113000</v>
      </c>
      <c r="E27" s="278">
        <f>D27*(1+'Rhaniad y Ddeiliadaeth (De-o)'!C$118)</f>
        <v>118424</v>
      </c>
      <c r="F27" s="278">
        <f>E27*(1+'Rhaniad y Ddeiliadaeth (De-o)'!D$118)</f>
        <v>125328.1192</v>
      </c>
      <c r="G27" s="278">
        <f>F27*(1+'Rhaniad y Ddeiliadaeth (De-o)'!E$118)</f>
        <v>134180.91301481286</v>
      </c>
      <c r="H27" s="278">
        <f>G27*(1+'Rhaniad y Ddeiliadaeth (De-o)'!F$118)</f>
        <v>141483.1552079416</v>
      </c>
      <c r="I27" s="279">
        <f>H27*(1+'Rhaniad y Ddeiliadaeth (De-o)'!G$118)</f>
        <v>147451.44220267996</v>
      </c>
      <c r="M27" s="36" t="str">
        <f t="shared" si="0"/>
        <v/>
      </c>
      <c r="N27" s="202"/>
      <c r="O27" s="13">
        <f t="shared" si="3"/>
        <v>1</v>
      </c>
      <c r="U27" s="1">
        <f t="shared" si="1"/>
        <v>33</v>
      </c>
      <c r="V27" s="4" t="str">
        <f t="shared" si="2"/>
        <v/>
      </c>
      <c r="W27" s="4" t="e">
        <f>IF($W$3=$N$3,N27,V27*(1+'Rhaniad y Ddeiliadaeth (Cymru)'!C$118))</f>
        <v>#VALUE!</v>
      </c>
      <c r="X27" s="4" t="e">
        <f>W27*(1+'Rhaniad y Ddeiliadaeth (Cymru)'!D$118)</f>
        <v>#VALUE!</v>
      </c>
      <c r="Y27" s="4" t="e">
        <f>X27*(1+'Rhaniad y Ddeiliadaeth (Cymru)'!E$118)</f>
        <v>#VALUE!</v>
      </c>
      <c r="Z27" s="4" t="e">
        <f>Y27*(1+'Rhaniad y Ddeiliadaeth (Cymru)'!F$118)</f>
        <v>#VALUE!</v>
      </c>
      <c r="AA27" s="4" t="e">
        <f>Z27*(1+'Rhaniad y Ddeiliadaeth (Cymru)'!G$118)</f>
        <v>#VALUE!</v>
      </c>
      <c r="AC27" s="260">
        <v>33</v>
      </c>
      <c r="AD27" s="4">
        <f>IF('Rhaniad y Ddeiliadaeth (Cymru)'!$D$18="Data Cofrestrfa Tir",'Prisiau Tai (De-orllewin)'!E27,'Prisiau Tai (De-orllewin)'!W27)</f>
        <v>118424</v>
      </c>
      <c r="AE27" s="4">
        <f>IF('Rhaniad y Ddeiliadaeth (Cymru)'!$D$18="Data Cofrestrfa Tir",'Prisiau Tai (De-orllewin)'!F27,'Prisiau Tai (De-orllewin)'!X27)</f>
        <v>125328.1192</v>
      </c>
      <c r="AF27" s="4">
        <f>IF('Rhaniad y Ddeiliadaeth (Cymru)'!$D$18="Data Cofrestrfa Tir",'Prisiau Tai (De-orllewin)'!G27,'Prisiau Tai (De-orllewin)'!Y27)</f>
        <v>134180.91301481286</v>
      </c>
      <c r="AG27" s="4">
        <f>IF('Rhaniad y Ddeiliadaeth (Cymru)'!$D$18="Data Cofrestrfa Tir",'Prisiau Tai (De-orllewin)'!H27,'Prisiau Tai (De-orllewin)'!Z27)</f>
        <v>141483.1552079416</v>
      </c>
      <c r="AH27" s="4">
        <f>IF('Rhaniad y Ddeiliadaeth (Cymru)'!$D$18="Data Cofrestrfa Tir",'Prisiau Tai (De-orllewin)'!I27,'Prisiau Tai (De-orllewin)'!AA27)</f>
        <v>147451.44220267996</v>
      </c>
    </row>
    <row r="28" spans="2:34" x14ac:dyDescent="0.35">
      <c r="B28" s="251">
        <v>34</v>
      </c>
      <c r="C28" s="258">
        <v>110997.90000000001</v>
      </c>
      <c r="D28" s="258">
        <v>115000</v>
      </c>
      <c r="E28" s="278">
        <f>D28*(1+'Rhaniad y Ddeiliadaeth (De-o)'!C$118)</f>
        <v>120520</v>
      </c>
      <c r="F28" s="278">
        <f>E28*(1+'Rhaniad y Ddeiliadaeth (De-o)'!D$118)</f>
        <v>127546.31600000001</v>
      </c>
      <c r="G28" s="278">
        <f>F28*(1+'Rhaniad y Ddeiliadaeth (De-o)'!E$118)</f>
        <v>136555.79643100424</v>
      </c>
      <c r="H28" s="278">
        <f>G28*(1+'Rhaniad y Ddeiliadaeth (De-o)'!F$118)</f>
        <v>143987.28184879012</v>
      </c>
      <c r="I28" s="279">
        <f>H28*(1+'Rhaniad y Ddeiliadaeth (De-o)'!G$118)</f>
        <v>150061.20224166545</v>
      </c>
      <c r="M28" s="36" t="str">
        <f t="shared" si="0"/>
        <v/>
      </c>
      <c r="N28" s="202"/>
      <c r="O28" s="13">
        <f t="shared" si="3"/>
        <v>1</v>
      </c>
      <c r="U28" s="1">
        <f t="shared" si="1"/>
        <v>34</v>
      </c>
      <c r="V28" s="4" t="str">
        <f t="shared" si="2"/>
        <v/>
      </c>
      <c r="W28" s="4" t="e">
        <f>IF($W$3=$N$3,N28,V28*(1+'Rhaniad y Ddeiliadaeth (Cymru)'!C$118))</f>
        <v>#VALUE!</v>
      </c>
      <c r="X28" s="4" t="e">
        <f>W28*(1+'Rhaniad y Ddeiliadaeth (Cymru)'!D$118)</f>
        <v>#VALUE!</v>
      </c>
      <c r="Y28" s="4" t="e">
        <f>X28*(1+'Rhaniad y Ddeiliadaeth (Cymru)'!E$118)</f>
        <v>#VALUE!</v>
      </c>
      <c r="Z28" s="4" t="e">
        <f>Y28*(1+'Rhaniad y Ddeiliadaeth (Cymru)'!F$118)</f>
        <v>#VALUE!</v>
      </c>
      <c r="AA28" s="4" t="e">
        <f>Z28*(1+'Rhaniad y Ddeiliadaeth (Cymru)'!G$118)</f>
        <v>#VALUE!</v>
      </c>
      <c r="AC28" s="260">
        <v>34</v>
      </c>
      <c r="AD28" s="4">
        <f>IF('Rhaniad y Ddeiliadaeth (Cymru)'!$D$18="Data Cofrestrfa Tir",'Prisiau Tai (De-orllewin)'!E28,'Prisiau Tai (De-orllewin)'!W28)</f>
        <v>120520</v>
      </c>
      <c r="AE28" s="4">
        <f>IF('Rhaniad y Ddeiliadaeth (Cymru)'!$D$18="Data Cofrestrfa Tir",'Prisiau Tai (De-orllewin)'!F28,'Prisiau Tai (De-orllewin)'!X28)</f>
        <v>127546.31600000001</v>
      </c>
      <c r="AF28" s="4">
        <f>IF('Rhaniad y Ddeiliadaeth (Cymru)'!$D$18="Data Cofrestrfa Tir",'Prisiau Tai (De-orllewin)'!G28,'Prisiau Tai (De-orllewin)'!Y28)</f>
        <v>136555.79643100424</v>
      </c>
      <c r="AG28" s="4">
        <f>IF('Rhaniad y Ddeiliadaeth (Cymru)'!$D$18="Data Cofrestrfa Tir",'Prisiau Tai (De-orllewin)'!H28,'Prisiau Tai (De-orllewin)'!Z28)</f>
        <v>143987.28184879012</v>
      </c>
      <c r="AH28" s="4">
        <f>IF('Rhaniad y Ddeiliadaeth (Cymru)'!$D$18="Data Cofrestrfa Tir",'Prisiau Tai (De-orllewin)'!I28,'Prisiau Tai (De-orllewin)'!AA28)</f>
        <v>150061.20224166545</v>
      </c>
    </row>
    <row r="29" spans="2:34" x14ac:dyDescent="0.35">
      <c r="B29" s="251">
        <v>35</v>
      </c>
      <c r="C29" s="258">
        <v>113000</v>
      </c>
      <c r="D29" s="258">
        <v>115000</v>
      </c>
      <c r="E29" s="278">
        <f>D29*(1+'Rhaniad y Ddeiliadaeth (De-o)'!C$118)</f>
        <v>120520</v>
      </c>
      <c r="F29" s="278">
        <f>E29*(1+'Rhaniad y Ddeiliadaeth (De-o)'!D$118)</f>
        <v>127546.31600000001</v>
      </c>
      <c r="G29" s="278">
        <f>F29*(1+'Rhaniad y Ddeiliadaeth (De-o)'!E$118)</f>
        <v>136555.79643100424</v>
      </c>
      <c r="H29" s="278">
        <f>G29*(1+'Rhaniad y Ddeiliadaeth (De-o)'!F$118)</f>
        <v>143987.28184879012</v>
      </c>
      <c r="I29" s="279">
        <f>H29*(1+'Rhaniad y Ddeiliadaeth (De-o)'!G$118)</f>
        <v>150061.20224166545</v>
      </c>
      <c r="M29" s="36" t="str">
        <f t="shared" si="0"/>
        <v/>
      </c>
      <c r="N29" s="202"/>
      <c r="O29" s="13">
        <f t="shared" si="3"/>
        <v>1</v>
      </c>
      <c r="U29" s="1">
        <f t="shared" si="1"/>
        <v>35</v>
      </c>
      <c r="V29" s="4" t="str">
        <f t="shared" si="2"/>
        <v/>
      </c>
      <c r="W29" s="4" t="e">
        <f>IF($W$3=$N$3,N29,V29*(1+'Rhaniad y Ddeiliadaeth (Cymru)'!C$118))</f>
        <v>#VALUE!</v>
      </c>
      <c r="X29" s="4" t="e">
        <f>W29*(1+'Rhaniad y Ddeiliadaeth (Cymru)'!D$118)</f>
        <v>#VALUE!</v>
      </c>
      <c r="Y29" s="4" t="e">
        <f>X29*(1+'Rhaniad y Ddeiliadaeth (Cymru)'!E$118)</f>
        <v>#VALUE!</v>
      </c>
      <c r="Z29" s="4" t="e">
        <f>Y29*(1+'Rhaniad y Ddeiliadaeth (Cymru)'!F$118)</f>
        <v>#VALUE!</v>
      </c>
      <c r="AA29" s="4" t="e">
        <f>Z29*(1+'Rhaniad y Ddeiliadaeth (Cymru)'!G$118)</f>
        <v>#VALUE!</v>
      </c>
      <c r="AC29" s="260">
        <v>35</v>
      </c>
      <c r="AD29" s="4">
        <f>IF('Rhaniad y Ddeiliadaeth (Cymru)'!$D$18="Data Cofrestrfa Tir",'Prisiau Tai (De-orllewin)'!E29,'Prisiau Tai (De-orllewin)'!W29)</f>
        <v>120520</v>
      </c>
      <c r="AE29" s="4">
        <f>IF('Rhaniad y Ddeiliadaeth (Cymru)'!$D$18="Data Cofrestrfa Tir",'Prisiau Tai (De-orllewin)'!F29,'Prisiau Tai (De-orllewin)'!X29)</f>
        <v>127546.31600000001</v>
      </c>
      <c r="AF29" s="4">
        <f>IF('Rhaniad y Ddeiliadaeth (Cymru)'!$D$18="Data Cofrestrfa Tir",'Prisiau Tai (De-orllewin)'!G29,'Prisiau Tai (De-orllewin)'!Y29)</f>
        <v>136555.79643100424</v>
      </c>
      <c r="AG29" s="4">
        <f>IF('Rhaniad y Ddeiliadaeth (Cymru)'!$D$18="Data Cofrestrfa Tir",'Prisiau Tai (De-orllewin)'!H29,'Prisiau Tai (De-orllewin)'!Z29)</f>
        <v>143987.28184879012</v>
      </c>
      <c r="AH29" s="4">
        <f>IF('Rhaniad y Ddeiliadaeth (Cymru)'!$D$18="Data Cofrestrfa Tir",'Prisiau Tai (De-orllewin)'!I29,'Prisiau Tai (De-orllewin)'!AA29)</f>
        <v>150061.20224166545</v>
      </c>
    </row>
    <row r="30" spans="2:34" x14ac:dyDescent="0.35">
      <c r="B30" s="251">
        <v>36</v>
      </c>
      <c r="C30" s="258">
        <v>115000</v>
      </c>
      <c r="D30" s="258">
        <v>117500</v>
      </c>
      <c r="E30" s="278">
        <f>D30*(1+'Rhaniad y Ddeiliadaeth (De-o)'!C$118)</f>
        <v>123140</v>
      </c>
      <c r="F30" s="278">
        <f>E30*(1+'Rhaniad y Ddeiliadaeth (De-o)'!D$118)</f>
        <v>130319.06200000001</v>
      </c>
      <c r="G30" s="278">
        <f>F30*(1+'Rhaniad y Ddeiliadaeth (De-o)'!E$118)</f>
        <v>139524.40070124349</v>
      </c>
      <c r="H30" s="278">
        <f>G30*(1+'Rhaniad y Ddeiliadaeth (De-o)'!F$118)</f>
        <v>147117.44014985082</v>
      </c>
      <c r="I30" s="279">
        <f>H30*(1+'Rhaniad y Ddeiliadaeth (De-o)'!G$118)</f>
        <v>153323.40229039735</v>
      </c>
      <c r="M30" s="36" t="str">
        <f t="shared" si="0"/>
        <v/>
      </c>
      <c r="N30" s="202"/>
      <c r="O30" s="13">
        <f t="shared" si="3"/>
        <v>1</v>
      </c>
      <c r="U30" s="1">
        <f t="shared" si="1"/>
        <v>36</v>
      </c>
      <c r="V30" s="4" t="str">
        <f t="shared" si="2"/>
        <v/>
      </c>
      <c r="W30" s="4" t="e">
        <f>IF($W$3=$N$3,N30,V30*(1+'Rhaniad y Ddeiliadaeth (Cymru)'!C$118))</f>
        <v>#VALUE!</v>
      </c>
      <c r="X30" s="4" t="e">
        <f>W30*(1+'Rhaniad y Ddeiliadaeth (Cymru)'!D$118)</f>
        <v>#VALUE!</v>
      </c>
      <c r="Y30" s="4" t="e">
        <f>X30*(1+'Rhaniad y Ddeiliadaeth (Cymru)'!E$118)</f>
        <v>#VALUE!</v>
      </c>
      <c r="Z30" s="4" t="e">
        <f>Y30*(1+'Rhaniad y Ddeiliadaeth (Cymru)'!F$118)</f>
        <v>#VALUE!</v>
      </c>
      <c r="AA30" s="4" t="e">
        <f>Z30*(1+'Rhaniad y Ddeiliadaeth (Cymru)'!G$118)</f>
        <v>#VALUE!</v>
      </c>
      <c r="AC30" s="260">
        <v>36</v>
      </c>
      <c r="AD30" s="4">
        <f>IF('Rhaniad y Ddeiliadaeth (Cymru)'!$D$18="Data Cofrestrfa Tir",'Prisiau Tai (De-orllewin)'!E30,'Prisiau Tai (De-orllewin)'!W30)</f>
        <v>123140</v>
      </c>
      <c r="AE30" s="4">
        <f>IF('Rhaniad y Ddeiliadaeth (Cymru)'!$D$18="Data Cofrestrfa Tir",'Prisiau Tai (De-orllewin)'!F30,'Prisiau Tai (De-orllewin)'!X30)</f>
        <v>130319.06200000001</v>
      </c>
      <c r="AF30" s="4">
        <f>IF('Rhaniad y Ddeiliadaeth (Cymru)'!$D$18="Data Cofrestrfa Tir",'Prisiau Tai (De-orllewin)'!G30,'Prisiau Tai (De-orllewin)'!Y30)</f>
        <v>139524.40070124349</v>
      </c>
      <c r="AG30" s="4">
        <f>IF('Rhaniad y Ddeiliadaeth (Cymru)'!$D$18="Data Cofrestrfa Tir",'Prisiau Tai (De-orllewin)'!H30,'Prisiau Tai (De-orllewin)'!Z30)</f>
        <v>147117.44014985082</v>
      </c>
      <c r="AH30" s="4">
        <f>IF('Rhaniad y Ddeiliadaeth (Cymru)'!$D$18="Data Cofrestrfa Tir",'Prisiau Tai (De-orllewin)'!I30,'Prisiau Tai (De-orllewin)'!AA30)</f>
        <v>153323.40229039735</v>
      </c>
    </row>
    <row r="31" spans="2:34" x14ac:dyDescent="0.35">
      <c r="B31" s="251">
        <v>37</v>
      </c>
      <c r="C31" s="258">
        <v>115500</v>
      </c>
      <c r="D31" s="258">
        <v>119000</v>
      </c>
      <c r="E31" s="278">
        <f>D31*(1+'Rhaniad y Ddeiliadaeth (De-o)'!C$118)</f>
        <v>124712</v>
      </c>
      <c r="F31" s="278">
        <f>E31*(1+'Rhaniad y Ddeiliadaeth (De-o)'!D$118)</f>
        <v>131982.7096</v>
      </c>
      <c r="G31" s="278">
        <f>F31*(1+'Rhaniad y Ddeiliadaeth (De-o)'!E$118)</f>
        <v>141305.56326338701</v>
      </c>
      <c r="H31" s="278">
        <f>G31*(1+'Rhaniad y Ddeiliadaeth (De-o)'!F$118)</f>
        <v>148995.5351304872</v>
      </c>
      <c r="I31" s="279">
        <f>H31*(1+'Rhaniad y Ddeiliadaeth (De-o)'!G$118)</f>
        <v>155280.72231963644</v>
      </c>
      <c r="M31" s="36" t="str">
        <f t="shared" si="0"/>
        <v/>
      </c>
      <c r="N31" s="202"/>
      <c r="O31" s="13">
        <f t="shared" si="3"/>
        <v>1</v>
      </c>
      <c r="U31" s="1">
        <f t="shared" si="1"/>
        <v>37</v>
      </c>
      <c r="V31" s="4" t="str">
        <f t="shared" si="2"/>
        <v/>
      </c>
      <c r="W31" s="4" t="e">
        <f>IF($W$3=$N$3,N31,V31*(1+'Rhaniad y Ddeiliadaeth (Cymru)'!C$118))</f>
        <v>#VALUE!</v>
      </c>
      <c r="X31" s="4" t="e">
        <f>W31*(1+'Rhaniad y Ddeiliadaeth (Cymru)'!D$118)</f>
        <v>#VALUE!</v>
      </c>
      <c r="Y31" s="4" t="e">
        <f>X31*(1+'Rhaniad y Ddeiliadaeth (Cymru)'!E$118)</f>
        <v>#VALUE!</v>
      </c>
      <c r="Z31" s="4" t="e">
        <f>Y31*(1+'Rhaniad y Ddeiliadaeth (Cymru)'!F$118)</f>
        <v>#VALUE!</v>
      </c>
      <c r="AA31" s="4" t="e">
        <f>Z31*(1+'Rhaniad y Ddeiliadaeth (Cymru)'!G$118)</f>
        <v>#VALUE!</v>
      </c>
      <c r="AC31" s="260">
        <v>37</v>
      </c>
      <c r="AD31" s="4">
        <f>IF('Rhaniad y Ddeiliadaeth (Cymru)'!$D$18="Data Cofrestrfa Tir",'Prisiau Tai (De-orllewin)'!E31,'Prisiau Tai (De-orllewin)'!W31)</f>
        <v>124712</v>
      </c>
      <c r="AE31" s="4">
        <f>IF('Rhaniad y Ddeiliadaeth (Cymru)'!$D$18="Data Cofrestrfa Tir",'Prisiau Tai (De-orllewin)'!F31,'Prisiau Tai (De-orllewin)'!X31)</f>
        <v>131982.7096</v>
      </c>
      <c r="AF31" s="4">
        <f>IF('Rhaniad y Ddeiliadaeth (Cymru)'!$D$18="Data Cofrestrfa Tir",'Prisiau Tai (De-orllewin)'!G31,'Prisiau Tai (De-orllewin)'!Y31)</f>
        <v>141305.56326338701</v>
      </c>
      <c r="AG31" s="4">
        <f>IF('Rhaniad y Ddeiliadaeth (Cymru)'!$D$18="Data Cofrestrfa Tir",'Prisiau Tai (De-orllewin)'!H31,'Prisiau Tai (De-orllewin)'!Z31)</f>
        <v>148995.5351304872</v>
      </c>
      <c r="AH31" s="4">
        <f>IF('Rhaniad y Ddeiliadaeth (Cymru)'!$D$18="Data Cofrestrfa Tir",'Prisiau Tai (De-orllewin)'!I31,'Prisiau Tai (De-orllewin)'!AA31)</f>
        <v>155280.72231963644</v>
      </c>
    </row>
    <row r="32" spans="2:34" x14ac:dyDescent="0.35">
      <c r="B32" s="251">
        <v>38</v>
      </c>
      <c r="C32" s="258">
        <v>117500</v>
      </c>
      <c r="D32" s="258">
        <v>120000</v>
      </c>
      <c r="E32" s="278">
        <f>D32*(1+'Rhaniad y Ddeiliadaeth (De-o)'!C$118)</f>
        <v>125760</v>
      </c>
      <c r="F32" s="278">
        <f>E32*(1+'Rhaniad y Ddeiliadaeth (De-o)'!D$118)</f>
        <v>133091.80799999999</v>
      </c>
      <c r="G32" s="278">
        <f>F32*(1+'Rhaniad y Ddeiliadaeth (De-o)'!E$118)</f>
        <v>142493.00497148267</v>
      </c>
      <c r="H32" s="278">
        <f>G32*(1+'Rhaniad y Ddeiliadaeth (De-o)'!F$118)</f>
        <v>150247.59845091144</v>
      </c>
      <c r="I32" s="279">
        <f>H32*(1+'Rhaniad y Ddeiliadaeth (De-o)'!G$118)</f>
        <v>156585.60233912914</v>
      </c>
      <c r="M32" s="36" t="str">
        <f t="shared" si="0"/>
        <v/>
      </c>
      <c r="N32" s="202"/>
      <c r="O32" s="13">
        <f t="shared" si="3"/>
        <v>1</v>
      </c>
      <c r="U32" s="1">
        <f t="shared" si="1"/>
        <v>38</v>
      </c>
      <c r="V32" s="4" t="str">
        <f t="shared" si="2"/>
        <v/>
      </c>
      <c r="W32" s="4" t="e">
        <f>IF($W$3=$N$3,N32,V32*(1+'Rhaniad y Ddeiliadaeth (Cymru)'!C$118))</f>
        <v>#VALUE!</v>
      </c>
      <c r="X32" s="4" t="e">
        <f>W32*(1+'Rhaniad y Ddeiliadaeth (Cymru)'!D$118)</f>
        <v>#VALUE!</v>
      </c>
      <c r="Y32" s="4" t="e">
        <f>X32*(1+'Rhaniad y Ddeiliadaeth (Cymru)'!E$118)</f>
        <v>#VALUE!</v>
      </c>
      <c r="Z32" s="4" t="e">
        <f>Y32*(1+'Rhaniad y Ddeiliadaeth (Cymru)'!F$118)</f>
        <v>#VALUE!</v>
      </c>
      <c r="AA32" s="4" t="e">
        <f>Z32*(1+'Rhaniad y Ddeiliadaeth (Cymru)'!G$118)</f>
        <v>#VALUE!</v>
      </c>
      <c r="AC32" s="260">
        <v>38</v>
      </c>
      <c r="AD32" s="4">
        <f>IF('Rhaniad y Ddeiliadaeth (Cymru)'!$D$18="Data Cofrestrfa Tir",'Prisiau Tai (De-orllewin)'!E32,'Prisiau Tai (De-orllewin)'!W32)</f>
        <v>125760</v>
      </c>
      <c r="AE32" s="4">
        <f>IF('Rhaniad y Ddeiliadaeth (Cymru)'!$D$18="Data Cofrestrfa Tir",'Prisiau Tai (De-orllewin)'!F32,'Prisiau Tai (De-orllewin)'!X32)</f>
        <v>133091.80799999999</v>
      </c>
      <c r="AF32" s="4">
        <f>IF('Rhaniad y Ddeiliadaeth (Cymru)'!$D$18="Data Cofrestrfa Tir",'Prisiau Tai (De-orllewin)'!G32,'Prisiau Tai (De-orllewin)'!Y32)</f>
        <v>142493.00497148267</v>
      </c>
      <c r="AG32" s="4">
        <f>IF('Rhaniad y Ddeiliadaeth (Cymru)'!$D$18="Data Cofrestrfa Tir",'Prisiau Tai (De-orllewin)'!H32,'Prisiau Tai (De-orllewin)'!Z32)</f>
        <v>150247.59845091144</v>
      </c>
      <c r="AH32" s="4">
        <f>IF('Rhaniad y Ddeiliadaeth (Cymru)'!$D$18="Data Cofrestrfa Tir",'Prisiau Tai (De-orllewin)'!I32,'Prisiau Tai (De-orllewin)'!AA32)</f>
        <v>156585.60233912914</v>
      </c>
    </row>
    <row r="33" spans="2:34" x14ac:dyDescent="0.35">
      <c r="B33" s="251">
        <v>39</v>
      </c>
      <c r="C33" s="258">
        <v>119000</v>
      </c>
      <c r="D33" s="258">
        <v>120500</v>
      </c>
      <c r="E33" s="278">
        <f>D33*(1+'Rhaniad y Ddeiliadaeth (De-o)'!C$118)</f>
        <v>126284</v>
      </c>
      <c r="F33" s="278">
        <f>E33*(1+'Rhaniad y Ddeiliadaeth (De-o)'!D$118)</f>
        <v>133646.3572</v>
      </c>
      <c r="G33" s="278">
        <f>F33*(1+'Rhaniad y Ddeiliadaeth (De-o)'!E$118)</f>
        <v>143086.72582553054</v>
      </c>
      <c r="H33" s="278">
        <f>G33*(1+'Rhaniad y Ddeiliadaeth (De-o)'!F$118)</f>
        <v>150873.63011112358</v>
      </c>
      <c r="I33" s="279">
        <f>H33*(1+'Rhaniad y Ddeiliadaeth (De-o)'!G$118)</f>
        <v>157238.04234887555</v>
      </c>
      <c r="M33" s="36" t="str">
        <f t="shared" si="0"/>
        <v/>
      </c>
      <c r="N33" s="202"/>
      <c r="O33" s="13">
        <f t="shared" si="3"/>
        <v>1</v>
      </c>
      <c r="U33" s="1">
        <f t="shared" si="1"/>
        <v>39</v>
      </c>
      <c r="V33" s="4" t="str">
        <f t="shared" si="2"/>
        <v/>
      </c>
      <c r="W33" s="4" t="e">
        <f>IF($W$3=$N$3,N33,V33*(1+'Rhaniad y Ddeiliadaeth (Cymru)'!C$118))</f>
        <v>#VALUE!</v>
      </c>
      <c r="X33" s="4" t="e">
        <f>W33*(1+'Rhaniad y Ddeiliadaeth (Cymru)'!D$118)</f>
        <v>#VALUE!</v>
      </c>
      <c r="Y33" s="4" t="e">
        <f>X33*(1+'Rhaniad y Ddeiliadaeth (Cymru)'!E$118)</f>
        <v>#VALUE!</v>
      </c>
      <c r="Z33" s="4" t="e">
        <f>Y33*(1+'Rhaniad y Ddeiliadaeth (Cymru)'!F$118)</f>
        <v>#VALUE!</v>
      </c>
      <c r="AA33" s="4" t="e">
        <f>Z33*(1+'Rhaniad y Ddeiliadaeth (Cymru)'!G$118)</f>
        <v>#VALUE!</v>
      </c>
      <c r="AC33" s="260">
        <v>39</v>
      </c>
      <c r="AD33" s="4">
        <f>IF('Rhaniad y Ddeiliadaeth (Cymru)'!$D$18="Data Cofrestrfa Tir",'Prisiau Tai (De-orllewin)'!E33,'Prisiau Tai (De-orllewin)'!W33)</f>
        <v>126284</v>
      </c>
      <c r="AE33" s="4">
        <f>IF('Rhaniad y Ddeiliadaeth (Cymru)'!$D$18="Data Cofrestrfa Tir",'Prisiau Tai (De-orllewin)'!F33,'Prisiau Tai (De-orllewin)'!X33)</f>
        <v>133646.3572</v>
      </c>
      <c r="AF33" s="4">
        <f>IF('Rhaniad y Ddeiliadaeth (Cymru)'!$D$18="Data Cofrestrfa Tir",'Prisiau Tai (De-orllewin)'!G33,'Prisiau Tai (De-orllewin)'!Y33)</f>
        <v>143086.72582553054</v>
      </c>
      <c r="AG33" s="4">
        <f>IF('Rhaniad y Ddeiliadaeth (Cymru)'!$D$18="Data Cofrestrfa Tir",'Prisiau Tai (De-orllewin)'!H33,'Prisiau Tai (De-orllewin)'!Z33)</f>
        <v>150873.63011112358</v>
      </c>
      <c r="AH33" s="4">
        <f>IF('Rhaniad y Ddeiliadaeth (Cymru)'!$D$18="Data Cofrestrfa Tir",'Prisiau Tai (De-orllewin)'!I33,'Prisiau Tai (De-orllewin)'!AA33)</f>
        <v>157238.04234887555</v>
      </c>
    </row>
    <row r="34" spans="2:34" x14ac:dyDescent="0.35">
      <c r="B34" s="251">
        <v>40</v>
      </c>
      <c r="C34" s="258">
        <v>120000</v>
      </c>
      <c r="D34" s="258">
        <v>123000</v>
      </c>
      <c r="E34" s="278">
        <f>D34*(1+'Rhaniad y Ddeiliadaeth (De-o)'!C$118)</f>
        <v>128904</v>
      </c>
      <c r="F34" s="278">
        <f>E34*(1+'Rhaniad y Ddeiliadaeth (De-o)'!D$118)</f>
        <v>136419.10320000001</v>
      </c>
      <c r="G34" s="278">
        <f>F34*(1+'Rhaniad y Ddeiliadaeth (De-o)'!E$118)</f>
        <v>146055.33009576978</v>
      </c>
      <c r="H34" s="278">
        <f>G34*(1+'Rhaniad y Ddeiliadaeth (De-o)'!F$118)</f>
        <v>154003.78841218425</v>
      </c>
      <c r="I34" s="279">
        <f>H34*(1+'Rhaniad y Ddeiliadaeth (De-o)'!G$118)</f>
        <v>160500.24239760742</v>
      </c>
      <c r="M34" s="36" t="str">
        <f t="shared" si="0"/>
        <v/>
      </c>
      <c r="N34" s="202"/>
      <c r="O34" s="13">
        <f t="shared" si="3"/>
        <v>1</v>
      </c>
      <c r="U34" s="1">
        <f t="shared" si="1"/>
        <v>40</v>
      </c>
      <c r="V34" s="4" t="str">
        <f t="shared" si="2"/>
        <v/>
      </c>
      <c r="W34" s="4" t="e">
        <f>IF($W$3=$N$3,N34,V34*(1+'Rhaniad y Ddeiliadaeth (Cymru)'!C$118))</f>
        <v>#VALUE!</v>
      </c>
      <c r="X34" s="4" t="e">
        <f>W34*(1+'Rhaniad y Ddeiliadaeth (Cymru)'!D$118)</f>
        <v>#VALUE!</v>
      </c>
      <c r="Y34" s="4" t="e">
        <f>X34*(1+'Rhaniad y Ddeiliadaeth (Cymru)'!E$118)</f>
        <v>#VALUE!</v>
      </c>
      <c r="Z34" s="4" t="e">
        <f>Y34*(1+'Rhaniad y Ddeiliadaeth (Cymru)'!F$118)</f>
        <v>#VALUE!</v>
      </c>
      <c r="AA34" s="4" t="e">
        <f>Z34*(1+'Rhaniad y Ddeiliadaeth (Cymru)'!G$118)</f>
        <v>#VALUE!</v>
      </c>
      <c r="AC34" s="260">
        <v>40</v>
      </c>
      <c r="AD34" s="4">
        <f>IF('Rhaniad y Ddeiliadaeth (Cymru)'!$D$18="Data Cofrestrfa Tir",'Prisiau Tai (De-orllewin)'!E34,'Prisiau Tai (De-orllewin)'!W34)</f>
        <v>128904</v>
      </c>
      <c r="AE34" s="4">
        <f>IF('Rhaniad y Ddeiliadaeth (Cymru)'!$D$18="Data Cofrestrfa Tir",'Prisiau Tai (De-orllewin)'!F34,'Prisiau Tai (De-orllewin)'!X34)</f>
        <v>136419.10320000001</v>
      </c>
      <c r="AF34" s="4">
        <f>IF('Rhaniad y Ddeiliadaeth (Cymru)'!$D$18="Data Cofrestrfa Tir",'Prisiau Tai (De-orllewin)'!G34,'Prisiau Tai (De-orllewin)'!Y34)</f>
        <v>146055.33009576978</v>
      </c>
      <c r="AG34" s="4">
        <f>IF('Rhaniad y Ddeiliadaeth (Cymru)'!$D$18="Data Cofrestrfa Tir",'Prisiau Tai (De-orllewin)'!H34,'Prisiau Tai (De-orllewin)'!Z34)</f>
        <v>154003.78841218425</v>
      </c>
      <c r="AH34" s="4">
        <f>IF('Rhaniad y Ddeiliadaeth (Cymru)'!$D$18="Data Cofrestrfa Tir",'Prisiau Tai (De-orllewin)'!I34,'Prisiau Tai (De-orllewin)'!AA34)</f>
        <v>160500.24239760742</v>
      </c>
    </row>
    <row r="35" spans="2:34" x14ac:dyDescent="0.35">
      <c r="B35" s="251">
        <v>41</v>
      </c>
      <c r="C35" s="258">
        <v>120000</v>
      </c>
      <c r="D35" s="258">
        <v>125000</v>
      </c>
      <c r="E35" s="278">
        <f>D35*(1+'Rhaniad y Ddeiliadaeth (De-o)'!C$118)</f>
        <v>131000</v>
      </c>
      <c r="F35" s="278">
        <f>E35*(1+'Rhaniad y Ddeiliadaeth (De-o)'!D$118)</f>
        <v>138637.29999999999</v>
      </c>
      <c r="G35" s="278">
        <f>F35*(1+'Rhaniad y Ddeiliadaeth (De-o)'!E$118)</f>
        <v>148430.21351196113</v>
      </c>
      <c r="H35" s="278">
        <f>G35*(1+'Rhaniad y Ddeiliadaeth (De-o)'!F$118)</f>
        <v>156507.91505303275</v>
      </c>
      <c r="I35" s="279">
        <f>H35*(1+'Rhaniad y Ddeiliadaeth (De-o)'!G$118)</f>
        <v>163110.00243659285</v>
      </c>
      <c r="M35" s="36" t="str">
        <f t="shared" si="0"/>
        <v/>
      </c>
      <c r="N35" s="202"/>
      <c r="O35" s="13">
        <f t="shared" si="3"/>
        <v>1</v>
      </c>
      <c r="U35" s="1">
        <f t="shared" si="1"/>
        <v>41</v>
      </c>
      <c r="V35" s="4" t="str">
        <f t="shared" si="2"/>
        <v/>
      </c>
      <c r="W35" s="4" t="e">
        <f>IF($W$3=$N$3,N35,V35*(1+'Rhaniad y Ddeiliadaeth (Cymru)'!C$118))</f>
        <v>#VALUE!</v>
      </c>
      <c r="X35" s="4" t="e">
        <f>W35*(1+'Rhaniad y Ddeiliadaeth (Cymru)'!D$118)</f>
        <v>#VALUE!</v>
      </c>
      <c r="Y35" s="4" t="e">
        <f>X35*(1+'Rhaniad y Ddeiliadaeth (Cymru)'!E$118)</f>
        <v>#VALUE!</v>
      </c>
      <c r="Z35" s="4" t="e">
        <f>Y35*(1+'Rhaniad y Ddeiliadaeth (Cymru)'!F$118)</f>
        <v>#VALUE!</v>
      </c>
      <c r="AA35" s="4" t="e">
        <f>Z35*(1+'Rhaniad y Ddeiliadaeth (Cymru)'!G$118)</f>
        <v>#VALUE!</v>
      </c>
      <c r="AC35" s="260">
        <v>41</v>
      </c>
      <c r="AD35" s="4">
        <f>IF('Rhaniad y Ddeiliadaeth (Cymru)'!$D$18="Data Cofrestrfa Tir",'Prisiau Tai (De-orllewin)'!E35,'Prisiau Tai (De-orllewin)'!W35)</f>
        <v>131000</v>
      </c>
      <c r="AE35" s="4">
        <f>IF('Rhaniad y Ddeiliadaeth (Cymru)'!$D$18="Data Cofrestrfa Tir",'Prisiau Tai (De-orllewin)'!F35,'Prisiau Tai (De-orllewin)'!X35)</f>
        <v>138637.29999999999</v>
      </c>
      <c r="AF35" s="4">
        <f>IF('Rhaniad y Ddeiliadaeth (Cymru)'!$D$18="Data Cofrestrfa Tir",'Prisiau Tai (De-orllewin)'!G35,'Prisiau Tai (De-orllewin)'!Y35)</f>
        <v>148430.21351196113</v>
      </c>
      <c r="AG35" s="4">
        <f>IF('Rhaniad y Ddeiliadaeth (Cymru)'!$D$18="Data Cofrestrfa Tir",'Prisiau Tai (De-orllewin)'!H35,'Prisiau Tai (De-orllewin)'!Z35)</f>
        <v>156507.91505303275</v>
      </c>
      <c r="AH35" s="4">
        <f>IF('Rhaniad y Ddeiliadaeth (Cymru)'!$D$18="Data Cofrestrfa Tir",'Prisiau Tai (De-orllewin)'!I35,'Prisiau Tai (De-orllewin)'!AA35)</f>
        <v>163110.00243659285</v>
      </c>
    </row>
    <row r="36" spans="2:34" x14ac:dyDescent="0.35">
      <c r="B36" s="251">
        <v>42</v>
      </c>
      <c r="C36" s="258">
        <v>122500</v>
      </c>
      <c r="D36" s="258">
        <v>125000</v>
      </c>
      <c r="E36" s="278">
        <f>D36*(1+'Rhaniad y Ddeiliadaeth (De-o)'!C$118)</f>
        <v>131000</v>
      </c>
      <c r="F36" s="278">
        <f>E36*(1+'Rhaniad y Ddeiliadaeth (De-o)'!D$118)</f>
        <v>138637.29999999999</v>
      </c>
      <c r="G36" s="278">
        <f>F36*(1+'Rhaniad y Ddeiliadaeth (De-o)'!E$118)</f>
        <v>148430.21351196113</v>
      </c>
      <c r="H36" s="278">
        <f>G36*(1+'Rhaniad y Ddeiliadaeth (De-o)'!F$118)</f>
        <v>156507.91505303275</v>
      </c>
      <c r="I36" s="279">
        <f>H36*(1+'Rhaniad y Ddeiliadaeth (De-o)'!G$118)</f>
        <v>163110.00243659285</v>
      </c>
      <c r="M36" s="36" t="str">
        <f t="shared" si="0"/>
        <v/>
      </c>
      <c r="N36" s="202"/>
      <c r="O36" s="13">
        <f t="shared" si="3"/>
        <v>1</v>
      </c>
      <c r="U36" s="1">
        <f t="shared" si="1"/>
        <v>42</v>
      </c>
      <c r="V36" s="4" t="str">
        <f t="shared" si="2"/>
        <v/>
      </c>
      <c r="W36" s="4" t="e">
        <f>IF($W$3=$N$3,N36,V36*(1+'Rhaniad y Ddeiliadaeth (Cymru)'!C$118))</f>
        <v>#VALUE!</v>
      </c>
      <c r="X36" s="4" t="e">
        <f>W36*(1+'Rhaniad y Ddeiliadaeth (Cymru)'!D$118)</f>
        <v>#VALUE!</v>
      </c>
      <c r="Y36" s="4" t="e">
        <f>X36*(1+'Rhaniad y Ddeiliadaeth (Cymru)'!E$118)</f>
        <v>#VALUE!</v>
      </c>
      <c r="Z36" s="4" t="e">
        <f>Y36*(1+'Rhaniad y Ddeiliadaeth (Cymru)'!F$118)</f>
        <v>#VALUE!</v>
      </c>
      <c r="AA36" s="4" t="e">
        <f>Z36*(1+'Rhaniad y Ddeiliadaeth (Cymru)'!G$118)</f>
        <v>#VALUE!</v>
      </c>
      <c r="AC36" s="260">
        <v>42</v>
      </c>
      <c r="AD36" s="4">
        <f>IF('Rhaniad y Ddeiliadaeth (Cymru)'!$D$18="Data Cofrestrfa Tir",'Prisiau Tai (De-orllewin)'!E36,'Prisiau Tai (De-orllewin)'!W36)</f>
        <v>131000</v>
      </c>
      <c r="AE36" s="4">
        <f>IF('Rhaniad y Ddeiliadaeth (Cymru)'!$D$18="Data Cofrestrfa Tir",'Prisiau Tai (De-orllewin)'!F36,'Prisiau Tai (De-orllewin)'!X36)</f>
        <v>138637.29999999999</v>
      </c>
      <c r="AF36" s="4">
        <f>IF('Rhaniad y Ddeiliadaeth (Cymru)'!$D$18="Data Cofrestrfa Tir",'Prisiau Tai (De-orllewin)'!G36,'Prisiau Tai (De-orllewin)'!Y36)</f>
        <v>148430.21351196113</v>
      </c>
      <c r="AG36" s="4">
        <f>IF('Rhaniad y Ddeiliadaeth (Cymru)'!$D$18="Data Cofrestrfa Tir",'Prisiau Tai (De-orllewin)'!H36,'Prisiau Tai (De-orllewin)'!Z36)</f>
        <v>156507.91505303275</v>
      </c>
      <c r="AH36" s="4">
        <f>IF('Rhaniad y Ddeiliadaeth (Cymru)'!$D$18="Data Cofrestrfa Tir",'Prisiau Tai (De-orllewin)'!I36,'Prisiau Tai (De-orllewin)'!AA36)</f>
        <v>163110.00243659285</v>
      </c>
    </row>
    <row r="37" spans="2:34" x14ac:dyDescent="0.35">
      <c r="B37" s="251">
        <v>43</v>
      </c>
      <c r="C37" s="258">
        <v>124500</v>
      </c>
      <c r="D37" s="258">
        <v>127500</v>
      </c>
      <c r="E37" s="278">
        <f>D37*(1+'Rhaniad y Ddeiliadaeth (De-o)'!C$118)</f>
        <v>133620</v>
      </c>
      <c r="F37" s="278">
        <f>E37*(1+'Rhaniad y Ddeiliadaeth (De-o)'!D$118)</f>
        <v>141410.046</v>
      </c>
      <c r="G37" s="278">
        <f>F37*(1+'Rhaniad y Ddeiliadaeth (De-o)'!E$118)</f>
        <v>151398.81778220035</v>
      </c>
      <c r="H37" s="278">
        <f>G37*(1+'Rhaniad y Ddeiliadaeth (De-o)'!F$118)</f>
        <v>159638.07335409339</v>
      </c>
      <c r="I37" s="279">
        <f>H37*(1+'Rhaniad y Ddeiliadaeth (De-o)'!G$118)</f>
        <v>166372.2024853247</v>
      </c>
      <c r="M37" s="36" t="str">
        <f t="shared" si="0"/>
        <v/>
      </c>
      <c r="N37" s="202"/>
      <c r="O37" s="13">
        <f t="shared" si="3"/>
        <v>1</v>
      </c>
      <c r="U37" s="1">
        <f t="shared" si="1"/>
        <v>43</v>
      </c>
      <c r="V37" s="4" t="str">
        <f t="shared" si="2"/>
        <v/>
      </c>
      <c r="W37" s="4" t="e">
        <f>IF($W$3=$N$3,N37,V37*(1+'Rhaniad y Ddeiliadaeth (Cymru)'!C$118))</f>
        <v>#VALUE!</v>
      </c>
      <c r="X37" s="4" t="e">
        <f>W37*(1+'Rhaniad y Ddeiliadaeth (Cymru)'!D$118)</f>
        <v>#VALUE!</v>
      </c>
      <c r="Y37" s="4" t="e">
        <f>X37*(1+'Rhaniad y Ddeiliadaeth (Cymru)'!E$118)</f>
        <v>#VALUE!</v>
      </c>
      <c r="Z37" s="4" t="e">
        <f>Y37*(1+'Rhaniad y Ddeiliadaeth (Cymru)'!F$118)</f>
        <v>#VALUE!</v>
      </c>
      <c r="AA37" s="4" t="e">
        <f>Z37*(1+'Rhaniad y Ddeiliadaeth (Cymru)'!G$118)</f>
        <v>#VALUE!</v>
      </c>
      <c r="AC37" s="260">
        <v>43</v>
      </c>
      <c r="AD37" s="4">
        <f>IF('Rhaniad y Ddeiliadaeth (Cymru)'!$D$18="Data Cofrestrfa Tir",'Prisiau Tai (De-orllewin)'!E37,'Prisiau Tai (De-orllewin)'!W37)</f>
        <v>133620</v>
      </c>
      <c r="AE37" s="4">
        <f>IF('Rhaniad y Ddeiliadaeth (Cymru)'!$D$18="Data Cofrestrfa Tir",'Prisiau Tai (De-orllewin)'!F37,'Prisiau Tai (De-orllewin)'!X37)</f>
        <v>141410.046</v>
      </c>
      <c r="AF37" s="4">
        <f>IF('Rhaniad y Ddeiliadaeth (Cymru)'!$D$18="Data Cofrestrfa Tir",'Prisiau Tai (De-orllewin)'!G37,'Prisiau Tai (De-orllewin)'!Y37)</f>
        <v>151398.81778220035</v>
      </c>
      <c r="AG37" s="4">
        <f>IF('Rhaniad y Ddeiliadaeth (Cymru)'!$D$18="Data Cofrestrfa Tir",'Prisiau Tai (De-orllewin)'!H37,'Prisiau Tai (De-orllewin)'!Z37)</f>
        <v>159638.07335409339</v>
      </c>
      <c r="AH37" s="4">
        <f>IF('Rhaniad y Ddeiliadaeth (Cymru)'!$D$18="Data Cofrestrfa Tir",'Prisiau Tai (De-orllewin)'!I37,'Prisiau Tai (De-orllewin)'!AA37)</f>
        <v>166372.2024853247</v>
      </c>
    </row>
    <row r="38" spans="2:34" x14ac:dyDescent="0.35">
      <c r="B38" s="251">
        <v>44</v>
      </c>
      <c r="C38" s="258">
        <v>125000</v>
      </c>
      <c r="D38" s="258">
        <v>129950</v>
      </c>
      <c r="E38" s="278">
        <f>D38*(1+'Rhaniad y Ddeiliadaeth (De-o)'!C$118)</f>
        <v>136187.6</v>
      </c>
      <c r="F38" s="278">
        <f>E38*(1+'Rhaniad y Ddeiliadaeth (De-o)'!D$118)</f>
        <v>144127.33708</v>
      </c>
      <c r="G38" s="278">
        <f>F38*(1+'Rhaniad y Ddeiliadaeth (De-o)'!E$118)</f>
        <v>154308.04996703481</v>
      </c>
      <c r="H38" s="278">
        <f>G38*(1+'Rhaniad y Ddeiliadaeth (De-o)'!F$118)</f>
        <v>162705.62848913285</v>
      </c>
      <c r="I38" s="279">
        <f>H38*(1+'Rhaniad y Ddeiliadaeth (De-o)'!G$118)</f>
        <v>169569.15853308197</v>
      </c>
      <c r="M38" s="36" t="str">
        <f t="shared" si="0"/>
        <v/>
      </c>
      <c r="N38" s="202"/>
      <c r="O38" s="13">
        <f t="shared" si="3"/>
        <v>1</v>
      </c>
      <c r="U38" s="1">
        <f t="shared" si="1"/>
        <v>44</v>
      </c>
      <c r="V38" s="4" t="str">
        <f t="shared" si="2"/>
        <v/>
      </c>
      <c r="W38" s="4" t="e">
        <f>IF($W$3=$N$3,N38,V38*(1+'Rhaniad y Ddeiliadaeth (Cymru)'!C$118))</f>
        <v>#VALUE!</v>
      </c>
      <c r="X38" s="4" t="e">
        <f>W38*(1+'Rhaniad y Ddeiliadaeth (Cymru)'!D$118)</f>
        <v>#VALUE!</v>
      </c>
      <c r="Y38" s="4" t="e">
        <f>X38*(1+'Rhaniad y Ddeiliadaeth (Cymru)'!E$118)</f>
        <v>#VALUE!</v>
      </c>
      <c r="Z38" s="4" t="e">
        <f>Y38*(1+'Rhaniad y Ddeiliadaeth (Cymru)'!F$118)</f>
        <v>#VALUE!</v>
      </c>
      <c r="AA38" s="4" t="e">
        <f>Z38*(1+'Rhaniad y Ddeiliadaeth (Cymru)'!G$118)</f>
        <v>#VALUE!</v>
      </c>
      <c r="AC38" s="260">
        <v>44</v>
      </c>
      <c r="AD38" s="4">
        <f>IF('Rhaniad y Ddeiliadaeth (Cymru)'!$D$18="Data Cofrestrfa Tir",'Prisiau Tai (De-orllewin)'!E38,'Prisiau Tai (De-orllewin)'!W38)</f>
        <v>136187.6</v>
      </c>
      <c r="AE38" s="4">
        <f>IF('Rhaniad y Ddeiliadaeth (Cymru)'!$D$18="Data Cofrestrfa Tir",'Prisiau Tai (De-orllewin)'!F38,'Prisiau Tai (De-orllewin)'!X38)</f>
        <v>144127.33708</v>
      </c>
      <c r="AF38" s="4">
        <f>IF('Rhaniad y Ddeiliadaeth (Cymru)'!$D$18="Data Cofrestrfa Tir",'Prisiau Tai (De-orllewin)'!G38,'Prisiau Tai (De-orllewin)'!Y38)</f>
        <v>154308.04996703481</v>
      </c>
      <c r="AG38" s="4">
        <f>IF('Rhaniad y Ddeiliadaeth (Cymru)'!$D$18="Data Cofrestrfa Tir",'Prisiau Tai (De-orllewin)'!H38,'Prisiau Tai (De-orllewin)'!Z38)</f>
        <v>162705.62848913285</v>
      </c>
      <c r="AH38" s="4">
        <f>IF('Rhaniad y Ddeiliadaeth (Cymru)'!$D$18="Data Cofrestrfa Tir",'Prisiau Tai (De-orllewin)'!I38,'Prisiau Tai (De-orllewin)'!AA38)</f>
        <v>169569.15853308197</v>
      </c>
    </row>
    <row r="39" spans="2:34" x14ac:dyDescent="0.35">
      <c r="B39" s="251">
        <v>45</v>
      </c>
      <c r="C39" s="258">
        <v>126000</v>
      </c>
      <c r="D39" s="258">
        <v>130000</v>
      </c>
      <c r="E39" s="278">
        <f>D39*(1+'Rhaniad y Ddeiliadaeth (De-o)'!C$118)</f>
        <v>136240</v>
      </c>
      <c r="F39" s="278">
        <f>E39*(1+'Rhaniad y Ddeiliadaeth (De-o)'!D$118)</f>
        <v>144182.79200000002</v>
      </c>
      <c r="G39" s="278">
        <f>F39*(1+'Rhaniad y Ddeiliadaeth (De-o)'!E$118)</f>
        <v>154367.42205243959</v>
      </c>
      <c r="H39" s="278">
        <f>G39*(1+'Rhaniad y Ddeiliadaeth (De-o)'!F$118)</f>
        <v>162768.23165515409</v>
      </c>
      <c r="I39" s="279">
        <f>H39*(1+'Rhaniad y Ddeiliadaeth (De-o)'!G$118)</f>
        <v>169634.4025340566</v>
      </c>
      <c r="M39" s="36" t="str">
        <f t="shared" si="0"/>
        <v/>
      </c>
      <c r="N39" s="202"/>
      <c r="O39" s="13">
        <f t="shared" si="3"/>
        <v>1</v>
      </c>
      <c r="U39" s="1">
        <f t="shared" si="1"/>
        <v>45</v>
      </c>
      <c r="V39" s="4" t="str">
        <f t="shared" si="2"/>
        <v/>
      </c>
      <c r="W39" s="4" t="e">
        <f>IF($W$3=$N$3,N39,V39*(1+'Rhaniad y Ddeiliadaeth (Cymru)'!C$118))</f>
        <v>#VALUE!</v>
      </c>
      <c r="X39" s="4" t="e">
        <f>W39*(1+'Rhaniad y Ddeiliadaeth (Cymru)'!D$118)</f>
        <v>#VALUE!</v>
      </c>
      <c r="Y39" s="4" t="e">
        <f>X39*(1+'Rhaniad y Ddeiliadaeth (Cymru)'!E$118)</f>
        <v>#VALUE!</v>
      </c>
      <c r="Z39" s="4" t="e">
        <f>Y39*(1+'Rhaniad y Ddeiliadaeth (Cymru)'!F$118)</f>
        <v>#VALUE!</v>
      </c>
      <c r="AA39" s="4" t="e">
        <f>Z39*(1+'Rhaniad y Ddeiliadaeth (Cymru)'!G$118)</f>
        <v>#VALUE!</v>
      </c>
      <c r="AC39" s="260">
        <v>45</v>
      </c>
      <c r="AD39" s="4">
        <f>IF('Rhaniad y Ddeiliadaeth (Cymru)'!$D$18="Data Cofrestrfa Tir",'Prisiau Tai (De-orllewin)'!E39,'Prisiau Tai (De-orllewin)'!W39)</f>
        <v>136240</v>
      </c>
      <c r="AE39" s="4">
        <f>IF('Rhaniad y Ddeiliadaeth (Cymru)'!$D$18="Data Cofrestrfa Tir",'Prisiau Tai (De-orllewin)'!F39,'Prisiau Tai (De-orllewin)'!X39)</f>
        <v>144182.79200000002</v>
      </c>
      <c r="AF39" s="4">
        <f>IF('Rhaniad y Ddeiliadaeth (Cymru)'!$D$18="Data Cofrestrfa Tir",'Prisiau Tai (De-orllewin)'!G39,'Prisiau Tai (De-orllewin)'!Y39)</f>
        <v>154367.42205243959</v>
      </c>
      <c r="AG39" s="4">
        <f>IF('Rhaniad y Ddeiliadaeth (Cymru)'!$D$18="Data Cofrestrfa Tir",'Prisiau Tai (De-orllewin)'!H39,'Prisiau Tai (De-orllewin)'!Z39)</f>
        <v>162768.23165515409</v>
      </c>
      <c r="AH39" s="4">
        <f>IF('Rhaniad y Ddeiliadaeth (Cymru)'!$D$18="Data Cofrestrfa Tir",'Prisiau Tai (De-orllewin)'!I39,'Prisiau Tai (De-orllewin)'!AA39)</f>
        <v>169634.4025340566</v>
      </c>
    </row>
    <row r="40" spans="2:34" x14ac:dyDescent="0.35">
      <c r="B40" s="251">
        <v>46</v>
      </c>
      <c r="C40" s="258">
        <v>128000</v>
      </c>
      <c r="D40" s="258">
        <v>132000</v>
      </c>
      <c r="E40" s="278">
        <f>D40*(1+'Rhaniad y Ddeiliadaeth (De-o)'!C$118)</f>
        <v>138336</v>
      </c>
      <c r="F40" s="278">
        <f>E40*(1+'Rhaniad y Ddeiliadaeth (De-o)'!D$118)</f>
        <v>146400.98879999999</v>
      </c>
      <c r="G40" s="278">
        <f>F40*(1+'Rhaniad y Ddeiliadaeth (De-o)'!E$118)</f>
        <v>156742.30546863095</v>
      </c>
      <c r="H40" s="278">
        <f>G40*(1+'Rhaniad y Ddeiliadaeth (De-o)'!F$118)</f>
        <v>165272.35829600258</v>
      </c>
      <c r="I40" s="279">
        <f>H40*(1+'Rhaniad y Ddeiliadaeth (De-o)'!G$118)</f>
        <v>172244.16257304206</v>
      </c>
      <c r="M40" s="36" t="str">
        <f t="shared" si="0"/>
        <v/>
      </c>
      <c r="N40" s="202"/>
      <c r="O40" s="13">
        <f t="shared" si="3"/>
        <v>1</v>
      </c>
      <c r="U40" s="1">
        <f t="shared" si="1"/>
        <v>46</v>
      </c>
      <c r="V40" s="4" t="str">
        <f t="shared" si="2"/>
        <v/>
      </c>
      <c r="W40" s="4" t="e">
        <f>IF($W$3=$N$3,N40,V40*(1+'Rhaniad y Ddeiliadaeth (Cymru)'!C$118))</f>
        <v>#VALUE!</v>
      </c>
      <c r="X40" s="4" t="e">
        <f>W40*(1+'Rhaniad y Ddeiliadaeth (Cymru)'!D$118)</f>
        <v>#VALUE!</v>
      </c>
      <c r="Y40" s="4" t="e">
        <f>X40*(1+'Rhaniad y Ddeiliadaeth (Cymru)'!E$118)</f>
        <v>#VALUE!</v>
      </c>
      <c r="Z40" s="4" t="e">
        <f>Y40*(1+'Rhaniad y Ddeiliadaeth (Cymru)'!F$118)</f>
        <v>#VALUE!</v>
      </c>
      <c r="AA40" s="4" t="e">
        <f>Z40*(1+'Rhaniad y Ddeiliadaeth (Cymru)'!G$118)</f>
        <v>#VALUE!</v>
      </c>
      <c r="AC40" s="260">
        <v>46</v>
      </c>
      <c r="AD40" s="4">
        <f>IF('Rhaniad y Ddeiliadaeth (Cymru)'!$D$18="Data Cofrestrfa Tir",'Prisiau Tai (De-orllewin)'!E40,'Prisiau Tai (De-orllewin)'!W40)</f>
        <v>138336</v>
      </c>
      <c r="AE40" s="4">
        <f>IF('Rhaniad y Ddeiliadaeth (Cymru)'!$D$18="Data Cofrestrfa Tir",'Prisiau Tai (De-orllewin)'!F40,'Prisiau Tai (De-orllewin)'!X40)</f>
        <v>146400.98879999999</v>
      </c>
      <c r="AF40" s="4">
        <f>IF('Rhaniad y Ddeiliadaeth (Cymru)'!$D$18="Data Cofrestrfa Tir",'Prisiau Tai (De-orllewin)'!G40,'Prisiau Tai (De-orllewin)'!Y40)</f>
        <v>156742.30546863095</v>
      </c>
      <c r="AG40" s="4">
        <f>IF('Rhaniad y Ddeiliadaeth (Cymru)'!$D$18="Data Cofrestrfa Tir",'Prisiau Tai (De-orllewin)'!H40,'Prisiau Tai (De-orllewin)'!Z40)</f>
        <v>165272.35829600258</v>
      </c>
      <c r="AH40" s="4">
        <f>IF('Rhaniad y Ddeiliadaeth (Cymru)'!$D$18="Data Cofrestrfa Tir",'Prisiau Tai (De-orllewin)'!I40,'Prisiau Tai (De-orllewin)'!AA40)</f>
        <v>172244.16257304206</v>
      </c>
    </row>
    <row r="41" spans="2:34" x14ac:dyDescent="0.35">
      <c r="B41" s="251">
        <v>47</v>
      </c>
      <c r="C41" s="258">
        <v>130000</v>
      </c>
      <c r="D41" s="258">
        <v>134000</v>
      </c>
      <c r="E41" s="278">
        <f>D41*(1+'Rhaniad y Ddeiliadaeth (De-o)'!C$118)</f>
        <v>140432</v>
      </c>
      <c r="F41" s="278">
        <f>E41*(1+'Rhaniad y Ddeiliadaeth (De-o)'!D$118)</f>
        <v>148619.1856</v>
      </c>
      <c r="G41" s="278">
        <f>F41*(1+'Rhaniad y Ddeiliadaeth (De-o)'!E$118)</f>
        <v>159117.18888482233</v>
      </c>
      <c r="H41" s="278">
        <f>G41*(1+'Rhaniad y Ddeiliadaeth (De-o)'!F$118)</f>
        <v>167776.48493685111</v>
      </c>
      <c r="I41" s="279">
        <f>H41*(1+'Rhaniad y Ddeiliadaeth (De-o)'!G$118)</f>
        <v>174853.92261202756</v>
      </c>
      <c r="M41" s="36" t="str">
        <f t="shared" si="0"/>
        <v/>
      </c>
      <c r="N41" s="202"/>
      <c r="O41" s="13">
        <f t="shared" si="3"/>
        <v>1</v>
      </c>
      <c r="U41" s="1">
        <f t="shared" si="1"/>
        <v>47</v>
      </c>
      <c r="V41" s="4" t="str">
        <f t="shared" si="2"/>
        <v/>
      </c>
      <c r="W41" s="4" t="e">
        <f>IF($W$3=$N$3,N41,V41*(1+'Rhaniad y Ddeiliadaeth (Cymru)'!C$118))</f>
        <v>#VALUE!</v>
      </c>
      <c r="X41" s="4" t="e">
        <f>W41*(1+'Rhaniad y Ddeiliadaeth (Cymru)'!D$118)</f>
        <v>#VALUE!</v>
      </c>
      <c r="Y41" s="4" t="e">
        <f>X41*(1+'Rhaniad y Ddeiliadaeth (Cymru)'!E$118)</f>
        <v>#VALUE!</v>
      </c>
      <c r="Z41" s="4" t="e">
        <f>Y41*(1+'Rhaniad y Ddeiliadaeth (Cymru)'!F$118)</f>
        <v>#VALUE!</v>
      </c>
      <c r="AA41" s="4" t="e">
        <f>Z41*(1+'Rhaniad y Ddeiliadaeth (Cymru)'!G$118)</f>
        <v>#VALUE!</v>
      </c>
      <c r="AC41" s="260">
        <v>47</v>
      </c>
      <c r="AD41" s="4">
        <f>IF('Rhaniad y Ddeiliadaeth (Cymru)'!$D$18="Data Cofrestrfa Tir",'Prisiau Tai (De-orllewin)'!E41,'Prisiau Tai (De-orllewin)'!W41)</f>
        <v>140432</v>
      </c>
      <c r="AE41" s="4">
        <f>IF('Rhaniad y Ddeiliadaeth (Cymru)'!$D$18="Data Cofrestrfa Tir",'Prisiau Tai (De-orllewin)'!F41,'Prisiau Tai (De-orllewin)'!X41)</f>
        <v>148619.1856</v>
      </c>
      <c r="AF41" s="4">
        <f>IF('Rhaniad y Ddeiliadaeth (Cymru)'!$D$18="Data Cofrestrfa Tir",'Prisiau Tai (De-orllewin)'!G41,'Prisiau Tai (De-orllewin)'!Y41)</f>
        <v>159117.18888482233</v>
      </c>
      <c r="AG41" s="4">
        <f>IF('Rhaniad y Ddeiliadaeth (Cymru)'!$D$18="Data Cofrestrfa Tir",'Prisiau Tai (De-orllewin)'!H41,'Prisiau Tai (De-orllewin)'!Z41)</f>
        <v>167776.48493685111</v>
      </c>
      <c r="AH41" s="4">
        <f>IF('Rhaniad y Ddeiliadaeth (Cymru)'!$D$18="Data Cofrestrfa Tir",'Prisiau Tai (De-orllewin)'!I41,'Prisiau Tai (De-orllewin)'!AA41)</f>
        <v>174853.92261202756</v>
      </c>
    </row>
    <row r="42" spans="2:34" x14ac:dyDescent="0.35">
      <c r="B42" s="251">
        <v>48</v>
      </c>
      <c r="C42" s="258">
        <v>130000</v>
      </c>
      <c r="D42" s="258">
        <v>135000</v>
      </c>
      <c r="E42" s="278">
        <f>D42*(1+'Rhaniad y Ddeiliadaeth (De-o)'!C$118)</f>
        <v>141480</v>
      </c>
      <c r="F42" s="278">
        <f>E42*(1+'Rhaniad y Ddeiliadaeth (De-o)'!D$118)</f>
        <v>149728.28400000001</v>
      </c>
      <c r="G42" s="278">
        <f>F42*(1+'Rhaniad y Ddeiliadaeth (De-o)'!E$118)</f>
        <v>160304.63059291805</v>
      </c>
      <c r="H42" s="278">
        <f>G42*(1+'Rhaniad y Ddeiliadaeth (De-o)'!F$118)</f>
        <v>169028.5482572754</v>
      </c>
      <c r="I42" s="279">
        <f>H42*(1+'Rhaniad y Ddeiliadaeth (De-o)'!G$118)</f>
        <v>176158.80263152032</v>
      </c>
      <c r="M42" s="36" t="str">
        <f t="shared" si="0"/>
        <v/>
      </c>
      <c r="N42" s="202"/>
      <c r="O42" s="13">
        <f t="shared" si="3"/>
        <v>1</v>
      </c>
      <c r="U42" s="1">
        <f t="shared" si="1"/>
        <v>48</v>
      </c>
      <c r="V42" s="4" t="str">
        <f t="shared" si="2"/>
        <v/>
      </c>
      <c r="W42" s="4" t="e">
        <f>IF($W$3=$N$3,N42,V42*(1+'Rhaniad y Ddeiliadaeth (Cymru)'!C$118))</f>
        <v>#VALUE!</v>
      </c>
      <c r="X42" s="4" t="e">
        <f>W42*(1+'Rhaniad y Ddeiliadaeth (Cymru)'!D$118)</f>
        <v>#VALUE!</v>
      </c>
      <c r="Y42" s="4" t="e">
        <f>X42*(1+'Rhaniad y Ddeiliadaeth (Cymru)'!E$118)</f>
        <v>#VALUE!</v>
      </c>
      <c r="Z42" s="4" t="e">
        <f>Y42*(1+'Rhaniad y Ddeiliadaeth (Cymru)'!F$118)</f>
        <v>#VALUE!</v>
      </c>
      <c r="AA42" s="4" t="e">
        <f>Z42*(1+'Rhaniad y Ddeiliadaeth (Cymru)'!G$118)</f>
        <v>#VALUE!</v>
      </c>
      <c r="AC42" s="260">
        <v>48</v>
      </c>
      <c r="AD42" s="4">
        <f>IF('Rhaniad y Ddeiliadaeth (Cymru)'!$D$18="Data Cofrestrfa Tir",'Prisiau Tai (De-orllewin)'!E42,'Prisiau Tai (De-orllewin)'!W42)</f>
        <v>141480</v>
      </c>
      <c r="AE42" s="4">
        <f>IF('Rhaniad y Ddeiliadaeth (Cymru)'!$D$18="Data Cofrestrfa Tir",'Prisiau Tai (De-orllewin)'!F42,'Prisiau Tai (De-orllewin)'!X42)</f>
        <v>149728.28400000001</v>
      </c>
      <c r="AF42" s="4">
        <f>IF('Rhaniad y Ddeiliadaeth (Cymru)'!$D$18="Data Cofrestrfa Tir",'Prisiau Tai (De-orllewin)'!G42,'Prisiau Tai (De-orllewin)'!Y42)</f>
        <v>160304.63059291805</v>
      </c>
      <c r="AG42" s="4">
        <f>IF('Rhaniad y Ddeiliadaeth (Cymru)'!$D$18="Data Cofrestrfa Tir",'Prisiau Tai (De-orllewin)'!H42,'Prisiau Tai (De-orllewin)'!Z42)</f>
        <v>169028.5482572754</v>
      </c>
      <c r="AH42" s="4">
        <f>IF('Rhaniad y Ddeiliadaeth (Cymru)'!$D$18="Data Cofrestrfa Tir",'Prisiau Tai (De-orllewin)'!I42,'Prisiau Tai (De-orllewin)'!AA42)</f>
        <v>176158.80263152032</v>
      </c>
    </row>
    <row r="43" spans="2:34" x14ac:dyDescent="0.35">
      <c r="B43" s="251">
        <v>49</v>
      </c>
      <c r="C43" s="258">
        <v>133000</v>
      </c>
      <c r="D43" s="258">
        <v>137000</v>
      </c>
      <c r="E43" s="278">
        <f>D43*(1+'Rhaniad y Ddeiliadaeth (De-o)'!C$118)</f>
        <v>143576</v>
      </c>
      <c r="F43" s="278">
        <f>E43*(1+'Rhaniad y Ddeiliadaeth (De-o)'!D$118)</f>
        <v>151946.48079999999</v>
      </c>
      <c r="G43" s="278">
        <f>F43*(1+'Rhaniad y Ddeiliadaeth (De-o)'!E$118)</f>
        <v>162679.51400910941</v>
      </c>
      <c r="H43" s="278">
        <f>G43*(1+'Rhaniad y Ddeiliadaeth (De-o)'!F$118)</f>
        <v>171532.67489812389</v>
      </c>
      <c r="I43" s="279">
        <f>H43*(1+'Rhaniad y Ddeiliadaeth (De-o)'!G$118)</f>
        <v>178768.56267050578</v>
      </c>
      <c r="M43" s="36" t="str">
        <f t="shared" si="0"/>
        <v/>
      </c>
      <c r="N43" s="202"/>
      <c r="O43" s="13">
        <f t="shared" si="3"/>
        <v>1</v>
      </c>
      <c r="U43" s="1">
        <f t="shared" si="1"/>
        <v>49</v>
      </c>
      <c r="V43" s="4" t="str">
        <f t="shared" si="2"/>
        <v/>
      </c>
      <c r="W43" s="4" t="e">
        <f>IF($W$3=$N$3,N43,V43*(1+'Rhaniad y Ddeiliadaeth (Cymru)'!C$118))</f>
        <v>#VALUE!</v>
      </c>
      <c r="X43" s="4" t="e">
        <f>W43*(1+'Rhaniad y Ddeiliadaeth (Cymru)'!D$118)</f>
        <v>#VALUE!</v>
      </c>
      <c r="Y43" s="4" t="e">
        <f>X43*(1+'Rhaniad y Ddeiliadaeth (Cymru)'!E$118)</f>
        <v>#VALUE!</v>
      </c>
      <c r="Z43" s="4" t="e">
        <f>Y43*(1+'Rhaniad y Ddeiliadaeth (Cymru)'!F$118)</f>
        <v>#VALUE!</v>
      </c>
      <c r="AA43" s="4" t="e">
        <f>Z43*(1+'Rhaniad y Ddeiliadaeth (Cymru)'!G$118)</f>
        <v>#VALUE!</v>
      </c>
      <c r="AC43" s="260">
        <v>49</v>
      </c>
      <c r="AD43" s="4">
        <f>IF('Rhaniad y Ddeiliadaeth (Cymru)'!$D$18="Data Cofrestrfa Tir",'Prisiau Tai (De-orllewin)'!E43,'Prisiau Tai (De-orllewin)'!W43)</f>
        <v>143576</v>
      </c>
      <c r="AE43" s="4">
        <f>IF('Rhaniad y Ddeiliadaeth (Cymru)'!$D$18="Data Cofrestrfa Tir",'Prisiau Tai (De-orllewin)'!F43,'Prisiau Tai (De-orllewin)'!X43)</f>
        <v>151946.48079999999</v>
      </c>
      <c r="AF43" s="4">
        <f>IF('Rhaniad y Ddeiliadaeth (Cymru)'!$D$18="Data Cofrestrfa Tir",'Prisiau Tai (De-orllewin)'!G43,'Prisiau Tai (De-orllewin)'!Y43)</f>
        <v>162679.51400910941</v>
      </c>
      <c r="AG43" s="4">
        <f>IF('Rhaniad y Ddeiliadaeth (Cymru)'!$D$18="Data Cofrestrfa Tir",'Prisiau Tai (De-orllewin)'!H43,'Prisiau Tai (De-orllewin)'!Z43)</f>
        <v>171532.67489812389</v>
      </c>
      <c r="AH43" s="4">
        <f>IF('Rhaniad y Ddeiliadaeth (Cymru)'!$D$18="Data Cofrestrfa Tir",'Prisiau Tai (De-orllewin)'!I43,'Prisiau Tai (De-orllewin)'!AA43)</f>
        <v>178768.56267050578</v>
      </c>
    </row>
    <row r="44" spans="2:34" x14ac:dyDescent="0.35">
      <c r="B44" s="251">
        <v>50</v>
      </c>
      <c r="C44" s="258">
        <v>135000</v>
      </c>
      <c r="D44" s="258">
        <v>139000</v>
      </c>
      <c r="E44" s="278">
        <f>D44*(1+'Rhaniad y Ddeiliadaeth (De-o)'!C$118)</f>
        <v>145672</v>
      </c>
      <c r="F44" s="278">
        <f>E44*(1+'Rhaniad y Ddeiliadaeth (De-o)'!D$118)</f>
        <v>154164.6776</v>
      </c>
      <c r="G44" s="278">
        <f>F44*(1+'Rhaniad y Ddeiliadaeth (De-o)'!E$118)</f>
        <v>165054.39742530079</v>
      </c>
      <c r="H44" s="278">
        <f>G44*(1+'Rhaniad y Ddeiliadaeth (De-o)'!F$118)</f>
        <v>174036.80153897242</v>
      </c>
      <c r="I44" s="279">
        <f>H44*(1+'Rhaniad y Ddeiliadaeth (De-o)'!G$118)</f>
        <v>181378.32270949127</v>
      </c>
      <c r="M44" s="36" t="str">
        <f t="shared" si="0"/>
        <v/>
      </c>
      <c r="N44" s="202"/>
      <c r="O44" s="13">
        <f t="shared" si="3"/>
        <v>1</v>
      </c>
      <c r="U44" s="1">
        <f t="shared" si="1"/>
        <v>50</v>
      </c>
      <c r="V44" s="4" t="str">
        <f t="shared" si="2"/>
        <v/>
      </c>
      <c r="W44" s="4" t="e">
        <f>IF($W$3=$N$3,N44,V44*(1+'Rhaniad y Ddeiliadaeth (Cymru)'!C$118))</f>
        <v>#VALUE!</v>
      </c>
      <c r="X44" s="4" t="e">
        <f>W44*(1+'Rhaniad y Ddeiliadaeth (Cymru)'!D$118)</f>
        <v>#VALUE!</v>
      </c>
      <c r="Y44" s="4" t="e">
        <f>X44*(1+'Rhaniad y Ddeiliadaeth (Cymru)'!E$118)</f>
        <v>#VALUE!</v>
      </c>
      <c r="Z44" s="4" t="e">
        <f>Y44*(1+'Rhaniad y Ddeiliadaeth (Cymru)'!F$118)</f>
        <v>#VALUE!</v>
      </c>
      <c r="AA44" s="4" t="e">
        <f>Z44*(1+'Rhaniad y Ddeiliadaeth (Cymru)'!G$118)</f>
        <v>#VALUE!</v>
      </c>
      <c r="AC44" s="260">
        <v>50</v>
      </c>
      <c r="AD44" s="4">
        <f>IF('Rhaniad y Ddeiliadaeth (Cymru)'!$D$18="Data Cofrestrfa Tir",'Prisiau Tai (De-orllewin)'!E44,'Prisiau Tai (De-orllewin)'!W44)</f>
        <v>145672</v>
      </c>
      <c r="AE44" s="4">
        <f>IF('Rhaniad y Ddeiliadaeth (Cymru)'!$D$18="Data Cofrestrfa Tir",'Prisiau Tai (De-orllewin)'!F44,'Prisiau Tai (De-orllewin)'!X44)</f>
        <v>154164.6776</v>
      </c>
      <c r="AF44" s="4">
        <f>IF('Rhaniad y Ddeiliadaeth (Cymru)'!$D$18="Data Cofrestrfa Tir",'Prisiau Tai (De-orllewin)'!G44,'Prisiau Tai (De-orllewin)'!Y44)</f>
        <v>165054.39742530079</v>
      </c>
      <c r="AG44" s="4">
        <f>IF('Rhaniad y Ddeiliadaeth (Cymru)'!$D$18="Data Cofrestrfa Tir",'Prisiau Tai (De-orllewin)'!H44,'Prisiau Tai (De-orllewin)'!Z44)</f>
        <v>174036.80153897242</v>
      </c>
      <c r="AH44" s="4">
        <f>IF('Rhaniad y Ddeiliadaeth (Cymru)'!$D$18="Data Cofrestrfa Tir",'Prisiau Tai (De-orllewin)'!I44,'Prisiau Tai (De-orllewin)'!AA44)</f>
        <v>181378.32270949127</v>
      </c>
    </row>
    <row r="45" spans="2:34" x14ac:dyDescent="0.35">
      <c r="B45" s="251">
        <v>51</v>
      </c>
      <c r="C45" s="258">
        <v>135962.19999999998</v>
      </c>
      <c r="D45" s="258">
        <v>140000</v>
      </c>
      <c r="E45" s="278">
        <f>D45*(1+'Rhaniad y Ddeiliadaeth (De-o)'!C$118)</f>
        <v>146720</v>
      </c>
      <c r="F45" s="278">
        <f>E45*(1+'Rhaniad y Ddeiliadaeth (De-o)'!D$118)</f>
        <v>155273.77600000001</v>
      </c>
      <c r="G45" s="278">
        <f>F45*(1+'Rhaniad y Ddeiliadaeth (De-o)'!E$118)</f>
        <v>166241.83913339648</v>
      </c>
      <c r="H45" s="278">
        <f>G45*(1+'Rhaniad y Ddeiliadaeth (De-o)'!F$118)</f>
        <v>175288.86485939671</v>
      </c>
      <c r="I45" s="279">
        <f>H45*(1+'Rhaniad y Ddeiliadaeth (De-o)'!G$118)</f>
        <v>182683.20272898403</v>
      </c>
      <c r="M45" s="36" t="str">
        <f t="shared" si="0"/>
        <v/>
      </c>
      <c r="N45" s="202"/>
      <c r="O45" s="13">
        <f t="shared" si="3"/>
        <v>1</v>
      </c>
      <c r="U45" s="1">
        <f t="shared" si="1"/>
        <v>51</v>
      </c>
      <c r="V45" s="4" t="str">
        <f t="shared" si="2"/>
        <v/>
      </c>
      <c r="W45" s="4" t="e">
        <f>IF($W$3=$N$3,N45,V45*(1+'Rhaniad y Ddeiliadaeth (Cymru)'!C$118))</f>
        <v>#VALUE!</v>
      </c>
      <c r="X45" s="4" t="e">
        <f>W45*(1+'Rhaniad y Ddeiliadaeth (Cymru)'!D$118)</f>
        <v>#VALUE!</v>
      </c>
      <c r="Y45" s="4" t="e">
        <f>X45*(1+'Rhaniad y Ddeiliadaeth (Cymru)'!E$118)</f>
        <v>#VALUE!</v>
      </c>
      <c r="Z45" s="4" t="e">
        <f>Y45*(1+'Rhaniad y Ddeiliadaeth (Cymru)'!F$118)</f>
        <v>#VALUE!</v>
      </c>
      <c r="AA45" s="4" t="e">
        <f>Z45*(1+'Rhaniad y Ddeiliadaeth (Cymru)'!G$118)</f>
        <v>#VALUE!</v>
      </c>
      <c r="AC45" s="260">
        <v>51</v>
      </c>
      <c r="AD45" s="4">
        <f>IF('Rhaniad y Ddeiliadaeth (Cymru)'!$D$18="Data Cofrestrfa Tir",'Prisiau Tai (De-orllewin)'!E45,'Prisiau Tai (De-orllewin)'!W45)</f>
        <v>146720</v>
      </c>
      <c r="AE45" s="4">
        <f>IF('Rhaniad y Ddeiliadaeth (Cymru)'!$D$18="Data Cofrestrfa Tir",'Prisiau Tai (De-orllewin)'!F45,'Prisiau Tai (De-orllewin)'!X45)</f>
        <v>155273.77600000001</v>
      </c>
      <c r="AF45" s="4">
        <f>IF('Rhaniad y Ddeiliadaeth (Cymru)'!$D$18="Data Cofrestrfa Tir",'Prisiau Tai (De-orllewin)'!G45,'Prisiau Tai (De-orllewin)'!Y45)</f>
        <v>166241.83913339648</v>
      </c>
      <c r="AG45" s="4">
        <f>IF('Rhaniad y Ddeiliadaeth (Cymru)'!$D$18="Data Cofrestrfa Tir",'Prisiau Tai (De-orllewin)'!H45,'Prisiau Tai (De-orllewin)'!Z45)</f>
        <v>175288.86485939671</v>
      </c>
      <c r="AH45" s="4">
        <f>IF('Rhaniad y Ddeiliadaeth (Cymru)'!$D$18="Data Cofrestrfa Tir",'Prisiau Tai (De-orllewin)'!I45,'Prisiau Tai (De-orllewin)'!AA45)</f>
        <v>182683.20272898403</v>
      </c>
    </row>
    <row r="46" spans="2:34" x14ac:dyDescent="0.35">
      <c r="B46" s="251">
        <v>52</v>
      </c>
      <c r="C46" s="258">
        <v>138000</v>
      </c>
      <c r="D46" s="258">
        <v>142000</v>
      </c>
      <c r="E46" s="278">
        <f>D46*(1+'Rhaniad y Ddeiliadaeth (De-o)'!C$118)</f>
        <v>148816</v>
      </c>
      <c r="F46" s="278">
        <f>E46*(1+'Rhaniad y Ddeiliadaeth (De-o)'!D$118)</f>
        <v>157491.97279999999</v>
      </c>
      <c r="G46" s="278">
        <f>F46*(1+'Rhaniad y Ddeiliadaeth (De-o)'!E$118)</f>
        <v>168616.72254958784</v>
      </c>
      <c r="H46" s="278">
        <f>G46*(1+'Rhaniad y Ddeiliadaeth (De-o)'!F$118)</f>
        <v>177792.9915002452</v>
      </c>
      <c r="I46" s="279">
        <f>H46*(1+'Rhaniad y Ddeiliadaeth (De-o)'!G$118)</f>
        <v>185292.9627679695</v>
      </c>
      <c r="M46" s="36" t="str">
        <f t="shared" si="0"/>
        <v/>
      </c>
      <c r="N46" s="202"/>
      <c r="O46" s="13">
        <f t="shared" si="3"/>
        <v>1</v>
      </c>
      <c r="U46" s="1">
        <f t="shared" si="1"/>
        <v>52</v>
      </c>
      <c r="V46" s="4" t="str">
        <f t="shared" si="2"/>
        <v/>
      </c>
      <c r="W46" s="4" t="e">
        <f>IF($W$3=$N$3,N46,V46*(1+'Rhaniad y Ddeiliadaeth (Cymru)'!C$118))</f>
        <v>#VALUE!</v>
      </c>
      <c r="X46" s="4" t="e">
        <f>W46*(1+'Rhaniad y Ddeiliadaeth (Cymru)'!D$118)</f>
        <v>#VALUE!</v>
      </c>
      <c r="Y46" s="4" t="e">
        <f>X46*(1+'Rhaniad y Ddeiliadaeth (Cymru)'!E$118)</f>
        <v>#VALUE!</v>
      </c>
      <c r="Z46" s="4" t="e">
        <f>Y46*(1+'Rhaniad y Ddeiliadaeth (Cymru)'!F$118)</f>
        <v>#VALUE!</v>
      </c>
      <c r="AA46" s="4" t="e">
        <f>Z46*(1+'Rhaniad y Ddeiliadaeth (Cymru)'!G$118)</f>
        <v>#VALUE!</v>
      </c>
      <c r="AC46" s="260">
        <v>52</v>
      </c>
      <c r="AD46" s="4">
        <f>IF('Rhaniad y Ddeiliadaeth (Cymru)'!$D$18="Data Cofrestrfa Tir",'Prisiau Tai (De-orllewin)'!E46,'Prisiau Tai (De-orllewin)'!W46)</f>
        <v>148816</v>
      </c>
      <c r="AE46" s="4">
        <f>IF('Rhaniad y Ddeiliadaeth (Cymru)'!$D$18="Data Cofrestrfa Tir",'Prisiau Tai (De-orllewin)'!F46,'Prisiau Tai (De-orllewin)'!X46)</f>
        <v>157491.97279999999</v>
      </c>
      <c r="AF46" s="4">
        <f>IF('Rhaniad y Ddeiliadaeth (Cymru)'!$D$18="Data Cofrestrfa Tir",'Prisiau Tai (De-orllewin)'!G46,'Prisiau Tai (De-orllewin)'!Y46)</f>
        <v>168616.72254958784</v>
      </c>
      <c r="AG46" s="4">
        <f>IF('Rhaniad y Ddeiliadaeth (Cymru)'!$D$18="Data Cofrestrfa Tir",'Prisiau Tai (De-orllewin)'!H46,'Prisiau Tai (De-orllewin)'!Z46)</f>
        <v>177792.9915002452</v>
      </c>
      <c r="AH46" s="4">
        <f>IF('Rhaniad y Ddeiliadaeth (Cymru)'!$D$18="Data Cofrestrfa Tir",'Prisiau Tai (De-orllewin)'!I46,'Prisiau Tai (De-orllewin)'!AA46)</f>
        <v>185292.9627679695</v>
      </c>
    </row>
    <row r="47" spans="2:34" x14ac:dyDescent="0.35">
      <c r="B47" s="251">
        <v>53</v>
      </c>
      <c r="C47" s="258">
        <v>140000</v>
      </c>
      <c r="D47" s="258">
        <v>145000</v>
      </c>
      <c r="E47" s="278">
        <f>D47*(1+'Rhaniad y Ddeiliadaeth (De-o)'!C$118)</f>
        <v>151960</v>
      </c>
      <c r="F47" s="278">
        <f>E47*(1+'Rhaniad y Ddeiliadaeth (De-o)'!D$118)</f>
        <v>160819.26800000001</v>
      </c>
      <c r="G47" s="278">
        <f>F47*(1+'Rhaniad y Ddeiliadaeth (De-o)'!E$118)</f>
        <v>172179.04767387494</v>
      </c>
      <c r="H47" s="278">
        <f>G47*(1+'Rhaniad y Ddeiliadaeth (De-o)'!F$118)</f>
        <v>181549.18146151802</v>
      </c>
      <c r="I47" s="279">
        <f>H47*(1+'Rhaniad y Ddeiliadaeth (De-o)'!G$118)</f>
        <v>189207.60282644775</v>
      </c>
      <c r="M47" s="36" t="str">
        <f t="shared" si="0"/>
        <v/>
      </c>
      <c r="N47" s="202"/>
      <c r="O47" s="13">
        <f t="shared" si="3"/>
        <v>1</v>
      </c>
      <c r="U47" s="1">
        <f t="shared" si="1"/>
        <v>53</v>
      </c>
      <c r="V47" s="4" t="str">
        <f t="shared" si="2"/>
        <v/>
      </c>
      <c r="W47" s="4" t="e">
        <f>IF($W$3=$N$3,N47,V47*(1+'Rhaniad y Ddeiliadaeth (Cymru)'!C$118))</f>
        <v>#VALUE!</v>
      </c>
      <c r="X47" s="4" t="e">
        <f>W47*(1+'Rhaniad y Ddeiliadaeth (Cymru)'!D$118)</f>
        <v>#VALUE!</v>
      </c>
      <c r="Y47" s="4" t="e">
        <f>X47*(1+'Rhaniad y Ddeiliadaeth (Cymru)'!E$118)</f>
        <v>#VALUE!</v>
      </c>
      <c r="Z47" s="4" t="e">
        <f>Y47*(1+'Rhaniad y Ddeiliadaeth (Cymru)'!F$118)</f>
        <v>#VALUE!</v>
      </c>
      <c r="AA47" s="4" t="e">
        <f>Z47*(1+'Rhaniad y Ddeiliadaeth (Cymru)'!G$118)</f>
        <v>#VALUE!</v>
      </c>
      <c r="AC47" s="260">
        <v>53</v>
      </c>
      <c r="AD47" s="4">
        <f>IF('Rhaniad y Ddeiliadaeth (Cymru)'!$D$18="Data Cofrestrfa Tir",'Prisiau Tai (De-orllewin)'!E47,'Prisiau Tai (De-orllewin)'!W47)</f>
        <v>151960</v>
      </c>
      <c r="AE47" s="4">
        <f>IF('Rhaniad y Ddeiliadaeth (Cymru)'!$D$18="Data Cofrestrfa Tir",'Prisiau Tai (De-orllewin)'!F47,'Prisiau Tai (De-orllewin)'!X47)</f>
        <v>160819.26800000001</v>
      </c>
      <c r="AF47" s="4">
        <f>IF('Rhaniad y Ddeiliadaeth (Cymru)'!$D$18="Data Cofrestrfa Tir",'Prisiau Tai (De-orllewin)'!G47,'Prisiau Tai (De-orllewin)'!Y47)</f>
        <v>172179.04767387494</v>
      </c>
      <c r="AG47" s="4">
        <f>IF('Rhaniad y Ddeiliadaeth (Cymru)'!$D$18="Data Cofrestrfa Tir",'Prisiau Tai (De-orllewin)'!H47,'Prisiau Tai (De-orllewin)'!Z47)</f>
        <v>181549.18146151802</v>
      </c>
      <c r="AH47" s="4">
        <f>IF('Rhaniad y Ddeiliadaeth (Cymru)'!$D$18="Data Cofrestrfa Tir",'Prisiau Tai (De-orllewin)'!I47,'Prisiau Tai (De-orllewin)'!AA47)</f>
        <v>189207.60282644775</v>
      </c>
    </row>
    <row r="48" spans="2:34" x14ac:dyDescent="0.35">
      <c r="B48" s="251">
        <v>54</v>
      </c>
      <c r="C48" s="258">
        <v>141000</v>
      </c>
      <c r="D48" s="258">
        <v>146000</v>
      </c>
      <c r="E48" s="278">
        <f>D48*(1+'Rhaniad y Ddeiliadaeth (De-o)'!C$118)</f>
        <v>153008</v>
      </c>
      <c r="F48" s="278">
        <f>E48*(1+'Rhaniad y Ddeiliadaeth (De-o)'!D$118)</f>
        <v>161928.3664</v>
      </c>
      <c r="G48" s="278">
        <f>F48*(1+'Rhaniad y Ddeiliadaeth (De-o)'!E$118)</f>
        <v>173366.4893819706</v>
      </c>
      <c r="H48" s="278">
        <f>G48*(1+'Rhaniad y Ddeiliadaeth (De-o)'!F$118)</f>
        <v>182801.24478194225</v>
      </c>
      <c r="I48" s="279">
        <f>H48*(1+'Rhaniad y Ddeiliadaeth (De-o)'!G$118)</f>
        <v>190512.48284594048</v>
      </c>
      <c r="M48" s="36" t="str">
        <f t="shared" si="0"/>
        <v/>
      </c>
      <c r="N48" s="202"/>
      <c r="O48" s="13">
        <f t="shared" si="3"/>
        <v>1</v>
      </c>
      <c r="U48" s="1">
        <f t="shared" si="1"/>
        <v>54</v>
      </c>
      <c r="V48" s="4" t="str">
        <f t="shared" si="2"/>
        <v/>
      </c>
      <c r="W48" s="4" t="e">
        <f>IF($W$3=$N$3,N48,V48*(1+'Rhaniad y Ddeiliadaeth (Cymru)'!C$118))</f>
        <v>#VALUE!</v>
      </c>
      <c r="X48" s="4" t="e">
        <f>W48*(1+'Rhaniad y Ddeiliadaeth (Cymru)'!D$118)</f>
        <v>#VALUE!</v>
      </c>
      <c r="Y48" s="4" t="e">
        <f>X48*(1+'Rhaniad y Ddeiliadaeth (Cymru)'!E$118)</f>
        <v>#VALUE!</v>
      </c>
      <c r="Z48" s="4" t="e">
        <f>Y48*(1+'Rhaniad y Ddeiliadaeth (Cymru)'!F$118)</f>
        <v>#VALUE!</v>
      </c>
      <c r="AA48" s="4" t="e">
        <f>Z48*(1+'Rhaniad y Ddeiliadaeth (Cymru)'!G$118)</f>
        <v>#VALUE!</v>
      </c>
      <c r="AC48" s="260">
        <v>54</v>
      </c>
      <c r="AD48" s="4">
        <f>IF('Rhaniad y Ddeiliadaeth (Cymru)'!$D$18="Data Cofrestrfa Tir",'Prisiau Tai (De-orllewin)'!E48,'Prisiau Tai (De-orllewin)'!W48)</f>
        <v>153008</v>
      </c>
      <c r="AE48" s="4">
        <f>IF('Rhaniad y Ddeiliadaeth (Cymru)'!$D$18="Data Cofrestrfa Tir",'Prisiau Tai (De-orllewin)'!F48,'Prisiau Tai (De-orllewin)'!X48)</f>
        <v>161928.3664</v>
      </c>
      <c r="AF48" s="4">
        <f>IF('Rhaniad y Ddeiliadaeth (Cymru)'!$D$18="Data Cofrestrfa Tir",'Prisiau Tai (De-orllewin)'!G48,'Prisiau Tai (De-orllewin)'!Y48)</f>
        <v>173366.4893819706</v>
      </c>
      <c r="AG48" s="4">
        <f>IF('Rhaniad y Ddeiliadaeth (Cymru)'!$D$18="Data Cofrestrfa Tir",'Prisiau Tai (De-orllewin)'!H48,'Prisiau Tai (De-orllewin)'!Z48)</f>
        <v>182801.24478194225</v>
      </c>
      <c r="AH48" s="4">
        <f>IF('Rhaniad y Ddeiliadaeth (Cymru)'!$D$18="Data Cofrestrfa Tir",'Prisiau Tai (De-orllewin)'!I48,'Prisiau Tai (De-orllewin)'!AA48)</f>
        <v>190512.48284594048</v>
      </c>
    </row>
    <row r="49" spans="2:34" x14ac:dyDescent="0.35">
      <c r="B49" s="251">
        <v>55</v>
      </c>
      <c r="C49" s="258">
        <v>144000</v>
      </c>
      <c r="D49" s="258">
        <v>149000</v>
      </c>
      <c r="E49" s="278">
        <f>D49*(1+'Rhaniad y Ddeiliadaeth (De-o)'!C$118)</f>
        <v>156152</v>
      </c>
      <c r="F49" s="278">
        <f>E49*(1+'Rhaniad y Ddeiliadaeth (De-o)'!D$118)</f>
        <v>165255.66159999999</v>
      </c>
      <c r="G49" s="278">
        <f>F49*(1+'Rhaniad y Ddeiliadaeth (De-o)'!E$118)</f>
        <v>176928.81450625768</v>
      </c>
      <c r="H49" s="278">
        <f>G49*(1+'Rhaniad y Ddeiliadaeth (De-o)'!F$118)</f>
        <v>186557.43474321504</v>
      </c>
      <c r="I49" s="279">
        <f>H49*(1+'Rhaniad y Ddeiliadaeth (De-o)'!G$118)</f>
        <v>194427.12290441871</v>
      </c>
      <c r="M49" s="36" t="str">
        <f t="shared" si="0"/>
        <v/>
      </c>
      <c r="N49" s="202"/>
      <c r="O49" s="13">
        <f t="shared" si="3"/>
        <v>1</v>
      </c>
      <c r="U49" s="1">
        <f t="shared" si="1"/>
        <v>55</v>
      </c>
      <c r="V49" s="4" t="str">
        <f t="shared" si="2"/>
        <v/>
      </c>
      <c r="W49" s="4" t="e">
        <f>IF($W$3=$N$3,N49,V49*(1+'Rhaniad y Ddeiliadaeth (Cymru)'!C$118))</f>
        <v>#VALUE!</v>
      </c>
      <c r="X49" s="4" t="e">
        <f>W49*(1+'Rhaniad y Ddeiliadaeth (Cymru)'!D$118)</f>
        <v>#VALUE!</v>
      </c>
      <c r="Y49" s="4" t="e">
        <f>X49*(1+'Rhaniad y Ddeiliadaeth (Cymru)'!E$118)</f>
        <v>#VALUE!</v>
      </c>
      <c r="Z49" s="4" t="e">
        <f>Y49*(1+'Rhaniad y Ddeiliadaeth (Cymru)'!F$118)</f>
        <v>#VALUE!</v>
      </c>
      <c r="AA49" s="4" t="e">
        <f>Z49*(1+'Rhaniad y Ddeiliadaeth (Cymru)'!G$118)</f>
        <v>#VALUE!</v>
      </c>
      <c r="AC49" s="260">
        <v>55</v>
      </c>
      <c r="AD49" s="4">
        <f>IF('Rhaniad y Ddeiliadaeth (Cymru)'!$D$18="Data Cofrestrfa Tir",'Prisiau Tai (De-orllewin)'!E49,'Prisiau Tai (De-orllewin)'!W49)</f>
        <v>156152</v>
      </c>
      <c r="AE49" s="4">
        <f>IF('Rhaniad y Ddeiliadaeth (Cymru)'!$D$18="Data Cofrestrfa Tir",'Prisiau Tai (De-orllewin)'!F49,'Prisiau Tai (De-orllewin)'!X49)</f>
        <v>165255.66159999999</v>
      </c>
      <c r="AF49" s="4">
        <f>IF('Rhaniad y Ddeiliadaeth (Cymru)'!$D$18="Data Cofrestrfa Tir",'Prisiau Tai (De-orllewin)'!G49,'Prisiau Tai (De-orllewin)'!Y49)</f>
        <v>176928.81450625768</v>
      </c>
      <c r="AG49" s="4">
        <f>IF('Rhaniad y Ddeiliadaeth (Cymru)'!$D$18="Data Cofrestrfa Tir",'Prisiau Tai (De-orllewin)'!H49,'Prisiau Tai (De-orllewin)'!Z49)</f>
        <v>186557.43474321504</v>
      </c>
      <c r="AH49" s="4">
        <f>IF('Rhaniad y Ddeiliadaeth (Cymru)'!$D$18="Data Cofrestrfa Tir",'Prisiau Tai (De-orllewin)'!I49,'Prisiau Tai (De-orllewin)'!AA49)</f>
        <v>194427.12290441871</v>
      </c>
    </row>
    <row r="50" spans="2:34" x14ac:dyDescent="0.35">
      <c r="B50" s="251">
        <v>56</v>
      </c>
      <c r="C50" s="258">
        <v>145000</v>
      </c>
      <c r="D50" s="258">
        <v>150000</v>
      </c>
      <c r="E50" s="278">
        <f>D50*(1+'Rhaniad y Ddeiliadaeth (De-o)'!C$118)</f>
        <v>157200</v>
      </c>
      <c r="F50" s="278">
        <f>E50*(1+'Rhaniad y Ddeiliadaeth (De-o)'!D$118)</f>
        <v>166364.76</v>
      </c>
      <c r="G50" s="278">
        <f>F50*(1+'Rhaniad y Ddeiliadaeth (De-o)'!E$118)</f>
        <v>178116.25621435337</v>
      </c>
      <c r="H50" s="278">
        <f>G50*(1+'Rhaniad y Ddeiliadaeth (De-o)'!F$118)</f>
        <v>187809.4980636393</v>
      </c>
      <c r="I50" s="279">
        <f>H50*(1+'Rhaniad y Ddeiliadaeth (De-o)'!G$118)</f>
        <v>195732.00292391144</v>
      </c>
      <c r="M50" s="36" t="str">
        <f t="shared" si="0"/>
        <v/>
      </c>
      <c r="N50" s="202"/>
      <c r="O50" s="13">
        <f t="shared" si="3"/>
        <v>1</v>
      </c>
      <c r="U50" s="1">
        <f t="shared" si="1"/>
        <v>56</v>
      </c>
      <c r="V50" s="4" t="str">
        <f t="shared" si="2"/>
        <v/>
      </c>
      <c r="W50" s="4" t="e">
        <f>IF($W$3=$N$3,N50,V50*(1+'Rhaniad y Ddeiliadaeth (Cymru)'!C$118))</f>
        <v>#VALUE!</v>
      </c>
      <c r="X50" s="4" t="e">
        <f>W50*(1+'Rhaniad y Ddeiliadaeth (Cymru)'!D$118)</f>
        <v>#VALUE!</v>
      </c>
      <c r="Y50" s="4" t="e">
        <f>X50*(1+'Rhaniad y Ddeiliadaeth (Cymru)'!E$118)</f>
        <v>#VALUE!</v>
      </c>
      <c r="Z50" s="4" t="e">
        <f>Y50*(1+'Rhaniad y Ddeiliadaeth (Cymru)'!F$118)</f>
        <v>#VALUE!</v>
      </c>
      <c r="AA50" s="4" t="e">
        <f>Z50*(1+'Rhaniad y Ddeiliadaeth (Cymru)'!G$118)</f>
        <v>#VALUE!</v>
      </c>
      <c r="AC50" s="260">
        <v>56</v>
      </c>
      <c r="AD50" s="4">
        <f>IF('Rhaniad y Ddeiliadaeth (Cymru)'!$D$18="Data Cofrestrfa Tir",'Prisiau Tai (De-orllewin)'!E50,'Prisiau Tai (De-orllewin)'!W50)</f>
        <v>157200</v>
      </c>
      <c r="AE50" s="4">
        <f>IF('Rhaniad y Ddeiliadaeth (Cymru)'!$D$18="Data Cofrestrfa Tir",'Prisiau Tai (De-orllewin)'!F50,'Prisiau Tai (De-orllewin)'!X50)</f>
        <v>166364.76</v>
      </c>
      <c r="AF50" s="4">
        <f>IF('Rhaniad y Ddeiliadaeth (Cymru)'!$D$18="Data Cofrestrfa Tir",'Prisiau Tai (De-orllewin)'!G50,'Prisiau Tai (De-orllewin)'!Y50)</f>
        <v>178116.25621435337</v>
      </c>
      <c r="AG50" s="4">
        <f>IF('Rhaniad y Ddeiliadaeth (Cymru)'!$D$18="Data Cofrestrfa Tir",'Prisiau Tai (De-orllewin)'!H50,'Prisiau Tai (De-orllewin)'!Z50)</f>
        <v>187809.4980636393</v>
      </c>
      <c r="AH50" s="4">
        <f>IF('Rhaniad y Ddeiliadaeth (Cymru)'!$D$18="Data Cofrestrfa Tir",'Prisiau Tai (De-orllewin)'!I50,'Prisiau Tai (De-orllewin)'!AA50)</f>
        <v>195732.00292391144</v>
      </c>
    </row>
    <row r="51" spans="2:34" x14ac:dyDescent="0.35">
      <c r="B51" s="251">
        <v>57</v>
      </c>
      <c r="C51" s="258">
        <v>147000</v>
      </c>
      <c r="D51" s="258">
        <v>150000</v>
      </c>
      <c r="E51" s="278">
        <f>D51*(1+'Rhaniad y Ddeiliadaeth (De-o)'!C$118)</f>
        <v>157200</v>
      </c>
      <c r="F51" s="278">
        <f>E51*(1+'Rhaniad y Ddeiliadaeth (De-o)'!D$118)</f>
        <v>166364.76</v>
      </c>
      <c r="G51" s="278">
        <f>F51*(1+'Rhaniad y Ddeiliadaeth (De-o)'!E$118)</f>
        <v>178116.25621435337</v>
      </c>
      <c r="H51" s="278">
        <f>G51*(1+'Rhaniad y Ddeiliadaeth (De-o)'!F$118)</f>
        <v>187809.4980636393</v>
      </c>
      <c r="I51" s="279">
        <f>H51*(1+'Rhaniad y Ddeiliadaeth (De-o)'!G$118)</f>
        <v>195732.00292391144</v>
      </c>
      <c r="M51" s="36" t="str">
        <f t="shared" si="0"/>
        <v/>
      </c>
      <c r="N51" s="202"/>
      <c r="O51" s="13">
        <f t="shared" si="3"/>
        <v>1</v>
      </c>
      <c r="U51" s="1">
        <f t="shared" si="1"/>
        <v>57</v>
      </c>
      <c r="V51" s="4" t="str">
        <f t="shared" si="2"/>
        <v/>
      </c>
      <c r="W51" s="4" t="e">
        <f>IF($W$3=$N$3,N51,V51*(1+'Rhaniad y Ddeiliadaeth (Cymru)'!C$118))</f>
        <v>#VALUE!</v>
      </c>
      <c r="X51" s="4" t="e">
        <f>W51*(1+'Rhaniad y Ddeiliadaeth (Cymru)'!D$118)</f>
        <v>#VALUE!</v>
      </c>
      <c r="Y51" s="4" t="e">
        <f>X51*(1+'Rhaniad y Ddeiliadaeth (Cymru)'!E$118)</f>
        <v>#VALUE!</v>
      </c>
      <c r="Z51" s="4" t="e">
        <f>Y51*(1+'Rhaniad y Ddeiliadaeth (Cymru)'!F$118)</f>
        <v>#VALUE!</v>
      </c>
      <c r="AA51" s="4" t="e">
        <f>Z51*(1+'Rhaniad y Ddeiliadaeth (Cymru)'!G$118)</f>
        <v>#VALUE!</v>
      </c>
      <c r="AC51" s="260">
        <v>57</v>
      </c>
      <c r="AD51" s="4">
        <f>IF('Rhaniad y Ddeiliadaeth (Cymru)'!$D$18="Data Cofrestrfa Tir",'Prisiau Tai (De-orllewin)'!E51,'Prisiau Tai (De-orllewin)'!W51)</f>
        <v>157200</v>
      </c>
      <c r="AE51" s="4">
        <f>IF('Rhaniad y Ddeiliadaeth (Cymru)'!$D$18="Data Cofrestrfa Tir",'Prisiau Tai (De-orllewin)'!F51,'Prisiau Tai (De-orllewin)'!X51)</f>
        <v>166364.76</v>
      </c>
      <c r="AF51" s="4">
        <f>IF('Rhaniad y Ddeiliadaeth (Cymru)'!$D$18="Data Cofrestrfa Tir",'Prisiau Tai (De-orllewin)'!G51,'Prisiau Tai (De-orllewin)'!Y51)</f>
        <v>178116.25621435337</v>
      </c>
      <c r="AG51" s="4">
        <f>IF('Rhaniad y Ddeiliadaeth (Cymru)'!$D$18="Data Cofrestrfa Tir",'Prisiau Tai (De-orllewin)'!H51,'Prisiau Tai (De-orllewin)'!Z51)</f>
        <v>187809.4980636393</v>
      </c>
      <c r="AH51" s="4">
        <f>IF('Rhaniad y Ddeiliadaeth (Cymru)'!$D$18="Data Cofrestrfa Tir",'Prisiau Tai (De-orllewin)'!I51,'Prisiau Tai (De-orllewin)'!AA51)</f>
        <v>195732.00292391144</v>
      </c>
    </row>
    <row r="52" spans="2:34" x14ac:dyDescent="0.35">
      <c r="B52" s="251">
        <v>58</v>
      </c>
      <c r="C52" s="258">
        <v>149950</v>
      </c>
      <c r="D52" s="258">
        <v>154000</v>
      </c>
      <c r="E52" s="278">
        <f>D52*(1+'Rhaniad y Ddeiliadaeth (De-o)'!C$118)</f>
        <v>161392</v>
      </c>
      <c r="F52" s="278">
        <f>E52*(1+'Rhaniad y Ddeiliadaeth (De-o)'!D$118)</f>
        <v>170801.15359999999</v>
      </c>
      <c r="G52" s="278">
        <f>F52*(1+'Rhaniad y Ddeiliadaeth (De-o)'!E$118)</f>
        <v>182866.02304673611</v>
      </c>
      <c r="H52" s="278">
        <f>G52*(1+'Rhaniad y Ddeiliadaeth (De-o)'!F$118)</f>
        <v>192817.75134533635</v>
      </c>
      <c r="I52" s="279">
        <f>H52*(1+'Rhaniad y Ddeiliadaeth (De-o)'!G$118)</f>
        <v>200951.52300188242</v>
      </c>
      <c r="M52" s="36" t="str">
        <f t="shared" si="0"/>
        <v/>
      </c>
      <c r="N52" s="202"/>
      <c r="O52" s="13">
        <f t="shared" si="3"/>
        <v>1</v>
      </c>
      <c r="U52" s="1">
        <f t="shared" si="1"/>
        <v>58</v>
      </c>
      <c r="V52" s="4" t="str">
        <f t="shared" si="2"/>
        <v/>
      </c>
      <c r="W52" s="4" t="e">
        <f>IF($W$3=$N$3,N52,V52*(1+'Rhaniad y Ddeiliadaeth (Cymru)'!C$118))</f>
        <v>#VALUE!</v>
      </c>
      <c r="X52" s="4" t="e">
        <f>W52*(1+'Rhaniad y Ddeiliadaeth (Cymru)'!D$118)</f>
        <v>#VALUE!</v>
      </c>
      <c r="Y52" s="4" t="e">
        <f>X52*(1+'Rhaniad y Ddeiliadaeth (Cymru)'!E$118)</f>
        <v>#VALUE!</v>
      </c>
      <c r="Z52" s="4" t="e">
        <f>Y52*(1+'Rhaniad y Ddeiliadaeth (Cymru)'!F$118)</f>
        <v>#VALUE!</v>
      </c>
      <c r="AA52" s="4" t="e">
        <f>Z52*(1+'Rhaniad y Ddeiliadaeth (Cymru)'!G$118)</f>
        <v>#VALUE!</v>
      </c>
      <c r="AC52" s="260">
        <v>58</v>
      </c>
      <c r="AD52" s="4">
        <f>IF('Rhaniad y Ddeiliadaeth (Cymru)'!$D$18="Data Cofrestrfa Tir",'Prisiau Tai (De-orllewin)'!E52,'Prisiau Tai (De-orllewin)'!W52)</f>
        <v>161392</v>
      </c>
      <c r="AE52" s="4">
        <f>IF('Rhaniad y Ddeiliadaeth (Cymru)'!$D$18="Data Cofrestrfa Tir",'Prisiau Tai (De-orllewin)'!F52,'Prisiau Tai (De-orllewin)'!X52)</f>
        <v>170801.15359999999</v>
      </c>
      <c r="AF52" s="4">
        <f>IF('Rhaniad y Ddeiliadaeth (Cymru)'!$D$18="Data Cofrestrfa Tir",'Prisiau Tai (De-orllewin)'!G52,'Prisiau Tai (De-orllewin)'!Y52)</f>
        <v>182866.02304673611</v>
      </c>
      <c r="AG52" s="4">
        <f>IF('Rhaniad y Ddeiliadaeth (Cymru)'!$D$18="Data Cofrestrfa Tir",'Prisiau Tai (De-orllewin)'!H52,'Prisiau Tai (De-orllewin)'!Z52)</f>
        <v>192817.75134533635</v>
      </c>
      <c r="AH52" s="4">
        <f>IF('Rhaniad y Ddeiliadaeth (Cymru)'!$D$18="Data Cofrestrfa Tir",'Prisiau Tai (De-orllewin)'!I52,'Prisiau Tai (De-orllewin)'!AA52)</f>
        <v>200951.52300188242</v>
      </c>
    </row>
    <row r="53" spans="2:34" x14ac:dyDescent="0.35">
      <c r="B53" s="251">
        <v>59</v>
      </c>
      <c r="C53" s="258">
        <v>150000</v>
      </c>
      <c r="D53" s="258">
        <v>155000</v>
      </c>
      <c r="E53" s="278">
        <f>D53*(1+'Rhaniad y Ddeiliadaeth (De-o)'!C$118)</f>
        <v>162440</v>
      </c>
      <c r="F53" s="278">
        <f>E53*(1+'Rhaniad y Ddeiliadaeth (De-o)'!D$118)</f>
        <v>171910.25200000001</v>
      </c>
      <c r="G53" s="278">
        <f>F53*(1+'Rhaniad y Ddeiliadaeth (De-o)'!E$118)</f>
        <v>184053.46475483183</v>
      </c>
      <c r="H53" s="278">
        <f>G53*(1+'Rhaniad y Ddeiliadaeth (De-o)'!F$118)</f>
        <v>194069.81466576064</v>
      </c>
      <c r="I53" s="279">
        <f>H53*(1+'Rhaniad y Ddeiliadaeth (De-o)'!G$118)</f>
        <v>202256.40302137518</v>
      </c>
      <c r="M53" s="36" t="str">
        <f t="shared" si="0"/>
        <v/>
      </c>
      <c r="N53" s="202"/>
      <c r="O53" s="13">
        <f t="shared" si="3"/>
        <v>1</v>
      </c>
      <c r="U53" s="1">
        <f t="shared" si="1"/>
        <v>59</v>
      </c>
      <c r="V53" s="4" t="str">
        <f t="shared" si="2"/>
        <v/>
      </c>
      <c r="W53" s="4" t="e">
        <f>IF($W$3=$N$3,N53,V53*(1+'Rhaniad y Ddeiliadaeth (Cymru)'!C$118))</f>
        <v>#VALUE!</v>
      </c>
      <c r="X53" s="4" t="e">
        <f>W53*(1+'Rhaniad y Ddeiliadaeth (Cymru)'!D$118)</f>
        <v>#VALUE!</v>
      </c>
      <c r="Y53" s="4" t="e">
        <f>X53*(1+'Rhaniad y Ddeiliadaeth (Cymru)'!E$118)</f>
        <v>#VALUE!</v>
      </c>
      <c r="Z53" s="4" t="e">
        <f>Y53*(1+'Rhaniad y Ddeiliadaeth (Cymru)'!F$118)</f>
        <v>#VALUE!</v>
      </c>
      <c r="AA53" s="4" t="e">
        <f>Z53*(1+'Rhaniad y Ddeiliadaeth (Cymru)'!G$118)</f>
        <v>#VALUE!</v>
      </c>
      <c r="AC53" s="260">
        <v>59</v>
      </c>
      <c r="AD53" s="4">
        <f>IF('Rhaniad y Ddeiliadaeth (Cymru)'!$D$18="Data Cofrestrfa Tir",'Prisiau Tai (De-orllewin)'!E53,'Prisiau Tai (De-orllewin)'!W53)</f>
        <v>162440</v>
      </c>
      <c r="AE53" s="4">
        <f>IF('Rhaniad y Ddeiliadaeth (Cymru)'!$D$18="Data Cofrestrfa Tir",'Prisiau Tai (De-orllewin)'!F53,'Prisiau Tai (De-orllewin)'!X53)</f>
        <v>171910.25200000001</v>
      </c>
      <c r="AF53" s="4">
        <f>IF('Rhaniad y Ddeiliadaeth (Cymru)'!$D$18="Data Cofrestrfa Tir",'Prisiau Tai (De-orllewin)'!G53,'Prisiau Tai (De-orllewin)'!Y53)</f>
        <v>184053.46475483183</v>
      </c>
      <c r="AG53" s="4">
        <f>IF('Rhaniad y Ddeiliadaeth (Cymru)'!$D$18="Data Cofrestrfa Tir",'Prisiau Tai (De-orllewin)'!H53,'Prisiau Tai (De-orllewin)'!Z53)</f>
        <v>194069.81466576064</v>
      </c>
      <c r="AH53" s="4">
        <f>IF('Rhaniad y Ddeiliadaeth (Cymru)'!$D$18="Data Cofrestrfa Tir",'Prisiau Tai (De-orllewin)'!I53,'Prisiau Tai (De-orllewin)'!AA53)</f>
        <v>202256.40302137518</v>
      </c>
    </row>
    <row r="54" spans="2:34" x14ac:dyDescent="0.35">
      <c r="B54" s="251">
        <v>60</v>
      </c>
      <c r="C54" s="258">
        <v>152500</v>
      </c>
      <c r="D54" s="258">
        <v>158000</v>
      </c>
      <c r="E54" s="278">
        <f>D54*(1+'Rhaniad y Ddeiliadaeth (De-o)'!C$118)</f>
        <v>165584</v>
      </c>
      <c r="F54" s="278">
        <f>E54*(1+'Rhaniad y Ddeiliadaeth (De-o)'!D$118)</f>
        <v>175237.5472</v>
      </c>
      <c r="G54" s="278">
        <f>F54*(1+'Rhaniad y Ddeiliadaeth (De-o)'!E$118)</f>
        <v>187615.78987911888</v>
      </c>
      <c r="H54" s="278">
        <f>G54*(1+'Rhaniad y Ddeiliadaeth (De-o)'!F$118)</f>
        <v>197826.0046270334</v>
      </c>
      <c r="I54" s="279">
        <f>H54*(1+'Rhaniad y Ddeiliadaeth (De-o)'!G$118)</f>
        <v>206171.04307985341</v>
      </c>
      <c r="M54" s="36" t="str">
        <f t="shared" si="0"/>
        <v/>
      </c>
      <c r="N54" s="202"/>
      <c r="O54" s="13">
        <f t="shared" si="3"/>
        <v>1</v>
      </c>
      <c r="U54" s="1">
        <f t="shared" si="1"/>
        <v>60</v>
      </c>
      <c r="V54" s="4" t="str">
        <f t="shared" si="2"/>
        <v/>
      </c>
      <c r="W54" s="4" t="e">
        <f>IF($W$3=$N$3,N54,V54*(1+'Rhaniad y Ddeiliadaeth (Cymru)'!C$118))</f>
        <v>#VALUE!</v>
      </c>
      <c r="X54" s="4" t="e">
        <f>W54*(1+'Rhaniad y Ddeiliadaeth (Cymru)'!D$118)</f>
        <v>#VALUE!</v>
      </c>
      <c r="Y54" s="4" t="e">
        <f>X54*(1+'Rhaniad y Ddeiliadaeth (Cymru)'!E$118)</f>
        <v>#VALUE!</v>
      </c>
      <c r="Z54" s="4" t="e">
        <f>Y54*(1+'Rhaniad y Ddeiliadaeth (Cymru)'!F$118)</f>
        <v>#VALUE!</v>
      </c>
      <c r="AA54" s="4" t="e">
        <f>Z54*(1+'Rhaniad y Ddeiliadaeth (Cymru)'!G$118)</f>
        <v>#VALUE!</v>
      </c>
      <c r="AC54" s="260">
        <v>60</v>
      </c>
      <c r="AD54" s="4">
        <f>IF('Rhaniad y Ddeiliadaeth (Cymru)'!$D$18="Data Cofrestrfa Tir",'Prisiau Tai (De-orllewin)'!E54,'Prisiau Tai (De-orllewin)'!W54)</f>
        <v>165584</v>
      </c>
      <c r="AE54" s="4">
        <f>IF('Rhaniad y Ddeiliadaeth (Cymru)'!$D$18="Data Cofrestrfa Tir",'Prisiau Tai (De-orllewin)'!F54,'Prisiau Tai (De-orllewin)'!X54)</f>
        <v>175237.5472</v>
      </c>
      <c r="AF54" s="4">
        <f>IF('Rhaniad y Ddeiliadaeth (Cymru)'!$D$18="Data Cofrestrfa Tir",'Prisiau Tai (De-orllewin)'!G54,'Prisiau Tai (De-orllewin)'!Y54)</f>
        <v>187615.78987911888</v>
      </c>
      <c r="AG54" s="4">
        <f>IF('Rhaniad y Ddeiliadaeth (Cymru)'!$D$18="Data Cofrestrfa Tir",'Prisiau Tai (De-orllewin)'!H54,'Prisiau Tai (De-orllewin)'!Z54)</f>
        <v>197826.0046270334</v>
      </c>
      <c r="AH54" s="4">
        <f>IF('Rhaniad y Ddeiliadaeth (Cymru)'!$D$18="Data Cofrestrfa Tir",'Prisiau Tai (De-orllewin)'!I54,'Prisiau Tai (De-orllewin)'!AA54)</f>
        <v>206171.04307985341</v>
      </c>
    </row>
    <row r="55" spans="2:34" x14ac:dyDescent="0.35">
      <c r="B55" s="251">
        <v>61</v>
      </c>
      <c r="C55" s="258">
        <v>155000</v>
      </c>
      <c r="D55" s="258">
        <v>160000</v>
      </c>
      <c r="E55" s="278">
        <f>D55*(1+'Rhaniad y Ddeiliadaeth (De-o)'!C$118)</f>
        <v>167680</v>
      </c>
      <c r="F55" s="278">
        <f>E55*(1+'Rhaniad y Ddeiliadaeth (De-o)'!D$118)</f>
        <v>177455.74400000001</v>
      </c>
      <c r="G55" s="278">
        <f>F55*(1+'Rhaniad y Ddeiliadaeth (De-o)'!E$118)</f>
        <v>189990.67329531026</v>
      </c>
      <c r="H55" s="278">
        <f>G55*(1+'Rhaniad y Ddeiliadaeth (De-o)'!F$118)</f>
        <v>200330.13126788192</v>
      </c>
      <c r="I55" s="279">
        <f>H55*(1+'Rhaniad y Ddeiliadaeth (De-o)'!G$118)</f>
        <v>208780.80311883887</v>
      </c>
      <c r="M55" s="36" t="str">
        <f t="shared" si="0"/>
        <v/>
      </c>
      <c r="N55" s="202"/>
      <c r="O55" s="13">
        <f t="shared" si="3"/>
        <v>1</v>
      </c>
      <c r="U55" s="1">
        <f t="shared" si="1"/>
        <v>61</v>
      </c>
      <c r="V55" s="4" t="str">
        <f t="shared" si="2"/>
        <v/>
      </c>
      <c r="W55" s="4" t="e">
        <f>IF($W$3=$N$3,N55,V55*(1+'Rhaniad y Ddeiliadaeth (Cymru)'!C$118))</f>
        <v>#VALUE!</v>
      </c>
      <c r="X55" s="4" t="e">
        <f>W55*(1+'Rhaniad y Ddeiliadaeth (Cymru)'!D$118)</f>
        <v>#VALUE!</v>
      </c>
      <c r="Y55" s="4" t="e">
        <f>X55*(1+'Rhaniad y Ddeiliadaeth (Cymru)'!E$118)</f>
        <v>#VALUE!</v>
      </c>
      <c r="Z55" s="4" t="e">
        <f>Y55*(1+'Rhaniad y Ddeiliadaeth (Cymru)'!F$118)</f>
        <v>#VALUE!</v>
      </c>
      <c r="AA55" s="4" t="e">
        <f>Z55*(1+'Rhaniad y Ddeiliadaeth (Cymru)'!G$118)</f>
        <v>#VALUE!</v>
      </c>
      <c r="AC55" s="260">
        <v>61</v>
      </c>
      <c r="AD55" s="4">
        <f>IF('Rhaniad y Ddeiliadaeth (Cymru)'!$D$18="Data Cofrestrfa Tir",'Prisiau Tai (De-orllewin)'!E55,'Prisiau Tai (De-orllewin)'!W55)</f>
        <v>167680</v>
      </c>
      <c r="AE55" s="4">
        <f>IF('Rhaniad y Ddeiliadaeth (Cymru)'!$D$18="Data Cofrestrfa Tir",'Prisiau Tai (De-orllewin)'!F55,'Prisiau Tai (De-orllewin)'!X55)</f>
        <v>177455.74400000001</v>
      </c>
      <c r="AF55" s="4">
        <f>IF('Rhaniad y Ddeiliadaeth (Cymru)'!$D$18="Data Cofrestrfa Tir",'Prisiau Tai (De-orllewin)'!G55,'Prisiau Tai (De-orllewin)'!Y55)</f>
        <v>189990.67329531026</v>
      </c>
      <c r="AG55" s="4">
        <f>IF('Rhaniad y Ddeiliadaeth (Cymru)'!$D$18="Data Cofrestrfa Tir",'Prisiau Tai (De-orllewin)'!H55,'Prisiau Tai (De-orllewin)'!Z55)</f>
        <v>200330.13126788192</v>
      </c>
      <c r="AH55" s="4">
        <f>IF('Rhaniad y Ddeiliadaeth (Cymru)'!$D$18="Data Cofrestrfa Tir",'Prisiau Tai (De-orllewin)'!I55,'Prisiau Tai (De-orllewin)'!AA55)</f>
        <v>208780.80311883887</v>
      </c>
    </row>
    <row r="56" spans="2:34" x14ac:dyDescent="0.35">
      <c r="B56" s="251">
        <v>62</v>
      </c>
      <c r="C56" s="258">
        <v>157000</v>
      </c>
      <c r="D56" s="258">
        <v>162500</v>
      </c>
      <c r="E56" s="278">
        <f>D56*(1+'Rhaniad y Ddeiliadaeth (De-o)'!C$118)</f>
        <v>170300</v>
      </c>
      <c r="F56" s="278">
        <f>E56*(1+'Rhaniad y Ddeiliadaeth (De-o)'!D$118)</f>
        <v>180228.49</v>
      </c>
      <c r="G56" s="278">
        <f>F56*(1+'Rhaniad y Ddeiliadaeth (De-o)'!E$118)</f>
        <v>192959.27756554948</v>
      </c>
      <c r="H56" s="278">
        <f>G56*(1+'Rhaniad y Ddeiliadaeth (De-o)'!F$118)</f>
        <v>203460.28956894256</v>
      </c>
      <c r="I56" s="279">
        <f>H56*(1+'Rhaniad y Ddeiliadaeth (De-o)'!G$118)</f>
        <v>212043.00316757071</v>
      </c>
      <c r="M56" s="36" t="str">
        <f t="shared" si="0"/>
        <v/>
      </c>
      <c r="N56" s="202"/>
      <c r="O56" s="13">
        <f t="shared" si="3"/>
        <v>1</v>
      </c>
      <c r="U56" s="1">
        <f t="shared" si="1"/>
        <v>62</v>
      </c>
      <c r="V56" s="4" t="str">
        <f t="shared" si="2"/>
        <v/>
      </c>
      <c r="W56" s="4" t="e">
        <f>IF($W$3=$N$3,N56,V56*(1+'Rhaniad y Ddeiliadaeth (Cymru)'!C$118))</f>
        <v>#VALUE!</v>
      </c>
      <c r="X56" s="4" t="e">
        <f>W56*(1+'Rhaniad y Ddeiliadaeth (Cymru)'!D$118)</f>
        <v>#VALUE!</v>
      </c>
      <c r="Y56" s="4" t="e">
        <f>X56*(1+'Rhaniad y Ddeiliadaeth (Cymru)'!E$118)</f>
        <v>#VALUE!</v>
      </c>
      <c r="Z56" s="4" t="e">
        <f>Y56*(1+'Rhaniad y Ddeiliadaeth (Cymru)'!F$118)</f>
        <v>#VALUE!</v>
      </c>
      <c r="AA56" s="4" t="e">
        <f>Z56*(1+'Rhaniad y Ddeiliadaeth (Cymru)'!G$118)</f>
        <v>#VALUE!</v>
      </c>
      <c r="AC56" s="260">
        <v>62</v>
      </c>
      <c r="AD56" s="4">
        <f>IF('Rhaniad y Ddeiliadaeth (Cymru)'!$D$18="Data Cofrestrfa Tir",'Prisiau Tai (De-orllewin)'!E56,'Prisiau Tai (De-orllewin)'!W56)</f>
        <v>170300</v>
      </c>
      <c r="AE56" s="4">
        <f>IF('Rhaniad y Ddeiliadaeth (Cymru)'!$D$18="Data Cofrestrfa Tir",'Prisiau Tai (De-orllewin)'!F56,'Prisiau Tai (De-orllewin)'!X56)</f>
        <v>180228.49</v>
      </c>
      <c r="AF56" s="4">
        <f>IF('Rhaniad y Ddeiliadaeth (Cymru)'!$D$18="Data Cofrestrfa Tir",'Prisiau Tai (De-orllewin)'!G56,'Prisiau Tai (De-orllewin)'!Y56)</f>
        <v>192959.27756554948</v>
      </c>
      <c r="AG56" s="4">
        <f>IF('Rhaniad y Ddeiliadaeth (Cymru)'!$D$18="Data Cofrestrfa Tir",'Prisiau Tai (De-orllewin)'!H56,'Prisiau Tai (De-orllewin)'!Z56)</f>
        <v>203460.28956894256</v>
      </c>
      <c r="AH56" s="4">
        <f>IF('Rhaniad y Ddeiliadaeth (Cymru)'!$D$18="Data Cofrestrfa Tir",'Prisiau Tai (De-orllewin)'!I56,'Prisiau Tai (De-orllewin)'!AA56)</f>
        <v>212043.00316757071</v>
      </c>
    </row>
    <row r="57" spans="2:34" x14ac:dyDescent="0.35">
      <c r="B57" s="251">
        <v>63</v>
      </c>
      <c r="C57" s="258">
        <v>159995</v>
      </c>
      <c r="D57" s="258">
        <v>165000</v>
      </c>
      <c r="E57" s="278">
        <f>D57*(1+'Rhaniad y Ddeiliadaeth (De-o)'!C$118)</f>
        <v>172920</v>
      </c>
      <c r="F57" s="278">
        <f>E57*(1+'Rhaniad y Ddeiliadaeth (De-o)'!D$118)</f>
        <v>183001.236</v>
      </c>
      <c r="G57" s="278">
        <f>F57*(1+'Rhaniad y Ddeiliadaeth (De-o)'!E$118)</f>
        <v>195927.88183578869</v>
      </c>
      <c r="H57" s="278">
        <f>G57*(1+'Rhaniad y Ddeiliadaeth (De-o)'!F$118)</f>
        <v>206590.44787000323</v>
      </c>
      <c r="I57" s="279">
        <f>H57*(1+'Rhaniad y Ddeiliadaeth (De-o)'!G$118)</f>
        <v>215305.20321630259</v>
      </c>
      <c r="M57" s="36" t="str">
        <f t="shared" si="0"/>
        <v/>
      </c>
      <c r="N57" s="202"/>
      <c r="O57" s="13">
        <f t="shared" si="3"/>
        <v>1</v>
      </c>
      <c r="U57" s="1">
        <f t="shared" si="1"/>
        <v>63</v>
      </c>
      <c r="V57" s="4" t="str">
        <f t="shared" si="2"/>
        <v/>
      </c>
      <c r="W57" s="4" t="e">
        <f>IF($W$3=$N$3,N57,V57*(1+'Rhaniad y Ddeiliadaeth (Cymru)'!C$118))</f>
        <v>#VALUE!</v>
      </c>
      <c r="X57" s="4" t="e">
        <f>W57*(1+'Rhaniad y Ddeiliadaeth (Cymru)'!D$118)</f>
        <v>#VALUE!</v>
      </c>
      <c r="Y57" s="4" t="e">
        <f>X57*(1+'Rhaniad y Ddeiliadaeth (Cymru)'!E$118)</f>
        <v>#VALUE!</v>
      </c>
      <c r="Z57" s="4" t="e">
        <f>Y57*(1+'Rhaniad y Ddeiliadaeth (Cymru)'!F$118)</f>
        <v>#VALUE!</v>
      </c>
      <c r="AA57" s="4" t="e">
        <f>Z57*(1+'Rhaniad y Ddeiliadaeth (Cymru)'!G$118)</f>
        <v>#VALUE!</v>
      </c>
      <c r="AC57" s="260">
        <v>63</v>
      </c>
      <c r="AD57" s="4">
        <f>IF('Rhaniad y Ddeiliadaeth (Cymru)'!$D$18="Data Cofrestrfa Tir",'Prisiau Tai (De-orllewin)'!E57,'Prisiau Tai (De-orllewin)'!W57)</f>
        <v>172920</v>
      </c>
      <c r="AE57" s="4">
        <f>IF('Rhaniad y Ddeiliadaeth (Cymru)'!$D$18="Data Cofrestrfa Tir",'Prisiau Tai (De-orllewin)'!F57,'Prisiau Tai (De-orllewin)'!X57)</f>
        <v>183001.236</v>
      </c>
      <c r="AF57" s="4">
        <f>IF('Rhaniad y Ddeiliadaeth (Cymru)'!$D$18="Data Cofrestrfa Tir",'Prisiau Tai (De-orllewin)'!G57,'Prisiau Tai (De-orllewin)'!Y57)</f>
        <v>195927.88183578869</v>
      </c>
      <c r="AG57" s="4">
        <f>IF('Rhaniad y Ddeiliadaeth (Cymru)'!$D$18="Data Cofrestrfa Tir",'Prisiau Tai (De-orllewin)'!H57,'Prisiau Tai (De-orllewin)'!Z57)</f>
        <v>206590.44787000323</v>
      </c>
      <c r="AH57" s="4">
        <f>IF('Rhaniad y Ddeiliadaeth (Cymru)'!$D$18="Data Cofrestrfa Tir",'Prisiau Tai (De-orllewin)'!I57,'Prisiau Tai (De-orllewin)'!AA57)</f>
        <v>215305.20321630259</v>
      </c>
    </row>
    <row r="58" spans="2:34" x14ac:dyDescent="0.35">
      <c r="B58" s="251">
        <v>64</v>
      </c>
      <c r="C58" s="258">
        <v>160000</v>
      </c>
      <c r="D58" s="258">
        <v>167000</v>
      </c>
      <c r="E58" s="278">
        <f>D58*(1+'Rhaniad y Ddeiliadaeth (De-o)'!C$118)</f>
        <v>175016</v>
      </c>
      <c r="F58" s="278">
        <f>E58*(1+'Rhaniad y Ddeiliadaeth (De-o)'!D$118)</f>
        <v>185219.43280000001</v>
      </c>
      <c r="G58" s="278">
        <f>F58*(1+'Rhaniad y Ddeiliadaeth (De-o)'!E$118)</f>
        <v>198302.76525198008</v>
      </c>
      <c r="H58" s="278">
        <f>G58*(1+'Rhaniad y Ddeiliadaeth (De-o)'!F$118)</f>
        <v>209094.57451085176</v>
      </c>
      <c r="I58" s="279">
        <f>H58*(1+'Rhaniad y Ddeiliadaeth (De-o)'!G$118)</f>
        <v>217914.96325528808</v>
      </c>
      <c r="M58" s="36" t="str">
        <f t="shared" si="0"/>
        <v/>
      </c>
      <c r="N58" s="202"/>
      <c r="O58" s="13">
        <f t="shared" si="3"/>
        <v>1</v>
      </c>
      <c r="U58" s="1">
        <f t="shared" si="1"/>
        <v>64</v>
      </c>
      <c r="V58" s="4" t="str">
        <f t="shared" si="2"/>
        <v/>
      </c>
      <c r="W58" s="4" t="e">
        <f>IF($W$3=$N$3,N58,V58*(1+'Rhaniad y Ddeiliadaeth (Cymru)'!C$118))</f>
        <v>#VALUE!</v>
      </c>
      <c r="X58" s="4" t="e">
        <f>W58*(1+'Rhaniad y Ddeiliadaeth (Cymru)'!D$118)</f>
        <v>#VALUE!</v>
      </c>
      <c r="Y58" s="4" t="e">
        <f>X58*(1+'Rhaniad y Ddeiliadaeth (Cymru)'!E$118)</f>
        <v>#VALUE!</v>
      </c>
      <c r="Z58" s="4" t="e">
        <f>Y58*(1+'Rhaniad y Ddeiliadaeth (Cymru)'!F$118)</f>
        <v>#VALUE!</v>
      </c>
      <c r="AA58" s="4" t="e">
        <f>Z58*(1+'Rhaniad y Ddeiliadaeth (Cymru)'!G$118)</f>
        <v>#VALUE!</v>
      </c>
      <c r="AC58" s="260">
        <v>64</v>
      </c>
      <c r="AD58" s="4">
        <f>IF('Rhaniad y Ddeiliadaeth (Cymru)'!$D$18="Data Cofrestrfa Tir",'Prisiau Tai (De-orllewin)'!E58,'Prisiau Tai (De-orllewin)'!W58)</f>
        <v>175016</v>
      </c>
      <c r="AE58" s="4">
        <f>IF('Rhaniad y Ddeiliadaeth (Cymru)'!$D$18="Data Cofrestrfa Tir",'Prisiau Tai (De-orllewin)'!F58,'Prisiau Tai (De-orllewin)'!X58)</f>
        <v>185219.43280000001</v>
      </c>
      <c r="AF58" s="4">
        <f>IF('Rhaniad y Ddeiliadaeth (Cymru)'!$D$18="Data Cofrestrfa Tir",'Prisiau Tai (De-orllewin)'!G58,'Prisiau Tai (De-orllewin)'!Y58)</f>
        <v>198302.76525198008</v>
      </c>
      <c r="AG58" s="4">
        <f>IF('Rhaniad y Ddeiliadaeth (Cymru)'!$D$18="Data Cofrestrfa Tir",'Prisiau Tai (De-orllewin)'!H58,'Prisiau Tai (De-orllewin)'!Z58)</f>
        <v>209094.57451085176</v>
      </c>
      <c r="AH58" s="4">
        <f>IF('Rhaniad y Ddeiliadaeth (Cymru)'!$D$18="Data Cofrestrfa Tir",'Prisiau Tai (De-orllewin)'!I58,'Prisiau Tai (De-orllewin)'!AA58)</f>
        <v>217914.96325528808</v>
      </c>
    </row>
    <row r="59" spans="2:34" x14ac:dyDescent="0.35">
      <c r="B59" s="251">
        <v>65</v>
      </c>
      <c r="C59" s="258">
        <v>163000</v>
      </c>
      <c r="D59" s="258">
        <v>169995</v>
      </c>
      <c r="E59" s="278">
        <f>D59*(1+'Rhaniad y Ddeiliadaeth (De-o)'!C$118)</f>
        <v>178154.76</v>
      </c>
      <c r="F59" s="278">
        <f>E59*(1+'Rhaniad y Ddeiliadaeth (De-o)'!D$118)</f>
        <v>188541.18250800003</v>
      </c>
      <c r="G59" s="278">
        <f>F59*(1+'Rhaniad y Ddeiliadaeth (De-o)'!E$118)</f>
        <v>201859.1531677267</v>
      </c>
      <c r="H59" s="278">
        <f>G59*(1+'Rhaniad y Ddeiliadaeth (De-o)'!F$118)</f>
        <v>212844.50415552247</v>
      </c>
      <c r="I59" s="279">
        <f>H59*(1+'Rhaniad y Ddeiliadaeth (De-o)'!G$118)</f>
        <v>221823.0789136689</v>
      </c>
      <c r="M59" s="36" t="str">
        <f t="shared" si="0"/>
        <v/>
      </c>
      <c r="N59" s="202"/>
      <c r="O59" s="13">
        <f t="shared" si="3"/>
        <v>1</v>
      </c>
      <c r="U59" s="1">
        <f t="shared" si="1"/>
        <v>65</v>
      </c>
      <c r="V59" s="4" t="str">
        <f t="shared" si="2"/>
        <v/>
      </c>
      <c r="W59" s="4" t="e">
        <f>IF($W$3=$N$3,N59,V59*(1+'Rhaniad y Ddeiliadaeth (Cymru)'!C$118))</f>
        <v>#VALUE!</v>
      </c>
      <c r="X59" s="4" t="e">
        <f>W59*(1+'Rhaniad y Ddeiliadaeth (Cymru)'!D$118)</f>
        <v>#VALUE!</v>
      </c>
      <c r="Y59" s="4" t="e">
        <f>X59*(1+'Rhaniad y Ddeiliadaeth (Cymru)'!E$118)</f>
        <v>#VALUE!</v>
      </c>
      <c r="Z59" s="4" t="e">
        <f>Y59*(1+'Rhaniad y Ddeiliadaeth (Cymru)'!F$118)</f>
        <v>#VALUE!</v>
      </c>
      <c r="AA59" s="4" t="e">
        <f>Z59*(1+'Rhaniad y Ddeiliadaeth (Cymru)'!G$118)</f>
        <v>#VALUE!</v>
      </c>
      <c r="AC59" s="260">
        <v>65</v>
      </c>
      <c r="AD59" s="4">
        <f>IF('Rhaniad y Ddeiliadaeth (Cymru)'!$D$18="Data Cofrestrfa Tir",'Prisiau Tai (De-orllewin)'!E59,'Prisiau Tai (De-orllewin)'!W59)</f>
        <v>178154.76</v>
      </c>
      <c r="AE59" s="4">
        <f>IF('Rhaniad y Ddeiliadaeth (Cymru)'!$D$18="Data Cofrestrfa Tir",'Prisiau Tai (De-orllewin)'!F59,'Prisiau Tai (De-orllewin)'!X59)</f>
        <v>188541.18250800003</v>
      </c>
      <c r="AF59" s="4">
        <f>IF('Rhaniad y Ddeiliadaeth (Cymru)'!$D$18="Data Cofrestrfa Tir",'Prisiau Tai (De-orllewin)'!G59,'Prisiau Tai (De-orllewin)'!Y59)</f>
        <v>201859.1531677267</v>
      </c>
      <c r="AG59" s="4">
        <f>IF('Rhaniad y Ddeiliadaeth (Cymru)'!$D$18="Data Cofrestrfa Tir",'Prisiau Tai (De-orllewin)'!H59,'Prisiau Tai (De-orllewin)'!Z59)</f>
        <v>212844.50415552247</v>
      </c>
      <c r="AH59" s="4">
        <f>IF('Rhaniad y Ddeiliadaeth (Cymru)'!$D$18="Data Cofrestrfa Tir",'Prisiau Tai (De-orllewin)'!I59,'Prisiau Tai (De-orllewin)'!AA59)</f>
        <v>221823.0789136689</v>
      </c>
    </row>
    <row r="60" spans="2:34" x14ac:dyDescent="0.35">
      <c r="B60" s="251">
        <v>66</v>
      </c>
      <c r="C60" s="258">
        <v>165000</v>
      </c>
      <c r="D60" s="258">
        <v>170000</v>
      </c>
      <c r="E60" s="278">
        <f>D60*(1+'Rhaniad y Ddeiliadaeth (De-o)'!C$118)</f>
        <v>178160</v>
      </c>
      <c r="F60" s="278">
        <f>E60*(1+'Rhaniad y Ddeiliadaeth (De-o)'!D$118)</f>
        <v>188546.728</v>
      </c>
      <c r="G60" s="278">
        <f>F60*(1+'Rhaniad y Ddeiliadaeth (De-o)'!E$118)</f>
        <v>201865.09037626715</v>
      </c>
      <c r="H60" s="278">
        <f>G60*(1+'Rhaniad y Ddeiliadaeth (De-o)'!F$118)</f>
        <v>212850.76447212455</v>
      </c>
      <c r="I60" s="279">
        <f>H60*(1+'Rhaniad y Ddeiliadaeth (De-o)'!G$118)</f>
        <v>221829.6033137663</v>
      </c>
      <c r="M60" s="36" t="str">
        <f t="shared" si="0"/>
        <v/>
      </c>
      <c r="N60" s="202"/>
      <c r="O60" s="13">
        <f t="shared" si="3"/>
        <v>1</v>
      </c>
      <c r="U60" s="1">
        <f t="shared" si="1"/>
        <v>66</v>
      </c>
      <c r="V60" s="4" t="str">
        <f t="shared" si="2"/>
        <v/>
      </c>
      <c r="W60" s="4" t="e">
        <f>IF($W$3=$N$3,N60,V60*(1+'Rhaniad y Ddeiliadaeth (Cymru)'!C$118))</f>
        <v>#VALUE!</v>
      </c>
      <c r="X60" s="4" t="e">
        <f>W60*(1+'Rhaniad y Ddeiliadaeth (Cymru)'!D$118)</f>
        <v>#VALUE!</v>
      </c>
      <c r="Y60" s="4" t="e">
        <f>X60*(1+'Rhaniad y Ddeiliadaeth (Cymru)'!E$118)</f>
        <v>#VALUE!</v>
      </c>
      <c r="Z60" s="4" t="e">
        <f>Y60*(1+'Rhaniad y Ddeiliadaeth (Cymru)'!F$118)</f>
        <v>#VALUE!</v>
      </c>
      <c r="AA60" s="4" t="e">
        <f>Z60*(1+'Rhaniad y Ddeiliadaeth (Cymru)'!G$118)</f>
        <v>#VALUE!</v>
      </c>
      <c r="AC60" s="260">
        <v>66</v>
      </c>
      <c r="AD60" s="4">
        <f>IF('Rhaniad y Ddeiliadaeth (Cymru)'!$D$18="Data Cofrestrfa Tir",'Prisiau Tai (De-orllewin)'!E60,'Prisiau Tai (De-orllewin)'!W60)</f>
        <v>178160</v>
      </c>
      <c r="AE60" s="4">
        <f>IF('Rhaniad y Ddeiliadaeth (Cymru)'!$D$18="Data Cofrestrfa Tir",'Prisiau Tai (De-orllewin)'!F60,'Prisiau Tai (De-orllewin)'!X60)</f>
        <v>188546.728</v>
      </c>
      <c r="AF60" s="4">
        <f>IF('Rhaniad y Ddeiliadaeth (Cymru)'!$D$18="Data Cofrestrfa Tir",'Prisiau Tai (De-orllewin)'!G60,'Prisiau Tai (De-orllewin)'!Y60)</f>
        <v>201865.09037626715</v>
      </c>
      <c r="AG60" s="4">
        <f>IF('Rhaniad y Ddeiliadaeth (Cymru)'!$D$18="Data Cofrestrfa Tir",'Prisiau Tai (De-orllewin)'!H60,'Prisiau Tai (De-orllewin)'!Z60)</f>
        <v>212850.76447212455</v>
      </c>
      <c r="AH60" s="4">
        <f>IF('Rhaniad y Ddeiliadaeth (Cymru)'!$D$18="Data Cofrestrfa Tir",'Prisiau Tai (De-orllewin)'!I60,'Prisiau Tai (De-orllewin)'!AA60)</f>
        <v>221829.6033137663</v>
      </c>
    </row>
    <row r="61" spans="2:34" x14ac:dyDescent="0.35">
      <c r="B61" s="251">
        <v>67</v>
      </c>
      <c r="C61" s="258">
        <v>168000</v>
      </c>
      <c r="D61" s="258">
        <v>174067.50000000102</v>
      </c>
      <c r="E61" s="278">
        <f>D61*(1+'Rhaniad y Ddeiliadaeth (De-o)'!C$118)</f>
        <v>182422.74000000107</v>
      </c>
      <c r="F61" s="278">
        <f>E61*(1+'Rhaniad y Ddeiliadaeth (De-o)'!D$118)</f>
        <v>193057.98574200112</v>
      </c>
      <c r="G61" s="278">
        <f>F61*(1+'Rhaniad y Ddeiliadaeth (De-o)'!E$118)</f>
        <v>206695.00952394758</v>
      </c>
      <c r="H61" s="278">
        <f>G61*(1+'Rhaniad y Ddeiliadaeth (De-o)'!F$118)</f>
        <v>217943.5320279515</v>
      </c>
      <c r="I61" s="279">
        <f>H61*(1+'Rhaniad y Ddeiliadaeth (De-o)'!G$118)</f>
        <v>227137.20279305437</v>
      </c>
      <c r="M61" s="36" t="str">
        <f t="shared" si="0"/>
        <v/>
      </c>
      <c r="N61" s="202"/>
      <c r="O61" s="13">
        <f t="shared" si="3"/>
        <v>1</v>
      </c>
      <c r="U61" s="1">
        <f t="shared" si="1"/>
        <v>67</v>
      </c>
      <c r="V61" s="4" t="str">
        <f t="shared" si="2"/>
        <v/>
      </c>
      <c r="W61" s="4" t="e">
        <f>IF($W$3=$N$3,N61,V61*(1+'Rhaniad y Ddeiliadaeth (Cymru)'!C$118))</f>
        <v>#VALUE!</v>
      </c>
      <c r="X61" s="4" t="e">
        <f>W61*(1+'Rhaniad y Ddeiliadaeth (Cymru)'!D$118)</f>
        <v>#VALUE!</v>
      </c>
      <c r="Y61" s="4" t="e">
        <f>X61*(1+'Rhaniad y Ddeiliadaeth (Cymru)'!E$118)</f>
        <v>#VALUE!</v>
      </c>
      <c r="Z61" s="4" t="e">
        <f>Y61*(1+'Rhaniad y Ddeiliadaeth (Cymru)'!F$118)</f>
        <v>#VALUE!</v>
      </c>
      <c r="AA61" s="4" t="e">
        <f>Z61*(1+'Rhaniad y Ddeiliadaeth (Cymru)'!G$118)</f>
        <v>#VALUE!</v>
      </c>
      <c r="AC61" s="260">
        <v>67</v>
      </c>
      <c r="AD61" s="4">
        <f>IF('Rhaniad y Ddeiliadaeth (Cymru)'!$D$18="Data Cofrestrfa Tir",'Prisiau Tai (De-orllewin)'!E61,'Prisiau Tai (De-orllewin)'!W61)</f>
        <v>182422.74000000107</v>
      </c>
      <c r="AE61" s="4">
        <f>IF('Rhaniad y Ddeiliadaeth (Cymru)'!$D$18="Data Cofrestrfa Tir",'Prisiau Tai (De-orllewin)'!F61,'Prisiau Tai (De-orllewin)'!X61)</f>
        <v>193057.98574200112</v>
      </c>
      <c r="AF61" s="4">
        <f>IF('Rhaniad y Ddeiliadaeth (Cymru)'!$D$18="Data Cofrestrfa Tir",'Prisiau Tai (De-orllewin)'!G61,'Prisiau Tai (De-orllewin)'!Y61)</f>
        <v>206695.00952394758</v>
      </c>
      <c r="AG61" s="4">
        <f>IF('Rhaniad y Ddeiliadaeth (Cymru)'!$D$18="Data Cofrestrfa Tir",'Prisiau Tai (De-orllewin)'!H61,'Prisiau Tai (De-orllewin)'!Z61)</f>
        <v>217943.5320279515</v>
      </c>
      <c r="AH61" s="4">
        <f>IF('Rhaniad y Ddeiliadaeth (Cymru)'!$D$18="Data Cofrestrfa Tir",'Prisiau Tai (De-orllewin)'!I61,'Prisiau Tai (De-orllewin)'!AA61)</f>
        <v>227137.20279305437</v>
      </c>
    </row>
    <row r="62" spans="2:34" x14ac:dyDescent="0.35">
      <c r="B62" s="251">
        <v>68</v>
      </c>
      <c r="C62" s="258">
        <v>170000</v>
      </c>
      <c r="D62" s="258">
        <v>176000</v>
      </c>
      <c r="E62" s="278">
        <f>D62*(1+'Rhaniad y Ddeiliadaeth (De-o)'!C$118)</f>
        <v>184448</v>
      </c>
      <c r="F62" s="278">
        <f>E62*(1+'Rhaniad y Ddeiliadaeth (De-o)'!D$118)</f>
        <v>195201.31839999999</v>
      </c>
      <c r="G62" s="278">
        <f>F62*(1+'Rhaniad y Ddeiliadaeth (De-o)'!E$118)</f>
        <v>208989.74062484127</v>
      </c>
      <c r="H62" s="278">
        <f>G62*(1+'Rhaniad y Ddeiliadaeth (De-o)'!F$118)</f>
        <v>220363.14439467012</v>
      </c>
      <c r="I62" s="279">
        <f>H62*(1+'Rhaniad y Ddeiliadaeth (De-o)'!G$118)</f>
        <v>229658.88343072278</v>
      </c>
      <c r="M62" s="36" t="str">
        <f t="shared" si="0"/>
        <v/>
      </c>
      <c r="N62" s="202"/>
      <c r="O62" s="13">
        <f t="shared" si="3"/>
        <v>1</v>
      </c>
      <c r="U62" s="1">
        <f t="shared" si="1"/>
        <v>68</v>
      </c>
      <c r="V62" s="4" t="str">
        <f t="shared" si="2"/>
        <v/>
      </c>
      <c r="W62" s="4" t="e">
        <f>IF($W$3=$N$3,N62,V62*(1+'Rhaniad y Ddeiliadaeth (Cymru)'!C$118))</f>
        <v>#VALUE!</v>
      </c>
      <c r="X62" s="4" t="e">
        <f>W62*(1+'Rhaniad y Ddeiliadaeth (Cymru)'!D$118)</f>
        <v>#VALUE!</v>
      </c>
      <c r="Y62" s="4" t="e">
        <f>X62*(1+'Rhaniad y Ddeiliadaeth (Cymru)'!E$118)</f>
        <v>#VALUE!</v>
      </c>
      <c r="Z62" s="4" t="e">
        <f>Y62*(1+'Rhaniad y Ddeiliadaeth (Cymru)'!F$118)</f>
        <v>#VALUE!</v>
      </c>
      <c r="AA62" s="4" t="e">
        <f>Z62*(1+'Rhaniad y Ddeiliadaeth (Cymru)'!G$118)</f>
        <v>#VALUE!</v>
      </c>
      <c r="AC62" s="260">
        <v>68</v>
      </c>
      <c r="AD62" s="4">
        <f>IF('Rhaniad y Ddeiliadaeth (Cymru)'!$D$18="Data Cofrestrfa Tir",'Prisiau Tai (De-orllewin)'!E62,'Prisiau Tai (De-orllewin)'!W62)</f>
        <v>184448</v>
      </c>
      <c r="AE62" s="4">
        <f>IF('Rhaniad y Ddeiliadaeth (Cymru)'!$D$18="Data Cofrestrfa Tir",'Prisiau Tai (De-orllewin)'!F62,'Prisiau Tai (De-orllewin)'!X62)</f>
        <v>195201.31839999999</v>
      </c>
      <c r="AF62" s="4">
        <f>IF('Rhaniad y Ddeiliadaeth (Cymru)'!$D$18="Data Cofrestrfa Tir",'Prisiau Tai (De-orllewin)'!G62,'Prisiau Tai (De-orllewin)'!Y62)</f>
        <v>208989.74062484127</v>
      </c>
      <c r="AG62" s="4">
        <f>IF('Rhaniad y Ddeiliadaeth (Cymru)'!$D$18="Data Cofrestrfa Tir",'Prisiau Tai (De-orllewin)'!H62,'Prisiau Tai (De-orllewin)'!Z62)</f>
        <v>220363.14439467012</v>
      </c>
      <c r="AH62" s="4">
        <f>IF('Rhaniad y Ddeiliadaeth (Cymru)'!$D$18="Data Cofrestrfa Tir",'Prisiau Tai (De-orllewin)'!I62,'Prisiau Tai (De-orllewin)'!AA62)</f>
        <v>229658.88343072278</v>
      </c>
    </row>
    <row r="63" spans="2:34" x14ac:dyDescent="0.35">
      <c r="B63" s="251">
        <v>69</v>
      </c>
      <c r="C63" s="258">
        <v>173007.49999999994</v>
      </c>
      <c r="D63" s="258">
        <v>179995</v>
      </c>
      <c r="E63" s="278">
        <f>D63*(1+'Rhaniad y Ddeiliadaeth (De-o)'!C$118)</f>
        <v>188634.76</v>
      </c>
      <c r="F63" s="278">
        <f>E63*(1+'Rhaniad y Ddeiliadaeth (De-o)'!D$118)</f>
        <v>199632.16650800002</v>
      </c>
      <c r="G63" s="278">
        <f>F63*(1+'Rhaniad y Ddeiliadaeth (De-o)'!E$118)</f>
        <v>213733.57024868359</v>
      </c>
      <c r="H63" s="278">
        <f>G63*(1+'Rhaniad y Ddeiliadaeth (De-o)'!F$118)</f>
        <v>225365.13735976507</v>
      </c>
      <c r="I63" s="279">
        <f>H63*(1+'Rhaniad y Ddeiliadaeth (De-o)'!G$118)</f>
        <v>234871.8791085963</v>
      </c>
      <c r="M63" s="36" t="str">
        <f t="shared" si="0"/>
        <v/>
      </c>
      <c r="N63" s="202"/>
      <c r="O63" s="13">
        <f t="shared" si="3"/>
        <v>1</v>
      </c>
      <c r="U63" s="1">
        <f t="shared" si="1"/>
        <v>69</v>
      </c>
      <c r="V63" s="4" t="str">
        <f t="shared" si="2"/>
        <v/>
      </c>
      <c r="W63" s="4" t="e">
        <f>IF($W$3=$N$3,N63,V63*(1+'Rhaniad y Ddeiliadaeth (Cymru)'!C$118))</f>
        <v>#VALUE!</v>
      </c>
      <c r="X63" s="4" t="e">
        <f>W63*(1+'Rhaniad y Ddeiliadaeth (Cymru)'!D$118)</f>
        <v>#VALUE!</v>
      </c>
      <c r="Y63" s="4" t="e">
        <f>X63*(1+'Rhaniad y Ddeiliadaeth (Cymru)'!E$118)</f>
        <v>#VALUE!</v>
      </c>
      <c r="Z63" s="4" t="e">
        <f>Y63*(1+'Rhaniad y Ddeiliadaeth (Cymru)'!F$118)</f>
        <v>#VALUE!</v>
      </c>
      <c r="AA63" s="4" t="e">
        <f>Z63*(1+'Rhaniad y Ddeiliadaeth (Cymru)'!G$118)</f>
        <v>#VALUE!</v>
      </c>
      <c r="AC63" s="260">
        <v>69</v>
      </c>
      <c r="AD63" s="4">
        <f>IF('Rhaniad y Ddeiliadaeth (Cymru)'!$D$18="Data Cofrestrfa Tir",'Prisiau Tai (De-orllewin)'!E63,'Prisiau Tai (De-orllewin)'!W63)</f>
        <v>188634.76</v>
      </c>
      <c r="AE63" s="4">
        <f>IF('Rhaniad y Ddeiliadaeth (Cymru)'!$D$18="Data Cofrestrfa Tir",'Prisiau Tai (De-orllewin)'!F63,'Prisiau Tai (De-orllewin)'!X63)</f>
        <v>199632.16650800002</v>
      </c>
      <c r="AF63" s="4">
        <f>IF('Rhaniad y Ddeiliadaeth (Cymru)'!$D$18="Data Cofrestrfa Tir",'Prisiau Tai (De-orllewin)'!G63,'Prisiau Tai (De-orllewin)'!Y63)</f>
        <v>213733.57024868359</v>
      </c>
      <c r="AG63" s="4">
        <f>IF('Rhaniad y Ddeiliadaeth (Cymru)'!$D$18="Data Cofrestrfa Tir",'Prisiau Tai (De-orllewin)'!H63,'Prisiau Tai (De-orllewin)'!Z63)</f>
        <v>225365.13735976507</v>
      </c>
      <c r="AH63" s="4">
        <f>IF('Rhaniad y Ddeiliadaeth (Cymru)'!$D$18="Data Cofrestrfa Tir",'Prisiau Tai (De-orllewin)'!I63,'Prisiau Tai (De-orllewin)'!AA63)</f>
        <v>234871.8791085963</v>
      </c>
    </row>
    <row r="64" spans="2:34" x14ac:dyDescent="0.35">
      <c r="B64" s="251">
        <v>70</v>
      </c>
      <c r="C64" s="258">
        <v>175000</v>
      </c>
      <c r="D64" s="258">
        <v>180000</v>
      </c>
      <c r="E64" s="278">
        <f>D64*(1+'Rhaniad y Ddeiliadaeth (De-o)'!C$118)</f>
        <v>188640</v>
      </c>
      <c r="F64" s="278">
        <f>E64*(1+'Rhaniad y Ddeiliadaeth (De-o)'!D$118)</f>
        <v>199637.712</v>
      </c>
      <c r="G64" s="278">
        <f>F64*(1+'Rhaniad y Ddeiliadaeth (De-o)'!E$118)</f>
        <v>213739.50745722404</v>
      </c>
      <c r="H64" s="278">
        <f>G64*(1+'Rhaniad y Ddeiliadaeth (De-o)'!F$118)</f>
        <v>225371.39767636717</v>
      </c>
      <c r="I64" s="279">
        <f>H64*(1+'Rhaniad y Ddeiliadaeth (De-o)'!G$118)</f>
        <v>234878.40350869374</v>
      </c>
      <c r="M64" s="36" t="str">
        <f t="shared" si="0"/>
        <v/>
      </c>
      <c r="N64" s="202"/>
      <c r="O64" s="13">
        <f t="shared" si="3"/>
        <v>1</v>
      </c>
      <c r="U64" s="1">
        <f t="shared" si="1"/>
        <v>70</v>
      </c>
      <c r="V64" s="4" t="str">
        <f t="shared" si="2"/>
        <v/>
      </c>
      <c r="W64" s="4" t="e">
        <f>IF($W$3=$N$3,N64,V64*(1+'Rhaniad y Ddeiliadaeth (Cymru)'!C$118))</f>
        <v>#VALUE!</v>
      </c>
      <c r="X64" s="4" t="e">
        <f>W64*(1+'Rhaniad y Ddeiliadaeth (Cymru)'!D$118)</f>
        <v>#VALUE!</v>
      </c>
      <c r="Y64" s="4" t="e">
        <f>X64*(1+'Rhaniad y Ddeiliadaeth (Cymru)'!E$118)</f>
        <v>#VALUE!</v>
      </c>
      <c r="Z64" s="4" t="e">
        <f>Y64*(1+'Rhaniad y Ddeiliadaeth (Cymru)'!F$118)</f>
        <v>#VALUE!</v>
      </c>
      <c r="AA64" s="4" t="e">
        <f>Z64*(1+'Rhaniad y Ddeiliadaeth (Cymru)'!G$118)</f>
        <v>#VALUE!</v>
      </c>
      <c r="AC64" s="260">
        <v>70</v>
      </c>
      <c r="AD64" s="4">
        <f>IF('Rhaniad y Ddeiliadaeth (Cymru)'!$D$18="Data Cofrestrfa Tir",'Prisiau Tai (De-orllewin)'!E64,'Prisiau Tai (De-orllewin)'!W64)</f>
        <v>188640</v>
      </c>
      <c r="AE64" s="4">
        <f>IF('Rhaniad y Ddeiliadaeth (Cymru)'!$D$18="Data Cofrestrfa Tir",'Prisiau Tai (De-orllewin)'!F64,'Prisiau Tai (De-orllewin)'!X64)</f>
        <v>199637.712</v>
      </c>
      <c r="AF64" s="4">
        <f>IF('Rhaniad y Ddeiliadaeth (Cymru)'!$D$18="Data Cofrestrfa Tir",'Prisiau Tai (De-orllewin)'!G64,'Prisiau Tai (De-orllewin)'!Y64)</f>
        <v>213739.50745722404</v>
      </c>
      <c r="AG64" s="4">
        <f>IF('Rhaniad y Ddeiliadaeth (Cymru)'!$D$18="Data Cofrestrfa Tir",'Prisiau Tai (De-orllewin)'!H64,'Prisiau Tai (De-orllewin)'!Z64)</f>
        <v>225371.39767636717</v>
      </c>
      <c r="AH64" s="4">
        <f>IF('Rhaniad y Ddeiliadaeth (Cymru)'!$D$18="Data Cofrestrfa Tir",'Prisiau Tai (De-orllewin)'!I64,'Prisiau Tai (De-orllewin)'!AA64)</f>
        <v>234878.40350869374</v>
      </c>
    </row>
    <row r="65" spans="2:34" x14ac:dyDescent="0.35">
      <c r="B65" s="251">
        <v>71</v>
      </c>
      <c r="C65" s="258">
        <v>178995</v>
      </c>
      <c r="D65" s="258">
        <v>185000</v>
      </c>
      <c r="E65" s="278">
        <f>D65*(1+'Rhaniad y Ddeiliadaeth (De-o)'!C$118)</f>
        <v>193880</v>
      </c>
      <c r="F65" s="278">
        <f>E65*(1+'Rhaniad y Ddeiliadaeth (De-o)'!D$118)</f>
        <v>205183.204</v>
      </c>
      <c r="G65" s="278">
        <f>F65*(1+'Rhaniad y Ddeiliadaeth (De-o)'!E$118)</f>
        <v>219676.71599770247</v>
      </c>
      <c r="H65" s="278">
        <f>G65*(1+'Rhaniad y Ddeiliadaeth (De-o)'!F$118)</f>
        <v>231631.71427848845</v>
      </c>
      <c r="I65" s="279">
        <f>H65*(1+'Rhaniad y Ddeiliadaeth (De-o)'!G$118)</f>
        <v>241402.80360615742</v>
      </c>
      <c r="M65" s="36" t="str">
        <f t="shared" si="0"/>
        <v/>
      </c>
      <c r="N65" s="202"/>
      <c r="O65" s="13">
        <f t="shared" si="3"/>
        <v>1</v>
      </c>
      <c r="U65" s="1">
        <f t="shared" si="1"/>
        <v>71</v>
      </c>
      <c r="V65" s="4" t="str">
        <f t="shared" si="2"/>
        <v/>
      </c>
      <c r="W65" s="4" t="e">
        <f>IF($W$3=$N$3,N65,V65*(1+'Rhaniad y Ddeiliadaeth (Cymru)'!C$118))</f>
        <v>#VALUE!</v>
      </c>
      <c r="X65" s="4" t="e">
        <f>W65*(1+'Rhaniad y Ddeiliadaeth (Cymru)'!D$118)</f>
        <v>#VALUE!</v>
      </c>
      <c r="Y65" s="4" t="e">
        <f>X65*(1+'Rhaniad y Ddeiliadaeth (Cymru)'!E$118)</f>
        <v>#VALUE!</v>
      </c>
      <c r="Z65" s="4" t="e">
        <f>Y65*(1+'Rhaniad y Ddeiliadaeth (Cymru)'!F$118)</f>
        <v>#VALUE!</v>
      </c>
      <c r="AA65" s="4" t="e">
        <f>Z65*(1+'Rhaniad y Ddeiliadaeth (Cymru)'!G$118)</f>
        <v>#VALUE!</v>
      </c>
      <c r="AC65" s="260">
        <v>71</v>
      </c>
      <c r="AD65" s="4">
        <f>IF('Rhaniad y Ddeiliadaeth (Cymru)'!$D$18="Data Cofrestrfa Tir",'Prisiau Tai (De-orllewin)'!E65,'Prisiau Tai (De-orllewin)'!W65)</f>
        <v>193880</v>
      </c>
      <c r="AE65" s="4">
        <f>IF('Rhaniad y Ddeiliadaeth (Cymru)'!$D$18="Data Cofrestrfa Tir",'Prisiau Tai (De-orllewin)'!F65,'Prisiau Tai (De-orllewin)'!X65)</f>
        <v>205183.204</v>
      </c>
      <c r="AF65" s="4">
        <f>IF('Rhaniad y Ddeiliadaeth (Cymru)'!$D$18="Data Cofrestrfa Tir",'Prisiau Tai (De-orllewin)'!G65,'Prisiau Tai (De-orllewin)'!Y65)</f>
        <v>219676.71599770247</v>
      </c>
      <c r="AG65" s="4">
        <f>IF('Rhaniad y Ddeiliadaeth (Cymru)'!$D$18="Data Cofrestrfa Tir",'Prisiau Tai (De-orllewin)'!H65,'Prisiau Tai (De-orllewin)'!Z65)</f>
        <v>231631.71427848845</v>
      </c>
      <c r="AH65" s="4">
        <f>IF('Rhaniad y Ddeiliadaeth (Cymru)'!$D$18="Data Cofrestrfa Tir",'Prisiau Tai (De-orllewin)'!I65,'Prisiau Tai (De-orllewin)'!AA65)</f>
        <v>241402.80360615742</v>
      </c>
    </row>
    <row r="66" spans="2:34" x14ac:dyDescent="0.35">
      <c r="B66" s="251">
        <v>72</v>
      </c>
      <c r="C66" s="258">
        <v>180000</v>
      </c>
      <c r="D66" s="258">
        <v>187500</v>
      </c>
      <c r="E66" s="278">
        <f>D66*(1+'Rhaniad y Ddeiliadaeth (De-o)'!C$118)</f>
        <v>196500</v>
      </c>
      <c r="F66" s="278">
        <f>E66*(1+'Rhaniad y Ddeiliadaeth (De-o)'!D$118)</f>
        <v>207955.95</v>
      </c>
      <c r="G66" s="278">
        <f>F66*(1+'Rhaniad y Ddeiliadaeth (De-o)'!E$118)</f>
        <v>222645.32026794172</v>
      </c>
      <c r="H66" s="278">
        <f>G66*(1+'Rhaniad y Ddeiliadaeth (De-o)'!F$118)</f>
        <v>234761.87257954915</v>
      </c>
      <c r="I66" s="279">
        <f>H66*(1+'Rhaniad y Ddeiliadaeth (De-o)'!G$118)</f>
        <v>244665.00365488933</v>
      </c>
      <c r="M66" s="36" t="str">
        <f t="shared" si="0"/>
        <v/>
      </c>
      <c r="N66" s="202"/>
      <c r="O66" s="13">
        <f t="shared" si="3"/>
        <v>1</v>
      </c>
      <c r="U66" s="1">
        <f t="shared" si="1"/>
        <v>72</v>
      </c>
      <c r="V66" s="4" t="str">
        <f t="shared" si="2"/>
        <v/>
      </c>
      <c r="W66" s="4" t="e">
        <f>IF($W$3=$N$3,N66,V66*(1+'Rhaniad y Ddeiliadaeth (Cymru)'!C$118))</f>
        <v>#VALUE!</v>
      </c>
      <c r="X66" s="4" t="e">
        <f>W66*(1+'Rhaniad y Ddeiliadaeth (Cymru)'!D$118)</f>
        <v>#VALUE!</v>
      </c>
      <c r="Y66" s="4" t="e">
        <f>X66*(1+'Rhaniad y Ddeiliadaeth (Cymru)'!E$118)</f>
        <v>#VALUE!</v>
      </c>
      <c r="Z66" s="4" t="e">
        <f>Y66*(1+'Rhaniad y Ddeiliadaeth (Cymru)'!F$118)</f>
        <v>#VALUE!</v>
      </c>
      <c r="AA66" s="4" t="e">
        <f>Z66*(1+'Rhaniad y Ddeiliadaeth (Cymru)'!G$118)</f>
        <v>#VALUE!</v>
      </c>
      <c r="AC66" s="260">
        <v>72</v>
      </c>
      <c r="AD66" s="4">
        <f>IF('Rhaniad y Ddeiliadaeth (Cymru)'!$D$18="Data Cofrestrfa Tir",'Prisiau Tai (De-orllewin)'!E66,'Prisiau Tai (De-orllewin)'!W66)</f>
        <v>196500</v>
      </c>
      <c r="AE66" s="4">
        <f>IF('Rhaniad y Ddeiliadaeth (Cymru)'!$D$18="Data Cofrestrfa Tir",'Prisiau Tai (De-orllewin)'!F66,'Prisiau Tai (De-orllewin)'!X66)</f>
        <v>207955.95</v>
      </c>
      <c r="AF66" s="4">
        <f>IF('Rhaniad y Ddeiliadaeth (Cymru)'!$D$18="Data Cofrestrfa Tir",'Prisiau Tai (De-orllewin)'!G66,'Prisiau Tai (De-orllewin)'!Y66)</f>
        <v>222645.32026794172</v>
      </c>
      <c r="AG66" s="4">
        <f>IF('Rhaniad y Ddeiliadaeth (Cymru)'!$D$18="Data Cofrestrfa Tir",'Prisiau Tai (De-orllewin)'!H66,'Prisiau Tai (De-orllewin)'!Z66)</f>
        <v>234761.87257954915</v>
      </c>
      <c r="AH66" s="4">
        <f>IF('Rhaniad y Ddeiliadaeth (Cymru)'!$D$18="Data Cofrestrfa Tir",'Prisiau Tai (De-orllewin)'!I66,'Prisiau Tai (De-orllewin)'!AA66)</f>
        <v>244665.00365488933</v>
      </c>
    </row>
    <row r="67" spans="2:34" x14ac:dyDescent="0.35">
      <c r="B67" s="251">
        <v>73</v>
      </c>
      <c r="C67" s="258">
        <v>185000</v>
      </c>
      <c r="D67" s="258">
        <v>190000</v>
      </c>
      <c r="E67" s="278">
        <f>D67*(1+'Rhaniad y Ddeiliadaeth (De-o)'!C$118)</f>
        <v>199120</v>
      </c>
      <c r="F67" s="278">
        <f>E67*(1+'Rhaniad y Ddeiliadaeth (De-o)'!D$118)</f>
        <v>210728.696</v>
      </c>
      <c r="G67" s="278">
        <f>F67*(1+'Rhaniad y Ddeiliadaeth (De-o)'!E$118)</f>
        <v>225613.92453818093</v>
      </c>
      <c r="H67" s="278">
        <f>G67*(1+'Rhaniad y Ddeiliadaeth (De-o)'!F$118)</f>
        <v>237892.03088060979</v>
      </c>
      <c r="I67" s="279">
        <f>H67*(1+'Rhaniad y Ddeiliadaeth (De-o)'!G$118)</f>
        <v>247927.20370362117</v>
      </c>
      <c r="M67" s="36" t="str">
        <f t="shared" si="0"/>
        <v/>
      </c>
      <c r="N67" s="202"/>
      <c r="O67" s="13">
        <f t="shared" si="3"/>
        <v>1</v>
      </c>
      <c r="U67" s="1">
        <f t="shared" si="1"/>
        <v>73</v>
      </c>
      <c r="V67" s="4" t="str">
        <f t="shared" si="2"/>
        <v/>
      </c>
      <c r="W67" s="4" t="e">
        <f>IF($W$3=$N$3,N67,V67*(1+'Rhaniad y Ddeiliadaeth (Cymru)'!C$118))</f>
        <v>#VALUE!</v>
      </c>
      <c r="X67" s="4" t="e">
        <f>W67*(1+'Rhaniad y Ddeiliadaeth (Cymru)'!D$118)</f>
        <v>#VALUE!</v>
      </c>
      <c r="Y67" s="4" t="e">
        <f>X67*(1+'Rhaniad y Ddeiliadaeth (Cymru)'!E$118)</f>
        <v>#VALUE!</v>
      </c>
      <c r="Z67" s="4" t="e">
        <f>Y67*(1+'Rhaniad y Ddeiliadaeth (Cymru)'!F$118)</f>
        <v>#VALUE!</v>
      </c>
      <c r="AA67" s="4" t="e">
        <f>Z67*(1+'Rhaniad y Ddeiliadaeth (Cymru)'!G$118)</f>
        <v>#VALUE!</v>
      </c>
      <c r="AC67" s="260">
        <v>73</v>
      </c>
      <c r="AD67" s="4">
        <f>IF('Rhaniad y Ddeiliadaeth (Cymru)'!$D$18="Data Cofrestrfa Tir",'Prisiau Tai (De-orllewin)'!E67,'Prisiau Tai (De-orllewin)'!W67)</f>
        <v>199120</v>
      </c>
      <c r="AE67" s="4">
        <f>IF('Rhaniad y Ddeiliadaeth (Cymru)'!$D$18="Data Cofrestrfa Tir",'Prisiau Tai (De-orllewin)'!F67,'Prisiau Tai (De-orllewin)'!X67)</f>
        <v>210728.696</v>
      </c>
      <c r="AF67" s="4">
        <f>IF('Rhaniad y Ddeiliadaeth (Cymru)'!$D$18="Data Cofrestrfa Tir",'Prisiau Tai (De-orllewin)'!G67,'Prisiau Tai (De-orllewin)'!Y67)</f>
        <v>225613.92453818093</v>
      </c>
      <c r="AG67" s="4">
        <f>IF('Rhaniad y Ddeiliadaeth (Cymru)'!$D$18="Data Cofrestrfa Tir",'Prisiau Tai (De-orllewin)'!H67,'Prisiau Tai (De-orllewin)'!Z67)</f>
        <v>237892.03088060979</v>
      </c>
      <c r="AH67" s="4">
        <f>IF('Rhaniad y Ddeiliadaeth (Cymru)'!$D$18="Data Cofrestrfa Tir",'Prisiau Tai (De-orllewin)'!I67,'Prisiau Tai (De-orllewin)'!AA67)</f>
        <v>247927.20370362117</v>
      </c>
    </row>
    <row r="68" spans="2:34" x14ac:dyDescent="0.35">
      <c r="B68" s="251">
        <v>74</v>
      </c>
      <c r="C68" s="258">
        <v>188000</v>
      </c>
      <c r="D68" s="258">
        <v>194479.60000000172</v>
      </c>
      <c r="E68" s="278">
        <f>D68*(1+'Rhaniad y Ddeiliadaeth (De-o)'!C$118)</f>
        <v>203814.62080000181</v>
      </c>
      <c r="F68" s="278">
        <f>E68*(1+'Rhaniad y Ddeiliadaeth (De-o)'!D$118)</f>
        <v>215697.01319264193</v>
      </c>
      <c r="G68" s="278">
        <f>F68*(1+'Rhaniad y Ddeiliadaeth (De-o)'!E$118)</f>
        <v>230933.18841376845</v>
      </c>
      <c r="H68" s="278">
        <f>G68*(1+'Rhaniad y Ddeiliadaeth (De-o)'!F$118)</f>
        <v>243500.77373078451</v>
      </c>
      <c r="I68" s="279">
        <f>H68*(1+'Rhaniad y Ddeiliadaeth (De-o)'!G$118)</f>
        <v>253772.54423894314</v>
      </c>
      <c r="M68" s="36" t="str">
        <f t="shared" ref="M68:M84" si="4">IF(ISBLANK($L$4),"",B68)</f>
        <v/>
      </c>
      <c r="N68" s="202"/>
      <c r="O68" s="13">
        <f t="shared" si="3"/>
        <v>1</v>
      </c>
      <c r="U68" s="1">
        <f t="shared" ref="U68:U84" si="5">B68</f>
        <v>74</v>
      </c>
      <c r="V68" s="4" t="str">
        <f t="shared" ref="V68:V84" si="6">IF($N$3=$V$3,N68,"")</f>
        <v/>
      </c>
      <c r="W68" s="4" t="e">
        <f>IF($W$3=$N$3,N68,V68*(1+'Rhaniad y Ddeiliadaeth (Cymru)'!C$118))</f>
        <v>#VALUE!</v>
      </c>
      <c r="X68" s="4" t="e">
        <f>W68*(1+'Rhaniad y Ddeiliadaeth (Cymru)'!D$118)</f>
        <v>#VALUE!</v>
      </c>
      <c r="Y68" s="4" t="e">
        <f>X68*(1+'Rhaniad y Ddeiliadaeth (Cymru)'!E$118)</f>
        <v>#VALUE!</v>
      </c>
      <c r="Z68" s="4" t="e">
        <f>Y68*(1+'Rhaniad y Ddeiliadaeth (Cymru)'!F$118)</f>
        <v>#VALUE!</v>
      </c>
      <c r="AA68" s="4" t="e">
        <f>Z68*(1+'Rhaniad y Ddeiliadaeth (Cymru)'!G$118)</f>
        <v>#VALUE!</v>
      </c>
      <c r="AC68" s="260">
        <v>74</v>
      </c>
      <c r="AD68" s="4">
        <f>IF('Rhaniad y Ddeiliadaeth (Cymru)'!$D$18="Data Cofrestrfa Tir",'Prisiau Tai (De-orllewin)'!E68,'Prisiau Tai (De-orllewin)'!W68)</f>
        <v>203814.62080000181</v>
      </c>
      <c r="AE68" s="4">
        <f>IF('Rhaniad y Ddeiliadaeth (Cymru)'!$D$18="Data Cofrestrfa Tir",'Prisiau Tai (De-orllewin)'!F68,'Prisiau Tai (De-orllewin)'!X68)</f>
        <v>215697.01319264193</v>
      </c>
      <c r="AF68" s="4">
        <f>IF('Rhaniad y Ddeiliadaeth (Cymru)'!$D$18="Data Cofrestrfa Tir",'Prisiau Tai (De-orllewin)'!G68,'Prisiau Tai (De-orllewin)'!Y68)</f>
        <v>230933.18841376845</v>
      </c>
      <c r="AG68" s="4">
        <f>IF('Rhaniad y Ddeiliadaeth (Cymru)'!$D$18="Data Cofrestrfa Tir",'Prisiau Tai (De-orllewin)'!H68,'Prisiau Tai (De-orllewin)'!Z68)</f>
        <v>243500.77373078451</v>
      </c>
      <c r="AH68" s="4">
        <f>IF('Rhaniad y Ddeiliadaeth (Cymru)'!$D$18="Data Cofrestrfa Tir",'Prisiau Tai (De-orllewin)'!I68,'Prisiau Tai (De-orllewin)'!AA68)</f>
        <v>253772.54423894314</v>
      </c>
    </row>
    <row r="69" spans="2:34" x14ac:dyDescent="0.35">
      <c r="B69" s="251">
        <v>75</v>
      </c>
      <c r="C69" s="258">
        <v>190000</v>
      </c>
      <c r="D69" s="258">
        <v>198000</v>
      </c>
      <c r="E69" s="278">
        <f>D69*(1+'Rhaniad y Ddeiliadaeth (De-o)'!C$118)</f>
        <v>207504</v>
      </c>
      <c r="F69" s="278">
        <f>E69*(1+'Rhaniad y Ddeiliadaeth (De-o)'!D$118)</f>
        <v>219601.48320000002</v>
      </c>
      <c r="G69" s="278">
        <f>F69*(1+'Rhaniad y Ddeiliadaeth (De-o)'!E$118)</f>
        <v>235113.45820294647</v>
      </c>
      <c r="H69" s="278">
        <f>G69*(1+'Rhaniad y Ddeiliadaeth (De-o)'!F$118)</f>
        <v>247908.53744400392</v>
      </c>
      <c r="I69" s="279">
        <f>H69*(1+'Rhaniad y Ddeiliadaeth (De-o)'!G$118)</f>
        <v>258366.24385956314</v>
      </c>
      <c r="M69" s="36" t="str">
        <f t="shared" si="4"/>
        <v/>
      </c>
      <c r="N69" s="202"/>
      <c r="O69" s="13">
        <f t="shared" ref="O69:O84" si="7">IF(ISBLANK(N69),1,0)</f>
        <v>1</v>
      </c>
      <c r="U69" s="1">
        <f t="shared" si="5"/>
        <v>75</v>
      </c>
      <c r="V69" s="4" t="str">
        <f t="shared" si="6"/>
        <v/>
      </c>
      <c r="W69" s="4" t="e">
        <f>IF($W$3=$N$3,N69,V69*(1+'Rhaniad y Ddeiliadaeth (Cymru)'!C$118))</f>
        <v>#VALUE!</v>
      </c>
      <c r="X69" s="4" t="e">
        <f>W69*(1+'Rhaniad y Ddeiliadaeth (Cymru)'!D$118)</f>
        <v>#VALUE!</v>
      </c>
      <c r="Y69" s="4" t="e">
        <f>X69*(1+'Rhaniad y Ddeiliadaeth (Cymru)'!E$118)</f>
        <v>#VALUE!</v>
      </c>
      <c r="Z69" s="4" t="e">
        <f>Y69*(1+'Rhaniad y Ddeiliadaeth (Cymru)'!F$118)</f>
        <v>#VALUE!</v>
      </c>
      <c r="AA69" s="4" t="e">
        <f>Z69*(1+'Rhaniad y Ddeiliadaeth (Cymru)'!G$118)</f>
        <v>#VALUE!</v>
      </c>
      <c r="AC69" s="260">
        <v>75</v>
      </c>
      <c r="AD69" s="4">
        <f>IF('Rhaniad y Ddeiliadaeth (Cymru)'!$D$18="Data Cofrestrfa Tir",'Prisiau Tai (De-orllewin)'!E69,'Prisiau Tai (De-orllewin)'!W69)</f>
        <v>207504</v>
      </c>
      <c r="AE69" s="4">
        <f>IF('Rhaniad y Ddeiliadaeth (Cymru)'!$D$18="Data Cofrestrfa Tir",'Prisiau Tai (De-orllewin)'!F69,'Prisiau Tai (De-orllewin)'!X69)</f>
        <v>219601.48320000002</v>
      </c>
      <c r="AF69" s="4">
        <f>IF('Rhaniad y Ddeiliadaeth (Cymru)'!$D$18="Data Cofrestrfa Tir",'Prisiau Tai (De-orllewin)'!G69,'Prisiau Tai (De-orllewin)'!Y69)</f>
        <v>235113.45820294647</v>
      </c>
      <c r="AG69" s="4">
        <f>IF('Rhaniad y Ddeiliadaeth (Cymru)'!$D$18="Data Cofrestrfa Tir",'Prisiau Tai (De-orllewin)'!H69,'Prisiau Tai (De-orllewin)'!Z69)</f>
        <v>247908.53744400392</v>
      </c>
      <c r="AH69" s="4">
        <f>IF('Rhaniad y Ddeiliadaeth (Cymru)'!$D$18="Data Cofrestrfa Tir",'Prisiau Tai (De-orllewin)'!I69,'Prisiau Tai (De-orllewin)'!AA69)</f>
        <v>258366.24385956314</v>
      </c>
    </row>
    <row r="70" spans="2:34" x14ac:dyDescent="0.35">
      <c r="B70" s="251">
        <v>76</v>
      </c>
      <c r="C70" s="258">
        <v>195000</v>
      </c>
      <c r="D70" s="258">
        <v>201312.12000000212</v>
      </c>
      <c r="E70" s="278">
        <f>D70*(1+'Rhaniad y Ddeiliadaeth (De-o)'!C$118)</f>
        <v>210975.10176000223</v>
      </c>
      <c r="F70" s="278">
        <f>E70*(1+'Rhaniad y Ddeiliadaeth (De-o)'!D$118)</f>
        <v>223274.95019261035</v>
      </c>
      <c r="G70" s="278">
        <f>F70*(1+'Rhaniad y Ddeiliadaeth (De-o)'!E$118)</f>
        <v>239046.40763316685</v>
      </c>
      <c r="H70" s="278">
        <f>G70*(1+'Rhaniad y Ddeiliadaeth (De-o)'!F$118)</f>
        <v>252055.52140885012</v>
      </c>
      <c r="I70" s="279">
        <f>H70*(1+'Rhaniad y Ddeiliadaeth (De-o)'!G$118)</f>
        <v>262688.16306972818</v>
      </c>
      <c r="M70" s="36" t="str">
        <f t="shared" si="4"/>
        <v/>
      </c>
      <c r="N70" s="202"/>
      <c r="O70" s="13">
        <f t="shared" si="7"/>
        <v>1</v>
      </c>
      <c r="U70" s="1">
        <f t="shared" si="5"/>
        <v>76</v>
      </c>
      <c r="V70" s="4" t="str">
        <f t="shared" si="6"/>
        <v/>
      </c>
      <c r="W70" s="4" t="e">
        <f>IF($W$3=$N$3,N70,V70*(1+'Rhaniad y Ddeiliadaeth (Cymru)'!C$118))</f>
        <v>#VALUE!</v>
      </c>
      <c r="X70" s="4" t="e">
        <f>W70*(1+'Rhaniad y Ddeiliadaeth (Cymru)'!D$118)</f>
        <v>#VALUE!</v>
      </c>
      <c r="Y70" s="4" t="e">
        <f>X70*(1+'Rhaniad y Ddeiliadaeth (Cymru)'!E$118)</f>
        <v>#VALUE!</v>
      </c>
      <c r="Z70" s="4" t="e">
        <f>Y70*(1+'Rhaniad y Ddeiliadaeth (Cymru)'!F$118)</f>
        <v>#VALUE!</v>
      </c>
      <c r="AA70" s="4" t="e">
        <f>Z70*(1+'Rhaniad y Ddeiliadaeth (Cymru)'!G$118)</f>
        <v>#VALUE!</v>
      </c>
      <c r="AC70" s="260">
        <v>76</v>
      </c>
      <c r="AD70" s="4">
        <f>IF('Rhaniad y Ddeiliadaeth (Cymru)'!$D$18="Data Cofrestrfa Tir",'Prisiau Tai (De-orllewin)'!E70,'Prisiau Tai (De-orllewin)'!W70)</f>
        <v>210975.10176000223</v>
      </c>
      <c r="AE70" s="4">
        <f>IF('Rhaniad y Ddeiliadaeth (Cymru)'!$D$18="Data Cofrestrfa Tir",'Prisiau Tai (De-orllewin)'!F70,'Prisiau Tai (De-orllewin)'!X70)</f>
        <v>223274.95019261035</v>
      </c>
      <c r="AF70" s="4">
        <f>IF('Rhaniad y Ddeiliadaeth (Cymru)'!$D$18="Data Cofrestrfa Tir",'Prisiau Tai (De-orllewin)'!G70,'Prisiau Tai (De-orllewin)'!Y70)</f>
        <v>239046.40763316685</v>
      </c>
      <c r="AG70" s="4">
        <f>IF('Rhaniad y Ddeiliadaeth (Cymru)'!$D$18="Data Cofrestrfa Tir",'Prisiau Tai (De-orllewin)'!H70,'Prisiau Tai (De-orllewin)'!Z70)</f>
        <v>252055.52140885012</v>
      </c>
      <c r="AH70" s="4">
        <f>IF('Rhaniad y Ddeiliadaeth (Cymru)'!$D$18="Data Cofrestrfa Tir",'Prisiau Tai (De-orllewin)'!I70,'Prisiau Tai (De-orllewin)'!AA70)</f>
        <v>262688.16306972818</v>
      </c>
    </row>
    <row r="71" spans="2:34" x14ac:dyDescent="0.35">
      <c r="B71" s="251">
        <v>77</v>
      </c>
      <c r="C71" s="258">
        <v>199950</v>
      </c>
      <c r="D71" s="258">
        <v>207000</v>
      </c>
      <c r="E71" s="278">
        <f>D71*(1+'Rhaniad y Ddeiliadaeth (De-o)'!C$118)</f>
        <v>216936</v>
      </c>
      <c r="F71" s="278">
        <f>E71*(1+'Rhaniad y Ddeiliadaeth (De-o)'!D$118)</f>
        <v>229583.3688</v>
      </c>
      <c r="G71" s="278">
        <f>F71*(1+'Rhaniad y Ddeiliadaeth (De-o)'!E$118)</f>
        <v>245800.43357580763</v>
      </c>
      <c r="H71" s="278">
        <f>G71*(1+'Rhaniad y Ddeiliadaeth (De-o)'!F$118)</f>
        <v>259177.10732782222</v>
      </c>
      <c r="I71" s="279">
        <f>H71*(1+'Rhaniad y Ddeiliadaeth (De-o)'!G$118)</f>
        <v>270110.16403499775</v>
      </c>
      <c r="M71" s="36" t="str">
        <f t="shared" si="4"/>
        <v/>
      </c>
      <c r="N71" s="202"/>
      <c r="O71" s="13">
        <f t="shared" si="7"/>
        <v>1</v>
      </c>
      <c r="U71" s="1">
        <f t="shared" si="5"/>
        <v>77</v>
      </c>
      <c r="V71" s="4" t="str">
        <f t="shared" si="6"/>
        <v/>
      </c>
      <c r="W71" s="4" t="e">
        <f>IF($W$3=$N$3,N71,V71*(1+'Rhaniad y Ddeiliadaeth (Cymru)'!C$118))</f>
        <v>#VALUE!</v>
      </c>
      <c r="X71" s="4" t="e">
        <f>W71*(1+'Rhaniad y Ddeiliadaeth (Cymru)'!D$118)</f>
        <v>#VALUE!</v>
      </c>
      <c r="Y71" s="4" t="e">
        <f>X71*(1+'Rhaniad y Ddeiliadaeth (Cymru)'!E$118)</f>
        <v>#VALUE!</v>
      </c>
      <c r="Z71" s="4" t="e">
        <f>Y71*(1+'Rhaniad y Ddeiliadaeth (Cymru)'!F$118)</f>
        <v>#VALUE!</v>
      </c>
      <c r="AA71" s="4" t="e">
        <f>Z71*(1+'Rhaniad y Ddeiliadaeth (Cymru)'!G$118)</f>
        <v>#VALUE!</v>
      </c>
      <c r="AC71" s="260">
        <v>77</v>
      </c>
      <c r="AD71" s="4">
        <f>IF('Rhaniad y Ddeiliadaeth (Cymru)'!$D$18="Data Cofrestrfa Tir",'Prisiau Tai (De-orllewin)'!E71,'Prisiau Tai (De-orllewin)'!W71)</f>
        <v>216936</v>
      </c>
      <c r="AE71" s="4">
        <f>IF('Rhaniad y Ddeiliadaeth (Cymru)'!$D$18="Data Cofrestrfa Tir",'Prisiau Tai (De-orllewin)'!F71,'Prisiau Tai (De-orllewin)'!X71)</f>
        <v>229583.3688</v>
      </c>
      <c r="AF71" s="4">
        <f>IF('Rhaniad y Ddeiliadaeth (Cymru)'!$D$18="Data Cofrestrfa Tir",'Prisiau Tai (De-orllewin)'!G71,'Prisiau Tai (De-orllewin)'!Y71)</f>
        <v>245800.43357580763</v>
      </c>
      <c r="AG71" s="4">
        <f>IF('Rhaniad y Ddeiliadaeth (Cymru)'!$D$18="Data Cofrestrfa Tir",'Prisiau Tai (De-orllewin)'!H71,'Prisiau Tai (De-orllewin)'!Z71)</f>
        <v>259177.10732782222</v>
      </c>
      <c r="AH71" s="4">
        <f>IF('Rhaniad y Ddeiliadaeth (Cymru)'!$D$18="Data Cofrestrfa Tir",'Prisiau Tai (De-orllewin)'!I71,'Prisiau Tai (De-orllewin)'!AA71)</f>
        <v>270110.16403499775</v>
      </c>
    </row>
    <row r="72" spans="2:34" x14ac:dyDescent="0.35">
      <c r="B72" s="251">
        <v>78</v>
      </c>
      <c r="C72" s="258">
        <v>203930.00000000029</v>
      </c>
      <c r="D72" s="258">
        <v>210000</v>
      </c>
      <c r="E72" s="278">
        <f>D72*(1+'Rhaniad y Ddeiliadaeth (De-o)'!C$118)</f>
        <v>220080</v>
      </c>
      <c r="F72" s="278">
        <f>E72*(1+'Rhaniad y Ddeiliadaeth (De-o)'!D$118)</f>
        <v>232910.66399999999</v>
      </c>
      <c r="G72" s="278">
        <f>F72*(1+'Rhaniad y Ddeiliadaeth (De-o)'!E$118)</f>
        <v>249362.75870009471</v>
      </c>
      <c r="H72" s="278">
        <f>G72*(1+'Rhaniad y Ddeiliadaeth (De-o)'!F$118)</f>
        <v>262933.297289095</v>
      </c>
      <c r="I72" s="279">
        <f>H72*(1+'Rhaniad y Ddeiliadaeth (De-o)'!G$118)</f>
        <v>274024.80409347604</v>
      </c>
      <c r="M72" s="36" t="str">
        <f t="shared" si="4"/>
        <v/>
      </c>
      <c r="N72" s="202"/>
      <c r="O72" s="13">
        <f t="shared" si="7"/>
        <v>1</v>
      </c>
      <c r="U72" s="1">
        <f t="shared" si="5"/>
        <v>78</v>
      </c>
      <c r="V72" s="4" t="str">
        <f t="shared" si="6"/>
        <v/>
      </c>
      <c r="W72" s="4" t="e">
        <f>IF($W$3=$N$3,N72,V72*(1+'Rhaniad y Ddeiliadaeth (Cymru)'!C$118))</f>
        <v>#VALUE!</v>
      </c>
      <c r="X72" s="4" t="e">
        <f>W72*(1+'Rhaniad y Ddeiliadaeth (Cymru)'!D$118)</f>
        <v>#VALUE!</v>
      </c>
      <c r="Y72" s="4" t="e">
        <f>X72*(1+'Rhaniad y Ddeiliadaeth (Cymru)'!E$118)</f>
        <v>#VALUE!</v>
      </c>
      <c r="Z72" s="4" t="e">
        <f>Y72*(1+'Rhaniad y Ddeiliadaeth (Cymru)'!F$118)</f>
        <v>#VALUE!</v>
      </c>
      <c r="AA72" s="4" t="e">
        <f>Z72*(1+'Rhaniad y Ddeiliadaeth (Cymru)'!G$118)</f>
        <v>#VALUE!</v>
      </c>
      <c r="AC72" s="260">
        <v>78</v>
      </c>
      <c r="AD72" s="4">
        <f>IF('Rhaniad y Ddeiliadaeth (Cymru)'!$D$18="Data Cofrestrfa Tir",'Prisiau Tai (De-orllewin)'!E72,'Prisiau Tai (De-orllewin)'!W72)</f>
        <v>220080</v>
      </c>
      <c r="AE72" s="4">
        <f>IF('Rhaniad y Ddeiliadaeth (Cymru)'!$D$18="Data Cofrestrfa Tir",'Prisiau Tai (De-orllewin)'!F72,'Prisiau Tai (De-orllewin)'!X72)</f>
        <v>232910.66399999999</v>
      </c>
      <c r="AF72" s="4">
        <f>IF('Rhaniad y Ddeiliadaeth (Cymru)'!$D$18="Data Cofrestrfa Tir",'Prisiau Tai (De-orllewin)'!G72,'Prisiau Tai (De-orllewin)'!Y72)</f>
        <v>249362.75870009471</v>
      </c>
      <c r="AG72" s="4">
        <f>IF('Rhaniad y Ddeiliadaeth (Cymru)'!$D$18="Data Cofrestrfa Tir",'Prisiau Tai (De-orllewin)'!H72,'Prisiau Tai (De-orllewin)'!Z72)</f>
        <v>262933.297289095</v>
      </c>
      <c r="AH72" s="4">
        <f>IF('Rhaniad y Ddeiliadaeth (Cymru)'!$D$18="Data Cofrestrfa Tir",'Prisiau Tai (De-orllewin)'!I72,'Prisiau Tai (De-orllewin)'!AA72)</f>
        <v>274024.80409347604</v>
      </c>
    </row>
    <row r="73" spans="2:34" x14ac:dyDescent="0.35">
      <c r="B73" s="251">
        <v>79</v>
      </c>
      <c r="C73" s="258">
        <v>210000</v>
      </c>
      <c r="D73" s="258">
        <v>215000</v>
      </c>
      <c r="E73" s="278">
        <f>D73*(1+'Rhaniad y Ddeiliadaeth (De-o)'!C$118)</f>
        <v>225320</v>
      </c>
      <c r="F73" s="278">
        <f>E73*(1+'Rhaniad y Ddeiliadaeth (De-o)'!D$118)</f>
        <v>238456.15600000002</v>
      </c>
      <c r="G73" s="278">
        <f>F73*(1+'Rhaniad y Ddeiliadaeth (De-o)'!E$118)</f>
        <v>255299.96724057317</v>
      </c>
      <c r="H73" s="278">
        <f>G73*(1+'Rhaniad y Ddeiliadaeth (De-o)'!F$118)</f>
        <v>269193.61389121634</v>
      </c>
      <c r="I73" s="279">
        <f>H73*(1+'Rhaniad y Ddeiliadaeth (De-o)'!G$118)</f>
        <v>280549.20419093978</v>
      </c>
      <c r="M73" s="36" t="str">
        <f t="shared" si="4"/>
        <v/>
      </c>
      <c r="N73" s="202"/>
      <c r="O73" s="13">
        <f t="shared" si="7"/>
        <v>1</v>
      </c>
      <c r="U73" s="1">
        <f t="shared" si="5"/>
        <v>79</v>
      </c>
      <c r="V73" s="4" t="str">
        <f t="shared" si="6"/>
        <v/>
      </c>
      <c r="W73" s="4" t="e">
        <f>IF($W$3=$N$3,N73,V73*(1+'Rhaniad y Ddeiliadaeth (Cymru)'!C$118))</f>
        <v>#VALUE!</v>
      </c>
      <c r="X73" s="4" t="e">
        <f>W73*(1+'Rhaniad y Ddeiliadaeth (Cymru)'!D$118)</f>
        <v>#VALUE!</v>
      </c>
      <c r="Y73" s="4" t="e">
        <f>X73*(1+'Rhaniad y Ddeiliadaeth (Cymru)'!E$118)</f>
        <v>#VALUE!</v>
      </c>
      <c r="Z73" s="4" t="e">
        <f>Y73*(1+'Rhaniad y Ddeiliadaeth (Cymru)'!F$118)</f>
        <v>#VALUE!</v>
      </c>
      <c r="AA73" s="4" t="e">
        <f>Z73*(1+'Rhaniad y Ddeiliadaeth (Cymru)'!G$118)</f>
        <v>#VALUE!</v>
      </c>
      <c r="AC73" s="260">
        <v>79</v>
      </c>
      <c r="AD73" s="4">
        <f>IF('Rhaniad y Ddeiliadaeth (Cymru)'!$D$18="Data Cofrestrfa Tir",'Prisiau Tai (De-orllewin)'!E73,'Prisiau Tai (De-orllewin)'!W73)</f>
        <v>225320</v>
      </c>
      <c r="AE73" s="4">
        <f>IF('Rhaniad y Ddeiliadaeth (Cymru)'!$D$18="Data Cofrestrfa Tir",'Prisiau Tai (De-orllewin)'!F73,'Prisiau Tai (De-orllewin)'!X73)</f>
        <v>238456.15600000002</v>
      </c>
      <c r="AF73" s="4">
        <f>IF('Rhaniad y Ddeiliadaeth (Cymru)'!$D$18="Data Cofrestrfa Tir",'Prisiau Tai (De-orllewin)'!G73,'Prisiau Tai (De-orllewin)'!Y73)</f>
        <v>255299.96724057317</v>
      </c>
      <c r="AG73" s="4">
        <f>IF('Rhaniad y Ddeiliadaeth (Cymru)'!$D$18="Data Cofrestrfa Tir",'Prisiau Tai (De-orllewin)'!H73,'Prisiau Tai (De-orllewin)'!Z73)</f>
        <v>269193.61389121634</v>
      </c>
      <c r="AH73" s="4">
        <f>IF('Rhaniad y Ddeiliadaeth (Cymru)'!$D$18="Data Cofrestrfa Tir",'Prisiau Tai (De-orllewin)'!I73,'Prisiau Tai (De-orllewin)'!AA73)</f>
        <v>280549.20419093978</v>
      </c>
    </row>
    <row r="74" spans="2:34" x14ac:dyDescent="0.35">
      <c r="B74" s="251">
        <v>80</v>
      </c>
      <c r="C74" s="258">
        <v>213300.00000000017</v>
      </c>
      <c r="D74" s="258">
        <v>220000</v>
      </c>
      <c r="E74" s="278">
        <f>D74*(1+'Rhaniad y Ddeiliadaeth (De-o)'!C$118)</f>
        <v>230560</v>
      </c>
      <c r="F74" s="278">
        <f>E74*(1+'Rhaniad y Ddeiliadaeth (De-o)'!D$118)</f>
        <v>244001.64800000002</v>
      </c>
      <c r="G74" s="278">
        <f>F74*(1+'Rhaniad y Ddeiliadaeth (De-o)'!E$118)</f>
        <v>261237.17578105163</v>
      </c>
      <c r="H74" s="278">
        <f>G74*(1+'Rhaniad y Ddeiliadaeth (De-o)'!F$118)</f>
        <v>275453.93049333768</v>
      </c>
      <c r="I74" s="279">
        <f>H74*(1+'Rhaniad y Ddeiliadaeth (De-o)'!G$118)</f>
        <v>287073.60428840353</v>
      </c>
      <c r="M74" s="36" t="str">
        <f t="shared" si="4"/>
        <v/>
      </c>
      <c r="N74" s="202"/>
      <c r="O74" s="13">
        <f t="shared" si="7"/>
        <v>1</v>
      </c>
      <c r="U74" s="1">
        <f t="shared" si="5"/>
        <v>80</v>
      </c>
      <c r="V74" s="4" t="str">
        <f t="shared" si="6"/>
        <v/>
      </c>
      <c r="W74" s="4" t="e">
        <f>IF($W$3=$N$3,N74,V74*(1+'Rhaniad y Ddeiliadaeth (Cymru)'!C$118))</f>
        <v>#VALUE!</v>
      </c>
      <c r="X74" s="4" t="e">
        <f>W74*(1+'Rhaniad y Ddeiliadaeth (Cymru)'!D$118)</f>
        <v>#VALUE!</v>
      </c>
      <c r="Y74" s="4" t="e">
        <f>X74*(1+'Rhaniad y Ddeiliadaeth (Cymru)'!E$118)</f>
        <v>#VALUE!</v>
      </c>
      <c r="Z74" s="4" t="e">
        <f>Y74*(1+'Rhaniad y Ddeiliadaeth (Cymru)'!F$118)</f>
        <v>#VALUE!</v>
      </c>
      <c r="AA74" s="4" t="e">
        <f>Z74*(1+'Rhaniad y Ddeiliadaeth (Cymru)'!G$118)</f>
        <v>#VALUE!</v>
      </c>
      <c r="AC74" s="260">
        <v>80</v>
      </c>
      <c r="AD74" s="4">
        <f>IF('Rhaniad y Ddeiliadaeth (Cymru)'!$D$18="Data Cofrestrfa Tir",'Prisiau Tai (De-orllewin)'!E74,'Prisiau Tai (De-orllewin)'!W74)</f>
        <v>230560</v>
      </c>
      <c r="AE74" s="4">
        <f>IF('Rhaniad y Ddeiliadaeth (Cymru)'!$D$18="Data Cofrestrfa Tir",'Prisiau Tai (De-orllewin)'!F74,'Prisiau Tai (De-orllewin)'!X74)</f>
        <v>244001.64800000002</v>
      </c>
      <c r="AF74" s="4">
        <f>IF('Rhaniad y Ddeiliadaeth (Cymru)'!$D$18="Data Cofrestrfa Tir",'Prisiau Tai (De-orllewin)'!G74,'Prisiau Tai (De-orllewin)'!Y74)</f>
        <v>261237.17578105163</v>
      </c>
      <c r="AG74" s="4">
        <f>IF('Rhaniad y Ddeiliadaeth (Cymru)'!$D$18="Data Cofrestrfa Tir",'Prisiau Tai (De-orllewin)'!H74,'Prisiau Tai (De-orllewin)'!Z74)</f>
        <v>275453.93049333768</v>
      </c>
      <c r="AH74" s="4">
        <f>IF('Rhaniad y Ddeiliadaeth (Cymru)'!$D$18="Data Cofrestrfa Tir",'Prisiau Tai (De-orllewin)'!I74,'Prisiau Tai (De-orllewin)'!AA74)</f>
        <v>287073.60428840353</v>
      </c>
    </row>
    <row r="75" spans="2:34" x14ac:dyDescent="0.35">
      <c r="B75" s="251">
        <v>81</v>
      </c>
      <c r="C75" s="258">
        <v>218500</v>
      </c>
      <c r="D75" s="258">
        <v>225000</v>
      </c>
      <c r="E75" s="278">
        <f>D75*(1+'Rhaniad y Ddeiliadaeth (De-o)'!C$118)</f>
        <v>235800</v>
      </c>
      <c r="F75" s="278">
        <f>E75*(1+'Rhaniad y Ddeiliadaeth (De-o)'!D$118)</f>
        <v>249547.14</v>
      </c>
      <c r="G75" s="278">
        <f>F75*(1+'Rhaniad y Ddeiliadaeth (De-o)'!E$118)</f>
        <v>267174.38432153006</v>
      </c>
      <c r="H75" s="278">
        <f>G75*(1+'Rhaniad y Ddeiliadaeth (De-o)'!F$118)</f>
        <v>281714.24709545897</v>
      </c>
      <c r="I75" s="279">
        <f>H75*(1+'Rhaniad y Ddeiliadaeth (De-o)'!G$118)</f>
        <v>293598.00438586721</v>
      </c>
      <c r="M75" s="36" t="str">
        <f t="shared" si="4"/>
        <v/>
      </c>
      <c r="N75" s="202"/>
      <c r="O75" s="13">
        <f t="shared" si="7"/>
        <v>1</v>
      </c>
      <c r="U75" s="1">
        <f t="shared" si="5"/>
        <v>81</v>
      </c>
      <c r="V75" s="4" t="str">
        <f t="shared" si="6"/>
        <v/>
      </c>
      <c r="W75" s="4" t="e">
        <f>IF($W$3=$N$3,N75,V75*(1+'Rhaniad y Ddeiliadaeth (Cymru)'!C$118))</f>
        <v>#VALUE!</v>
      </c>
      <c r="X75" s="4" t="e">
        <f>W75*(1+'Rhaniad y Ddeiliadaeth (Cymru)'!D$118)</f>
        <v>#VALUE!</v>
      </c>
      <c r="Y75" s="4" t="e">
        <f>X75*(1+'Rhaniad y Ddeiliadaeth (Cymru)'!E$118)</f>
        <v>#VALUE!</v>
      </c>
      <c r="Z75" s="4" t="e">
        <f>Y75*(1+'Rhaniad y Ddeiliadaeth (Cymru)'!F$118)</f>
        <v>#VALUE!</v>
      </c>
      <c r="AA75" s="4" t="e">
        <f>Z75*(1+'Rhaniad y Ddeiliadaeth (Cymru)'!G$118)</f>
        <v>#VALUE!</v>
      </c>
      <c r="AC75" s="260">
        <v>81</v>
      </c>
      <c r="AD75" s="4">
        <f>IF('Rhaniad y Ddeiliadaeth (Cymru)'!$D$18="Data Cofrestrfa Tir",'Prisiau Tai (De-orllewin)'!E75,'Prisiau Tai (De-orllewin)'!W75)</f>
        <v>235800</v>
      </c>
      <c r="AE75" s="4">
        <f>IF('Rhaniad y Ddeiliadaeth (Cymru)'!$D$18="Data Cofrestrfa Tir",'Prisiau Tai (De-orllewin)'!F75,'Prisiau Tai (De-orllewin)'!X75)</f>
        <v>249547.14</v>
      </c>
      <c r="AF75" s="4">
        <f>IF('Rhaniad y Ddeiliadaeth (Cymru)'!$D$18="Data Cofrestrfa Tir",'Prisiau Tai (De-orllewin)'!G75,'Prisiau Tai (De-orllewin)'!Y75)</f>
        <v>267174.38432153006</v>
      </c>
      <c r="AG75" s="4">
        <f>IF('Rhaniad y Ddeiliadaeth (Cymru)'!$D$18="Data Cofrestrfa Tir",'Prisiau Tai (De-orllewin)'!H75,'Prisiau Tai (De-orllewin)'!Z75)</f>
        <v>281714.24709545897</v>
      </c>
      <c r="AH75" s="4">
        <f>IF('Rhaniad y Ddeiliadaeth (Cymru)'!$D$18="Data Cofrestrfa Tir",'Prisiau Tai (De-orllewin)'!I75,'Prisiau Tai (De-orllewin)'!AA75)</f>
        <v>293598.00438586721</v>
      </c>
    </row>
    <row r="76" spans="2:34" x14ac:dyDescent="0.35">
      <c r="B76" s="251">
        <v>82</v>
      </c>
      <c r="C76" s="258">
        <v>222500</v>
      </c>
      <c r="D76" s="258">
        <v>230000</v>
      </c>
      <c r="E76" s="278">
        <f>D76*(1+'Rhaniad y Ddeiliadaeth (De-o)'!C$118)</f>
        <v>241040</v>
      </c>
      <c r="F76" s="278">
        <f>E76*(1+'Rhaniad y Ddeiliadaeth (De-o)'!D$118)</f>
        <v>255092.63200000001</v>
      </c>
      <c r="G76" s="278">
        <f>F76*(1+'Rhaniad y Ddeiliadaeth (De-o)'!E$118)</f>
        <v>273111.59286200849</v>
      </c>
      <c r="H76" s="278">
        <f>G76*(1+'Rhaniad y Ddeiliadaeth (De-o)'!F$118)</f>
        <v>287974.56369758025</v>
      </c>
      <c r="I76" s="279">
        <f>H76*(1+'Rhaniad y Ddeiliadaeth (De-o)'!G$118)</f>
        <v>300122.4044833309</v>
      </c>
      <c r="M76" s="36" t="str">
        <f t="shared" si="4"/>
        <v/>
      </c>
      <c r="N76" s="202"/>
      <c r="O76" s="13">
        <f t="shared" si="7"/>
        <v>1</v>
      </c>
      <c r="U76" s="1">
        <f t="shared" si="5"/>
        <v>82</v>
      </c>
      <c r="V76" s="4" t="str">
        <f t="shared" si="6"/>
        <v/>
      </c>
      <c r="W76" s="4" t="e">
        <f>IF($W$3=$N$3,N76,V76*(1+'Rhaniad y Ddeiliadaeth (Cymru)'!C$118))</f>
        <v>#VALUE!</v>
      </c>
      <c r="X76" s="4" t="e">
        <f>W76*(1+'Rhaniad y Ddeiliadaeth (Cymru)'!D$118)</f>
        <v>#VALUE!</v>
      </c>
      <c r="Y76" s="4" t="e">
        <f>X76*(1+'Rhaniad y Ddeiliadaeth (Cymru)'!E$118)</f>
        <v>#VALUE!</v>
      </c>
      <c r="Z76" s="4" t="e">
        <f>Y76*(1+'Rhaniad y Ddeiliadaeth (Cymru)'!F$118)</f>
        <v>#VALUE!</v>
      </c>
      <c r="AA76" s="4" t="e">
        <f>Z76*(1+'Rhaniad y Ddeiliadaeth (Cymru)'!G$118)</f>
        <v>#VALUE!</v>
      </c>
      <c r="AC76" s="260">
        <v>82</v>
      </c>
      <c r="AD76" s="4">
        <f>IF('Rhaniad y Ddeiliadaeth (Cymru)'!$D$18="Data Cofrestrfa Tir",'Prisiau Tai (De-orllewin)'!E76,'Prisiau Tai (De-orllewin)'!W76)</f>
        <v>241040</v>
      </c>
      <c r="AE76" s="4">
        <f>IF('Rhaniad y Ddeiliadaeth (Cymru)'!$D$18="Data Cofrestrfa Tir",'Prisiau Tai (De-orllewin)'!F76,'Prisiau Tai (De-orllewin)'!X76)</f>
        <v>255092.63200000001</v>
      </c>
      <c r="AF76" s="4">
        <f>IF('Rhaniad y Ddeiliadaeth (Cymru)'!$D$18="Data Cofrestrfa Tir",'Prisiau Tai (De-orllewin)'!G76,'Prisiau Tai (De-orllewin)'!Y76)</f>
        <v>273111.59286200849</v>
      </c>
      <c r="AG76" s="4">
        <f>IF('Rhaniad y Ddeiliadaeth (Cymru)'!$D$18="Data Cofrestrfa Tir",'Prisiau Tai (De-orllewin)'!H76,'Prisiau Tai (De-orllewin)'!Z76)</f>
        <v>287974.56369758025</v>
      </c>
      <c r="AH76" s="4">
        <f>IF('Rhaniad y Ddeiliadaeth (Cymru)'!$D$18="Data Cofrestrfa Tir",'Prisiau Tai (De-orllewin)'!I76,'Prisiau Tai (De-orllewin)'!AA76)</f>
        <v>300122.4044833309</v>
      </c>
    </row>
    <row r="77" spans="2:34" x14ac:dyDescent="0.35">
      <c r="B77" s="251">
        <v>83</v>
      </c>
      <c r="C77" s="258">
        <v>226000</v>
      </c>
      <c r="D77" s="258">
        <v>235000</v>
      </c>
      <c r="E77" s="278">
        <f>D77*(1+'Rhaniad y Ddeiliadaeth (De-o)'!C$118)</f>
        <v>246280</v>
      </c>
      <c r="F77" s="278">
        <f>E77*(1+'Rhaniad y Ddeiliadaeth (De-o)'!D$118)</f>
        <v>260638.12400000001</v>
      </c>
      <c r="G77" s="278">
        <f>F77*(1+'Rhaniad y Ddeiliadaeth (De-o)'!E$118)</f>
        <v>279048.80140248698</v>
      </c>
      <c r="H77" s="278">
        <f>G77*(1+'Rhaniad y Ddeiliadaeth (De-o)'!F$118)</f>
        <v>294234.88029970165</v>
      </c>
      <c r="I77" s="279">
        <f>H77*(1+'Rhaniad y Ddeiliadaeth (De-o)'!G$118)</f>
        <v>306646.80458079471</v>
      </c>
      <c r="M77" s="36" t="str">
        <f t="shared" si="4"/>
        <v/>
      </c>
      <c r="N77" s="202"/>
      <c r="O77" s="13">
        <f t="shared" si="7"/>
        <v>1</v>
      </c>
      <c r="U77" s="1">
        <f t="shared" si="5"/>
        <v>83</v>
      </c>
      <c r="V77" s="4" t="str">
        <f t="shared" si="6"/>
        <v/>
      </c>
      <c r="W77" s="4" t="e">
        <f>IF($W$3=$N$3,N77,V77*(1+'Rhaniad y Ddeiliadaeth (Cymru)'!C$118))</f>
        <v>#VALUE!</v>
      </c>
      <c r="X77" s="4" t="e">
        <f>W77*(1+'Rhaniad y Ddeiliadaeth (Cymru)'!D$118)</f>
        <v>#VALUE!</v>
      </c>
      <c r="Y77" s="4" t="e">
        <f>X77*(1+'Rhaniad y Ddeiliadaeth (Cymru)'!E$118)</f>
        <v>#VALUE!</v>
      </c>
      <c r="Z77" s="4" t="e">
        <f>Y77*(1+'Rhaniad y Ddeiliadaeth (Cymru)'!F$118)</f>
        <v>#VALUE!</v>
      </c>
      <c r="AA77" s="4" t="e">
        <f>Z77*(1+'Rhaniad y Ddeiliadaeth (Cymru)'!G$118)</f>
        <v>#VALUE!</v>
      </c>
      <c r="AC77" s="260">
        <v>83</v>
      </c>
      <c r="AD77" s="4">
        <f>IF('Rhaniad y Ddeiliadaeth (Cymru)'!$D$18="Data Cofrestrfa Tir",'Prisiau Tai (De-orllewin)'!E77,'Prisiau Tai (De-orllewin)'!W77)</f>
        <v>246280</v>
      </c>
      <c r="AE77" s="4">
        <f>IF('Rhaniad y Ddeiliadaeth (Cymru)'!$D$18="Data Cofrestrfa Tir",'Prisiau Tai (De-orllewin)'!F77,'Prisiau Tai (De-orllewin)'!X77)</f>
        <v>260638.12400000001</v>
      </c>
      <c r="AF77" s="4">
        <f>IF('Rhaniad y Ddeiliadaeth (Cymru)'!$D$18="Data Cofrestrfa Tir",'Prisiau Tai (De-orllewin)'!G77,'Prisiau Tai (De-orllewin)'!Y77)</f>
        <v>279048.80140248698</v>
      </c>
      <c r="AG77" s="4">
        <f>IF('Rhaniad y Ddeiliadaeth (Cymru)'!$D$18="Data Cofrestrfa Tir",'Prisiau Tai (De-orllewin)'!H77,'Prisiau Tai (De-orllewin)'!Z77)</f>
        <v>294234.88029970165</v>
      </c>
      <c r="AH77" s="4">
        <f>IF('Rhaniad y Ddeiliadaeth (Cymru)'!$D$18="Data Cofrestrfa Tir",'Prisiau Tai (De-orllewin)'!I77,'Prisiau Tai (De-orllewin)'!AA77)</f>
        <v>306646.80458079471</v>
      </c>
    </row>
    <row r="78" spans="2:34" x14ac:dyDescent="0.35">
      <c r="B78" s="251">
        <v>84</v>
      </c>
      <c r="C78" s="258">
        <v>230000</v>
      </c>
      <c r="D78" s="258">
        <v>240000</v>
      </c>
      <c r="E78" s="278">
        <f>D78*(1+'Rhaniad y Ddeiliadaeth (De-o)'!C$118)</f>
        <v>251520</v>
      </c>
      <c r="F78" s="278">
        <f>E78*(1+'Rhaniad y Ddeiliadaeth (De-o)'!D$118)</f>
        <v>266183.61599999998</v>
      </c>
      <c r="G78" s="278">
        <f>F78*(1+'Rhaniad y Ddeiliadaeth (De-o)'!E$118)</f>
        <v>284986.00994296535</v>
      </c>
      <c r="H78" s="278">
        <f>G78*(1+'Rhaniad y Ddeiliadaeth (De-o)'!F$118)</f>
        <v>300495.19690182287</v>
      </c>
      <c r="I78" s="279">
        <f>H78*(1+'Rhaniad y Ddeiliadaeth (De-o)'!G$118)</f>
        <v>313171.20467825828</v>
      </c>
      <c r="M78" s="36" t="str">
        <f t="shared" si="4"/>
        <v/>
      </c>
      <c r="N78" s="202"/>
      <c r="O78" s="13">
        <f t="shared" si="7"/>
        <v>1</v>
      </c>
      <c r="U78" s="1">
        <f t="shared" si="5"/>
        <v>84</v>
      </c>
      <c r="V78" s="4" t="str">
        <f t="shared" si="6"/>
        <v/>
      </c>
      <c r="W78" s="4" t="e">
        <f>IF($W$3=$N$3,N78,V78*(1+'Rhaniad y Ddeiliadaeth (Cymru)'!C$118))</f>
        <v>#VALUE!</v>
      </c>
      <c r="X78" s="4" t="e">
        <f>W78*(1+'Rhaniad y Ddeiliadaeth (Cymru)'!D$118)</f>
        <v>#VALUE!</v>
      </c>
      <c r="Y78" s="4" t="e">
        <f>X78*(1+'Rhaniad y Ddeiliadaeth (Cymru)'!E$118)</f>
        <v>#VALUE!</v>
      </c>
      <c r="Z78" s="4" t="e">
        <f>Y78*(1+'Rhaniad y Ddeiliadaeth (Cymru)'!F$118)</f>
        <v>#VALUE!</v>
      </c>
      <c r="AA78" s="4" t="e">
        <f>Z78*(1+'Rhaniad y Ddeiliadaeth (Cymru)'!G$118)</f>
        <v>#VALUE!</v>
      </c>
      <c r="AC78" s="260">
        <v>84</v>
      </c>
      <c r="AD78" s="4">
        <f>IF('Rhaniad y Ddeiliadaeth (Cymru)'!$D$18="Data Cofrestrfa Tir",'Prisiau Tai (De-orllewin)'!E78,'Prisiau Tai (De-orllewin)'!W78)</f>
        <v>251520</v>
      </c>
      <c r="AE78" s="4">
        <f>IF('Rhaniad y Ddeiliadaeth (Cymru)'!$D$18="Data Cofrestrfa Tir",'Prisiau Tai (De-orllewin)'!F78,'Prisiau Tai (De-orllewin)'!X78)</f>
        <v>266183.61599999998</v>
      </c>
      <c r="AF78" s="4">
        <f>IF('Rhaniad y Ddeiliadaeth (Cymru)'!$D$18="Data Cofrestrfa Tir",'Prisiau Tai (De-orllewin)'!G78,'Prisiau Tai (De-orllewin)'!Y78)</f>
        <v>284986.00994296535</v>
      </c>
      <c r="AG78" s="4">
        <f>IF('Rhaniad y Ddeiliadaeth (Cymru)'!$D$18="Data Cofrestrfa Tir",'Prisiau Tai (De-orllewin)'!H78,'Prisiau Tai (De-orllewin)'!Z78)</f>
        <v>300495.19690182287</v>
      </c>
      <c r="AH78" s="4">
        <f>IF('Rhaniad y Ddeiliadaeth (Cymru)'!$D$18="Data Cofrestrfa Tir",'Prisiau Tai (De-orllewin)'!I78,'Prisiau Tai (De-orllewin)'!AA78)</f>
        <v>313171.20467825828</v>
      </c>
    </row>
    <row r="79" spans="2:34" x14ac:dyDescent="0.35">
      <c r="B79" s="251">
        <v>85</v>
      </c>
      <c r="C79" s="258">
        <v>235000</v>
      </c>
      <c r="D79" s="258">
        <v>247500</v>
      </c>
      <c r="E79" s="278">
        <f>D79*(1+'Rhaniad y Ddeiliadaeth (De-o)'!C$118)</f>
        <v>259380</v>
      </c>
      <c r="F79" s="278">
        <f>E79*(1+'Rhaniad y Ddeiliadaeth (De-o)'!D$118)</f>
        <v>274501.85399999999</v>
      </c>
      <c r="G79" s="278">
        <f>F79*(1+'Rhaniad y Ddeiliadaeth (De-o)'!E$118)</f>
        <v>293891.82275368302</v>
      </c>
      <c r="H79" s="278">
        <f>G79*(1+'Rhaniad y Ddeiliadaeth (De-o)'!F$118)</f>
        <v>309885.67180500482</v>
      </c>
      <c r="I79" s="279">
        <f>H79*(1+'Rhaniad y Ddeiliadaeth (De-o)'!G$118)</f>
        <v>322957.80482445384</v>
      </c>
      <c r="M79" s="36" t="str">
        <f t="shared" si="4"/>
        <v/>
      </c>
      <c r="N79" s="202"/>
      <c r="O79" s="13">
        <f t="shared" si="7"/>
        <v>1</v>
      </c>
      <c r="U79" s="1">
        <f t="shared" si="5"/>
        <v>85</v>
      </c>
      <c r="V79" s="4" t="str">
        <f t="shared" si="6"/>
        <v/>
      </c>
      <c r="W79" s="4" t="e">
        <f>IF($W$3=$N$3,N79,V79*(1+'Rhaniad y Ddeiliadaeth (Cymru)'!C$118))</f>
        <v>#VALUE!</v>
      </c>
      <c r="X79" s="4" t="e">
        <f>W79*(1+'Rhaniad y Ddeiliadaeth (Cymru)'!D$118)</f>
        <v>#VALUE!</v>
      </c>
      <c r="Y79" s="4" t="e">
        <f>X79*(1+'Rhaniad y Ddeiliadaeth (Cymru)'!E$118)</f>
        <v>#VALUE!</v>
      </c>
      <c r="Z79" s="4" t="e">
        <f>Y79*(1+'Rhaniad y Ddeiliadaeth (Cymru)'!F$118)</f>
        <v>#VALUE!</v>
      </c>
      <c r="AA79" s="4" t="e">
        <f>Z79*(1+'Rhaniad y Ddeiliadaeth (Cymru)'!G$118)</f>
        <v>#VALUE!</v>
      </c>
      <c r="AC79" s="260">
        <v>85</v>
      </c>
      <c r="AD79" s="4">
        <f>IF('Rhaniad y Ddeiliadaeth (Cymru)'!$D$18="Data Cofrestrfa Tir",'Prisiau Tai (De-orllewin)'!E79,'Prisiau Tai (De-orllewin)'!W79)</f>
        <v>259380</v>
      </c>
      <c r="AE79" s="4">
        <f>IF('Rhaniad y Ddeiliadaeth (Cymru)'!$D$18="Data Cofrestrfa Tir",'Prisiau Tai (De-orllewin)'!F79,'Prisiau Tai (De-orllewin)'!X79)</f>
        <v>274501.85399999999</v>
      </c>
      <c r="AF79" s="4">
        <f>IF('Rhaniad y Ddeiliadaeth (Cymru)'!$D$18="Data Cofrestrfa Tir",'Prisiau Tai (De-orllewin)'!G79,'Prisiau Tai (De-orllewin)'!Y79)</f>
        <v>293891.82275368302</v>
      </c>
      <c r="AG79" s="4">
        <f>IF('Rhaniad y Ddeiliadaeth (Cymru)'!$D$18="Data Cofrestrfa Tir",'Prisiau Tai (De-orllewin)'!H79,'Prisiau Tai (De-orllewin)'!Z79)</f>
        <v>309885.67180500482</v>
      </c>
      <c r="AH79" s="4">
        <f>IF('Rhaniad y Ddeiliadaeth (Cymru)'!$D$18="Data Cofrestrfa Tir",'Prisiau Tai (De-orllewin)'!I79,'Prisiau Tai (De-orllewin)'!AA79)</f>
        <v>322957.80482445384</v>
      </c>
    </row>
    <row r="80" spans="2:34" x14ac:dyDescent="0.35">
      <c r="B80" s="251">
        <v>86</v>
      </c>
      <c r="C80" s="258">
        <v>240000</v>
      </c>
      <c r="D80" s="258">
        <v>250000</v>
      </c>
      <c r="E80" s="278">
        <f>D80*(1+'Rhaniad y Ddeiliadaeth (De-o)'!C$118)</f>
        <v>262000</v>
      </c>
      <c r="F80" s="278">
        <f>E80*(1+'Rhaniad y Ddeiliadaeth (De-o)'!D$118)</f>
        <v>277274.59999999998</v>
      </c>
      <c r="G80" s="278">
        <f>F80*(1+'Rhaniad y Ddeiliadaeth (De-o)'!E$118)</f>
        <v>296860.42702392227</v>
      </c>
      <c r="H80" s="278">
        <f>G80*(1+'Rhaniad y Ddeiliadaeth (De-o)'!F$118)</f>
        <v>313015.83010606549</v>
      </c>
      <c r="I80" s="279">
        <f>H80*(1+'Rhaniad y Ddeiliadaeth (De-o)'!G$118)</f>
        <v>326220.00487318571</v>
      </c>
      <c r="M80" s="36" t="str">
        <f t="shared" si="4"/>
        <v/>
      </c>
      <c r="N80" s="202"/>
      <c r="O80" s="13">
        <f t="shared" si="7"/>
        <v>1</v>
      </c>
      <c r="U80" s="1">
        <f t="shared" si="5"/>
        <v>86</v>
      </c>
      <c r="V80" s="4" t="str">
        <f t="shared" si="6"/>
        <v/>
      </c>
      <c r="W80" s="4" t="e">
        <f>IF($W$3=$N$3,N80,V80*(1+'Rhaniad y Ddeiliadaeth (Cymru)'!C$118))</f>
        <v>#VALUE!</v>
      </c>
      <c r="X80" s="4" t="e">
        <f>W80*(1+'Rhaniad y Ddeiliadaeth (Cymru)'!D$118)</f>
        <v>#VALUE!</v>
      </c>
      <c r="Y80" s="4" t="e">
        <f>X80*(1+'Rhaniad y Ddeiliadaeth (Cymru)'!E$118)</f>
        <v>#VALUE!</v>
      </c>
      <c r="Z80" s="4" t="e">
        <f>Y80*(1+'Rhaniad y Ddeiliadaeth (Cymru)'!F$118)</f>
        <v>#VALUE!</v>
      </c>
      <c r="AA80" s="4" t="e">
        <f>Z80*(1+'Rhaniad y Ddeiliadaeth (Cymru)'!G$118)</f>
        <v>#VALUE!</v>
      </c>
      <c r="AC80" s="260">
        <v>86</v>
      </c>
      <c r="AD80" s="4">
        <f>IF('Rhaniad y Ddeiliadaeth (Cymru)'!$D$18="Data Cofrestrfa Tir",'Prisiau Tai (De-orllewin)'!E80,'Prisiau Tai (De-orllewin)'!W80)</f>
        <v>262000</v>
      </c>
      <c r="AE80" s="4">
        <f>IF('Rhaniad y Ddeiliadaeth (Cymru)'!$D$18="Data Cofrestrfa Tir",'Prisiau Tai (De-orllewin)'!F80,'Prisiau Tai (De-orllewin)'!X80)</f>
        <v>277274.59999999998</v>
      </c>
      <c r="AF80" s="4">
        <f>IF('Rhaniad y Ddeiliadaeth (Cymru)'!$D$18="Data Cofrestrfa Tir",'Prisiau Tai (De-orllewin)'!G80,'Prisiau Tai (De-orllewin)'!Y80)</f>
        <v>296860.42702392227</v>
      </c>
      <c r="AG80" s="4">
        <f>IF('Rhaniad y Ddeiliadaeth (Cymru)'!$D$18="Data Cofrestrfa Tir",'Prisiau Tai (De-orllewin)'!H80,'Prisiau Tai (De-orllewin)'!Z80)</f>
        <v>313015.83010606549</v>
      </c>
      <c r="AH80" s="4">
        <f>IF('Rhaniad y Ddeiliadaeth (Cymru)'!$D$18="Data Cofrestrfa Tir",'Prisiau Tai (De-orllewin)'!I80,'Prisiau Tai (De-orllewin)'!AA80)</f>
        <v>326220.00487318571</v>
      </c>
    </row>
    <row r="81" spans="2:34" x14ac:dyDescent="0.35">
      <c r="B81" s="251">
        <v>87</v>
      </c>
      <c r="C81" s="258">
        <v>245000</v>
      </c>
      <c r="D81" s="258">
        <v>259971.15000000029</v>
      </c>
      <c r="E81" s="278">
        <f>D81*(1+'Rhaniad y Ddeiliadaeth (De-o)'!C$118)</f>
        <v>272449.76520000031</v>
      </c>
      <c r="F81" s="278">
        <f>E81*(1+'Rhaniad y Ddeiliadaeth (De-o)'!D$118)</f>
        <v>288333.58651116036</v>
      </c>
      <c r="G81" s="278">
        <f>F81*(1+'Rhaniad y Ddeiliadaeth (De-o)'!E$118)</f>
        <v>308700.58641160099</v>
      </c>
      <c r="H81" s="278">
        <f>G81*(1+'Rhaniad y Ddeiliadaeth (De-o)'!F$118)</f>
        <v>325500.34128351428</v>
      </c>
      <c r="I81" s="279">
        <f>H81*(1+'Rhaniad y Ddeiliadaeth (De-o)'!G$118)</f>
        <v>339231.15927955124</v>
      </c>
      <c r="M81" s="36" t="str">
        <f t="shared" si="4"/>
        <v/>
      </c>
      <c r="N81" s="202"/>
      <c r="O81" s="13">
        <f t="shared" si="7"/>
        <v>1</v>
      </c>
      <c r="U81" s="1">
        <f t="shared" si="5"/>
        <v>87</v>
      </c>
      <c r="V81" s="4" t="str">
        <f t="shared" si="6"/>
        <v/>
      </c>
      <c r="W81" s="4" t="e">
        <f>IF($W$3=$N$3,N81,V81*(1+'Rhaniad y Ddeiliadaeth (Cymru)'!C$118))</f>
        <v>#VALUE!</v>
      </c>
      <c r="X81" s="4" t="e">
        <f>W81*(1+'Rhaniad y Ddeiliadaeth (Cymru)'!D$118)</f>
        <v>#VALUE!</v>
      </c>
      <c r="Y81" s="4" t="e">
        <f>X81*(1+'Rhaniad y Ddeiliadaeth (Cymru)'!E$118)</f>
        <v>#VALUE!</v>
      </c>
      <c r="Z81" s="4" t="e">
        <f>Y81*(1+'Rhaniad y Ddeiliadaeth (Cymru)'!F$118)</f>
        <v>#VALUE!</v>
      </c>
      <c r="AA81" s="4" t="e">
        <f>Z81*(1+'Rhaniad y Ddeiliadaeth (Cymru)'!G$118)</f>
        <v>#VALUE!</v>
      </c>
      <c r="AC81" s="260">
        <v>87</v>
      </c>
      <c r="AD81" s="4">
        <f>IF('Rhaniad y Ddeiliadaeth (Cymru)'!$D$18="Data Cofrestrfa Tir",'Prisiau Tai (De-orllewin)'!E81,'Prisiau Tai (De-orllewin)'!W81)</f>
        <v>272449.76520000031</v>
      </c>
      <c r="AE81" s="4">
        <f>IF('Rhaniad y Ddeiliadaeth (Cymru)'!$D$18="Data Cofrestrfa Tir",'Prisiau Tai (De-orllewin)'!F81,'Prisiau Tai (De-orllewin)'!X81)</f>
        <v>288333.58651116036</v>
      </c>
      <c r="AF81" s="4">
        <f>IF('Rhaniad y Ddeiliadaeth (Cymru)'!$D$18="Data Cofrestrfa Tir",'Prisiau Tai (De-orllewin)'!G81,'Prisiau Tai (De-orllewin)'!Y81)</f>
        <v>308700.58641160099</v>
      </c>
      <c r="AG81" s="4">
        <f>IF('Rhaniad y Ddeiliadaeth (Cymru)'!$D$18="Data Cofrestrfa Tir",'Prisiau Tai (De-orllewin)'!H81,'Prisiau Tai (De-orllewin)'!Z81)</f>
        <v>325500.34128351428</v>
      </c>
      <c r="AH81" s="4">
        <f>IF('Rhaniad y Ddeiliadaeth (Cymru)'!$D$18="Data Cofrestrfa Tir",'Prisiau Tai (De-orllewin)'!I81,'Prisiau Tai (De-orllewin)'!AA81)</f>
        <v>339231.15927955124</v>
      </c>
    </row>
    <row r="82" spans="2:34" x14ac:dyDescent="0.35">
      <c r="B82" s="251">
        <v>88</v>
      </c>
      <c r="C82" s="258">
        <v>250000</v>
      </c>
      <c r="D82" s="258">
        <v>265000</v>
      </c>
      <c r="E82" s="278">
        <f>D82*(1+'Rhaniad y Ddeiliadaeth (De-o)'!C$118)</f>
        <v>277720</v>
      </c>
      <c r="F82" s="278">
        <f>E82*(1+'Rhaniad y Ddeiliadaeth (De-o)'!D$118)</f>
        <v>293911.076</v>
      </c>
      <c r="G82" s="278">
        <f>F82*(1+'Rhaniad y Ddeiliadaeth (De-o)'!E$118)</f>
        <v>314672.05264535762</v>
      </c>
      <c r="H82" s="278">
        <f>G82*(1+'Rhaniad y Ddeiliadaeth (De-o)'!F$118)</f>
        <v>331796.77991242945</v>
      </c>
      <c r="I82" s="279">
        <f>H82*(1+'Rhaniad y Ddeiliadaeth (De-o)'!G$118)</f>
        <v>345793.20516557689</v>
      </c>
      <c r="M82" s="36" t="str">
        <f t="shared" si="4"/>
        <v/>
      </c>
      <c r="N82" s="202"/>
      <c r="O82" s="13">
        <f t="shared" si="7"/>
        <v>1</v>
      </c>
      <c r="U82" s="1">
        <f t="shared" si="5"/>
        <v>88</v>
      </c>
      <c r="V82" s="4" t="str">
        <f t="shared" si="6"/>
        <v/>
      </c>
      <c r="W82" s="4" t="e">
        <f>IF($W$3=$N$3,N82,V82*(1+'Rhaniad y Ddeiliadaeth (Cymru)'!C$118))</f>
        <v>#VALUE!</v>
      </c>
      <c r="X82" s="4" t="e">
        <f>W82*(1+'Rhaniad y Ddeiliadaeth (Cymru)'!D$118)</f>
        <v>#VALUE!</v>
      </c>
      <c r="Y82" s="4" t="e">
        <f>X82*(1+'Rhaniad y Ddeiliadaeth (Cymru)'!E$118)</f>
        <v>#VALUE!</v>
      </c>
      <c r="Z82" s="4" t="e">
        <f>Y82*(1+'Rhaniad y Ddeiliadaeth (Cymru)'!F$118)</f>
        <v>#VALUE!</v>
      </c>
      <c r="AA82" s="4" t="e">
        <f>Z82*(1+'Rhaniad y Ddeiliadaeth (Cymru)'!G$118)</f>
        <v>#VALUE!</v>
      </c>
      <c r="AC82" s="260">
        <v>88</v>
      </c>
      <c r="AD82" s="4">
        <f>IF('Rhaniad y Ddeiliadaeth (Cymru)'!$D$18="Data Cofrestrfa Tir",'Prisiau Tai (De-orllewin)'!E82,'Prisiau Tai (De-orllewin)'!W82)</f>
        <v>277720</v>
      </c>
      <c r="AE82" s="4">
        <f>IF('Rhaniad y Ddeiliadaeth (Cymru)'!$D$18="Data Cofrestrfa Tir",'Prisiau Tai (De-orllewin)'!F82,'Prisiau Tai (De-orllewin)'!X82)</f>
        <v>293911.076</v>
      </c>
      <c r="AF82" s="4">
        <f>IF('Rhaniad y Ddeiliadaeth (Cymru)'!$D$18="Data Cofrestrfa Tir",'Prisiau Tai (De-orllewin)'!G82,'Prisiau Tai (De-orllewin)'!Y82)</f>
        <v>314672.05264535762</v>
      </c>
      <c r="AG82" s="4">
        <f>IF('Rhaniad y Ddeiliadaeth (Cymru)'!$D$18="Data Cofrestrfa Tir",'Prisiau Tai (De-orllewin)'!H82,'Prisiau Tai (De-orllewin)'!Z82)</f>
        <v>331796.77991242945</v>
      </c>
      <c r="AH82" s="4">
        <f>IF('Rhaniad y Ddeiliadaeth (Cymru)'!$D$18="Data Cofrestrfa Tir",'Prisiau Tai (De-orllewin)'!I82,'Prisiau Tai (De-orllewin)'!AA82)</f>
        <v>345793.20516557689</v>
      </c>
    </row>
    <row r="83" spans="2:34" x14ac:dyDescent="0.35">
      <c r="B83" s="251">
        <v>89</v>
      </c>
      <c r="C83" s="258">
        <v>260000</v>
      </c>
      <c r="D83" s="258">
        <v>272500</v>
      </c>
      <c r="E83" s="278">
        <f>D83*(1+'Rhaniad y Ddeiliadaeth (De-o)'!C$118)</f>
        <v>285580</v>
      </c>
      <c r="F83" s="278">
        <f>E83*(1+'Rhaniad y Ddeiliadaeth (De-o)'!D$118)</f>
        <v>302229.31400000001</v>
      </c>
      <c r="G83" s="278">
        <f>F83*(1+'Rhaniad y Ddeiliadaeth (De-o)'!E$118)</f>
        <v>323577.86545607529</v>
      </c>
      <c r="H83" s="278">
        <f>G83*(1+'Rhaniad y Ddeiliadaeth (De-o)'!F$118)</f>
        <v>341187.25481561141</v>
      </c>
      <c r="I83" s="279">
        <f>H83*(1+'Rhaniad y Ddeiliadaeth (De-o)'!G$118)</f>
        <v>355579.80531177245</v>
      </c>
      <c r="M83" s="36" t="str">
        <f t="shared" si="4"/>
        <v/>
      </c>
      <c r="N83" s="202"/>
      <c r="O83" s="13">
        <f t="shared" si="7"/>
        <v>1</v>
      </c>
      <c r="U83" s="1">
        <f t="shared" si="5"/>
        <v>89</v>
      </c>
      <c r="V83" s="4" t="str">
        <f t="shared" si="6"/>
        <v/>
      </c>
      <c r="W83" s="4" t="e">
        <f>IF($W$3=$N$3,N83,V83*(1+'Rhaniad y Ddeiliadaeth (Cymru)'!C$118))</f>
        <v>#VALUE!</v>
      </c>
      <c r="X83" s="4" t="e">
        <f>W83*(1+'Rhaniad y Ddeiliadaeth (Cymru)'!D$118)</f>
        <v>#VALUE!</v>
      </c>
      <c r="Y83" s="4" t="e">
        <f>X83*(1+'Rhaniad y Ddeiliadaeth (Cymru)'!E$118)</f>
        <v>#VALUE!</v>
      </c>
      <c r="Z83" s="4" t="e">
        <f>Y83*(1+'Rhaniad y Ddeiliadaeth (Cymru)'!F$118)</f>
        <v>#VALUE!</v>
      </c>
      <c r="AA83" s="4" t="e">
        <f>Z83*(1+'Rhaniad y Ddeiliadaeth (Cymru)'!G$118)</f>
        <v>#VALUE!</v>
      </c>
      <c r="AC83" s="260">
        <v>89</v>
      </c>
      <c r="AD83" s="4">
        <f>IF('Rhaniad y Ddeiliadaeth (Cymru)'!$D$18="Data Cofrestrfa Tir",'Prisiau Tai (De-orllewin)'!E83,'Prisiau Tai (De-orllewin)'!W83)</f>
        <v>285580</v>
      </c>
      <c r="AE83" s="4">
        <f>IF('Rhaniad y Ddeiliadaeth (Cymru)'!$D$18="Data Cofrestrfa Tir",'Prisiau Tai (De-orllewin)'!F83,'Prisiau Tai (De-orllewin)'!X83)</f>
        <v>302229.31400000001</v>
      </c>
      <c r="AF83" s="4">
        <f>IF('Rhaniad y Ddeiliadaeth (Cymru)'!$D$18="Data Cofrestrfa Tir",'Prisiau Tai (De-orllewin)'!G83,'Prisiau Tai (De-orllewin)'!Y83)</f>
        <v>323577.86545607529</v>
      </c>
      <c r="AG83" s="4">
        <f>IF('Rhaniad y Ddeiliadaeth (Cymru)'!$D$18="Data Cofrestrfa Tir",'Prisiau Tai (De-orllewin)'!H83,'Prisiau Tai (De-orllewin)'!Z83)</f>
        <v>341187.25481561141</v>
      </c>
      <c r="AH83" s="4">
        <f>IF('Rhaniad y Ddeiliadaeth (Cymru)'!$D$18="Data Cofrestrfa Tir",'Prisiau Tai (De-orllewin)'!I83,'Prisiau Tai (De-orllewin)'!AA83)</f>
        <v>355579.80531177245</v>
      </c>
    </row>
    <row r="84" spans="2:34" x14ac:dyDescent="0.35">
      <c r="B84" s="253">
        <v>90</v>
      </c>
      <c r="C84" s="259">
        <v>269000</v>
      </c>
      <c r="D84" s="259">
        <v>280000</v>
      </c>
      <c r="E84" s="286">
        <f>D84*(1+'Rhaniad y Ddeiliadaeth (De-o)'!C$118)</f>
        <v>293440</v>
      </c>
      <c r="F84" s="286">
        <f>E84*(1+'Rhaniad y Ddeiliadaeth (De-o)'!D$118)</f>
        <v>310547.55200000003</v>
      </c>
      <c r="G84" s="286">
        <f>F84*(1+'Rhaniad y Ddeiliadaeth (De-o)'!E$118)</f>
        <v>332483.67826679297</v>
      </c>
      <c r="H84" s="286">
        <f>G84*(1+'Rhaniad y Ddeiliadaeth (De-o)'!F$118)</f>
        <v>350577.72971879342</v>
      </c>
      <c r="I84" s="287">
        <f>H84*(1+'Rhaniad y Ddeiliadaeth (De-o)'!G$118)</f>
        <v>365366.40545796807</v>
      </c>
      <c r="M84" s="37" t="str">
        <f t="shared" si="4"/>
        <v/>
      </c>
      <c r="N84" s="203"/>
      <c r="O84" s="13">
        <f t="shared" si="7"/>
        <v>1</v>
      </c>
      <c r="U84" s="1">
        <f t="shared" si="5"/>
        <v>90</v>
      </c>
      <c r="V84" s="4" t="str">
        <f t="shared" si="6"/>
        <v/>
      </c>
      <c r="W84" s="4" t="e">
        <f>IF($W$3=$N$3,N84,V84*(1+'Rhaniad y Ddeiliadaeth (Cymru)'!C$118))</f>
        <v>#VALUE!</v>
      </c>
      <c r="X84" s="4" t="e">
        <f>W84*(1+'Rhaniad y Ddeiliadaeth (Cymru)'!D$118)</f>
        <v>#VALUE!</v>
      </c>
      <c r="Y84" s="4" t="e">
        <f>X84*(1+'Rhaniad y Ddeiliadaeth (Cymru)'!E$118)</f>
        <v>#VALUE!</v>
      </c>
      <c r="Z84" s="4" t="e">
        <f>Y84*(1+'Rhaniad y Ddeiliadaeth (Cymru)'!F$118)</f>
        <v>#VALUE!</v>
      </c>
      <c r="AA84" s="4" t="e">
        <f>Z84*(1+'Rhaniad y Ddeiliadaeth (Cymru)'!G$118)</f>
        <v>#VALUE!</v>
      </c>
      <c r="AC84" s="260">
        <v>90</v>
      </c>
      <c r="AD84" s="4">
        <f>IF('Rhaniad y Ddeiliadaeth (Cymru)'!$D$18="Data Cofrestrfa Tir",'Prisiau Tai (De-orllewin)'!E84,'Prisiau Tai (De-orllewin)'!W84)</f>
        <v>293440</v>
      </c>
      <c r="AE84" s="4">
        <f>IF('Rhaniad y Ddeiliadaeth (Cymru)'!$D$18="Data Cofrestrfa Tir",'Prisiau Tai (De-orllewin)'!F84,'Prisiau Tai (De-orllewin)'!X84)</f>
        <v>310547.55200000003</v>
      </c>
      <c r="AF84" s="4">
        <f>IF('Rhaniad y Ddeiliadaeth (Cymru)'!$D$18="Data Cofrestrfa Tir",'Prisiau Tai (De-orllewin)'!G84,'Prisiau Tai (De-orllewin)'!Y84)</f>
        <v>332483.67826679297</v>
      </c>
      <c r="AG84" s="4">
        <f>IF('Rhaniad y Ddeiliadaeth (Cymru)'!$D$18="Data Cofrestrfa Tir",'Prisiau Tai (De-orllewin)'!H84,'Prisiau Tai (De-orllewin)'!Z84)</f>
        <v>350577.72971879342</v>
      </c>
      <c r="AH84" s="4">
        <f>IF('Rhaniad y Ddeiliadaeth (Cymru)'!$D$18="Data Cofrestrfa Tir",'Prisiau Tai (De-orllewin)'!I84,'Prisiau Tai (De-orllewin)'!AA84)</f>
        <v>365366.40545796807</v>
      </c>
    </row>
    <row r="85" spans="2:34" x14ac:dyDescent="0.35">
      <c r="O85" s="13">
        <f>IF(SUM(O4:O84)&gt;0,1,0)</f>
        <v>1</v>
      </c>
    </row>
  </sheetData>
  <mergeCells count="3">
    <mergeCell ref="B2:I2"/>
    <mergeCell ref="K2:N2"/>
    <mergeCell ref="K9:K10"/>
  </mergeCells>
  <dataValidations count="2">
    <dataValidation type="decimal" operator="greaterThan" allowBlank="1" showInputMessage="1" showErrorMessage="1" sqref="N4:N84">
      <formula1>0</formula1>
    </dataValidation>
    <dataValidation type="list" allowBlank="1" showInputMessage="1" showErrorMessage="1" sqref="L4">
      <formula1>"2017,2018"</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M22"/>
  <sheetViews>
    <sheetView showGridLines="0" zoomScale="60" zoomScaleNormal="60" workbookViewId="0"/>
  </sheetViews>
  <sheetFormatPr defaultRowHeight="14.5" x14ac:dyDescent="0.35"/>
  <cols>
    <col min="1" max="1" width="3.1796875" customWidth="1"/>
  </cols>
  <sheetData>
    <row r="2" spans="2:13" ht="15" customHeight="1" x14ac:dyDescent="0.35">
      <c r="B2" s="451" t="s">
        <v>380</v>
      </c>
      <c r="C2" s="452"/>
      <c r="D2" s="452"/>
      <c r="E2" s="452"/>
      <c r="F2" s="452"/>
      <c r="G2" s="452"/>
      <c r="H2" s="452"/>
      <c r="I2" s="452"/>
      <c r="J2" s="452"/>
      <c r="K2" s="452"/>
      <c r="L2" s="452"/>
      <c r="M2" s="453"/>
    </row>
    <row r="3" spans="2:13" x14ac:dyDescent="0.35">
      <c r="B3" s="454"/>
      <c r="C3" s="455"/>
      <c r="D3" s="455"/>
      <c r="E3" s="455"/>
      <c r="F3" s="455"/>
      <c r="G3" s="455"/>
      <c r="H3" s="455"/>
      <c r="I3" s="455"/>
      <c r="J3" s="455"/>
      <c r="K3" s="455"/>
      <c r="L3" s="455"/>
      <c r="M3" s="456"/>
    </row>
    <row r="4" spans="2:13" s="1" customFormat="1" x14ac:dyDescent="0.35"/>
    <row r="5" spans="2:13" x14ac:dyDescent="0.35">
      <c r="B5" s="234" t="s">
        <v>33</v>
      </c>
      <c r="C5" s="232"/>
      <c r="D5" s="232"/>
      <c r="E5" s="232"/>
      <c r="F5" s="232"/>
      <c r="G5" s="232"/>
      <c r="H5" s="232"/>
      <c r="I5" s="232"/>
      <c r="J5" s="232"/>
      <c r="K5" s="232"/>
      <c r="L5" s="232"/>
    </row>
    <row r="6" spans="2:13" x14ac:dyDescent="0.35">
      <c r="B6" s="232"/>
      <c r="C6" s="232"/>
      <c r="D6" s="232"/>
      <c r="E6" s="232"/>
      <c r="F6" s="232"/>
      <c r="G6" s="232"/>
      <c r="H6" s="232"/>
      <c r="I6" s="232"/>
      <c r="J6" s="232"/>
      <c r="K6" s="232"/>
      <c r="L6" s="232"/>
    </row>
    <row r="7" spans="2:13" x14ac:dyDescent="0.35">
      <c r="B7" s="233" t="s">
        <v>34</v>
      </c>
      <c r="C7" s="232"/>
      <c r="D7" s="232"/>
      <c r="E7" s="232"/>
      <c r="F7" s="232"/>
      <c r="G7" s="232"/>
      <c r="H7" s="232"/>
      <c r="I7" s="232"/>
      <c r="J7" s="232"/>
      <c r="K7" s="232"/>
      <c r="L7" s="232"/>
    </row>
    <row r="8" spans="2:13" ht="44" customHeight="1" x14ac:dyDescent="0.35">
      <c r="B8" s="450" t="s">
        <v>35</v>
      </c>
      <c r="C8" s="457"/>
      <c r="D8" s="457"/>
      <c r="E8" s="457"/>
      <c r="F8" s="457"/>
      <c r="G8" s="457"/>
      <c r="H8" s="457"/>
      <c r="I8" s="457"/>
      <c r="J8" s="457"/>
      <c r="K8" s="457"/>
      <c r="L8" s="457"/>
      <c r="M8" s="457"/>
    </row>
    <row r="9" spans="2:13" x14ac:dyDescent="0.35">
      <c r="B9" s="233" t="s">
        <v>338</v>
      </c>
      <c r="C9" s="232"/>
      <c r="D9" s="232"/>
      <c r="E9" s="232"/>
      <c r="F9" s="232"/>
      <c r="G9" s="232"/>
      <c r="H9" s="232"/>
      <c r="I9" s="232"/>
      <c r="J9" s="232"/>
      <c r="K9" s="232"/>
      <c r="L9" s="232"/>
    </row>
    <row r="10" spans="2:13" ht="36" customHeight="1" x14ac:dyDescent="0.35">
      <c r="B10" s="450" t="s">
        <v>36</v>
      </c>
      <c r="C10" s="450"/>
      <c r="D10" s="450"/>
      <c r="E10" s="450"/>
      <c r="F10" s="450"/>
      <c r="G10" s="450"/>
      <c r="H10" s="450"/>
      <c r="I10" s="450"/>
      <c r="J10" s="450"/>
      <c r="K10" s="450"/>
      <c r="L10" s="450"/>
      <c r="M10" s="450"/>
    </row>
    <row r="11" spans="2:13" x14ac:dyDescent="0.35">
      <c r="B11" s="232"/>
      <c r="C11" s="232"/>
      <c r="D11" s="232"/>
      <c r="E11" s="232"/>
      <c r="F11" s="232"/>
      <c r="G11" s="232"/>
      <c r="H11" s="232"/>
      <c r="I11" s="232"/>
      <c r="J11" s="232"/>
      <c r="K11" s="232"/>
      <c r="L11" s="232"/>
    </row>
    <row r="12" spans="2:13" x14ac:dyDescent="0.35">
      <c r="B12" s="234" t="s">
        <v>37</v>
      </c>
      <c r="C12" s="232"/>
      <c r="D12" s="232"/>
      <c r="E12" s="232"/>
      <c r="F12" s="232"/>
      <c r="G12" s="232"/>
      <c r="H12" s="232"/>
      <c r="I12" s="232"/>
      <c r="J12" s="232"/>
      <c r="K12" s="232"/>
      <c r="L12" s="232"/>
    </row>
    <row r="13" spans="2:13" x14ac:dyDescent="0.35">
      <c r="B13" s="232"/>
      <c r="C13" s="232"/>
      <c r="D13" s="232"/>
      <c r="E13" s="232"/>
      <c r="F13" s="232"/>
      <c r="G13" s="232"/>
      <c r="H13" s="232"/>
      <c r="I13" s="232"/>
      <c r="J13" s="232"/>
      <c r="K13" s="232"/>
      <c r="L13" s="232"/>
    </row>
    <row r="14" spans="2:13" ht="48" customHeight="1" x14ac:dyDescent="0.35">
      <c r="B14" s="450" t="s">
        <v>38</v>
      </c>
      <c r="C14" s="450"/>
      <c r="D14" s="450"/>
      <c r="E14" s="450"/>
      <c r="F14" s="450"/>
      <c r="G14" s="450"/>
      <c r="H14" s="450"/>
      <c r="I14" s="450"/>
      <c r="J14" s="450"/>
      <c r="K14" s="450"/>
      <c r="L14" s="450"/>
      <c r="M14" s="450"/>
    </row>
    <row r="15" spans="2:13" ht="45.75" customHeight="1" x14ac:dyDescent="0.35">
      <c r="B15" s="450" t="s">
        <v>381</v>
      </c>
      <c r="C15" s="450"/>
      <c r="D15" s="450"/>
      <c r="E15" s="450"/>
      <c r="F15" s="450"/>
      <c r="G15" s="450"/>
      <c r="H15" s="450"/>
      <c r="I15" s="450"/>
      <c r="J15" s="450"/>
      <c r="K15" s="450"/>
      <c r="L15" s="450"/>
      <c r="M15" s="450"/>
    </row>
    <row r="16" spans="2:13" ht="44" customHeight="1" x14ac:dyDescent="0.35">
      <c r="B16" s="450" t="s">
        <v>39</v>
      </c>
      <c r="C16" s="450"/>
      <c r="D16" s="450"/>
      <c r="E16" s="450"/>
      <c r="F16" s="450"/>
      <c r="G16" s="450"/>
      <c r="H16" s="450"/>
      <c r="I16" s="450"/>
      <c r="J16" s="450"/>
      <c r="K16" s="450"/>
      <c r="L16" s="450"/>
      <c r="M16" s="450"/>
    </row>
    <row r="17" spans="2:13" ht="60.75" customHeight="1" x14ac:dyDescent="0.35">
      <c r="B17" s="450" t="s">
        <v>40</v>
      </c>
      <c r="C17" s="450"/>
      <c r="D17" s="450"/>
      <c r="E17" s="450"/>
      <c r="F17" s="450"/>
      <c r="G17" s="450"/>
      <c r="H17" s="450"/>
      <c r="I17" s="450"/>
      <c r="J17" s="450"/>
      <c r="K17" s="450"/>
      <c r="L17" s="450"/>
      <c r="M17" s="450"/>
    </row>
    <row r="18" spans="2:13" x14ac:dyDescent="0.35">
      <c r="B18" s="232"/>
      <c r="C18" s="232"/>
      <c r="D18" s="232"/>
      <c r="E18" s="232"/>
      <c r="F18" s="232"/>
      <c r="G18" s="232"/>
      <c r="H18" s="232"/>
      <c r="I18" s="232"/>
      <c r="J18" s="232"/>
      <c r="K18" s="232"/>
      <c r="L18" s="232"/>
    </row>
    <row r="19" spans="2:13" x14ac:dyDescent="0.35">
      <c r="B19" s="234" t="s">
        <v>41</v>
      </c>
      <c r="C19" s="232"/>
      <c r="D19" s="232"/>
      <c r="E19" s="232"/>
      <c r="F19" s="232"/>
      <c r="G19" s="232"/>
      <c r="H19" s="232"/>
      <c r="I19" s="232"/>
      <c r="J19" s="232"/>
      <c r="K19" s="232"/>
      <c r="L19" s="232"/>
    </row>
    <row r="20" spans="2:13" x14ac:dyDescent="0.35">
      <c r="B20" s="232"/>
      <c r="C20" s="232"/>
      <c r="D20" s="232"/>
      <c r="E20" s="232"/>
      <c r="F20" s="232"/>
      <c r="G20" s="232"/>
      <c r="H20" s="232"/>
      <c r="I20" s="232"/>
      <c r="J20" s="232"/>
      <c r="K20" s="232"/>
      <c r="L20" s="232"/>
    </row>
    <row r="21" spans="2:13" ht="34.5" customHeight="1" x14ac:dyDescent="0.35">
      <c r="B21" s="450" t="s">
        <v>387</v>
      </c>
      <c r="C21" s="450"/>
      <c r="D21" s="450"/>
      <c r="E21" s="450"/>
      <c r="F21" s="450"/>
      <c r="G21" s="450"/>
      <c r="H21" s="450"/>
      <c r="I21" s="450"/>
      <c r="J21" s="450"/>
      <c r="K21" s="450"/>
      <c r="L21" s="450"/>
      <c r="M21" s="450"/>
    </row>
    <row r="22" spans="2:13" x14ac:dyDescent="0.35">
      <c r="B22" s="232"/>
      <c r="C22" s="232"/>
      <c r="D22" s="232"/>
      <c r="E22" s="232"/>
      <c r="F22" s="232"/>
      <c r="G22" s="232"/>
      <c r="H22" s="232"/>
      <c r="I22" s="232"/>
      <c r="J22" s="232"/>
      <c r="K22" s="232"/>
      <c r="L22" s="232"/>
    </row>
  </sheetData>
  <mergeCells count="8">
    <mergeCell ref="B16:M16"/>
    <mergeCell ref="B17:M17"/>
    <mergeCell ref="B21:M21"/>
    <mergeCell ref="B2:M3"/>
    <mergeCell ref="B8:M8"/>
    <mergeCell ref="B10:M10"/>
    <mergeCell ref="B14:M14"/>
    <mergeCell ref="B15:M15"/>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1:AH85"/>
  <sheetViews>
    <sheetView showGridLines="0" zoomScale="80" zoomScaleNormal="80" workbookViewId="0"/>
  </sheetViews>
  <sheetFormatPr defaultColWidth="9.1796875" defaultRowHeight="14.5" x14ac:dyDescent="0.35"/>
  <cols>
    <col min="1" max="1" width="2.1796875" style="1" customWidth="1"/>
    <col min="2" max="2" width="10.1796875" style="1" bestFit="1" customWidth="1"/>
    <col min="3" max="3" width="10.1796875" style="1" customWidth="1"/>
    <col min="4" max="4" width="9.1796875" style="1"/>
    <col min="5" max="9" width="10.1796875" style="1" bestFit="1" customWidth="1"/>
    <col min="10" max="10" width="9.1796875" style="1"/>
    <col min="11" max="11" width="53.81640625" style="1" customWidth="1"/>
    <col min="12" max="12" width="9.1796875" style="1"/>
    <col min="13" max="13" width="10.1796875" style="1" customWidth="1"/>
    <col min="14" max="14" width="9.1796875" style="1"/>
    <col min="15" max="15" width="9.1796875" style="1" hidden="1" customWidth="1"/>
    <col min="16" max="20" width="9.1796875" style="1"/>
    <col min="21" max="21" width="9.1796875" style="1" hidden="1" customWidth="1"/>
    <col min="22" max="27" width="10.1796875" style="1" hidden="1" customWidth="1"/>
    <col min="28" max="29" width="9.1796875" style="1" customWidth="1"/>
    <col min="30" max="30" width="10.1796875" style="1" customWidth="1"/>
    <col min="31" max="34" width="9.1796875" style="1" customWidth="1"/>
    <col min="35" max="16384" width="9.1796875" style="1"/>
  </cols>
  <sheetData>
    <row r="1" spans="2:34" ht="9.75" customHeight="1" x14ac:dyDescent="0.35"/>
    <row r="2" spans="2:34" ht="26.25" customHeight="1" x14ac:dyDescent="0.35">
      <c r="B2" s="568" t="s">
        <v>120</v>
      </c>
      <c r="C2" s="569"/>
      <c r="D2" s="569"/>
      <c r="E2" s="569"/>
      <c r="F2" s="569"/>
      <c r="G2" s="569"/>
      <c r="H2" s="569"/>
      <c r="I2" s="570"/>
      <c r="K2" s="564" t="s">
        <v>121</v>
      </c>
      <c r="L2" s="565"/>
      <c r="M2" s="565"/>
      <c r="N2" s="566"/>
      <c r="O2" s="39"/>
      <c r="V2" s="1" t="s">
        <v>6</v>
      </c>
      <c r="AC2" s="260" t="s">
        <v>127</v>
      </c>
    </row>
    <row r="3" spans="2:34" x14ac:dyDescent="0.35">
      <c r="B3" s="257" t="s">
        <v>122</v>
      </c>
      <c r="C3" s="325" t="s">
        <v>22</v>
      </c>
      <c r="D3" s="325" t="s">
        <v>21</v>
      </c>
      <c r="E3" s="323" t="str">
        <f>Year1</f>
        <v>2019/20</v>
      </c>
      <c r="F3" s="323" t="str">
        <f>Year2</f>
        <v>2020/21</v>
      </c>
      <c r="G3" s="323" t="str">
        <f>Year3</f>
        <v>2021/22</v>
      </c>
      <c r="H3" s="323" t="str">
        <f>Year4</f>
        <v>2022/23</v>
      </c>
      <c r="I3" s="329" t="str">
        <f>Year5</f>
        <v>2023/24</v>
      </c>
      <c r="M3" s="23" t="s">
        <v>122</v>
      </c>
      <c r="N3" s="38">
        <f>L4</f>
        <v>0</v>
      </c>
      <c r="O3" s="40" t="s">
        <v>5</v>
      </c>
      <c r="V3" s="1">
        <v>2017</v>
      </c>
      <c r="W3" s="1">
        <v>2018</v>
      </c>
      <c r="X3" s="1">
        <v>2019</v>
      </c>
      <c r="Y3" s="1">
        <v>2020</v>
      </c>
      <c r="Z3" s="1">
        <v>2021</v>
      </c>
      <c r="AA3" s="1">
        <v>2022</v>
      </c>
      <c r="AD3" s="323" t="str">
        <f>Year1</f>
        <v>2019/20</v>
      </c>
      <c r="AE3" s="323" t="str">
        <f>Year2</f>
        <v>2020/21</v>
      </c>
      <c r="AF3" s="323" t="str">
        <f>Year3</f>
        <v>2021/22</v>
      </c>
      <c r="AG3" s="323" t="str">
        <f>Year4</f>
        <v>2022/23</v>
      </c>
      <c r="AH3" s="323" t="str">
        <f>Year5</f>
        <v>2023/24</v>
      </c>
    </row>
    <row r="4" spans="2:34" x14ac:dyDescent="0.35">
      <c r="B4" s="251">
        <v>10</v>
      </c>
      <c r="C4" s="258">
        <v>72000</v>
      </c>
      <c r="D4" s="258">
        <v>75000</v>
      </c>
      <c r="E4" s="278">
        <f>D4*(1+'Rhaniad y Ddeiliadaeth (De-ddn)'!C$118)</f>
        <v>78600</v>
      </c>
      <c r="F4" s="278">
        <f>E4*(1+'Rhaniad y Ddeiliadaeth (De-ddn)'!D$118)</f>
        <v>83182.38</v>
      </c>
      <c r="G4" s="278">
        <f>F4*(1+'Rhaniad y Ddeiliadaeth (De-ddn)'!E$118)</f>
        <v>89058.128107176686</v>
      </c>
      <c r="H4" s="278">
        <f>G4*(1+'Rhaniad y Ddeiliadaeth (De-ddn)'!F$118)</f>
        <v>93904.749031819651</v>
      </c>
      <c r="I4" s="279">
        <f>H4*(1+'Rhaniad y Ddeiliadaeth (De-ddn)'!G$118)</f>
        <v>97866.001461955719</v>
      </c>
      <c r="J4" s="4"/>
      <c r="K4" s="41" t="str">
        <f>IF('Rhaniad y Ddeiliadaeth (De-ddn)'!D18="Arall","Dewiswch data ar gyfer pa flwyddyn:","")</f>
        <v/>
      </c>
      <c r="L4" s="201"/>
      <c r="M4" s="36" t="str">
        <f t="shared" ref="M4:M67" si="0">IF(ISBLANK($L$4),"",B4)</f>
        <v/>
      </c>
      <c r="N4" s="202"/>
      <c r="O4" s="13">
        <f>IF(ISBLANK(N4),1,0)</f>
        <v>1</v>
      </c>
      <c r="P4" s="10" t="str">
        <f>IF(K4="","",IF(O85=1,"&lt;&lt; Nodwch y data yma.",""))</f>
        <v/>
      </c>
      <c r="U4" s="1">
        <f t="shared" ref="U4:U67" si="1">B4</f>
        <v>10</v>
      </c>
      <c r="V4" s="4" t="str">
        <f t="shared" ref="V4:V67" si="2">IF($N$3=$V$3,N4,"")</f>
        <v/>
      </c>
      <c r="W4" s="4" t="e">
        <f>IF($W$3=$N$3,N4,V4*(1+'Rhaniad y Ddeiliadaeth (Cymru)'!C$118))</f>
        <v>#VALUE!</v>
      </c>
      <c r="X4" s="4" t="e">
        <f>W4*(1+'Rhaniad y Ddeiliadaeth (Cymru)'!D$118)</f>
        <v>#VALUE!</v>
      </c>
      <c r="Y4" s="4" t="e">
        <f>X4*(1+'Rhaniad y Ddeiliadaeth (Cymru)'!E$118)</f>
        <v>#VALUE!</v>
      </c>
      <c r="Z4" s="4" t="e">
        <f>Y4*(1+'Rhaniad y Ddeiliadaeth (Cymru)'!F$118)</f>
        <v>#VALUE!</v>
      </c>
      <c r="AA4" s="4" t="e">
        <f>Z4*(1+'Rhaniad y Ddeiliadaeth (Cymru)'!G$118)</f>
        <v>#VALUE!</v>
      </c>
      <c r="AC4" s="260">
        <v>10</v>
      </c>
      <c r="AD4" s="4">
        <f>IF('Rhaniad y Ddeiliadaeth (Cymru)'!$D$18="Data Cofrestrfa Tir",'Prisiau Tai (De-ddwyrain)'!E4,'Prisiau Tai (De-ddwyrain)'!W4)</f>
        <v>78600</v>
      </c>
      <c r="AE4" s="4">
        <f>IF('Rhaniad y Ddeiliadaeth (Cymru)'!$D$18="Data Cofrestrfa Tir",'Prisiau Tai (De-ddwyrain)'!F4,'Prisiau Tai (De-ddwyrain)'!X4)</f>
        <v>83182.38</v>
      </c>
      <c r="AF4" s="4">
        <f>IF('Rhaniad y Ddeiliadaeth (Cymru)'!$D$18="Data Cofrestrfa Tir",'Prisiau Tai (De-ddwyrain)'!G4,'Prisiau Tai (De-ddwyrain)'!Y4)</f>
        <v>89058.128107176686</v>
      </c>
      <c r="AG4" s="4">
        <f>IF('Rhaniad y Ddeiliadaeth (Cymru)'!$D$18="Data Cofrestrfa Tir",'Prisiau Tai (De-ddwyrain)'!H4,'Prisiau Tai (De-ddwyrain)'!Z4)</f>
        <v>93904.749031819651</v>
      </c>
      <c r="AH4" s="4">
        <f>IF('Rhaniad y Ddeiliadaeth (Cymru)'!$D$18="Data Cofrestrfa Tir",'Prisiau Tai (De-ddwyrain)'!I4,'Prisiau Tai (De-ddwyrain)'!AA4)</f>
        <v>97866.001461955719</v>
      </c>
    </row>
    <row r="5" spans="2:34" x14ac:dyDescent="0.35">
      <c r="B5" s="251">
        <v>11</v>
      </c>
      <c r="C5" s="258">
        <v>75000</v>
      </c>
      <c r="D5" s="258">
        <v>78000</v>
      </c>
      <c r="E5" s="278">
        <f>D5*(1+'Rhaniad y Ddeiliadaeth (De-ddn)'!C$118)</f>
        <v>81744</v>
      </c>
      <c r="F5" s="278">
        <f>E5*(1+'Rhaniad y Ddeiliadaeth (De-ddn)'!D$118)</f>
        <v>86509.675199999998</v>
      </c>
      <c r="G5" s="278">
        <f>F5*(1+'Rhaniad y Ddeiliadaeth (De-ddn)'!E$118)</f>
        <v>92620.453231463747</v>
      </c>
      <c r="H5" s="278">
        <f>G5*(1+'Rhaniad y Ddeiliadaeth (De-ddn)'!F$118)</f>
        <v>97660.938993092437</v>
      </c>
      <c r="I5" s="279">
        <f>H5*(1+'Rhaniad y Ddeiliadaeth (De-ddn)'!G$118)</f>
        <v>101780.64152043396</v>
      </c>
      <c r="K5" s="42" t="str">
        <f>IF(K4="","","Dim ond data ar gyfer un blwyddyn sydd angen (naill ai 2017 neu 2018)")</f>
        <v/>
      </c>
      <c r="M5" s="36" t="str">
        <f t="shared" si="0"/>
        <v/>
      </c>
      <c r="N5" s="202"/>
      <c r="O5" s="13">
        <f t="shared" ref="O5:O68" si="3">IF(ISBLANK(N5),1,0)</f>
        <v>1</v>
      </c>
      <c r="U5" s="1">
        <f t="shared" si="1"/>
        <v>11</v>
      </c>
      <c r="V5" s="4" t="str">
        <f t="shared" si="2"/>
        <v/>
      </c>
      <c r="W5" s="4" t="e">
        <f>IF($W$3=$N$3,N5,V5*(1+'Rhaniad y Ddeiliadaeth (Cymru)'!C$118))</f>
        <v>#VALUE!</v>
      </c>
      <c r="X5" s="4" t="e">
        <f>W5*(1+'Rhaniad y Ddeiliadaeth (Cymru)'!D$118)</f>
        <v>#VALUE!</v>
      </c>
      <c r="Y5" s="4" t="e">
        <f>X5*(1+'Rhaniad y Ddeiliadaeth (Cymru)'!E$118)</f>
        <v>#VALUE!</v>
      </c>
      <c r="Z5" s="4" t="e">
        <f>Y5*(1+'Rhaniad y Ddeiliadaeth (Cymru)'!F$118)</f>
        <v>#VALUE!</v>
      </c>
      <c r="AA5" s="4" t="e">
        <f>Z5*(1+'Rhaniad y Ddeiliadaeth (Cymru)'!G$118)</f>
        <v>#VALUE!</v>
      </c>
      <c r="AC5" s="260">
        <v>11</v>
      </c>
      <c r="AD5" s="4">
        <f>IF('Rhaniad y Ddeiliadaeth (Cymru)'!$D$18="Data Cofrestrfa Tir",'Prisiau Tai (De-ddwyrain)'!E5,'Prisiau Tai (De-ddwyrain)'!W5)</f>
        <v>81744</v>
      </c>
      <c r="AE5" s="4">
        <f>IF('Rhaniad y Ddeiliadaeth (Cymru)'!$D$18="Data Cofrestrfa Tir",'Prisiau Tai (De-ddwyrain)'!F5,'Prisiau Tai (De-ddwyrain)'!X5)</f>
        <v>86509.675199999998</v>
      </c>
      <c r="AF5" s="4">
        <f>IF('Rhaniad y Ddeiliadaeth (Cymru)'!$D$18="Data Cofrestrfa Tir",'Prisiau Tai (De-ddwyrain)'!G5,'Prisiau Tai (De-ddwyrain)'!Y5)</f>
        <v>92620.453231463747</v>
      </c>
      <c r="AG5" s="4">
        <f>IF('Rhaniad y Ddeiliadaeth (Cymru)'!$D$18="Data Cofrestrfa Tir",'Prisiau Tai (De-ddwyrain)'!H5,'Prisiau Tai (De-ddwyrain)'!Z5)</f>
        <v>97660.938993092437</v>
      </c>
      <c r="AH5" s="4">
        <f>IF('Rhaniad y Ddeiliadaeth (Cymru)'!$D$18="Data Cofrestrfa Tir",'Prisiau Tai (De-ddwyrain)'!I5,'Prisiau Tai (De-ddwyrain)'!AA5)</f>
        <v>101780.64152043396</v>
      </c>
    </row>
    <row r="6" spans="2:34" x14ac:dyDescent="0.35">
      <c r="B6" s="251">
        <v>12</v>
      </c>
      <c r="C6" s="258">
        <v>77500</v>
      </c>
      <c r="D6" s="258">
        <v>80000</v>
      </c>
      <c r="E6" s="278">
        <f>D6*(1+'Rhaniad y Ddeiliadaeth (De-ddn)'!C$118)</f>
        <v>83840</v>
      </c>
      <c r="F6" s="278">
        <f>E6*(1+'Rhaniad y Ddeiliadaeth (De-ddn)'!D$118)</f>
        <v>88727.872000000003</v>
      </c>
      <c r="G6" s="278">
        <f>F6*(1+'Rhaniad y Ddeiliadaeth (De-ddn)'!E$118)</f>
        <v>94995.336647655131</v>
      </c>
      <c r="H6" s="278">
        <f>G6*(1+'Rhaniad y Ddeiliadaeth (De-ddn)'!F$118)</f>
        <v>100165.06563394096</v>
      </c>
      <c r="I6" s="279">
        <f>H6*(1+'Rhaniad y Ddeiliadaeth (De-ddn)'!G$118)</f>
        <v>104390.40155941944</v>
      </c>
      <c r="M6" s="36" t="str">
        <f t="shared" si="0"/>
        <v/>
      </c>
      <c r="N6" s="202"/>
      <c r="O6" s="13">
        <f t="shared" si="3"/>
        <v>1</v>
      </c>
      <c r="U6" s="1">
        <f t="shared" si="1"/>
        <v>12</v>
      </c>
      <c r="V6" s="4" t="str">
        <f t="shared" si="2"/>
        <v/>
      </c>
      <c r="W6" s="4" t="e">
        <f>IF($W$3=$N$3,N6,V6*(1+'Rhaniad y Ddeiliadaeth (Cymru)'!C$118))</f>
        <v>#VALUE!</v>
      </c>
      <c r="X6" s="4" t="e">
        <f>W6*(1+'Rhaniad y Ddeiliadaeth (Cymru)'!D$118)</f>
        <v>#VALUE!</v>
      </c>
      <c r="Y6" s="4" t="e">
        <f>X6*(1+'Rhaniad y Ddeiliadaeth (Cymru)'!E$118)</f>
        <v>#VALUE!</v>
      </c>
      <c r="Z6" s="4" t="e">
        <f>Y6*(1+'Rhaniad y Ddeiliadaeth (Cymru)'!F$118)</f>
        <v>#VALUE!</v>
      </c>
      <c r="AA6" s="4" t="e">
        <f>Z6*(1+'Rhaniad y Ddeiliadaeth (Cymru)'!G$118)</f>
        <v>#VALUE!</v>
      </c>
      <c r="AC6" s="260">
        <v>12</v>
      </c>
      <c r="AD6" s="4">
        <f>IF('Rhaniad y Ddeiliadaeth (Cymru)'!$D$18="Data Cofrestrfa Tir",'Prisiau Tai (De-ddwyrain)'!E6,'Prisiau Tai (De-ddwyrain)'!W6)</f>
        <v>83840</v>
      </c>
      <c r="AE6" s="4">
        <f>IF('Rhaniad y Ddeiliadaeth (Cymru)'!$D$18="Data Cofrestrfa Tir",'Prisiau Tai (De-ddwyrain)'!F6,'Prisiau Tai (De-ddwyrain)'!X6)</f>
        <v>88727.872000000003</v>
      </c>
      <c r="AF6" s="4">
        <f>IF('Rhaniad y Ddeiliadaeth (Cymru)'!$D$18="Data Cofrestrfa Tir",'Prisiau Tai (De-ddwyrain)'!G6,'Prisiau Tai (De-ddwyrain)'!Y6)</f>
        <v>94995.336647655131</v>
      </c>
      <c r="AG6" s="4">
        <f>IF('Rhaniad y Ddeiliadaeth (Cymru)'!$D$18="Data Cofrestrfa Tir",'Prisiau Tai (De-ddwyrain)'!H6,'Prisiau Tai (De-ddwyrain)'!Z6)</f>
        <v>100165.06563394096</v>
      </c>
      <c r="AH6" s="4">
        <f>IF('Rhaniad y Ddeiliadaeth (Cymru)'!$D$18="Data Cofrestrfa Tir",'Prisiau Tai (De-ddwyrain)'!I6,'Prisiau Tai (De-ddwyrain)'!AA6)</f>
        <v>104390.40155941944</v>
      </c>
    </row>
    <row r="7" spans="2:34" x14ac:dyDescent="0.35">
      <c r="B7" s="251">
        <v>13</v>
      </c>
      <c r="C7" s="258">
        <v>80000</v>
      </c>
      <c r="D7" s="258">
        <v>83000</v>
      </c>
      <c r="E7" s="278">
        <f>D7*(1+'Rhaniad y Ddeiliadaeth (De-ddn)'!C$118)</f>
        <v>86984</v>
      </c>
      <c r="F7" s="278">
        <f>E7*(1+'Rhaniad y Ddeiliadaeth (De-ddn)'!D$118)</f>
        <v>92055.167199999996</v>
      </c>
      <c r="G7" s="278">
        <f>F7*(1+'Rhaniad y Ddeiliadaeth (De-ddn)'!E$118)</f>
        <v>98557.661771942192</v>
      </c>
      <c r="H7" s="278">
        <f>G7*(1+'Rhaniad y Ddeiliadaeth (De-ddn)'!F$118)</f>
        <v>103921.25559521375</v>
      </c>
      <c r="I7" s="279">
        <f>H7*(1+'Rhaniad y Ddeiliadaeth (De-ddn)'!G$118)</f>
        <v>108305.04161789767</v>
      </c>
      <c r="K7" s="10" t="str">
        <f>IF(K4="","",IF(O85=1,"Dewis defnyddiwr anghyflawn",IF(O85=0,"Dewis defnyddiwr yn gyflawn","")))</f>
        <v/>
      </c>
      <c r="M7" s="36" t="str">
        <f t="shared" si="0"/>
        <v/>
      </c>
      <c r="N7" s="202"/>
      <c r="O7" s="13">
        <f t="shared" si="3"/>
        <v>1</v>
      </c>
      <c r="U7" s="1">
        <f t="shared" si="1"/>
        <v>13</v>
      </c>
      <c r="V7" s="4" t="str">
        <f t="shared" si="2"/>
        <v/>
      </c>
      <c r="W7" s="4" t="e">
        <f>IF($W$3=$N$3,N7,V7*(1+'Rhaniad y Ddeiliadaeth (Cymru)'!C$118))</f>
        <v>#VALUE!</v>
      </c>
      <c r="X7" s="4" t="e">
        <f>W7*(1+'Rhaniad y Ddeiliadaeth (Cymru)'!D$118)</f>
        <v>#VALUE!</v>
      </c>
      <c r="Y7" s="4" t="e">
        <f>X7*(1+'Rhaniad y Ddeiliadaeth (Cymru)'!E$118)</f>
        <v>#VALUE!</v>
      </c>
      <c r="Z7" s="4" t="e">
        <f>Y7*(1+'Rhaniad y Ddeiliadaeth (Cymru)'!F$118)</f>
        <v>#VALUE!</v>
      </c>
      <c r="AA7" s="4" t="e">
        <f>Z7*(1+'Rhaniad y Ddeiliadaeth (Cymru)'!G$118)</f>
        <v>#VALUE!</v>
      </c>
      <c r="AC7" s="260">
        <v>13</v>
      </c>
      <c r="AD7" s="4">
        <f>IF('Rhaniad y Ddeiliadaeth (Cymru)'!$D$18="Data Cofrestrfa Tir",'Prisiau Tai (De-ddwyrain)'!E7,'Prisiau Tai (De-ddwyrain)'!W7)</f>
        <v>86984</v>
      </c>
      <c r="AE7" s="4">
        <f>IF('Rhaniad y Ddeiliadaeth (Cymru)'!$D$18="Data Cofrestrfa Tir",'Prisiau Tai (De-ddwyrain)'!F7,'Prisiau Tai (De-ddwyrain)'!X7)</f>
        <v>92055.167199999996</v>
      </c>
      <c r="AF7" s="4">
        <f>IF('Rhaniad y Ddeiliadaeth (Cymru)'!$D$18="Data Cofrestrfa Tir",'Prisiau Tai (De-ddwyrain)'!G7,'Prisiau Tai (De-ddwyrain)'!Y7)</f>
        <v>98557.661771942192</v>
      </c>
      <c r="AG7" s="4">
        <f>IF('Rhaniad y Ddeiliadaeth (Cymru)'!$D$18="Data Cofrestrfa Tir",'Prisiau Tai (De-ddwyrain)'!H7,'Prisiau Tai (De-ddwyrain)'!Z7)</f>
        <v>103921.25559521375</v>
      </c>
      <c r="AH7" s="4">
        <f>IF('Rhaniad y Ddeiliadaeth (Cymru)'!$D$18="Data Cofrestrfa Tir",'Prisiau Tai (De-ddwyrain)'!I7,'Prisiau Tai (De-ddwyrain)'!AA7)</f>
        <v>108305.04161789767</v>
      </c>
    </row>
    <row r="8" spans="2:34" x14ac:dyDescent="0.35">
      <c r="B8" s="251">
        <v>14</v>
      </c>
      <c r="C8" s="258">
        <v>82000</v>
      </c>
      <c r="D8" s="258">
        <v>85000</v>
      </c>
      <c r="E8" s="278">
        <f>D8*(1+'Rhaniad y Ddeiliadaeth (De-ddn)'!C$118)</f>
        <v>89080</v>
      </c>
      <c r="F8" s="278">
        <f>E8*(1+'Rhaniad y Ddeiliadaeth (De-ddn)'!D$118)</f>
        <v>94273.364000000001</v>
      </c>
      <c r="G8" s="278">
        <f>F8*(1+'Rhaniad y Ddeiliadaeth (De-ddn)'!E$118)</f>
        <v>100932.54518813358</v>
      </c>
      <c r="H8" s="278">
        <f>G8*(1+'Rhaniad y Ddeiliadaeth (De-ddn)'!F$118)</f>
        <v>106425.38223606227</v>
      </c>
      <c r="I8" s="279">
        <f>H8*(1+'Rhaniad y Ddeiliadaeth (De-ddn)'!G$118)</f>
        <v>110914.80165688315</v>
      </c>
      <c r="M8" s="36" t="str">
        <f t="shared" si="0"/>
        <v/>
      </c>
      <c r="N8" s="202"/>
      <c r="O8" s="13">
        <f t="shared" si="3"/>
        <v>1</v>
      </c>
      <c r="U8" s="1">
        <f t="shared" si="1"/>
        <v>14</v>
      </c>
      <c r="V8" s="4" t="str">
        <f t="shared" si="2"/>
        <v/>
      </c>
      <c r="W8" s="4" t="e">
        <f>IF($W$3=$N$3,N8,V8*(1+'Rhaniad y Ddeiliadaeth (Cymru)'!C$118))</f>
        <v>#VALUE!</v>
      </c>
      <c r="X8" s="4" t="e">
        <f>W8*(1+'Rhaniad y Ddeiliadaeth (Cymru)'!D$118)</f>
        <v>#VALUE!</v>
      </c>
      <c r="Y8" s="4" t="e">
        <f>X8*(1+'Rhaniad y Ddeiliadaeth (Cymru)'!E$118)</f>
        <v>#VALUE!</v>
      </c>
      <c r="Z8" s="4" t="e">
        <f>Y8*(1+'Rhaniad y Ddeiliadaeth (Cymru)'!F$118)</f>
        <v>#VALUE!</v>
      </c>
      <c r="AA8" s="4" t="e">
        <f>Z8*(1+'Rhaniad y Ddeiliadaeth (Cymru)'!G$118)</f>
        <v>#VALUE!</v>
      </c>
      <c r="AC8" s="260">
        <v>14</v>
      </c>
      <c r="AD8" s="4">
        <f>IF('Rhaniad y Ddeiliadaeth (Cymru)'!$D$18="Data Cofrestrfa Tir",'Prisiau Tai (De-ddwyrain)'!E8,'Prisiau Tai (De-ddwyrain)'!W8)</f>
        <v>89080</v>
      </c>
      <c r="AE8" s="4">
        <f>IF('Rhaniad y Ddeiliadaeth (Cymru)'!$D$18="Data Cofrestrfa Tir",'Prisiau Tai (De-ddwyrain)'!F8,'Prisiau Tai (De-ddwyrain)'!X8)</f>
        <v>94273.364000000001</v>
      </c>
      <c r="AF8" s="4">
        <f>IF('Rhaniad y Ddeiliadaeth (Cymru)'!$D$18="Data Cofrestrfa Tir",'Prisiau Tai (De-ddwyrain)'!G8,'Prisiau Tai (De-ddwyrain)'!Y8)</f>
        <v>100932.54518813358</v>
      </c>
      <c r="AG8" s="4">
        <f>IF('Rhaniad y Ddeiliadaeth (Cymru)'!$D$18="Data Cofrestrfa Tir",'Prisiau Tai (De-ddwyrain)'!H8,'Prisiau Tai (De-ddwyrain)'!Z8)</f>
        <v>106425.38223606227</v>
      </c>
      <c r="AH8" s="4">
        <f>IF('Rhaniad y Ddeiliadaeth (Cymru)'!$D$18="Data Cofrestrfa Tir",'Prisiau Tai (De-ddwyrain)'!I8,'Prisiau Tai (De-ddwyrain)'!AA8)</f>
        <v>110914.80165688315</v>
      </c>
    </row>
    <row r="9" spans="2:34" ht="14.5" customHeight="1" x14ac:dyDescent="0.35">
      <c r="B9" s="251">
        <v>15</v>
      </c>
      <c r="C9" s="258">
        <v>84000</v>
      </c>
      <c r="D9" s="258">
        <v>88000</v>
      </c>
      <c r="E9" s="278">
        <f>D9*(1+'Rhaniad y Ddeiliadaeth (De-ddn)'!C$118)</f>
        <v>92224</v>
      </c>
      <c r="F9" s="278">
        <f>E9*(1+'Rhaniad y Ddeiliadaeth (De-ddn)'!D$118)</f>
        <v>97600.659199999995</v>
      </c>
      <c r="G9" s="278">
        <f>F9*(1+'Rhaniad y Ddeiliadaeth (De-ddn)'!E$118)</f>
        <v>104494.87031242064</v>
      </c>
      <c r="H9" s="278">
        <f>G9*(1+'Rhaniad y Ddeiliadaeth (De-ddn)'!F$118)</f>
        <v>110181.57219733506</v>
      </c>
      <c r="I9" s="279">
        <f>H9*(1+'Rhaniad y Ddeiliadaeth (De-ddn)'!G$118)</f>
        <v>114829.44171536139</v>
      </c>
      <c r="K9" s="567" t="str">
        <f>IF(K4="","Os ydych am ddefnyddio eich dosraniad data incwm eich hunan, newidiwch y dewis yn y blwch","")</f>
        <v>Os ydych am ddefnyddio eich dosraniad data incwm eich hunan, newidiwch y dewis yn y blwch</v>
      </c>
      <c r="M9" s="36" t="str">
        <f t="shared" si="0"/>
        <v/>
      </c>
      <c r="N9" s="202"/>
      <c r="O9" s="13">
        <f t="shared" si="3"/>
        <v>1</v>
      </c>
      <c r="U9" s="1">
        <f t="shared" si="1"/>
        <v>15</v>
      </c>
      <c r="V9" s="4" t="str">
        <f t="shared" si="2"/>
        <v/>
      </c>
      <c r="W9" s="4" t="e">
        <f>IF($W$3=$N$3,N9,V9*(1+'Rhaniad y Ddeiliadaeth (Cymru)'!C$118))</f>
        <v>#VALUE!</v>
      </c>
      <c r="X9" s="4" t="e">
        <f>W9*(1+'Rhaniad y Ddeiliadaeth (Cymru)'!D$118)</f>
        <v>#VALUE!</v>
      </c>
      <c r="Y9" s="4" t="e">
        <f>X9*(1+'Rhaniad y Ddeiliadaeth (Cymru)'!E$118)</f>
        <v>#VALUE!</v>
      </c>
      <c r="Z9" s="4" t="e">
        <f>Y9*(1+'Rhaniad y Ddeiliadaeth (Cymru)'!F$118)</f>
        <v>#VALUE!</v>
      </c>
      <c r="AA9" s="4" t="e">
        <f>Z9*(1+'Rhaniad y Ddeiliadaeth (Cymru)'!G$118)</f>
        <v>#VALUE!</v>
      </c>
      <c r="AC9" s="260">
        <v>15</v>
      </c>
      <c r="AD9" s="4">
        <f>IF('Rhaniad y Ddeiliadaeth (Cymru)'!$D$18="Data Cofrestrfa Tir",'Prisiau Tai (De-ddwyrain)'!E9,'Prisiau Tai (De-ddwyrain)'!W9)</f>
        <v>92224</v>
      </c>
      <c r="AE9" s="4">
        <f>IF('Rhaniad y Ddeiliadaeth (Cymru)'!$D$18="Data Cofrestrfa Tir",'Prisiau Tai (De-ddwyrain)'!F9,'Prisiau Tai (De-ddwyrain)'!X9)</f>
        <v>97600.659199999995</v>
      </c>
      <c r="AF9" s="4">
        <f>IF('Rhaniad y Ddeiliadaeth (Cymru)'!$D$18="Data Cofrestrfa Tir",'Prisiau Tai (De-ddwyrain)'!G9,'Prisiau Tai (De-ddwyrain)'!Y9)</f>
        <v>104494.87031242064</v>
      </c>
      <c r="AG9" s="4">
        <f>IF('Rhaniad y Ddeiliadaeth (Cymru)'!$D$18="Data Cofrestrfa Tir",'Prisiau Tai (De-ddwyrain)'!H9,'Prisiau Tai (De-ddwyrain)'!Z9)</f>
        <v>110181.57219733506</v>
      </c>
      <c r="AH9" s="4">
        <f>IF('Rhaniad y Ddeiliadaeth (Cymru)'!$D$18="Data Cofrestrfa Tir",'Prisiau Tai (De-ddwyrain)'!I9,'Prisiau Tai (De-ddwyrain)'!AA9)</f>
        <v>114829.44171536139</v>
      </c>
    </row>
    <row r="10" spans="2:34" x14ac:dyDescent="0.35">
      <c r="B10" s="251">
        <v>16</v>
      </c>
      <c r="C10" s="258">
        <v>85536.000000000029</v>
      </c>
      <c r="D10" s="258">
        <v>90000</v>
      </c>
      <c r="E10" s="278">
        <f>D10*(1+'Rhaniad y Ddeiliadaeth (De-ddn)'!C$118)</f>
        <v>94320</v>
      </c>
      <c r="F10" s="278">
        <f>E10*(1+'Rhaniad y Ddeiliadaeth (De-ddn)'!D$118)</f>
        <v>99818.856</v>
      </c>
      <c r="G10" s="278">
        <f>F10*(1+'Rhaniad y Ddeiliadaeth (De-ddn)'!E$118)</f>
        <v>106869.75372861202</v>
      </c>
      <c r="H10" s="278">
        <f>G10*(1+'Rhaniad y Ddeiliadaeth (De-ddn)'!F$118)</f>
        <v>112685.69883818358</v>
      </c>
      <c r="I10" s="279">
        <f>H10*(1+'Rhaniad y Ddeiliadaeth (De-ddn)'!G$118)</f>
        <v>117439.20175434687</v>
      </c>
      <c r="K10" s="567"/>
      <c r="M10" s="36" t="str">
        <f t="shared" si="0"/>
        <v/>
      </c>
      <c r="N10" s="202"/>
      <c r="O10" s="13">
        <f t="shared" si="3"/>
        <v>1</v>
      </c>
      <c r="U10" s="1">
        <f t="shared" si="1"/>
        <v>16</v>
      </c>
      <c r="V10" s="4" t="str">
        <f t="shared" si="2"/>
        <v/>
      </c>
      <c r="W10" s="4" t="e">
        <f>IF($W$3=$N$3,N10,V10*(1+'Rhaniad y Ddeiliadaeth (Cymru)'!C$118))</f>
        <v>#VALUE!</v>
      </c>
      <c r="X10" s="4" t="e">
        <f>W10*(1+'Rhaniad y Ddeiliadaeth (Cymru)'!D$118)</f>
        <v>#VALUE!</v>
      </c>
      <c r="Y10" s="4" t="e">
        <f>X10*(1+'Rhaniad y Ddeiliadaeth (Cymru)'!E$118)</f>
        <v>#VALUE!</v>
      </c>
      <c r="Z10" s="4" t="e">
        <f>Y10*(1+'Rhaniad y Ddeiliadaeth (Cymru)'!F$118)</f>
        <v>#VALUE!</v>
      </c>
      <c r="AA10" s="4" t="e">
        <f>Z10*(1+'Rhaniad y Ddeiliadaeth (Cymru)'!G$118)</f>
        <v>#VALUE!</v>
      </c>
      <c r="AC10" s="260">
        <v>16</v>
      </c>
      <c r="AD10" s="4">
        <f>IF('Rhaniad y Ddeiliadaeth (Cymru)'!$D$18="Data Cofrestrfa Tir",'Prisiau Tai (De-ddwyrain)'!E10,'Prisiau Tai (De-ddwyrain)'!W10)</f>
        <v>94320</v>
      </c>
      <c r="AE10" s="4">
        <f>IF('Rhaniad y Ddeiliadaeth (Cymru)'!$D$18="Data Cofrestrfa Tir",'Prisiau Tai (De-ddwyrain)'!F10,'Prisiau Tai (De-ddwyrain)'!X10)</f>
        <v>99818.856</v>
      </c>
      <c r="AF10" s="4">
        <f>IF('Rhaniad y Ddeiliadaeth (Cymru)'!$D$18="Data Cofrestrfa Tir",'Prisiau Tai (De-ddwyrain)'!G10,'Prisiau Tai (De-ddwyrain)'!Y10)</f>
        <v>106869.75372861202</v>
      </c>
      <c r="AG10" s="4">
        <f>IF('Rhaniad y Ddeiliadaeth (Cymru)'!$D$18="Data Cofrestrfa Tir",'Prisiau Tai (De-ddwyrain)'!H10,'Prisiau Tai (De-ddwyrain)'!Z10)</f>
        <v>112685.69883818358</v>
      </c>
      <c r="AH10" s="4">
        <f>IF('Rhaniad y Ddeiliadaeth (Cymru)'!$D$18="Data Cofrestrfa Tir",'Prisiau Tai (De-ddwyrain)'!I10,'Prisiau Tai (De-ddwyrain)'!AA10)</f>
        <v>117439.20175434687</v>
      </c>
    </row>
    <row r="11" spans="2:34" x14ac:dyDescent="0.35">
      <c r="B11" s="251">
        <v>17</v>
      </c>
      <c r="C11" s="258">
        <v>88000</v>
      </c>
      <c r="D11" s="258">
        <v>92500</v>
      </c>
      <c r="E11" s="278">
        <f>D11*(1+'Rhaniad y Ddeiliadaeth (De-ddn)'!C$118)</f>
        <v>96940</v>
      </c>
      <c r="F11" s="278">
        <f>E11*(1+'Rhaniad y Ddeiliadaeth (De-ddn)'!D$118)</f>
        <v>102591.602</v>
      </c>
      <c r="G11" s="278">
        <f>F11*(1+'Rhaniad y Ddeiliadaeth (De-ddn)'!E$118)</f>
        <v>109838.35799885124</v>
      </c>
      <c r="H11" s="278">
        <f>G11*(1+'Rhaniad y Ddeiliadaeth (De-ddn)'!F$118)</f>
        <v>115815.85713924422</v>
      </c>
      <c r="I11" s="279">
        <f>H11*(1+'Rhaniad y Ddeiliadaeth (De-ddn)'!G$118)</f>
        <v>120701.40180307871</v>
      </c>
      <c r="K11" s="246"/>
      <c r="M11" s="36" t="str">
        <f t="shared" si="0"/>
        <v/>
      </c>
      <c r="N11" s="202"/>
      <c r="O11" s="13">
        <f t="shared" si="3"/>
        <v>1</v>
      </c>
      <c r="U11" s="1">
        <f t="shared" si="1"/>
        <v>17</v>
      </c>
      <c r="V11" s="4" t="str">
        <f t="shared" si="2"/>
        <v/>
      </c>
      <c r="W11" s="4" t="e">
        <f>IF($W$3=$N$3,N11,V11*(1+'Rhaniad y Ddeiliadaeth (Cymru)'!C$118))</f>
        <v>#VALUE!</v>
      </c>
      <c r="X11" s="4" t="e">
        <f>W11*(1+'Rhaniad y Ddeiliadaeth (Cymru)'!D$118)</f>
        <v>#VALUE!</v>
      </c>
      <c r="Y11" s="4" t="e">
        <f>X11*(1+'Rhaniad y Ddeiliadaeth (Cymru)'!E$118)</f>
        <v>#VALUE!</v>
      </c>
      <c r="Z11" s="4" t="e">
        <f>Y11*(1+'Rhaniad y Ddeiliadaeth (Cymru)'!F$118)</f>
        <v>#VALUE!</v>
      </c>
      <c r="AA11" s="4" t="e">
        <f>Z11*(1+'Rhaniad y Ddeiliadaeth (Cymru)'!G$118)</f>
        <v>#VALUE!</v>
      </c>
      <c r="AC11" s="260">
        <v>17</v>
      </c>
      <c r="AD11" s="4">
        <f>IF('Rhaniad y Ddeiliadaeth (Cymru)'!$D$18="Data Cofrestrfa Tir",'Prisiau Tai (De-ddwyrain)'!E11,'Prisiau Tai (De-ddwyrain)'!W11)</f>
        <v>96940</v>
      </c>
      <c r="AE11" s="4">
        <f>IF('Rhaniad y Ddeiliadaeth (Cymru)'!$D$18="Data Cofrestrfa Tir",'Prisiau Tai (De-ddwyrain)'!F11,'Prisiau Tai (De-ddwyrain)'!X11)</f>
        <v>102591.602</v>
      </c>
      <c r="AF11" s="4">
        <f>IF('Rhaniad y Ddeiliadaeth (Cymru)'!$D$18="Data Cofrestrfa Tir",'Prisiau Tai (De-ddwyrain)'!G11,'Prisiau Tai (De-ddwyrain)'!Y11)</f>
        <v>109838.35799885124</v>
      </c>
      <c r="AG11" s="4">
        <f>IF('Rhaniad y Ddeiliadaeth (Cymru)'!$D$18="Data Cofrestrfa Tir",'Prisiau Tai (De-ddwyrain)'!H11,'Prisiau Tai (De-ddwyrain)'!Z11)</f>
        <v>115815.85713924422</v>
      </c>
      <c r="AH11" s="4">
        <f>IF('Rhaniad y Ddeiliadaeth (Cymru)'!$D$18="Data Cofrestrfa Tir",'Prisiau Tai (De-ddwyrain)'!I11,'Prisiau Tai (De-ddwyrain)'!AA11)</f>
        <v>120701.40180307871</v>
      </c>
    </row>
    <row r="12" spans="2:34" x14ac:dyDescent="0.35">
      <c r="B12" s="251">
        <v>18</v>
      </c>
      <c r="C12" s="258">
        <v>90000</v>
      </c>
      <c r="D12" s="258">
        <v>95000</v>
      </c>
      <c r="E12" s="278">
        <f>D12*(1+'Rhaniad y Ddeiliadaeth (De-ddn)'!C$118)</f>
        <v>99560</v>
      </c>
      <c r="F12" s="278">
        <f>E12*(1+'Rhaniad y Ddeiliadaeth (De-ddn)'!D$118)</f>
        <v>105364.348</v>
      </c>
      <c r="G12" s="278">
        <f>F12*(1+'Rhaniad y Ddeiliadaeth (De-ddn)'!E$118)</f>
        <v>112806.96226909047</v>
      </c>
      <c r="H12" s="278">
        <f>G12*(1+'Rhaniad y Ddeiliadaeth (De-ddn)'!F$118)</f>
        <v>118946.01544030489</v>
      </c>
      <c r="I12" s="279">
        <f>H12*(1+'Rhaniad y Ddeiliadaeth (De-ddn)'!G$118)</f>
        <v>123963.60185181058</v>
      </c>
      <c r="K12" s="246"/>
      <c r="M12" s="36" t="str">
        <f t="shared" si="0"/>
        <v/>
      </c>
      <c r="N12" s="202"/>
      <c r="O12" s="13">
        <f t="shared" si="3"/>
        <v>1</v>
      </c>
      <c r="U12" s="1">
        <f t="shared" si="1"/>
        <v>18</v>
      </c>
      <c r="V12" s="4" t="str">
        <f t="shared" si="2"/>
        <v/>
      </c>
      <c r="W12" s="4" t="e">
        <f>IF($W$3=$N$3,N12,V12*(1+'Rhaniad y Ddeiliadaeth (Cymru)'!C$118))</f>
        <v>#VALUE!</v>
      </c>
      <c r="X12" s="4" t="e">
        <f>W12*(1+'Rhaniad y Ddeiliadaeth (Cymru)'!D$118)</f>
        <v>#VALUE!</v>
      </c>
      <c r="Y12" s="4" t="e">
        <f>X12*(1+'Rhaniad y Ddeiliadaeth (Cymru)'!E$118)</f>
        <v>#VALUE!</v>
      </c>
      <c r="Z12" s="4" t="e">
        <f>Y12*(1+'Rhaniad y Ddeiliadaeth (Cymru)'!F$118)</f>
        <v>#VALUE!</v>
      </c>
      <c r="AA12" s="4" t="e">
        <f>Z12*(1+'Rhaniad y Ddeiliadaeth (Cymru)'!G$118)</f>
        <v>#VALUE!</v>
      </c>
      <c r="AC12" s="260">
        <v>18</v>
      </c>
      <c r="AD12" s="4">
        <f>IF('Rhaniad y Ddeiliadaeth (Cymru)'!$D$18="Data Cofrestrfa Tir",'Prisiau Tai (De-ddwyrain)'!E12,'Prisiau Tai (De-ddwyrain)'!W12)</f>
        <v>99560</v>
      </c>
      <c r="AE12" s="4">
        <f>IF('Rhaniad y Ddeiliadaeth (Cymru)'!$D$18="Data Cofrestrfa Tir",'Prisiau Tai (De-ddwyrain)'!F12,'Prisiau Tai (De-ddwyrain)'!X12)</f>
        <v>105364.348</v>
      </c>
      <c r="AF12" s="4">
        <f>IF('Rhaniad y Ddeiliadaeth (Cymru)'!$D$18="Data Cofrestrfa Tir",'Prisiau Tai (De-ddwyrain)'!G12,'Prisiau Tai (De-ddwyrain)'!Y12)</f>
        <v>112806.96226909047</v>
      </c>
      <c r="AG12" s="4">
        <f>IF('Rhaniad y Ddeiliadaeth (Cymru)'!$D$18="Data Cofrestrfa Tir",'Prisiau Tai (De-ddwyrain)'!H12,'Prisiau Tai (De-ddwyrain)'!Z12)</f>
        <v>118946.01544030489</v>
      </c>
      <c r="AH12" s="4">
        <f>IF('Rhaniad y Ddeiliadaeth (Cymru)'!$D$18="Data Cofrestrfa Tir",'Prisiau Tai (De-ddwyrain)'!I12,'Prisiau Tai (De-ddwyrain)'!AA12)</f>
        <v>123963.60185181058</v>
      </c>
    </row>
    <row r="13" spans="2:34" x14ac:dyDescent="0.35">
      <c r="B13" s="251">
        <v>19</v>
      </c>
      <c r="C13" s="258">
        <v>92500</v>
      </c>
      <c r="D13" s="258">
        <v>97000</v>
      </c>
      <c r="E13" s="278">
        <f>D13*(1+'Rhaniad y Ddeiliadaeth (De-ddn)'!C$118)</f>
        <v>101656</v>
      </c>
      <c r="F13" s="278">
        <f>E13*(1+'Rhaniad y Ddeiliadaeth (De-ddn)'!D$118)</f>
        <v>107582.5448</v>
      </c>
      <c r="G13" s="278">
        <f>F13*(1+'Rhaniad y Ddeiliadaeth (De-ddn)'!E$118)</f>
        <v>115181.84568528185</v>
      </c>
      <c r="H13" s="278">
        <f>G13*(1+'Rhaniad y Ddeiliadaeth (De-ddn)'!F$118)</f>
        <v>121450.14208115342</v>
      </c>
      <c r="I13" s="279">
        <f>H13*(1+'Rhaniad y Ddeiliadaeth (De-ddn)'!G$118)</f>
        <v>126573.36189079608</v>
      </c>
      <c r="K13" s="246"/>
      <c r="M13" s="36" t="str">
        <f t="shared" si="0"/>
        <v/>
      </c>
      <c r="N13" s="202"/>
      <c r="O13" s="13">
        <f t="shared" si="3"/>
        <v>1</v>
      </c>
      <c r="U13" s="1">
        <f t="shared" si="1"/>
        <v>19</v>
      </c>
      <c r="V13" s="4" t="str">
        <f t="shared" si="2"/>
        <v/>
      </c>
      <c r="W13" s="4" t="e">
        <f>IF($W$3=$N$3,N13,V13*(1+'Rhaniad y Ddeiliadaeth (Cymru)'!C$118))</f>
        <v>#VALUE!</v>
      </c>
      <c r="X13" s="4" t="e">
        <f>W13*(1+'Rhaniad y Ddeiliadaeth (Cymru)'!D$118)</f>
        <v>#VALUE!</v>
      </c>
      <c r="Y13" s="4" t="e">
        <f>X13*(1+'Rhaniad y Ddeiliadaeth (Cymru)'!E$118)</f>
        <v>#VALUE!</v>
      </c>
      <c r="Z13" s="4" t="e">
        <f>Y13*(1+'Rhaniad y Ddeiliadaeth (Cymru)'!F$118)</f>
        <v>#VALUE!</v>
      </c>
      <c r="AA13" s="4" t="e">
        <f>Z13*(1+'Rhaniad y Ddeiliadaeth (Cymru)'!G$118)</f>
        <v>#VALUE!</v>
      </c>
      <c r="AC13" s="260">
        <v>19</v>
      </c>
      <c r="AD13" s="4">
        <f>IF('Rhaniad y Ddeiliadaeth (Cymru)'!$D$18="Data Cofrestrfa Tir",'Prisiau Tai (De-ddwyrain)'!E13,'Prisiau Tai (De-ddwyrain)'!W13)</f>
        <v>101656</v>
      </c>
      <c r="AE13" s="4">
        <f>IF('Rhaniad y Ddeiliadaeth (Cymru)'!$D$18="Data Cofrestrfa Tir",'Prisiau Tai (De-ddwyrain)'!F13,'Prisiau Tai (De-ddwyrain)'!X13)</f>
        <v>107582.5448</v>
      </c>
      <c r="AF13" s="4">
        <f>IF('Rhaniad y Ddeiliadaeth (Cymru)'!$D$18="Data Cofrestrfa Tir",'Prisiau Tai (De-ddwyrain)'!G13,'Prisiau Tai (De-ddwyrain)'!Y13)</f>
        <v>115181.84568528185</v>
      </c>
      <c r="AG13" s="4">
        <f>IF('Rhaniad y Ddeiliadaeth (Cymru)'!$D$18="Data Cofrestrfa Tir",'Prisiau Tai (De-ddwyrain)'!H13,'Prisiau Tai (De-ddwyrain)'!Z13)</f>
        <v>121450.14208115342</v>
      </c>
      <c r="AH13" s="4">
        <f>IF('Rhaniad y Ddeiliadaeth (Cymru)'!$D$18="Data Cofrestrfa Tir",'Prisiau Tai (De-ddwyrain)'!I13,'Prisiau Tai (De-ddwyrain)'!AA13)</f>
        <v>126573.36189079608</v>
      </c>
    </row>
    <row r="14" spans="2:34" x14ac:dyDescent="0.35">
      <c r="B14" s="251">
        <v>20</v>
      </c>
      <c r="C14" s="258">
        <v>95000</v>
      </c>
      <c r="D14" s="258">
        <v>100000</v>
      </c>
      <c r="E14" s="278">
        <f>D14*(1+'Rhaniad y Ddeiliadaeth (De-ddn)'!C$118)</f>
        <v>104800</v>
      </c>
      <c r="F14" s="278">
        <f>E14*(1+'Rhaniad y Ddeiliadaeth (De-ddn)'!D$118)</f>
        <v>110909.84</v>
      </c>
      <c r="G14" s="278">
        <f>F14*(1+'Rhaniad y Ddeiliadaeth (De-ddn)'!E$118)</f>
        <v>118744.17080956891</v>
      </c>
      <c r="H14" s="278">
        <f>G14*(1+'Rhaniad y Ddeiliadaeth (De-ddn)'!F$118)</f>
        <v>125206.33204242621</v>
      </c>
      <c r="I14" s="279">
        <f>H14*(1+'Rhaniad y Ddeiliadaeth (De-ddn)'!G$118)</f>
        <v>130488.0019492743</v>
      </c>
      <c r="M14" s="36" t="str">
        <f t="shared" si="0"/>
        <v/>
      </c>
      <c r="N14" s="202"/>
      <c r="O14" s="13">
        <f t="shared" si="3"/>
        <v>1</v>
      </c>
      <c r="U14" s="1">
        <f t="shared" si="1"/>
        <v>20</v>
      </c>
      <c r="V14" s="4" t="str">
        <f t="shared" si="2"/>
        <v/>
      </c>
      <c r="W14" s="4" t="e">
        <f>IF($W$3=$N$3,N14,V14*(1+'Rhaniad y Ddeiliadaeth (Cymru)'!C$118))</f>
        <v>#VALUE!</v>
      </c>
      <c r="X14" s="4" t="e">
        <f>W14*(1+'Rhaniad y Ddeiliadaeth (Cymru)'!D$118)</f>
        <v>#VALUE!</v>
      </c>
      <c r="Y14" s="4" t="e">
        <f>X14*(1+'Rhaniad y Ddeiliadaeth (Cymru)'!E$118)</f>
        <v>#VALUE!</v>
      </c>
      <c r="Z14" s="4" t="e">
        <f>Y14*(1+'Rhaniad y Ddeiliadaeth (Cymru)'!F$118)</f>
        <v>#VALUE!</v>
      </c>
      <c r="AA14" s="4" t="e">
        <f>Z14*(1+'Rhaniad y Ddeiliadaeth (Cymru)'!G$118)</f>
        <v>#VALUE!</v>
      </c>
      <c r="AC14" s="260">
        <v>20</v>
      </c>
      <c r="AD14" s="4">
        <f>IF('Rhaniad y Ddeiliadaeth (Cymru)'!$D$18="Data Cofrestrfa Tir",'Prisiau Tai (De-ddwyrain)'!E14,'Prisiau Tai (De-ddwyrain)'!W14)</f>
        <v>104800</v>
      </c>
      <c r="AE14" s="4">
        <f>IF('Rhaniad y Ddeiliadaeth (Cymru)'!$D$18="Data Cofrestrfa Tir",'Prisiau Tai (De-ddwyrain)'!F14,'Prisiau Tai (De-ddwyrain)'!X14)</f>
        <v>110909.84</v>
      </c>
      <c r="AF14" s="4">
        <f>IF('Rhaniad y Ddeiliadaeth (Cymru)'!$D$18="Data Cofrestrfa Tir",'Prisiau Tai (De-ddwyrain)'!G14,'Prisiau Tai (De-ddwyrain)'!Y14)</f>
        <v>118744.17080956891</v>
      </c>
      <c r="AG14" s="4">
        <f>IF('Rhaniad y Ddeiliadaeth (Cymru)'!$D$18="Data Cofrestrfa Tir",'Prisiau Tai (De-ddwyrain)'!H14,'Prisiau Tai (De-ddwyrain)'!Z14)</f>
        <v>125206.33204242621</v>
      </c>
      <c r="AH14" s="4">
        <f>IF('Rhaniad y Ddeiliadaeth (Cymru)'!$D$18="Data Cofrestrfa Tir",'Prisiau Tai (De-ddwyrain)'!I14,'Prisiau Tai (De-ddwyrain)'!AA14)</f>
        <v>130488.0019492743</v>
      </c>
    </row>
    <row r="15" spans="2:34" x14ac:dyDescent="0.35">
      <c r="B15" s="251">
        <v>21</v>
      </c>
      <c r="C15" s="258">
        <v>97000</v>
      </c>
      <c r="D15" s="258">
        <v>101500</v>
      </c>
      <c r="E15" s="278">
        <f>D15*(1+'Rhaniad y Ddeiliadaeth (De-ddn)'!C$118)</f>
        <v>106372</v>
      </c>
      <c r="F15" s="278">
        <f>E15*(1+'Rhaniad y Ddeiliadaeth (De-ddn)'!D$118)</f>
        <v>112573.48760000001</v>
      </c>
      <c r="G15" s="278">
        <f>F15*(1+'Rhaniad y Ddeiliadaeth (De-ddn)'!E$118)</f>
        <v>120525.33337171245</v>
      </c>
      <c r="H15" s="278">
        <f>G15*(1+'Rhaniad y Ddeiliadaeth (De-ddn)'!F$118)</f>
        <v>127084.4270230626</v>
      </c>
      <c r="I15" s="279">
        <f>H15*(1+'Rhaniad y Ddeiliadaeth (De-ddn)'!G$118)</f>
        <v>132445.32197851341</v>
      </c>
      <c r="M15" s="36" t="str">
        <f t="shared" si="0"/>
        <v/>
      </c>
      <c r="N15" s="202"/>
      <c r="O15" s="13">
        <f t="shared" si="3"/>
        <v>1</v>
      </c>
      <c r="U15" s="1">
        <f t="shared" si="1"/>
        <v>21</v>
      </c>
      <c r="V15" s="4" t="str">
        <f t="shared" si="2"/>
        <v/>
      </c>
      <c r="W15" s="4" t="e">
        <f>IF($W$3=$N$3,N15,V15*(1+'Rhaniad y Ddeiliadaeth (Cymru)'!C$118))</f>
        <v>#VALUE!</v>
      </c>
      <c r="X15" s="4" t="e">
        <f>W15*(1+'Rhaniad y Ddeiliadaeth (Cymru)'!D$118)</f>
        <v>#VALUE!</v>
      </c>
      <c r="Y15" s="4" t="e">
        <f>X15*(1+'Rhaniad y Ddeiliadaeth (Cymru)'!E$118)</f>
        <v>#VALUE!</v>
      </c>
      <c r="Z15" s="4" t="e">
        <f>Y15*(1+'Rhaniad y Ddeiliadaeth (Cymru)'!F$118)</f>
        <v>#VALUE!</v>
      </c>
      <c r="AA15" s="4" t="e">
        <f>Z15*(1+'Rhaniad y Ddeiliadaeth (Cymru)'!G$118)</f>
        <v>#VALUE!</v>
      </c>
      <c r="AC15" s="260">
        <v>21</v>
      </c>
      <c r="AD15" s="4">
        <f>IF('Rhaniad y Ddeiliadaeth (Cymru)'!$D$18="Data Cofrestrfa Tir",'Prisiau Tai (De-ddwyrain)'!E15,'Prisiau Tai (De-ddwyrain)'!W15)</f>
        <v>106372</v>
      </c>
      <c r="AE15" s="4">
        <f>IF('Rhaniad y Ddeiliadaeth (Cymru)'!$D$18="Data Cofrestrfa Tir",'Prisiau Tai (De-ddwyrain)'!F15,'Prisiau Tai (De-ddwyrain)'!X15)</f>
        <v>112573.48760000001</v>
      </c>
      <c r="AF15" s="4">
        <f>IF('Rhaniad y Ddeiliadaeth (Cymru)'!$D$18="Data Cofrestrfa Tir",'Prisiau Tai (De-ddwyrain)'!G15,'Prisiau Tai (De-ddwyrain)'!Y15)</f>
        <v>120525.33337171245</v>
      </c>
      <c r="AG15" s="4">
        <f>IF('Rhaniad y Ddeiliadaeth (Cymru)'!$D$18="Data Cofrestrfa Tir",'Prisiau Tai (De-ddwyrain)'!H15,'Prisiau Tai (De-ddwyrain)'!Z15)</f>
        <v>127084.4270230626</v>
      </c>
      <c r="AH15" s="4">
        <f>IF('Rhaniad y Ddeiliadaeth (Cymru)'!$D$18="Data Cofrestrfa Tir",'Prisiau Tai (De-ddwyrain)'!I15,'Prisiau Tai (De-ddwyrain)'!AA15)</f>
        <v>132445.32197851341</v>
      </c>
    </row>
    <row r="16" spans="2:34" x14ac:dyDescent="0.35">
      <c r="B16" s="251">
        <v>22</v>
      </c>
      <c r="C16" s="258">
        <v>99950</v>
      </c>
      <c r="D16" s="258">
        <v>105000</v>
      </c>
      <c r="E16" s="278">
        <f>D16*(1+'Rhaniad y Ddeiliadaeth (De-ddn)'!C$118)</f>
        <v>110040</v>
      </c>
      <c r="F16" s="278">
        <f>E16*(1+'Rhaniad y Ddeiliadaeth (De-ddn)'!D$118)</f>
        <v>116455.33199999999</v>
      </c>
      <c r="G16" s="278">
        <f>F16*(1+'Rhaniad y Ddeiliadaeth (De-ddn)'!E$118)</f>
        <v>124681.37935004735</v>
      </c>
      <c r="H16" s="278">
        <f>G16*(1+'Rhaniad y Ddeiliadaeth (De-ddn)'!F$118)</f>
        <v>131466.6486445475</v>
      </c>
      <c r="I16" s="279">
        <f>H16*(1+'Rhaniad y Ddeiliadaeth (De-ddn)'!G$118)</f>
        <v>137012.40204673802</v>
      </c>
      <c r="M16" s="36" t="str">
        <f t="shared" si="0"/>
        <v/>
      </c>
      <c r="N16" s="202"/>
      <c r="O16" s="13">
        <f t="shared" si="3"/>
        <v>1</v>
      </c>
      <c r="U16" s="1">
        <f t="shared" si="1"/>
        <v>22</v>
      </c>
      <c r="V16" s="4" t="str">
        <f t="shared" si="2"/>
        <v/>
      </c>
      <c r="W16" s="4" t="e">
        <f>IF($W$3=$N$3,N16,V16*(1+'Rhaniad y Ddeiliadaeth (Cymru)'!C$118))</f>
        <v>#VALUE!</v>
      </c>
      <c r="X16" s="4" t="e">
        <f>W16*(1+'Rhaniad y Ddeiliadaeth (Cymru)'!D$118)</f>
        <v>#VALUE!</v>
      </c>
      <c r="Y16" s="4" t="e">
        <f>X16*(1+'Rhaniad y Ddeiliadaeth (Cymru)'!E$118)</f>
        <v>#VALUE!</v>
      </c>
      <c r="Z16" s="4" t="e">
        <f>Y16*(1+'Rhaniad y Ddeiliadaeth (Cymru)'!F$118)</f>
        <v>#VALUE!</v>
      </c>
      <c r="AA16" s="4" t="e">
        <f>Z16*(1+'Rhaniad y Ddeiliadaeth (Cymru)'!G$118)</f>
        <v>#VALUE!</v>
      </c>
      <c r="AC16" s="260">
        <v>22</v>
      </c>
      <c r="AD16" s="4">
        <f>IF('Rhaniad y Ddeiliadaeth (Cymru)'!$D$18="Data Cofrestrfa Tir",'Prisiau Tai (De-ddwyrain)'!E16,'Prisiau Tai (De-ddwyrain)'!W16)</f>
        <v>110040</v>
      </c>
      <c r="AE16" s="4">
        <f>IF('Rhaniad y Ddeiliadaeth (Cymru)'!$D$18="Data Cofrestrfa Tir",'Prisiau Tai (De-ddwyrain)'!F16,'Prisiau Tai (De-ddwyrain)'!X16)</f>
        <v>116455.33199999999</v>
      </c>
      <c r="AF16" s="4">
        <f>IF('Rhaniad y Ddeiliadaeth (Cymru)'!$D$18="Data Cofrestrfa Tir",'Prisiau Tai (De-ddwyrain)'!G16,'Prisiau Tai (De-ddwyrain)'!Y16)</f>
        <v>124681.37935004735</v>
      </c>
      <c r="AG16" s="4">
        <f>IF('Rhaniad y Ddeiliadaeth (Cymru)'!$D$18="Data Cofrestrfa Tir",'Prisiau Tai (De-ddwyrain)'!H16,'Prisiau Tai (De-ddwyrain)'!Z16)</f>
        <v>131466.6486445475</v>
      </c>
      <c r="AH16" s="4">
        <f>IF('Rhaniad y Ddeiliadaeth (Cymru)'!$D$18="Data Cofrestrfa Tir",'Prisiau Tai (De-ddwyrain)'!I16,'Prisiau Tai (De-ddwyrain)'!AA16)</f>
        <v>137012.40204673802</v>
      </c>
    </row>
    <row r="17" spans="2:34" x14ac:dyDescent="0.35">
      <c r="B17" s="251">
        <v>23</v>
      </c>
      <c r="C17" s="258">
        <v>101000</v>
      </c>
      <c r="D17" s="258">
        <v>107000</v>
      </c>
      <c r="E17" s="278">
        <f>D17*(1+'Rhaniad y Ddeiliadaeth (De-ddn)'!C$118)</f>
        <v>112136</v>
      </c>
      <c r="F17" s="278">
        <f>E17*(1+'Rhaniad y Ddeiliadaeth (De-ddn)'!D$118)</f>
        <v>118673.5288</v>
      </c>
      <c r="G17" s="278">
        <f>F17*(1+'Rhaniad y Ddeiliadaeth (De-ddn)'!E$118)</f>
        <v>127056.26276623874</v>
      </c>
      <c r="H17" s="278">
        <f>G17*(1+'Rhaniad y Ddeiliadaeth (De-ddn)'!F$118)</f>
        <v>133970.77528539606</v>
      </c>
      <c r="I17" s="279">
        <f>H17*(1+'Rhaniad y Ddeiliadaeth (De-ddn)'!G$118)</f>
        <v>139622.16208572351</v>
      </c>
      <c r="M17" s="36" t="str">
        <f t="shared" si="0"/>
        <v/>
      </c>
      <c r="N17" s="202"/>
      <c r="O17" s="13">
        <f t="shared" si="3"/>
        <v>1</v>
      </c>
      <c r="U17" s="1">
        <f t="shared" si="1"/>
        <v>23</v>
      </c>
      <c r="V17" s="4" t="str">
        <f t="shared" si="2"/>
        <v/>
      </c>
      <c r="W17" s="4" t="e">
        <f>IF($W$3=$N$3,N17,V17*(1+'Rhaniad y Ddeiliadaeth (Cymru)'!C$118))</f>
        <v>#VALUE!</v>
      </c>
      <c r="X17" s="4" t="e">
        <f>W17*(1+'Rhaniad y Ddeiliadaeth (Cymru)'!D$118)</f>
        <v>#VALUE!</v>
      </c>
      <c r="Y17" s="4" t="e">
        <f>X17*(1+'Rhaniad y Ddeiliadaeth (Cymru)'!E$118)</f>
        <v>#VALUE!</v>
      </c>
      <c r="Z17" s="4" t="e">
        <f>Y17*(1+'Rhaniad y Ddeiliadaeth (Cymru)'!F$118)</f>
        <v>#VALUE!</v>
      </c>
      <c r="AA17" s="4" t="e">
        <f>Z17*(1+'Rhaniad y Ddeiliadaeth (Cymru)'!G$118)</f>
        <v>#VALUE!</v>
      </c>
      <c r="AC17" s="260">
        <v>23</v>
      </c>
      <c r="AD17" s="4">
        <f>IF('Rhaniad y Ddeiliadaeth (Cymru)'!$D$18="Data Cofrestrfa Tir",'Prisiau Tai (De-ddwyrain)'!E17,'Prisiau Tai (De-ddwyrain)'!W17)</f>
        <v>112136</v>
      </c>
      <c r="AE17" s="4">
        <f>IF('Rhaniad y Ddeiliadaeth (Cymru)'!$D$18="Data Cofrestrfa Tir",'Prisiau Tai (De-ddwyrain)'!F17,'Prisiau Tai (De-ddwyrain)'!X17)</f>
        <v>118673.5288</v>
      </c>
      <c r="AF17" s="4">
        <f>IF('Rhaniad y Ddeiliadaeth (Cymru)'!$D$18="Data Cofrestrfa Tir",'Prisiau Tai (De-ddwyrain)'!G17,'Prisiau Tai (De-ddwyrain)'!Y17)</f>
        <v>127056.26276623874</v>
      </c>
      <c r="AG17" s="4">
        <f>IF('Rhaniad y Ddeiliadaeth (Cymru)'!$D$18="Data Cofrestrfa Tir",'Prisiau Tai (De-ddwyrain)'!H17,'Prisiau Tai (De-ddwyrain)'!Z17)</f>
        <v>133970.77528539606</v>
      </c>
      <c r="AH17" s="4">
        <f>IF('Rhaniad y Ddeiliadaeth (Cymru)'!$D$18="Data Cofrestrfa Tir",'Prisiau Tai (De-ddwyrain)'!I17,'Prisiau Tai (De-ddwyrain)'!AA17)</f>
        <v>139622.16208572351</v>
      </c>
    </row>
    <row r="18" spans="2:34" x14ac:dyDescent="0.35">
      <c r="B18" s="251">
        <v>24</v>
      </c>
      <c r="C18" s="258">
        <v>104950</v>
      </c>
      <c r="D18" s="258">
        <v>110000</v>
      </c>
      <c r="E18" s="278">
        <f>D18*(1+'Rhaniad y Ddeiliadaeth (De-ddn)'!C$118)</f>
        <v>115280</v>
      </c>
      <c r="F18" s="278">
        <f>E18*(1+'Rhaniad y Ddeiliadaeth (De-ddn)'!D$118)</f>
        <v>122000.82400000001</v>
      </c>
      <c r="G18" s="278">
        <f>F18*(1+'Rhaniad y Ddeiliadaeth (De-ddn)'!E$118)</f>
        <v>130618.58789052581</v>
      </c>
      <c r="H18" s="278">
        <f>G18*(1+'Rhaniad y Ddeiliadaeth (De-ddn)'!F$118)</f>
        <v>137726.96524666884</v>
      </c>
      <c r="I18" s="279">
        <f>H18*(1+'Rhaniad y Ddeiliadaeth (De-ddn)'!G$118)</f>
        <v>143536.80214420176</v>
      </c>
      <c r="M18" s="36" t="str">
        <f t="shared" si="0"/>
        <v/>
      </c>
      <c r="N18" s="202"/>
      <c r="O18" s="13">
        <f t="shared" si="3"/>
        <v>1</v>
      </c>
      <c r="U18" s="1">
        <f t="shared" si="1"/>
        <v>24</v>
      </c>
      <c r="V18" s="4" t="str">
        <f t="shared" si="2"/>
        <v/>
      </c>
      <c r="W18" s="4" t="e">
        <f>IF($W$3=$N$3,N18,V18*(1+'Rhaniad y Ddeiliadaeth (Cymru)'!C$118))</f>
        <v>#VALUE!</v>
      </c>
      <c r="X18" s="4" t="e">
        <f>W18*(1+'Rhaniad y Ddeiliadaeth (Cymru)'!D$118)</f>
        <v>#VALUE!</v>
      </c>
      <c r="Y18" s="4" t="e">
        <f>X18*(1+'Rhaniad y Ddeiliadaeth (Cymru)'!E$118)</f>
        <v>#VALUE!</v>
      </c>
      <c r="Z18" s="4" t="e">
        <f>Y18*(1+'Rhaniad y Ddeiliadaeth (Cymru)'!F$118)</f>
        <v>#VALUE!</v>
      </c>
      <c r="AA18" s="4" t="e">
        <f>Z18*(1+'Rhaniad y Ddeiliadaeth (Cymru)'!G$118)</f>
        <v>#VALUE!</v>
      </c>
      <c r="AC18" s="260">
        <v>24</v>
      </c>
      <c r="AD18" s="4">
        <f>IF('Rhaniad y Ddeiliadaeth (Cymru)'!$D$18="Data Cofrestrfa Tir",'Prisiau Tai (De-ddwyrain)'!E18,'Prisiau Tai (De-ddwyrain)'!W18)</f>
        <v>115280</v>
      </c>
      <c r="AE18" s="4">
        <f>IF('Rhaniad y Ddeiliadaeth (Cymru)'!$D$18="Data Cofrestrfa Tir",'Prisiau Tai (De-ddwyrain)'!F18,'Prisiau Tai (De-ddwyrain)'!X18)</f>
        <v>122000.82400000001</v>
      </c>
      <c r="AF18" s="4">
        <f>IF('Rhaniad y Ddeiliadaeth (Cymru)'!$D$18="Data Cofrestrfa Tir",'Prisiau Tai (De-ddwyrain)'!G18,'Prisiau Tai (De-ddwyrain)'!Y18)</f>
        <v>130618.58789052581</v>
      </c>
      <c r="AG18" s="4">
        <f>IF('Rhaniad y Ddeiliadaeth (Cymru)'!$D$18="Data Cofrestrfa Tir",'Prisiau Tai (De-ddwyrain)'!H18,'Prisiau Tai (De-ddwyrain)'!Z18)</f>
        <v>137726.96524666884</v>
      </c>
      <c r="AH18" s="4">
        <f>IF('Rhaniad y Ddeiliadaeth (Cymru)'!$D$18="Data Cofrestrfa Tir",'Prisiau Tai (De-ddwyrain)'!I18,'Prisiau Tai (De-ddwyrain)'!AA18)</f>
        <v>143536.80214420176</v>
      </c>
    </row>
    <row r="19" spans="2:34" x14ac:dyDescent="0.35">
      <c r="B19" s="251">
        <v>25</v>
      </c>
      <c r="C19" s="258">
        <v>106000</v>
      </c>
      <c r="D19" s="258">
        <v>111500</v>
      </c>
      <c r="E19" s="278">
        <f>D19*(1+'Rhaniad y Ddeiliadaeth (De-ddn)'!C$118)</f>
        <v>116852</v>
      </c>
      <c r="F19" s="278">
        <f>E19*(1+'Rhaniad y Ddeiliadaeth (De-ddn)'!D$118)</f>
        <v>123664.4716</v>
      </c>
      <c r="G19" s="278">
        <f>F19*(1+'Rhaniad y Ddeiliadaeth (De-ddn)'!E$118)</f>
        <v>132399.75045266934</v>
      </c>
      <c r="H19" s="278">
        <f>G19*(1+'Rhaniad y Ddeiliadaeth (De-ddn)'!F$118)</f>
        <v>139605.06022730522</v>
      </c>
      <c r="I19" s="279">
        <f>H19*(1+'Rhaniad y Ddeiliadaeth (De-ddn)'!G$118)</f>
        <v>145494.12217344085</v>
      </c>
      <c r="M19" s="36" t="str">
        <f t="shared" si="0"/>
        <v/>
      </c>
      <c r="N19" s="202"/>
      <c r="O19" s="13">
        <f t="shared" si="3"/>
        <v>1</v>
      </c>
      <c r="U19" s="1">
        <f t="shared" si="1"/>
        <v>25</v>
      </c>
      <c r="V19" s="4" t="str">
        <f t="shared" si="2"/>
        <v/>
      </c>
      <c r="W19" s="4" t="e">
        <f>IF($W$3=$N$3,N19,V19*(1+'Rhaniad y Ddeiliadaeth (Cymru)'!C$118))</f>
        <v>#VALUE!</v>
      </c>
      <c r="X19" s="4" t="e">
        <f>W19*(1+'Rhaniad y Ddeiliadaeth (Cymru)'!D$118)</f>
        <v>#VALUE!</v>
      </c>
      <c r="Y19" s="4" t="e">
        <f>X19*(1+'Rhaniad y Ddeiliadaeth (Cymru)'!E$118)</f>
        <v>#VALUE!</v>
      </c>
      <c r="Z19" s="4" t="e">
        <f>Y19*(1+'Rhaniad y Ddeiliadaeth (Cymru)'!F$118)</f>
        <v>#VALUE!</v>
      </c>
      <c r="AA19" s="4" t="e">
        <f>Z19*(1+'Rhaniad y Ddeiliadaeth (Cymru)'!G$118)</f>
        <v>#VALUE!</v>
      </c>
      <c r="AC19" s="260">
        <v>25</v>
      </c>
      <c r="AD19" s="4">
        <f>IF('Rhaniad y Ddeiliadaeth (Cymru)'!$D$18="Data Cofrestrfa Tir",'Prisiau Tai (De-ddwyrain)'!E19,'Prisiau Tai (De-ddwyrain)'!W19)</f>
        <v>116852</v>
      </c>
      <c r="AE19" s="4">
        <f>IF('Rhaniad y Ddeiliadaeth (Cymru)'!$D$18="Data Cofrestrfa Tir",'Prisiau Tai (De-ddwyrain)'!F19,'Prisiau Tai (De-ddwyrain)'!X19)</f>
        <v>123664.4716</v>
      </c>
      <c r="AF19" s="4">
        <f>IF('Rhaniad y Ddeiliadaeth (Cymru)'!$D$18="Data Cofrestrfa Tir",'Prisiau Tai (De-ddwyrain)'!G19,'Prisiau Tai (De-ddwyrain)'!Y19)</f>
        <v>132399.75045266934</v>
      </c>
      <c r="AG19" s="4">
        <f>IF('Rhaniad y Ddeiliadaeth (Cymru)'!$D$18="Data Cofrestrfa Tir",'Prisiau Tai (De-ddwyrain)'!H19,'Prisiau Tai (De-ddwyrain)'!Z19)</f>
        <v>139605.06022730522</v>
      </c>
      <c r="AH19" s="4">
        <f>IF('Rhaniad y Ddeiliadaeth (Cymru)'!$D$18="Data Cofrestrfa Tir",'Prisiau Tai (De-ddwyrain)'!I19,'Prisiau Tai (De-ddwyrain)'!AA19)</f>
        <v>145494.12217344085</v>
      </c>
    </row>
    <row r="20" spans="2:34" x14ac:dyDescent="0.35">
      <c r="B20" s="251">
        <v>26</v>
      </c>
      <c r="C20" s="258">
        <v>108500</v>
      </c>
      <c r="D20" s="258">
        <v>115000</v>
      </c>
      <c r="E20" s="278">
        <f>D20*(1+'Rhaniad y Ddeiliadaeth (De-ddn)'!C$118)</f>
        <v>120520</v>
      </c>
      <c r="F20" s="278">
        <f>E20*(1+'Rhaniad y Ddeiliadaeth (De-ddn)'!D$118)</f>
        <v>127546.31600000001</v>
      </c>
      <c r="G20" s="278">
        <f>F20*(1+'Rhaniad y Ddeiliadaeth (De-ddn)'!E$118)</f>
        <v>136555.79643100424</v>
      </c>
      <c r="H20" s="278">
        <f>G20*(1+'Rhaniad y Ddeiliadaeth (De-ddn)'!F$118)</f>
        <v>143987.28184879012</v>
      </c>
      <c r="I20" s="279">
        <f>H20*(1+'Rhaniad y Ddeiliadaeth (De-ddn)'!G$118)</f>
        <v>150061.20224166545</v>
      </c>
      <c r="M20" s="36" t="str">
        <f t="shared" si="0"/>
        <v/>
      </c>
      <c r="N20" s="202"/>
      <c r="O20" s="13">
        <f t="shared" si="3"/>
        <v>1</v>
      </c>
      <c r="U20" s="1">
        <f t="shared" si="1"/>
        <v>26</v>
      </c>
      <c r="V20" s="4" t="str">
        <f t="shared" si="2"/>
        <v/>
      </c>
      <c r="W20" s="4" t="e">
        <f>IF($W$3=$N$3,N20,V20*(1+'Rhaniad y Ddeiliadaeth (Cymru)'!C$118))</f>
        <v>#VALUE!</v>
      </c>
      <c r="X20" s="4" t="e">
        <f>W20*(1+'Rhaniad y Ddeiliadaeth (Cymru)'!D$118)</f>
        <v>#VALUE!</v>
      </c>
      <c r="Y20" s="4" t="e">
        <f>X20*(1+'Rhaniad y Ddeiliadaeth (Cymru)'!E$118)</f>
        <v>#VALUE!</v>
      </c>
      <c r="Z20" s="4" t="e">
        <f>Y20*(1+'Rhaniad y Ddeiliadaeth (Cymru)'!F$118)</f>
        <v>#VALUE!</v>
      </c>
      <c r="AA20" s="4" t="e">
        <f>Z20*(1+'Rhaniad y Ddeiliadaeth (Cymru)'!G$118)</f>
        <v>#VALUE!</v>
      </c>
      <c r="AC20" s="260">
        <v>26</v>
      </c>
      <c r="AD20" s="4">
        <f>IF('Rhaniad y Ddeiliadaeth (Cymru)'!$D$18="Data Cofrestrfa Tir",'Prisiau Tai (De-ddwyrain)'!E20,'Prisiau Tai (De-ddwyrain)'!W20)</f>
        <v>120520</v>
      </c>
      <c r="AE20" s="4">
        <f>IF('Rhaniad y Ddeiliadaeth (Cymru)'!$D$18="Data Cofrestrfa Tir",'Prisiau Tai (De-ddwyrain)'!F20,'Prisiau Tai (De-ddwyrain)'!X20)</f>
        <v>127546.31600000001</v>
      </c>
      <c r="AF20" s="4">
        <f>IF('Rhaniad y Ddeiliadaeth (Cymru)'!$D$18="Data Cofrestrfa Tir",'Prisiau Tai (De-ddwyrain)'!G20,'Prisiau Tai (De-ddwyrain)'!Y20)</f>
        <v>136555.79643100424</v>
      </c>
      <c r="AG20" s="4">
        <f>IF('Rhaniad y Ddeiliadaeth (Cymru)'!$D$18="Data Cofrestrfa Tir",'Prisiau Tai (De-ddwyrain)'!H20,'Prisiau Tai (De-ddwyrain)'!Z20)</f>
        <v>143987.28184879012</v>
      </c>
      <c r="AH20" s="4">
        <f>IF('Rhaniad y Ddeiliadaeth (Cymru)'!$D$18="Data Cofrestrfa Tir",'Prisiau Tai (De-ddwyrain)'!I20,'Prisiau Tai (De-ddwyrain)'!AA20)</f>
        <v>150061.20224166545</v>
      </c>
    </row>
    <row r="21" spans="2:34" x14ac:dyDescent="0.35">
      <c r="B21" s="251">
        <v>27</v>
      </c>
      <c r="C21" s="258">
        <v>110000</v>
      </c>
      <c r="D21" s="258">
        <v>115000</v>
      </c>
      <c r="E21" s="278">
        <f>D21*(1+'Rhaniad y Ddeiliadaeth (De-ddn)'!C$118)</f>
        <v>120520</v>
      </c>
      <c r="F21" s="278">
        <f>E21*(1+'Rhaniad y Ddeiliadaeth (De-ddn)'!D$118)</f>
        <v>127546.31600000001</v>
      </c>
      <c r="G21" s="278">
        <f>F21*(1+'Rhaniad y Ddeiliadaeth (De-ddn)'!E$118)</f>
        <v>136555.79643100424</v>
      </c>
      <c r="H21" s="278">
        <f>G21*(1+'Rhaniad y Ddeiliadaeth (De-ddn)'!F$118)</f>
        <v>143987.28184879012</v>
      </c>
      <c r="I21" s="279">
        <f>H21*(1+'Rhaniad y Ddeiliadaeth (De-ddn)'!G$118)</f>
        <v>150061.20224166545</v>
      </c>
      <c r="M21" s="36" t="str">
        <f t="shared" si="0"/>
        <v/>
      </c>
      <c r="N21" s="202"/>
      <c r="O21" s="13">
        <f t="shared" si="3"/>
        <v>1</v>
      </c>
      <c r="U21" s="1">
        <f t="shared" si="1"/>
        <v>27</v>
      </c>
      <c r="V21" s="4" t="str">
        <f t="shared" si="2"/>
        <v/>
      </c>
      <c r="W21" s="4" t="e">
        <f>IF($W$3=$N$3,N21,V21*(1+'Rhaniad y Ddeiliadaeth (Cymru)'!C$118))</f>
        <v>#VALUE!</v>
      </c>
      <c r="X21" s="4" t="e">
        <f>W21*(1+'Rhaniad y Ddeiliadaeth (Cymru)'!D$118)</f>
        <v>#VALUE!</v>
      </c>
      <c r="Y21" s="4" t="e">
        <f>X21*(1+'Rhaniad y Ddeiliadaeth (Cymru)'!E$118)</f>
        <v>#VALUE!</v>
      </c>
      <c r="Z21" s="4" t="e">
        <f>Y21*(1+'Rhaniad y Ddeiliadaeth (Cymru)'!F$118)</f>
        <v>#VALUE!</v>
      </c>
      <c r="AA21" s="4" t="e">
        <f>Z21*(1+'Rhaniad y Ddeiliadaeth (Cymru)'!G$118)</f>
        <v>#VALUE!</v>
      </c>
      <c r="AC21" s="260">
        <v>27</v>
      </c>
      <c r="AD21" s="4">
        <f>IF('Rhaniad y Ddeiliadaeth (Cymru)'!$D$18="Data Cofrestrfa Tir",'Prisiau Tai (De-ddwyrain)'!E21,'Prisiau Tai (De-ddwyrain)'!W21)</f>
        <v>120520</v>
      </c>
      <c r="AE21" s="4">
        <f>IF('Rhaniad y Ddeiliadaeth (Cymru)'!$D$18="Data Cofrestrfa Tir",'Prisiau Tai (De-ddwyrain)'!F21,'Prisiau Tai (De-ddwyrain)'!X21)</f>
        <v>127546.31600000001</v>
      </c>
      <c r="AF21" s="4">
        <f>IF('Rhaniad y Ddeiliadaeth (Cymru)'!$D$18="Data Cofrestrfa Tir",'Prisiau Tai (De-ddwyrain)'!G21,'Prisiau Tai (De-ddwyrain)'!Y21)</f>
        <v>136555.79643100424</v>
      </c>
      <c r="AG21" s="4">
        <f>IF('Rhaniad y Ddeiliadaeth (Cymru)'!$D$18="Data Cofrestrfa Tir",'Prisiau Tai (De-ddwyrain)'!H21,'Prisiau Tai (De-ddwyrain)'!Z21)</f>
        <v>143987.28184879012</v>
      </c>
      <c r="AH21" s="4">
        <f>IF('Rhaniad y Ddeiliadaeth (Cymru)'!$D$18="Data Cofrestrfa Tir",'Prisiau Tai (De-ddwyrain)'!I21,'Prisiau Tai (De-ddwyrain)'!AA21)</f>
        <v>150061.20224166545</v>
      </c>
    </row>
    <row r="22" spans="2:34" x14ac:dyDescent="0.35">
      <c r="B22" s="251">
        <v>28</v>
      </c>
      <c r="C22" s="258">
        <v>112000</v>
      </c>
      <c r="D22" s="258">
        <v>118000</v>
      </c>
      <c r="E22" s="278">
        <f>D22*(1+'Rhaniad y Ddeiliadaeth (De-ddn)'!C$118)</f>
        <v>123664</v>
      </c>
      <c r="F22" s="278">
        <f>E22*(1+'Rhaniad y Ddeiliadaeth (De-ddn)'!D$118)</f>
        <v>130873.6112</v>
      </c>
      <c r="G22" s="278">
        <f>F22*(1+'Rhaniad y Ddeiliadaeth (De-ddn)'!E$118)</f>
        <v>140118.12155529132</v>
      </c>
      <c r="H22" s="278">
        <f>G22*(1+'Rhaniad y Ddeiliadaeth (De-ddn)'!F$118)</f>
        <v>147743.47181006294</v>
      </c>
      <c r="I22" s="279">
        <f>H22*(1+'Rhaniad y Ddeiliadaeth (De-ddn)'!G$118)</f>
        <v>153975.8423001437</v>
      </c>
      <c r="M22" s="36" t="str">
        <f t="shared" si="0"/>
        <v/>
      </c>
      <c r="N22" s="202"/>
      <c r="O22" s="13">
        <f t="shared" si="3"/>
        <v>1</v>
      </c>
      <c r="U22" s="1">
        <f t="shared" si="1"/>
        <v>28</v>
      </c>
      <c r="V22" s="4" t="str">
        <f t="shared" si="2"/>
        <v/>
      </c>
      <c r="W22" s="4" t="e">
        <f>IF($W$3=$N$3,N22,V22*(1+'Rhaniad y Ddeiliadaeth (Cymru)'!C$118))</f>
        <v>#VALUE!</v>
      </c>
      <c r="X22" s="4" t="e">
        <f>W22*(1+'Rhaniad y Ddeiliadaeth (Cymru)'!D$118)</f>
        <v>#VALUE!</v>
      </c>
      <c r="Y22" s="4" t="e">
        <f>X22*(1+'Rhaniad y Ddeiliadaeth (Cymru)'!E$118)</f>
        <v>#VALUE!</v>
      </c>
      <c r="Z22" s="4" t="e">
        <f>Y22*(1+'Rhaniad y Ddeiliadaeth (Cymru)'!F$118)</f>
        <v>#VALUE!</v>
      </c>
      <c r="AA22" s="4" t="e">
        <f>Z22*(1+'Rhaniad y Ddeiliadaeth (Cymru)'!G$118)</f>
        <v>#VALUE!</v>
      </c>
      <c r="AC22" s="260">
        <v>28</v>
      </c>
      <c r="AD22" s="4">
        <f>IF('Rhaniad y Ddeiliadaeth (Cymru)'!$D$18="Data Cofrestrfa Tir",'Prisiau Tai (De-ddwyrain)'!E22,'Prisiau Tai (De-ddwyrain)'!W22)</f>
        <v>123664</v>
      </c>
      <c r="AE22" s="4">
        <f>IF('Rhaniad y Ddeiliadaeth (Cymru)'!$D$18="Data Cofrestrfa Tir",'Prisiau Tai (De-ddwyrain)'!F22,'Prisiau Tai (De-ddwyrain)'!X22)</f>
        <v>130873.6112</v>
      </c>
      <c r="AF22" s="4">
        <f>IF('Rhaniad y Ddeiliadaeth (Cymru)'!$D$18="Data Cofrestrfa Tir",'Prisiau Tai (De-ddwyrain)'!G22,'Prisiau Tai (De-ddwyrain)'!Y22)</f>
        <v>140118.12155529132</v>
      </c>
      <c r="AG22" s="4">
        <f>IF('Rhaniad y Ddeiliadaeth (Cymru)'!$D$18="Data Cofrestrfa Tir",'Prisiau Tai (De-ddwyrain)'!H22,'Prisiau Tai (De-ddwyrain)'!Z22)</f>
        <v>147743.47181006294</v>
      </c>
      <c r="AH22" s="4">
        <f>IF('Rhaniad y Ddeiliadaeth (Cymru)'!$D$18="Data Cofrestrfa Tir",'Prisiau Tai (De-ddwyrain)'!I22,'Prisiau Tai (De-ddwyrain)'!AA22)</f>
        <v>153975.8423001437</v>
      </c>
    </row>
    <row r="23" spans="2:34" x14ac:dyDescent="0.35">
      <c r="B23" s="251">
        <v>29</v>
      </c>
      <c r="C23" s="258">
        <v>115000</v>
      </c>
      <c r="D23" s="258">
        <v>120000</v>
      </c>
      <c r="E23" s="278">
        <f>D23*(1+'Rhaniad y Ddeiliadaeth (De-ddn)'!C$118)</f>
        <v>125760</v>
      </c>
      <c r="F23" s="278">
        <f>E23*(1+'Rhaniad y Ddeiliadaeth (De-ddn)'!D$118)</f>
        <v>133091.80799999999</v>
      </c>
      <c r="G23" s="278">
        <f>F23*(1+'Rhaniad y Ddeiliadaeth (De-ddn)'!E$118)</f>
        <v>142493.00497148267</v>
      </c>
      <c r="H23" s="278">
        <f>G23*(1+'Rhaniad y Ddeiliadaeth (De-ddn)'!F$118)</f>
        <v>150247.59845091144</v>
      </c>
      <c r="I23" s="279">
        <f>H23*(1+'Rhaniad y Ddeiliadaeth (De-ddn)'!G$118)</f>
        <v>156585.60233912914</v>
      </c>
      <c r="M23" s="36" t="str">
        <f t="shared" si="0"/>
        <v/>
      </c>
      <c r="N23" s="202"/>
      <c r="O23" s="13">
        <f t="shared" si="3"/>
        <v>1</v>
      </c>
      <c r="U23" s="1">
        <f t="shared" si="1"/>
        <v>29</v>
      </c>
      <c r="V23" s="4" t="str">
        <f t="shared" si="2"/>
        <v/>
      </c>
      <c r="W23" s="4" t="e">
        <f>IF($W$3=$N$3,N23,V23*(1+'Rhaniad y Ddeiliadaeth (Cymru)'!C$118))</f>
        <v>#VALUE!</v>
      </c>
      <c r="X23" s="4" t="e">
        <f>W23*(1+'Rhaniad y Ddeiliadaeth (Cymru)'!D$118)</f>
        <v>#VALUE!</v>
      </c>
      <c r="Y23" s="4" t="e">
        <f>X23*(1+'Rhaniad y Ddeiliadaeth (Cymru)'!E$118)</f>
        <v>#VALUE!</v>
      </c>
      <c r="Z23" s="4" t="e">
        <f>Y23*(1+'Rhaniad y Ddeiliadaeth (Cymru)'!F$118)</f>
        <v>#VALUE!</v>
      </c>
      <c r="AA23" s="4" t="e">
        <f>Z23*(1+'Rhaniad y Ddeiliadaeth (Cymru)'!G$118)</f>
        <v>#VALUE!</v>
      </c>
      <c r="AC23" s="260">
        <v>29</v>
      </c>
      <c r="AD23" s="4">
        <f>IF('Rhaniad y Ddeiliadaeth (Cymru)'!$D$18="Data Cofrestrfa Tir",'Prisiau Tai (De-ddwyrain)'!E23,'Prisiau Tai (De-ddwyrain)'!W23)</f>
        <v>125760</v>
      </c>
      <c r="AE23" s="4">
        <f>IF('Rhaniad y Ddeiliadaeth (Cymru)'!$D$18="Data Cofrestrfa Tir",'Prisiau Tai (De-ddwyrain)'!F23,'Prisiau Tai (De-ddwyrain)'!X23)</f>
        <v>133091.80799999999</v>
      </c>
      <c r="AF23" s="4">
        <f>IF('Rhaniad y Ddeiliadaeth (Cymru)'!$D$18="Data Cofrestrfa Tir",'Prisiau Tai (De-ddwyrain)'!G23,'Prisiau Tai (De-ddwyrain)'!Y23)</f>
        <v>142493.00497148267</v>
      </c>
      <c r="AG23" s="4">
        <f>IF('Rhaniad y Ddeiliadaeth (Cymru)'!$D$18="Data Cofrestrfa Tir",'Prisiau Tai (De-ddwyrain)'!H23,'Prisiau Tai (De-ddwyrain)'!Z23)</f>
        <v>150247.59845091144</v>
      </c>
      <c r="AH23" s="4">
        <f>IF('Rhaniad y Ddeiliadaeth (Cymru)'!$D$18="Data Cofrestrfa Tir",'Prisiau Tai (De-ddwyrain)'!I23,'Prisiau Tai (De-ddwyrain)'!AA23)</f>
        <v>156585.60233912914</v>
      </c>
    </row>
    <row r="24" spans="2:34" x14ac:dyDescent="0.35">
      <c r="B24" s="251">
        <v>30</v>
      </c>
      <c r="C24" s="258">
        <v>116000</v>
      </c>
      <c r="D24" s="258">
        <v>122000</v>
      </c>
      <c r="E24" s="278">
        <f>D24*(1+'Rhaniad y Ddeiliadaeth (De-ddn)'!C$118)</f>
        <v>127856</v>
      </c>
      <c r="F24" s="278">
        <f>E24*(1+'Rhaniad y Ddeiliadaeth (De-ddn)'!D$118)</f>
        <v>135310.0048</v>
      </c>
      <c r="G24" s="278">
        <f>F24*(1+'Rhaniad y Ddeiliadaeth (De-ddn)'!E$118)</f>
        <v>144867.88838767406</v>
      </c>
      <c r="H24" s="278">
        <f>G24*(1+'Rhaniad y Ddeiliadaeth (De-ddn)'!F$118)</f>
        <v>152751.72509175996</v>
      </c>
      <c r="I24" s="279">
        <f>H24*(1+'Rhaniad y Ddeiliadaeth (De-ddn)'!G$118)</f>
        <v>159195.36237811463</v>
      </c>
      <c r="M24" s="36" t="str">
        <f t="shared" si="0"/>
        <v/>
      </c>
      <c r="N24" s="202"/>
      <c r="O24" s="13">
        <f t="shared" si="3"/>
        <v>1</v>
      </c>
      <c r="U24" s="1">
        <f t="shared" si="1"/>
        <v>30</v>
      </c>
      <c r="V24" s="4" t="str">
        <f t="shared" si="2"/>
        <v/>
      </c>
      <c r="W24" s="4" t="e">
        <f>IF($W$3=$N$3,N24,V24*(1+'Rhaniad y Ddeiliadaeth (Cymru)'!C$118))</f>
        <v>#VALUE!</v>
      </c>
      <c r="X24" s="4" t="e">
        <f>W24*(1+'Rhaniad y Ddeiliadaeth (Cymru)'!D$118)</f>
        <v>#VALUE!</v>
      </c>
      <c r="Y24" s="4" t="e">
        <f>X24*(1+'Rhaniad y Ddeiliadaeth (Cymru)'!E$118)</f>
        <v>#VALUE!</v>
      </c>
      <c r="Z24" s="4" t="e">
        <f>Y24*(1+'Rhaniad y Ddeiliadaeth (Cymru)'!F$118)</f>
        <v>#VALUE!</v>
      </c>
      <c r="AA24" s="4" t="e">
        <f>Z24*(1+'Rhaniad y Ddeiliadaeth (Cymru)'!G$118)</f>
        <v>#VALUE!</v>
      </c>
      <c r="AC24" s="260">
        <v>30</v>
      </c>
      <c r="AD24" s="4">
        <f>IF('Rhaniad y Ddeiliadaeth (Cymru)'!$D$18="Data Cofrestrfa Tir",'Prisiau Tai (De-ddwyrain)'!E24,'Prisiau Tai (De-ddwyrain)'!W24)</f>
        <v>127856</v>
      </c>
      <c r="AE24" s="4">
        <f>IF('Rhaniad y Ddeiliadaeth (Cymru)'!$D$18="Data Cofrestrfa Tir",'Prisiau Tai (De-ddwyrain)'!F24,'Prisiau Tai (De-ddwyrain)'!X24)</f>
        <v>135310.0048</v>
      </c>
      <c r="AF24" s="4">
        <f>IF('Rhaniad y Ddeiliadaeth (Cymru)'!$D$18="Data Cofrestrfa Tir",'Prisiau Tai (De-ddwyrain)'!G24,'Prisiau Tai (De-ddwyrain)'!Y24)</f>
        <v>144867.88838767406</v>
      </c>
      <c r="AG24" s="4">
        <f>IF('Rhaniad y Ddeiliadaeth (Cymru)'!$D$18="Data Cofrestrfa Tir",'Prisiau Tai (De-ddwyrain)'!H24,'Prisiau Tai (De-ddwyrain)'!Z24)</f>
        <v>152751.72509175996</v>
      </c>
      <c r="AH24" s="4">
        <f>IF('Rhaniad y Ddeiliadaeth (Cymru)'!$D$18="Data Cofrestrfa Tir",'Prisiau Tai (De-ddwyrain)'!I24,'Prisiau Tai (De-ddwyrain)'!AA24)</f>
        <v>159195.36237811463</v>
      </c>
    </row>
    <row r="25" spans="2:34" x14ac:dyDescent="0.35">
      <c r="B25" s="251">
        <v>31</v>
      </c>
      <c r="C25" s="258">
        <v>118000</v>
      </c>
      <c r="D25" s="258">
        <v>124000</v>
      </c>
      <c r="E25" s="278">
        <f>D25*(1+'Rhaniad y Ddeiliadaeth (De-ddn)'!C$118)</f>
        <v>129952</v>
      </c>
      <c r="F25" s="278">
        <f>E25*(1+'Rhaniad y Ddeiliadaeth (De-ddn)'!D$118)</f>
        <v>137528.2016</v>
      </c>
      <c r="G25" s="278">
        <f>F25*(1+'Rhaniad y Ddeiliadaeth (De-ddn)'!E$118)</f>
        <v>147242.77180386544</v>
      </c>
      <c r="H25" s="278">
        <f>G25*(1+'Rhaniad y Ddeiliadaeth (De-ddn)'!F$118)</f>
        <v>155255.85173260848</v>
      </c>
      <c r="I25" s="279">
        <f>H25*(1+'Rhaniad y Ddeiliadaeth (De-ddn)'!G$118)</f>
        <v>161805.12241710012</v>
      </c>
      <c r="M25" s="36" t="str">
        <f t="shared" si="0"/>
        <v/>
      </c>
      <c r="N25" s="202"/>
      <c r="O25" s="13">
        <f t="shared" si="3"/>
        <v>1</v>
      </c>
      <c r="U25" s="1">
        <f t="shared" si="1"/>
        <v>31</v>
      </c>
      <c r="V25" s="4" t="str">
        <f t="shared" si="2"/>
        <v/>
      </c>
      <c r="W25" s="4" t="e">
        <f>IF($W$3=$N$3,N25,V25*(1+'Rhaniad y Ddeiliadaeth (Cymru)'!C$118))</f>
        <v>#VALUE!</v>
      </c>
      <c r="X25" s="4" t="e">
        <f>W25*(1+'Rhaniad y Ddeiliadaeth (Cymru)'!D$118)</f>
        <v>#VALUE!</v>
      </c>
      <c r="Y25" s="4" t="e">
        <f>X25*(1+'Rhaniad y Ddeiliadaeth (Cymru)'!E$118)</f>
        <v>#VALUE!</v>
      </c>
      <c r="Z25" s="4" t="e">
        <f>Y25*(1+'Rhaniad y Ddeiliadaeth (Cymru)'!F$118)</f>
        <v>#VALUE!</v>
      </c>
      <c r="AA25" s="4" t="e">
        <f>Z25*(1+'Rhaniad y Ddeiliadaeth (Cymru)'!G$118)</f>
        <v>#VALUE!</v>
      </c>
      <c r="AC25" s="260">
        <v>31</v>
      </c>
      <c r="AD25" s="4">
        <f>IF('Rhaniad y Ddeiliadaeth (Cymru)'!$D$18="Data Cofrestrfa Tir",'Prisiau Tai (De-ddwyrain)'!E25,'Prisiau Tai (De-ddwyrain)'!W25)</f>
        <v>129952</v>
      </c>
      <c r="AE25" s="4">
        <f>IF('Rhaniad y Ddeiliadaeth (Cymru)'!$D$18="Data Cofrestrfa Tir",'Prisiau Tai (De-ddwyrain)'!F25,'Prisiau Tai (De-ddwyrain)'!X25)</f>
        <v>137528.2016</v>
      </c>
      <c r="AF25" s="4">
        <f>IF('Rhaniad y Ddeiliadaeth (Cymru)'!$D$18="Data Cofrestrfa Tir",'Prisiau Tai (De-ddwyrain)'!G25,'Prisiau Tai (De-ddwyrain)'!Y25)</f>
        <v>147242.77180386544</v>
      </c>
      <c r="AG25" s="4">
        <f>IF('Rhaniad y Ddeiliadaeth (Cymru)'!$D$18="Data Cofrestrfa Tir",'Prisiau Tai (De-ddwyrain)'!H25,'Prisiau Tai (De-ddwyrain)'!Z25)</f>
        <v>155255.85173260848</v>
      </c>
      <c r="AH25" s="4">
        <f>IF('Rhaniad y Ddeiliadaeth (Cymru)'!$D$18="Data Cofrestrfa Tir",'Prisiau Tai (De-ddwyrain)'!I25,'Prisiau Tai (De-ddwyrain)'!AA25)</f>
        <v>161805.12241710012</v>
      </c>
    </row>
    <row r="26" spans="2:34" x14ac:dyDescent="0.35">
      <c r="B26" s="251">
        <v>32</v>
      </c>
      <c r="C26" s="258">
        <v>120000</v>
      </c>
      <c r="D26" s="258">
        <v>125000</v>
      </c>
      <c r="E26" s="278">
        <f>D26*(1+'Rhaniad y Ddeiliadaeth (De-ddn)'!C$118)</f>
        <v>131000</v>
      </c>
      <c r="F26" s="278">
        <f>E26*(1+'Rhaniad y Ddeiliadaeth (De-ddn)'!D$118)</f>
        <v>138637.29999999999</v>
      </c>
      <c r="G26" s="278">
        <f>F26*(1+'Rhaniad y Ddeiliadaeth (De-ddn)'!E$118)</f>
        <v>148430.21351196113</v>
      </c>
      <c r="H26" s="278">
        <f>G26*(1+'Rhaniad y Ddeiliadaeth (De-ddn)'!F$118)</f>
        <v>156507.91505303275</v>
      </c>
      <c r="I26" s="279">
        <f>H26*(1+'Rhaniad y Ddeiliadaeth (De-ddn)'!G$118)</f>
        <v>163110.00243659285</v>
      </c>
      <c r="M26" s="36" t="str">
        <f t="shared" si="0"/>
        <v/>
      </c>
      <c r="N26" s="202"/>
      <c r="O26" s="13">
        <f t="shared" si="3"/>
        <v>1</v>
      </c>
      <c r="U26" s="1">
        <f t="shared" si="1"/>
        <v>32</v>
      </c>
      <c r="V26" s="4" t="str">
        <f t="shared" si="2"/>
        <v/>
      </c>
      <c r="W26" s="4" t="e">
        <f>IF($W$3=$N$3,N26,V26*(1+'Rhaniad y Ddeiliadaeth (Cymru)'!C$118))</f>
        <v>#VALUE!</v>
      </c>
      <c r="X26" s="4" t="e">
        <f>W26*(1+'Rhaniad y Ddeiliadaeth (Cymru)'!D$118)</f>
        <v>#VALUE!</v>
      </c>
      <c r="Y26" s="4" t="e">
        <f>X26*(1+'Rhaniad y Ddeiliadaeth (Cymru)'!E$118)</f>
        <v>#VALUE!</v>
      </c>
      <c r="Z26" s="4" t="e">
        <f>Y26*(1+'Rhaniad y Ddeiliadaeth (Cymru)'!F$118)</f>
        <v>#VALUE!</v>
      </c>
      <c r="AA26" s="4" t="e">
        <f>Z26*(1+'Rhaniad y Ddeiliadaeth (Cymru)'!G$118)</f>
        <v>#VALUE!</v>
      </c>
      <c r="AC26" s="260">
        <v>32</v>
      </c>
      <c r="AD26" s="4">
        <f>IF('Rhaniad y Ddeiliadaeth (Cymru)'!$D$18="Data Cofrestrfa Tir",'Prisiau Tai (De-ddwyrain)'!E26,'Prisiau Tai (De-ddwyrain)'!W26)</f>
        <v>131000</v>
      </c>
      <c r="AE26" s="4">
        <f>IF('Rhaniad y Ddeiliadaeth (Cymru)'!$D$18="Data Cofrestrfa Tir",'Prisiau Tai (De-ddwyrain)'!F26,'Prisiau Tai (De-ddwyrain)'!X26)</f>
        <v>138637.29999999999</v>
      </c>
      <c r="AF26" s="4">
        <f>IF('Rhaniad y Ddeiliadaeth (Cymru)'!$D$18="Data Cofrestrfa Tir",'Prisiau Tai (De-ddwyrain)'!G26,'Prisiau Tai (De-ddwyrain)'!Y26)</f>
        <v>148430.21351196113</v>
      </c>
      <c r="AG26" s="4">
        <f>IF('Rhaniad y Ddeiliadaeth (Cymru)'!$D$18="Data Cofrestrfa Tir",'Prisiau Tai (De-ddwyrain)'!H26,'Prisiau Tai (De-ddwyrain)'!Z26)</f>
        <v>156507.91505303275</v>
      </c>
      <c r="AH26" s="4">
        <f>IF('Rhaniad y Ddeiliadaeth (Cymru)'!$D$18="Data Cofrestrfa Tir",'Prisiau Tai (De-ddwyrain)'!I26,'Prisiau Tai (De-ddwyrain)'!AA26)</f>
        <v>163110.00243659285</v>
      </c>
    </row>
    <row r="27" spans="2:34" x14ac:dyDescent="0.35">
      <c r="B27" s="251">
        <v>33</v>
      </c>
      <c r="C27" s="258">
        <v>121000</v>
      </c>
      <c r="D27" s="258">
        <v>127000</v>
      </c>
      <c r="E27" s="278">
        <f>D27*(1+'Rhaniad y Ddeiliadaeth (De-ddn)'!C$118)</f>
        <v>133096</v>
      </c>
      <c r="F27" s="278">
        <f>E27*(1+'Rhaniad y Ddeiliadaeth (De-ddn)'!D$118)</f>
        <v>140855.49679999999</v>
      </c>
      <c r="G27" s="278">
        <f>F27*(1+'Rhaniad y Ddeiliadaeth (De-ddn)'!E$118)</f>
        <v>150805.09692815252</v>
      </c>
      <c r="H27" s="278">
        <f>G27*(1+'Rhaniad y Ddeiliadaeth (De-ddn)'!F$118)</f>
        <v>159012.04169388127</v>
      </c>
      <c r="I27" s="279">
        <f>H27*(1+'Rhaniad y Ddeiliadaeth (De-ddn)'!G$118)</f>
        <v>165719.76247557835</v>
      </c>
      <c r="M27" s="36" t="str">
        <f t="shared" si="0"/>
        <v/>
      </c>
      <c r="N27" s="202"/>
      <c r="O27" s="13">
        <f t="shared" si="3"/>
        <v>1</v>
      </c>
      <c r="U27" s="1">
        <f t="shared" si="1"/>
        <v>33</v>
      </c>
      <c r="V27" s="4" t="str">
        <f t="shared" si="2"/>
        <v/>
      </c>
      <c r="W27" s="4" t="e">
        <f>IF($W$3=$N$3,N27,V27*(1+'Rhaniad y Ddeiliadaeth (Cymru)'!C$118))</f>
        <v>#VALUE!</v>
      </c>
      <c r="X27" s="4" t="e">
        <f>W27*(1+'Rhaniad y Ddeiliadaeth (Cymru)'!D$118)</f>
        <v>#VALUE!</v>
      </c>
      <c r="Y27" s="4" t="e">
        <f>X27*(1+'Rhaniad y Ddeiliadaeth (Cymru)'!E$118)</f>
        <v>#VALUE!</v>
      </c>
      <c r="Z27" s="4" t="e">
        <f>Y27*(1+'Rhaniad y Ddeiliadaeth (Cymru)'!F$118)</f>
        <v>#VALUE!</v>
      </c>
      <c r="AA27" s="4" t="e">
        <f>Z27*(1+'Rhaniad y Ddeiliadaeth (Cymru)'!G$118)</f>
        <v>#VALUE!</v>
      </c>
      <c r="AC27" s="260">
        <v>33</v>
      </c>
      <c r="AD27" s="4">
        <f>IF('Rhaniad y Ddeiliadaeth (Cymru)'!$D$18="Data Cofrestrfa Tir",'Prisiau Tai (De-ddwyrain)'!E27,'Prisiau Tai (De-ddwyrain)'!W27)</f>
        <v>133096</v>
      </c>
      <c r="AE27" s="4">
        <f>IF('Rhaniad y Ddeiliadaeth (Cymru)'!$D$18="Data Cofrestrfa Tir",'Prisiau Tai (De-ddwyrain)'!F27,'Prisiau Tai (De-ddwyrain)'!X27)</f>
        <v>140855.49679999999</v>
      </c>
      <c r="AF27" s="4">
        <f>IF('Rhaniad y Ddeiliadaeth (Cymru)'!$D$18="Data Cofrestrfa Tir",'Prisiau Tai (De-ddwyrain)'!G27,'Prisiau Tai (De-ddwyrain)'!Y27)</f>
        <v>150805.09692815252</v>
      </c>
      <c r="AG27" s="4">
        <f>IF('Rhaniad y Ddeiliadaeth (Cymru)'!$D$18="Data Cofrestrfa Tir",'Prisiau Tai (De-ddwyrain)'!H27,'Prisiau Tai (De-ddwyrain)'!Z27)</f>
        <v>159012.04169388127</v>
      </c>
      <c r="AH27" s="4">
        <f>IF('Rhaniad y Ddeiliadaeth (Cymru)'!$D$18="Data Cofrestrfa Tir",'Prisiau Tai (De-ddwyrain)'!I27,'Prisiau Tai (De-ddwyrain)'!AA27)</f>
        <v>165719.76247557835</v>
      </c>
    </row>
    <row r="28" spans="2:34" x14ac:dyDescent="0.35">
      <c r="B28" s="251">
        <v>34</v>
      </c>
      <c r="C28" s="258">
        <v>124000</v>
      </c>
      <c r="D28" s="258">
        <v>129000</v>
      </c>
      <c r="E28" s="278">
        <f>D28*(1+'Rhaniad y Ddeiliadaeth (De-ddn)'!C$118)</f>
        <v>135192</v>
      </c>
      <c r="F28" s="278">
        <f>E28*(1+'Rhaniad y Ddeiliadaeth (De-ddn)'!D$118)</f>
        <v>143073.6936</v>
      </c>
      <c r="G28" s="278">
        <f>F28*(1+'Rhaniad y Ddeiliadaeth (De-ddn)'!E$118)</f>
        <v>153179.9803443439</v>
      </c>
      <c r="H28" s="278">
        <f>G28*(1+'Rhaniad y Ddeiliadaeth (De-ddn)'!F$118)</f>
        <v>161516.16833472982</v>
      </c>
      <c r="I28" s="279">
        <f>H28*(1+'Rhaniad y Ddeiliadaeth (De-ddn)'!G$118)</f>
        <v>168329.52251456387</v>
      </c>
      <c r="M28" s="36" t="str">
        <f t="shared" si="0"/>
        <v/>
      </c>
      <c r="N28" s="202"/>
      <c r="O28" s="13">
        <f t="shared" si="3"/>
        <v>1</v>
      </c>
      <c r="U28" s="1">
        <f t="shared" si="1"/>
        <v>34</v>
      </c>
      <c r="V28" s="4" t="str">
        <f t="shared" si="2"/>
        <v/>
      </c>
      <c r="W28" s="4" t="e">
        <f>IF($W$3=$N$3,N28,V28*(1+'Rhaniad y Ddeiliadaeth (Cymru)'!C$118))</f>
        <v>#VALUE!</v>
      </c>
      <c r="X28" s="4" t="e">
        <f>W28*(1+'Rhaniad y Ddeiliadaeth (Cymru)'!D$118)</f>
        <v>#VALUE!</v>
      </c>
      <c r="Y28" s="4" t="e">
        <f>X28*(1+'Rhaniad y Ddeiliadaeth (Cymru)'!E$118)</f>
        <v>#VALUE!</v>
      </c>
      <c r="Z28" s="4" t="e">
        <f>Y28*(1+'Rhaniad y Ddeiliadaeth (Cymru)'!F$118)</f>
        <v>#VALUE!</v>
      </c>
      <c r="AA28" s="4" t="e">
        <f>Z28*(1+'Rhaniad y Ddeiliadaeth (Cymru)'!G$118)</f>
        <v>#VALUE!</v>
      </c>
      <c r="AC28" s="260">
        <v>34</v>
      </c>
      <c r="AD28" s="4">
        <f>IF('Rhaniad y Ddeiliadaeth (Cymru)'!$D$18="Data Cofrestrfa Tir",'Prisiau Tai (De-ddwyrain)'!E28,'Prisiau Tai (De-ddwyrain)'!W28)</f>
        <v>135192</v>
      </c>
      <c r="AE28" s="4">
        <f>IF('Rhaniad y Ddeiliadaeth (Cymru)'!$D$18="Data Cofrestrfa Tir",'Prisiau Tai (De-ddwyrain)'!F28,'Prisiau Tai (De-ddwyrain)'!X28)</f>
        <v>143073.6936</v>
      </c>
      <c r="AF28" s="4">
        <f>IF('Rhaniad y Ddeiliadaeth (Cymru)'!$D$18="Data Cofrestrfa Tir",'Prisiau Tai (De-ddwyrain)'!G28,'Prisiau Tai (De-ddwyrain)'!Y28)</f>
        <v>153179.9803443439</v>
      </c>
      <c r="AG28" s="4">
        <f>IF('Rhaniad y Ddeiliadaeth (Cymru)'!$D$18="Data Cofrestrfa Tir",'Prisiau Tai (De-ddwyrain)'!H28,'Prisiau Tai (De-ddwyrain)'!Z28)</f>
        <v>161516.16833472982</v>
      </c>
      <c r="AH28" s="4">
        <f>IF('Rhaniad y Ddeiliadaeth (Cymru)'!$D$18="Data Cofrestrfa Tir",'Prisiau Tai (De-ddwyrain)'!I28,'Prisiau Tai (De-ddwyrain)'!AA28)</f>
        <v>168329.52251456387</v>
      </c>
    </row>
    <row r="29" spans="2:34" x14ac:dyDescent="0.35">
      <c r="B29" s="251">
        <v>35</v>
      </c>
      <c r="C29" s="258">
        <v>125000</v>
      </c>
      <c r="D29" s="258">
        <v>130000</v>
      </c>
      <c r="E29" s="278">
        <f>D29*(1+'Rhaniad y Ddeiliadaeth (De-ddn)'!C$118)</f>
        <v>136240</v>
      </c>
      <c r="F29" s="278">
        <f>E29*(1+'Rhaniad y Ddeiliadaeth (De-ddn)'!D$118)</f>
        <v>144182.79200000002</v>
      </c>
      <c r="G29" s="278">
        <f>F29*(1+'Rhaniad y Ddeiliadaeth (De-ddn)'!E$118)</f>
        <v>154367.42205243959</v>
      </c>
      <c r="H29" s="278">
        <f>G29*(1+'Rhaniad y Ddeiliadaeth (De-ddn)'!F$118)</f>
        <v>162768.23165515409</v>
      </c>
      <c r="I29" s="279">
        <f>H29*(1+'Rhaniad y Ddeiliadaeth (De-ddn)'!G$118)</f>
        <v>169634.4025340566</v>
      </c>
      <c r="M29" s="36" t="str">
        <f t="shared" si="0"/>
        <v/>
      </c>
      <c r="N29" s="202"/>
      <c r="O29" s="13">
        <f t="shared" si="3"/>
        <v>1</v>
      </c>
      <c r="U29" s="1">
        <f t="shared" si="1"/>
        <v>35</v>
      </c>
      <c r="V29" s="4" t="str">
        <f t="shared" si="2"/>
        <v/>
      </c>
      <c r="W29" s="4" t="e">
        <f>IF($W$3=$N$3,N29,V29*(1+'Rhaniad y Ddeiliadaeth (Cymru)'!C$118))</f>
        <v>#VALUE!</v>
      </c>
      <c r="X29" s="4" t="e">
        <f>W29*(1+'Rhaniad y Ddeiliadaeth (Cymru)'!D$118)</f>
        <v>#VALUE!</v>
      </c>
      <c r="Y29" s="4" t="e">
        <f>X29*(1+'Rhaniad y Ddeiliadaeth (Cymru)'!E$118)</f>
        <v>#VALUE!</v>
      </c>
      <c r="Z29" s="4" t="e">
        <f>Y29*(1+'Rhaniad y Ddeiliadaeth (Cymru)'!F$118)</f>
        <v>#VALUE!</v>
      </c>
      <c r="AA29" s="4" t="e">
        <f>Z29*(1+'Rhaniad y Ddeiliadaeth (Cymru)'!G$118)</f>
        <v>#VALUE!</v>
      </c>
      <c r="AC29" s="260">
        <v>35</v>
      </c>
      <c r="AD29" s="4">
        <f>IF('Rhaniad y Ddeiliadaeth (Cymru)'!$D$18="Data Cofrestrfa Tir",'Prisiau Tai (De-ddwyrain)'!E29,'Prisiau Tai (De-ddwyrain)'!W29)</f>
        <v>136240</v>
      </c>
      <c r="AE29" s="4">
        <f>IF('Rhaniad y Ddeiliadaeth (Cymru)'!$D$18="Data Cofrestrfa Tir",'Prisiau Tai (De-ddwyrain)'!F29,'Prisiau Tai (De-ddwyrain)'!X29)</f>
        <v>144182.79200000002</v>
      </c>
      <c r="AF29" s="4">
        <f>IF('Rhaniad y Ddeiliadaeth (Cymru)'!$D$18="Data Cofrestrfa Tir",'Prisiau Tai (De-ddwyrain)'!G29,'Prisiau Tai (De-ddwyrain)'!Y29)</f>
        <v>154367.42205243959</v>
      </c>
      <c r="AG29" s="4">
        <f>IF('Rhaniad y Ddeiliadaeth (Cymru)'!$D$18="Data Cofrestrfa Tir",'Prisiau Tai (De-ddwyrain)'!H29,'Prisiau Tai (De-ddwyrain)'!Z29)</f>
        <v>162768.23165515409</v>
      </c>
      <c r="AH29" s="4">
        <f>IF('Rhaniad y Ddeiliadaeth (Cymru)'!$D$18="Data Cofrestrfa Tir",'Prisiau Tai (De-ddwyrain)'!I29,'Prisiau Tai (De-ddwyrain)'!AA29)</f>
        <v>169634.4025340566</v>
      </c>
    </row>
    <row r="30" spans="2:34" x14ac:dyDescent="0.35">
      <c r="B30" s="251">
        <v>36</v>
      </c>
      <c r="C30" s="258">
        <v>127000</v>
      </c>
      <c r="D30" s="258">
        <v>132000</v>
      </c>
      <c r="E30" s="278">
        <f>D30*(1+'Rhaniad y Ddeiliadaeth (De-ddn)'!C$118)</f>
        <v>138336</v>
      </c>
      <c r="F30" s="278">
        <f>E30*(1+'Rhaniad y Ddeiliadaeth (De-ddn)'!D$118)</f>
        <v>146400.98879999999</v>
      </c>
      <c r="G30" s="278">
        <f>F30*(1+'Rhaniad y Ddeiliadaeth (De-ddn)'!E$118)</f>
        <v>156742.30546863095</v>
      </c>
      <c r="H30" s="278">
        <f>G30*(1+'Rhaniad y Ddeiliadaeth (De-ddn)'!F$118)</f>
        <v>165272.35829600258</v>
      </c>
      <c r="I30" s="279">
        <f>H30*(1+'Rhaniad y Ddeiliadaeth (De-ddn)'!G$118)</f>
        <v>172244.16257304206</v>
      </c>
      <c r="M30" s="36" t="str">
        <f t="shared" si="0"/>
        <v/>
      </c>
      <c r="N30" s="202"/>
      <c r="O30" s="13">
        <f t="shared" si="3"/>
        <v>1</v>
      </c>
      <c r="U30" s="1">
        <f t="shared" si="1"/>
        <v>36</v>
      </c>
      <c r="V30" s="4" t="str">
        <f t="shared" si="2"/>
        <v/>
      </c>
      <c r="W30" s="4" t="e">
        <f>IF($W$3=$N$3,N30,V30*(1+'Rhaniad y Ddeiliadaeth (Cymru)'!C$118))</f>
        <v>#VALUE!</v>
      </c>
      <c r="X30" s="4" t="e">
        <f>W30*(1+'Rhaniad y Ddeiliadaeth (Cymru)'!D$118)</f>
        <v>#VALUE!</v>
      </c>
      <c r="Y30" s="4" t="e">
        <f>X30*(1+'Rhaniad y Ddeiliadaeth (Cymru)'!E$118)</f>
        <v>#VALUE!</v>
      </c>
      <c r="Z30" s="4" t="e">
        <f>Y30*(1+'Rhaniad y Ddeiliadaeth (Cymru)'!F$118)</f>
        <v>#VALUE!</v>
      </c>
      <c r="AA30" s="4" t="e">
        <f>Z30*(1+'Rhaniad y Ddeiliadaeth (Cymru)'!G$118)</f>
        <v>#VALUE!</v>
      </c>
      <c r="AC30" s="260">
        <v>36</v>
      </c>
      <c r="AD30" s="4">
        <f>IF('Rhaniad y Ddeiliadaeth (Cymru)'!$D$18="Data Cofrestrfa Tir",'Prisiau Tai (De-ddwyrain)'!E30,'Prisiau Tai (De-ddwyrain)'!W30)</f>
        <v>138336</v>
      </c>
      <c r="AE30" s="4">
        <f>IF('Rhaniad y Ddeiliadaeth (Cymru)'!$D$18="Data Cofrestrfa Tir",'Prisiau Tai (De-ddwyrain)'!F30,'Prisiau Tai (De-ddwyrain)'!X30)</f>
        <v>146400.98879999999</v>
      </c>
      <c r="AF30" s="4">
        <f>IF('Rhaniad y Ddeiliadaeth (Cymru)'!$D$18="Data Cofrestrfa Tir",'Prisiau Tai (De-ddwyrain)'!G30,'Prisiau Tai (De-ddwyrain)'!Y30)</f>
        <v>156742.30546863095</v>
      </c>
      <c r="AG30" s="4">
        <f>IF('Rhaniad y Ddeiliadaeth (Cymru)'!$D$18="Data Cofrestrfa Tir",'Prisiau Tai (De-ddwyrain)'!H30,'Prisiau Tai (De-ddwyrain)'!Z30)</f>
        <v>165272.35829600258</v>
      </c>
      <c r="AH30" s="4">
        <f>IF('Rhaniad y Ddeiliadaeth (Cymru)'!$D$18="Data Cofrestrfa Tir",'Prisiau Tai (De-ddwyrain)'!I30,'Prisiau Tai (De-ddwyrain)'!AA30)</f>
        <v>172244.16257304206</v>
      </c>
    </row>
    <row r="31" spans="2:34" x14ac:dyDescent="0.35">
      <c r="B31" s="251">
        <v>37</v>
      </c>
      <c r="C31" s="258">
        <v>129000</v>
      </c>
      <c r="D31" s="258">
        <v>135000</v>
      </c>
      <c r="E31" s="278">
        <f>D31*(1+'Rhaniad y Ddeiliadaeth (De-ddn)'!C$118)</f>
        <v>141480</v>
      </c>
      <c r="F31" s="278">
        <f>E31*(1+'Rhaniad y Ddeiliadaeth (De-ddn)'!D$118)</f>
        <v>149728.28400000001</v>
      </c>
      <c r="G31" s="278">
        <f>F31*(1+'Rhaniad y Ddeiliadaeth (De-ddn)'!E$118)</f>
        <v>160304.63059291805</v>
      </c>
      <c r="H31" s="278">
        <f>G31*(1+'Rhaniad y Ddeiliadaeth (De-ddn)'!F$118)</f>
        <v>169028.5482572754</v>
      </c>
      <c r="I31" s="279">
        <f>H31*(1+'Rhaniad y Ddeiliadaeth (De-ddn)'!G$118)</f>
        <v>176158.80263152032</v>
      </c>
      <c r="M31" s="36" t="str">
        <f t="shared" si="0"/>
        <v/>
      </c>
      <c r="N31" s="202"/>
      <c r="O31" s="13">
        <f t="shared" si="3"/>
        <v>1</v>
      </c>
      <c r="U31" s="1">
        <f t="shared" si="1"/>
        <v>37</v>
      </c>
      <c r="V31" s="4" t="str">
        <f t="shared" si="2"/>
        <v/>
      </c>
      <c r="W31" s="4" t="e">
        <f>IF($W$3=$N$3,N31,V31*(1+'Rhaniad y Ddeiliadaeth (Cymru)'!C$118))</f>
        <v>#VALUE!</v>
      </c>
      <c r="X31" s="4" t="e">
        <f>W31*(1+'Rhaniad y Ddeiliadaeth (Cymru)'!D$118)</f>
        <v>#VALUE!</v>
      </c>
      <c r="Y31" s="4" t="e">
        <f>X31*(1+'Rhaniad y Ddeiliadaeth (Cymru)'!E$118)</f>
        <v>#VALUE!</v>
      </c>
      <c r="Z31" s="4" t="e">
        <f>Y31*(1+'Rhaniad y Ddeiliadaeth (Cymru)'!F$118)</f>
        <v>#VALUE!</v>
      </c>
      <c r="AA31" s="4" t="e">
        <f>Z31*(1+'Rhaniad y Ddeiliadaeth (Cymru)'!G$118)</f>
        <v>#VALUE!</v>
      </c>
      <c r="AC31" s="260">
        <v>37</v>
      </c>
      <c r="AD31" s="4">
        <f>IF('Rhaniad y Ddeiliadaeth (Cymru)'!$D$18="Data Cofrestrfa Tir",'Prisiau Tai (De-ddwyrain)'!E31,'Prisiau Tai (De-ddwyrain)'!W31)</f>
        <v>141480</v>
      </c>
      <c r="AE31" s="4">
        <f>IF('Rhaniad y Ddeiliadaeth (Cymru)'!$D$18="Data Cofrestrfa Tir",'Prisiau Tai (De-ddwyrain)'!F31,'Prisiau Tai (De-ddwyrain)'!X31)</f>
        <v>149728.28400000001</v>
      </c>
      <c r="AF31" s="4">
        <f>IF('Rhaniad y Ddeiliadaeth (Cymru)'!$D$18="Data Cofrestrfa Tir",'Prisiau Tai (De-ddwyrain)'!G31,'Prisiau Tai (De-ddwyrain)'!Y31)</f>
        <v>160304.63059291805</v>
      </c>
      <c r="AG31" s="4">
        <f>IF('Rhaniad y Ddeiliadaeth (Cymru)'!$D$18="Data Cofrestrfa Tir",'Prisiau Tai (De-ddwyrain)'!H31,'Prisiau Tai (De-ddwyrain)'!Z31)</f>
        <v>169028.5482572754</v>
      </c>
      <c r="AH31" s="4">
        <f>IF('Rhaniad y Ddeiliadaeth (Cymru)'!$D$18="Data Cofrestrfa Tir",'Prisiau Tai (De-ddwyrain)'!I31,'Prisiau Tai (De-ddwyrain)'!AA31)</f>
        <v>176158.80263152032</v>
      </c>
    </row>
    <row r="32" spans="2:34" x14ac:dyDescent="0.35">
      <c r="B32" s="251">
        <v>38</v>
      </c>
      <c r="C32" s="258">
        <v>130000</v>
      </c>
      <c r="D32" s="258">
        <v>135000</v>
      </c>
      <c r="E32" s="278">
        <f>D32*(1+'Rhaniad y Ddeiliadaeth (De-ddn)'!C$118)</f>
        <v>141480</v>
      </c>
      <c r="F32" s="278">
        <f>E32*(1+'Rhaniad y Ddeiliadaeth (De-ddn)'!D$118)</f>
        <v>149728.28400000001</v>
      </c>
      <c r="G32" s="278">
        <f>F32*(1+'Rhaniad y Ddeiliadaeth (De-ddn)'!E$118)</f>
        <v>160304.63059291805</v>
      </c>
      <c r="H32" s="278">
        <f>G32*(1+'Rhaniad y Ddeiliadaeth (De-ddn)'!F$118)</f>
        <v>169028.5482572754</v>
      </c>
      <c r="I32" s="279">
        <f>H32*(1+'Rhaniad y Ddeiliadaeth (De-ddn)'!G$118)</f>
        <v>176158.80263152032</v>
      </c>
      <c r="M32" s="36" t="str">
        <f t="shared" si="0"/>
        <v/>
      </c>
      <c r="N32" s="202"/>
      <c r="O32" s="13">
        <f t="shared" si="3"/>
        <v>1</v>
      </c>
      <c r="U32" s="1">
        <f t="shared" si="1"/>
        <v>38</v>
      </c>
      <c r="V32" s="4" t="str">
        <f t="shared" si="2"/>
        <v/>
      </c>
      <c r="W32" s="4" t="e">
        <f>IF($W$3=$N$3,N32,V32*(1+'Rhaniad y Ddeiliadaeth (Cymru)'!C$118))</f>
        <v>#VALUE!</v>
      </c>
      <c r="X32" s="4" t="e">
        <f>W32*(1+'Rhaniad y Ddeiliadaeth (Cymru)'!D$118)</f>
        <v>#VALUE!</v>
      </c>
      <c r="Y32" s="4" t="e">
        <f>X32*(1+'Rhaniad y Ddeiliadaeth (Cymru)'!E$118)</f>
        <v>#VALUE!</v>
      </c>
      <c r="Z32" s="4" t="e">
        <f>Y32*(1+'Rhaniad y Ddeiliadaeth (Cymru)'!F$118)</f>
        <v>#VALUE!</v>
      </c>
      <c r="AA32" s="4" t="e">
        <f>Z32*(1+'Rhaniad y Ddeiliadaeth (Cymru)'!G$118)</f>
        <v>#VALUE!</v>
      </c>
      <c r="AC32" s="260">
        <v>38</v>
      </c>
      <c r="AD32" s="4">
        <f>IF('Rhaniad y Ddeiliadaeth (Cymru)'!$D$18="Data Cofrestrfa Tir",'Prisiau Tai (De-ddwyrain)'!E32,'Prisiau Tai (De-ddwyrain)'!W32)</f>
        <v>141480</v>
      </c>
      <c r="AE32" s="4">
        <f>IF('Rhaniad y Ddeiliadaeth (Cymru)'!$D$18="Data Cofrestrfa Tir",'Prisiau Tai (De-ddwyrain)'!F32,'Prisiau Tai (De-ddwyrain)'!X32)</f>
        <v>149728.28400000001</v>
      </c>
      <c r="AF32" s="4">
        <f>IF('Rhaniad y Ddeiliadaeth (Cymru)'!$D$18="Data Cofrestrfa Tir",'Prisiau Tai (De-ddwyrain)'!G32,'Prisiau Tai (De-ddwyrain)'!Y32)</f>
        <v>160304.63059291805</v>
      </c>
      <c r="AG32" s="4">
        <f>IF('Rhaniad y Ddeiliadaeth (Cymru)'!$D$18="Data Cofrestrfa Tir",'Prisiau Tai (De-ddwyrain)'!H32,'Prisiau Tai (De-ddwyrain)'!Z32)</f>
        <v>169028.5482572754</v>
      </c>
      <c r="AH32" s="4">
        <f>IF('Rhaniad y Ddeiliadaeth (Cymru)'!$D$18="Data Cofrestrfa Tir",'Prisiau Tai (De-ddwyrain)'!I32,'Prisiau Tai (De-ddwyrain)'!AA32)</f>
        <v>176158.80263152032</v>
      </c>
    </row>
    <row r="33" spans="2:34" x14ac:dyDescent="0.35">
      <c r="B33" s="251">
        <v>39</v>
      </c>
      <c r="C33" s="258">
        <v>132000</v>
      </c>
      <c r="D33" s="258">
        <v>137995</v>
      </c>
      <c r="E33" s="278">
        <f>D33*(1+'Rhaniad y Ddeiliadaeth (De-ddn)'!C$118)</f>
        <v>144618.76</v>
      </c>
      <c r="F33" s="278">
        <f>E33*(1+'Rhaniad y Ddeiliadaeth (De-ddn)'!D$118)</f>
        <v>153050.033708</v>
      </c>
      <c r="G33" s="278">
        <f>F33*(1+'Rhaniad y Ddeiliadaeth (De-ddn)'!E$118)</f>
        <v>163861.01850866462</v>
      </c>
      <c r="H33" s="278">
        <f>G33*(1+'Rhaniad y Ddeiliadaeth (De-ddn)'!F$118)</f>
        <v>172778.47790194605</v>
      </c>
      <c r="I33" s="279">
        <f>H33*(1+'Rhaniad y Ddeiliadaeth (De-ddn)'!G$118)</f>
        <v>180066.91828990108</v>
      </c>
      <c r="M33" s="36" t="str">
        <f t="shared" si="0"/>
        <v/>
      </c>
      <c r="N33" s="202"/>
      <c r="O33" s="13">
        <f t="shared" si="3"/>
        <v>1</v>
      </c>
      <c r="U33" s="1">
        <f t="shared" si="1"/>
        <v>39</v>
      </c>
      <c r="V33" s="4" t="str">
        <f t="shared" si="2"/>
        <v/>
      </c>
      <c r="W33" s="4" t="e">
        <f>IF($W$3=$N$3,N33,V33*(1+'Rhaniad y Ddeiliadaeth (Cymru)'!C$118))</f>
        <v>#VALUE!</v>
      </c>
      <c r="X33" s="4" t="e">
        <f>W33*(1+'Rhaniad y Ddeiliadaeth (Cymru)'!D$118)</f>
        <v>#VALUE!</v>
      </c>
      <c r="Y33" s="4" t="e">
        <f>X33*(1+'Rhaniad y Ddeiliadaeth (Cymru)'!E$118)</f>
        <v>#VALUE!</v>
      </c>
      <c r="Z33" s="4" t="e">
        <f>Y33*(1+'Rhaniad y Ddeiliadaeth (Cymru)'!F$118)</f>
        <v>#VALUE!</v>
      </c>
      <c r="AA33" s="4" t="e">
        <f>Z33*(1+'Rhaniad y Ddeiliadaeth (Cymru)'!G$118)</f>
        <v>#VALUE!</v>
      </c>
      <c r="AC33" s="260">
        <v>39</v>
      </c>
      <c r="AD33" s="4">
        <f>IF('Rhaniad y Ddeiliadaeth (Cymru)'!$D$18="Data Cofrestrfa Tir",'Prisiau Tai (De-ddwyrain)'!E33,'Prisiau Tai (De-ddwyrain)'!W33)</f>
        <v>144618.76</v>
      </c>
      <c r="AE33" s="4">
        <f>IF('Rhaniad y Ddeiliadaeth (Cymru)'!$D$18="Data Cofrestrfa Tir",'Prisiau Tai (De-ddwyrain)'!F33,'Prisiau Tai (De-ddwyrain)'!X33)</f>
        <v>153050.033708</v>
      </c>
      <c r="AF33" s="4">
        <f>IF('Rhaniad y Ddeiliadaeth (Cymru)'!$D$18="Data Cofrestrfa Tir",'Prisiau Tai (De-ddwyrain)'!G33,'Prisiau Tai (De-ddwyrain)'!Y33)</f>
        <v>163861.01850866462</v>
      </c>
      <c r="AG33" s="4">
        <f>IF('Rhaniad y Ddeiliadaeth (Cymru)'!$D$18="Data Cofrestrfa Tir",'Prisiau Tai (De-ddwyrain)'!H33,'Prisiau Tai (De-ddwyrain)'!Z33)</f>
        <v>172778.47790194605</v>
      </c>
      <c r="AH33" s="4">
        <f>IF('Rhaniad y Ddeiliadaeth (Cymru)'!$D$18="Data Cofrestrfa Tir",'Prisiau Tai (De-ddwyrain)'!I33,'Prisiau Tai (De-ddwyrain)'!AA33)</f>
        <v>180066.91828990108</v>
      </c>
    </row>
    <row r="34" spans="2:34" x14ac:dyDescent="0.35">
      <c r="B34" s="251">
        <v>40</v>
      </c>
      <c r="C34" s="258">
        <v>134950</v>
      </c>
      <c r="D34" s="258">
        <v>140000</v>
      </c>
      <c r="E34" s="278">
        <f>D34*(1+'Rhaniad y Ddeiliadaeth (De-ddn)'!C$118)</f>
        <v>146720</v>
      </c>
      <c r="F34" s="278">
        <f>E34*(1+'Rhaniad y Ddeiliadaeth (De-ddn)'!D$118)</f>
        <v>155273.77600000001</v>
      </c>
      <c r="G34" s="278">
        <f>F34*(1+'Rhaniad y Ddeiliadaeth (De-ddn)'!E$118)</f>
        <v>166241.83913339648</v>
      </c>
      <c r="H34" s="278">
        <f>G34*(1+'Rhaniad y Ddeiliadaeth (De-ddn)'!F$118)</f>
        <v>175288.86485939671</v>
      </c>
      <c r="I34" s="279">
        <f>H34*(1+'Rhaniad y Ddeiliadaeth (De-ddn)'!G$118)</f>
        <v>182683.20272898403</v>
      </c>
      <c r="M34" s="36" t="str">
        <f t="shared" si="0"/>
        <v/>
      </c>
      <c r="N34" s="202"/>
      <c r="O34" s="13">
        <f t="shared" si="3"/>
        <v>1</v>
      </c>
      <c r="U34" s="1">
        <f t="shared" si="1"/>
        <v>40</v>
      </c>
      <c r="V34" s="4" t="str">
        <f t="shared" si="2"/>
        <v/>
      </c>
      <c r="W34" s="4" t="e">
        <f>IF($W$3=$N$3,N34,V34*(1+'Rhaniad y Ddeiliadaeth (Cymru)'!C$118))</f>
        <v>#VALUE!</v>
      </c>
      <c r="X34" s="4" t="e">
        <f>W34*(1+'Rhaniad y Ddeiliadaeth (Cymru)'!D$118)</f>
        <v>#VALUE!</v>
      </c>
      <c r="Y34" s="4" t="e">
        <f>X34*(1+'Rhaniad y Ddeiliadaeth (Cymru)'!E$118)</f>
        <v>#VALUE!</v>
      </c>
      <c r="Z34" s="4" t="e">
        <f>Y34*(1+'Rhaniad y Ddeiliadaeth (Cymru)'!F$118)</f>
        <v>#VALUE!</v>
      </c>
      <c r="AA34" s="4" t="e">
        <f>Z34*(1+'Rhaniad y Ddeiliadaeth (Cymru)'!G$118)</f>
        <v>#VALUE!</v>
      </c>
      <c r="AC34" s="260">
        <v>40</v>
      </c>
      <c r="AD34" s="4">
        <f>IF('Rhaniad y Ddeiliadaeth (Cymru)'!$D$18="Data Cofrestrfa Tir",'Prisiau Tai (De-ddwyrain)'!E34,'Prisiau Tai (De-ddwyrain)'!W34)</f>
        <v>146720</v>
      </c>
      <c r="AE34" s="4">
        <f>IF('Rhaniad y Ddeiliadaeth (Cymru)'!$D$18="Data Cofrestrfa Tir",'Prisiau Tai (De-ddwyrain)'!F34,'Prisiau Tai (De-ddwyrain)'!X34)</f>
        <v>155273.77600000001</v>
      </c>
      <c r="AF34" s="4">
        <f>IF('Rhaniad y Ddeiliadaeth (Cymru)'!$D$18="Data Cofrestrfa Tir",'Prisiau Tai (De-ddwyrain)'!G34,'Prisiau Tai (De-ddwyrain)'!Y34)</f>
        <v>166241.83913339648</v>
      </c>
      <c r="AG34" s="4">
        <f>IF('Rhaniad y Ddeiliadaeth (Cymru)'!$D$18="Data Cofrestrfa Tir",'Prisiau Tai (De-ddwyrain)'!H34,'Prisiau Tai (De-ddwyrain)'!Z34)</f>
        <v>175288.86485939671</v>
      </c>
      <c r="AH34" s="4">
        <f>IF('Rhaniad y Ddeiliadaeth (Cymru)'!$D$18="Data Cofrestrfa Tir",'Prisiau Tai (De-ddwyrain)'!I34,'Prisiau Tai (De-ddwyrain)'!AA34)</f>
        <v>182683.20272898403</v>
      </c>
    </row>
    <row r="35" spans="2:34" x14ac:dyDescent="0.35">
      <c r="B35" s="251">
        <v>41</v>
      </c>
      <c r="C35" s="258">
        <v>135000</v>
      </c>
      <c r="D35" s="258">
        <v>142000</v>
      </c>
      <c r="E35" s="278">
        <f>D35*(1+'Rhaniad y Ddeiliadaeth (De-ddn)'!C$118)</f>
        <v>148816</v>
      </c>
      <c r="F35" s="278">
        <f>E35*(1+'Rhaniad y Ddeiliadaeth (De-ddn)'!D$118)</f>
        <v>157491.97279999999</v>
      </c>
      <c r="G35" s="278">
        <f>F35*(1+'Rhaniad y Ddeiliadaeth (De-ddn)'!E$118)</f>
        <v>168616.72254958784</v>
      </c>
      <c r="H35" s="278">
        <f>G35*(1+'Rhaniad y Ddeiliadaeth (De-ddn)'!F$118)</f>
        <v>177792.9915002452</v>
      </c>
      <c r="I35" s="279">
        <f>H35*(1+'Rhaniad y Ddeiliadaeth (De-ddn)'!G$118)</f>
        <v>185292.9627679695</v>
      </c>
      <c r="M35" s="36" t="str">
        <f t="shared" si="0"/>
        <v/>
      </c>
      <c r="N35" s="202"/>
      <c r="O35" s="13">
        <f t="shared" si="3"/>
        <v>1</v>
      </c>
      <c r="U35" s="1">
        <f t="shared" si="1"/>
        <v>41</v>
      </c>
      <c r="V35" s="4" t="str">
        <f t="shared" si="2"/>
        <v/>
      </c>
      <c r="W35" s="4" t="e">
        <f>IF($W$3=$N$3,N35,V35*(1+'Rhaniad y Ddeiliadaeth (Cymru)'!C$118))</f>
        <v>#VALUE!</v>
      </c>
      <c r="X35" s="4" t="e">
        <f>W35*(1+'Rhaniad y Ddeiliadaeth (Cymru)'!D$118)</f>
        <v>#VALUE!</v>
      </c>
      <c r="Y35" s="4" t="e">
        <f>X35*(1+'Rhaniad y Ddeiliadaeth (Cymru)'!E$118)</f>
        <v>#VALUE!</v>
      </c>
      <c r="Z35" s="4" t="e">
        <f>Y35*(1+'Rhaniad y Ddeiliadaeth (Cymru)'!F$118)</f>
        <v>#VALUE!</v>
      </c>
      <c r="AA35" s="4" t="e">
        <f>Z35*(1+'Rhaniad y Ddeiliadaeth (Cymru)'!G$118)</f>
        <v>#VALUE!</v>
      </c>
      <c r="AC35" s="260">
        <v>41</v>
      </c>
      <c r="AD35" s="4">
        <f>IF('Rhaniad y Ddeiliadaeth (Cymru)'!$D$18="Data Cofrestrfa Tir",'Prisiau Tai (De-ddwyrain)'!E35,'Prisiau Tai (De-ddwyrain)'!W35)</f>
        <v>148816</v>
      </c>
      <c r="AE35" s="4">
        <f>IF('Rhaniad y Ddeiliadaeth (Cymru)'!$D$18="Data Cofrestrfa Tir",'Prisiau Tai (De-ddwyrain)'!F35,'Prisiau Tai (De-ddwyrain)'!X35)</f>
        <v>157491.97279999999</v>
      </c>
      <c r="AF35" s="4">
        <f>IF('Rhaniad y Ddeiliadaeth (Cymru)'!$D$18="Data Cofrestrfa Tir",'Prisiau Tai (De-ddwyrain)'!G35,'Prisiau Tai (De-ddwyrain)'!Y35)</f>
        <v>168616.72254958784</v>
      </c>
      <c r="AG35" s="4">
        <f>IF('Rhaniad y Ddeiliadaeth (Cymru)'!$D$18="Data Cofrestrfa Tir",'Prisiau Tai (De-ddwyrain)'!H35,'Prisiau Tai (De-ddwyrain)'!Z35)</f>
        <v>177792.9915002452</v>
      </c>
      <c r="AH35" s="4">
        <f>IF('Rhaniad y Ddeiliadaeth (Cymru)'!$D$18="Data Cofrestrfa Tir",'Prisiau Tai (De-ddwyrain)'!I35,'Prisiau Tai (De-ddwyrain)'!AA35)</f>
        <v>185292.9627679695</v>
      </c>
    </row>
    <row r="36" spans="2:34" x14ac:dyDescent="0.35">
      <c r="B36" s="251">
        <v>42</v>
      </c>
      <c r="C36" s="258">
        <v>137950</v>
      </c>
      <c r="D36" s="258">
        <v>144968.90000000026</v>
      </c>
      <c r="E36" s="278">
        <f>D36*(1+'Rhaniad y Ddeiliadaeth (De-ddn)'!C$118)</f>
        <v>151927.40720000028</v>
      </c>
      <c r="F36" s="278">
        <f>E36*(1+'Rhaniad y Ddeiliadaeth (De-ddn)'!D$118)</f>
        <v>160784.77503976031</v>
      </c>
      <c r="G36" s="278">
        <f>F36*(1+'Rhaniad y Ddeiliadaeth (De-ddn)'!E$118)</f>
        <v>172142.11823675348</v>
      </c>
      <c r="H36" s="278">
        <f>G36*(1+'Rhaniad y Ddeiliadaeth (De-ddn)'!F$118)</f>
        <v>181510.24229225316</v>
      </c>
      <c r="I36" s="279">
        <f>H36*(1+'Rhaniad y Ddeiliadaeth (De-ddn)'!G$118)</f>
        <v>189167.02105784189</v>
      </c>
      <c r="M36" s="36" t="str">
        <f t="shared" si="0"/>
        <v/>
      </c>
      <c r="N36" s="202"/>
      <c r="O36" s="13">
        <f t="shared" si="3"/>
        <v>1</v>
      </c>
      <c r="U36" s="1">
        <f t="shared" si="1"/>
        <v>42</v>
      </c>
      <c r="V36" s="4" t="str">
        <f t="shared" si="2"/>
        <v/>
      </c>
      <c r="W36" s="4" t="e">
        <f>IF($W$3=$N$3,N36,V36*(1+'Rhaniad y Ddeiliadaeth (Cymru)'!C$118))</f>
        <v>#VALUE!</v>
      </c>
      <c r="X36" s="4" t="e">
        <f>W36*(1+'Rhaniad y Ddeiliadaeth (Cymru)'!D$118)</f>
        <v>#VALUE!</v>
      </c>
      <c r="Y36" s="4" t="e">
        <f>X36*(1+'Rhaniad y Ddeiliadaeth (Cymru)'!E$118)</f>
        <v>#VALUE!</v>
      </c>
      <c r="Z36" s="4" t="e">
        <f>Y36*(1+'Rhaniad y Ddeiliadaeth (Cymru)'!F$118)</f>
        <v>#VALUE!</v>
      </c>
      <c r="AA36" s="4" t="e">
        <f>Z36*(1+'Rhaniad y Ddeiliadaeth (Cymru)'!G$118)</f>
        <v>#VALUE!</v>
      </c>
      <c r="AC36" s="260">
        <v>42</v>
      </c>
      <c r="AD36" s="4">
        <f>IF('Rhaniad y Ddeiliadaeth (Cymru)'!$D$18="Data Cofrestrfa Tir",'Prisiau Tai (De-ddwyrain)'!E36,'Prisiau Tai (De-ddwyrain)'!W36)</f>
        <v>151927.40720000028</v>
      </c>
      <c r="AE36" s="4">
        <f>IF('Rhaniad y Ddeiliadaeth (Cymru)'!$D$18="Data Cofrestrfa Tir",'Prisiau Tai (De-ddwyrain)'!F36,'Prisiau Tai (De-ddwyrain)'!X36)</f>
        <v>160784.77503976031</v>
      </c>
      <c r="AF36" s="4">
        <f>IF('Rhaniad y Ddeiliadaeth (Cymru)'!$D$18="Data Cofrestrfa Tir",'Prisiau Tai (De-ddwyrain)'!G36,'Prisiau Tai (De-ddwyrain)'!Y36)</f>
        <v>172142.11823675348</v>
      </c>
      <c r="AG36" s="4">
        <f>IF('Rhaniad y Ddeiliadaeth (Cymru)'!$D$18="Data Cofrestrfa Tir",'Prisiau Tai (De-ddwyrain)'!H36,'Prisiau Tai (De-ddwyrain)'!Z36)</f>
        <v>181510.24229225316</v>
      </c>
      <c r="AH36" s="4">
        <f>IF('Rhaniad y Ddeiliadaeth (Cymru)'!$D$18="Data Cofrestrfa Tir",'Prisiau Tai (De-ddwyrain)'!I36,'Prisiau Tai (De-ddwyrain)'!AA36)</f>
        <v>189167.02105784189</v>
      </c>
    </row>
    <row r="37" spans="2:34" x14ac:dyDescent="0.35">
      <c r="B37" s="251">
        <v>43</v>
      </c>
      <c r="C37" s="258">
        <v>140000</v>
      </c>
      <c r="D37" s="258">
        <v>145000</v>
      </c>
      <c r="E37" s="278">
        <f>D37*(1+'Rhaniad y Ddeiliadaeth (De-ddn)'!C$118)</f>
        <v>151960</v>
      </c>
      <c r="F37" s="278">
        <f>E37*(1+'Rhaniad y Ddeiliadaeth (De-ddn)'!D$118)</f>
        <v>160819.26800000001</v>
      </c>
      <c r="G37" s="278">
        <f>F37*(1+'Rhaniad y Ddeiliadaeth (De-ddn)'!E$118)</f>
        <v>172179.04767387494</v>
      </c>
      <c r="H37" s="278">
        <f>G37*(1+'Rhaniad y Ddeiliadaeth (De-ddn)'!F$118)</f>
        <v>181549.18146151802</v>
      </c>
      <c r="I37" s="279">
        <f>H37*(1+'Rhaniad y Ddeiliadaeth (De-ddn)'!G$118)</f>
        <v>189207.60282644775</v>
      </c>
      <c r="M37" s="36" t="str">
        <f t="shared" si="0"/>
        <v/>
      </c>
      <c r="N37" s="202"/>
      <c r="O37" s="13">
        <f t="shared" si="3"/>
        <v>1</v>
      </c>
      <c r="U37" s="1">
        <f t="shared" si="1"/>
        <v>43</v>
      </c>
      <c r="V37" s="4" t="str">
        <f t="shared" si="2"/>
        <v/>
      </c>
      <c r="W37" s="4" t="e">
        <f>IF($W$3=$N$3,N37,V37*(1+'Rhaniad y Ddeiliadaeth (Cymru)'!C$118))</f>
        <v>#VALUE!</v>
      </c>
      <c r="X37" s="4" t="e">
        <f>W37*(1+'Rhaniad y Ddeiliadaeth (Cymru)'!D$118)</f>
        <v>#VALUE!</v>
      </c>
      <c r="Y37" s="4" t="e">
        <f>X37*(1+'Rhaniad y Ddeiliadaeth (Cymru)'!E$118)</f>
        <v>#VALUE!</v>
      </c>
      <c r="Z37" s="4" t="e">
        <f>Y37*(1+'Rhaniad y Ddeiliadaeth (Cymru)'!F$118)</f>
        <v>#VALUE!</v>
      </c>
      <c r="AA37" s="4" t="e">
        <f>Z37*(1+'Rhaniad y Ddeiliadaeth (Cymru)'!G$118)</f>
        <v>#VALUE!</v>
      </c>
      <c r="AC37" s="260">
        <v>43</v>
      </c>
      <c r="AD37" s="4">
        <f>IF('Rhaniad y Ddeiliadaeth (Cymru)'!$D$18="Data Cofrestrfa Tir",'Prisiau Tai (De-ddwyrain)'!E37,'Prisiau Tai (De-ddwyrain)'!W37)</f>
        <v>151960</v>
      </c>
      <c r="AE37" s="4">
        <f>IF('Rhaniad y Ddeiliadaeth (Cymru)'!$D$18="Data Cofrestrfa Tir",'Prisiau Tai (De-ddwyrain)'!F37,'Prisiau Tai (De-ddwyrain)'!X37)</f>
        <v>160819.26800000001</v>
      </c>
      <c r="AF37" s="4">
        <f>IF('Rhaniad y Ddeiliadaeth (Cymru)'!$D$18="Data Cofrestrfa Tir",'Prisiau Tai (De-ddwyrain)'!G37,'Prisiau Tai (De-ddwyrain)'!Y37)</f>
        <v>172179.04767387494</v>
      </c>
      <c r="AG37" s="4">
        <f>IF('Rhaniad y Ddeiliadaeth (Cymru)'!$D$18="Data Cofrestrfa Tir",'Prisiau Tai (De-ddwyrain)'!H37,'Prisiau Tai (De-ddwyrain)'!Z37)</f>
        <v>181549.18146151802</v>
      </c>
      <c r="AH37" s="4">
        <f>IF('Rhaniad y Ddeiliadaeth (Cymru)'!$D$18="Data Cofrestrfa Tir",'Prisiau Tai (De-ddwyrain)'!I37,'Prisiau Tai (De-ddwyrain)'!AA37)</f>
        <v>189207.60282644775</v>
      </c>
    </row>
    <row r="38" spans="2:34" x14ac:dyDescent="0.35">
      <c r="B38" s="251">
        <v>44</v>
      </c>
      <c r="C38" s="258">
        <v>141000</v>
      </c>
      <c r="D38" s="258">
        <v>148000</v>
      </c>
      <c r="E38" s="278">
        <f>D38*(1+'Rhaniad y Ddeiliadaeth (De-ddn)'!C$118)</f>
        <v>155104</v>
      </c>
      <c r="F38" s="278">
        <f>E38*(1+'Rhaniad y Ddeiliadaeth (De-ddn)'!D$118)</f>
        <v>164146.5632</v>
      </c>
      <c r="G38" s="278">
        <f>F38*(1+'Rhaniad y Ddeiliadaeth (De-ddn)'!E$118)</f>
        <v>175741.37279816199</v>
      </c>
      <c r="H38" s="278">
        <f>G38*(1+'Rhaniad y Ddeiliadaeth (De-ddn)'!F$118)</f>
        <v>185305.37142279078</v>
      </c>
      <c r="I38" s="279">
        <f>H38*(1+'Rhaniad y Ddeiliadaeth (De-ddn)'!G$118)</f>
        <v>193122.24288492597</v>
      </c>
      <c r="M38" s="36" t="str">
        <f t="shared" si="0"/>
        <v/>
      </c>
      <c r="N38" s="202"/>
      <c r="O38" s="13">
        <f t="shared" si="3"/>
        <v>1</v>
      </c>
      <c r="U38" s="1">
        <f t="shared" si="1"/>
        <v>44</v>
      </c>
      <c r="V38" s="4" t="str">
        <f t="shared" si="2"/>
        <v/>
      </c>
      <c r="W38" s="4" t="e">
        <f>IF($W$3=$N$3,N38,V38*(1+'Rhaniad y Ddeiliadaeth (Cymru)'!C$118))</f>
        <v>#VALUE!</v>
      </c>
      <c r="X38" s="4" t="e">
        <f>W38*(1+'Rhaniad y Ddeiliadaeth (Cymru)'!D$118)</f>
        <v>#VALUE!</v>
      </c>
      <c r="Y38" s="4" t="e">
        <f>X38*(1+'Rhaniad y Ddeiliadaeth (Cymru)'!E$118)</f>
        <v>#VALUE!</v>
      </c>
      <c r="Z38" s="4" t="e">
        <f>Y38*(1+'Rhaniad y Ddeiliadaeth (Cymru)'!F$118)</f>
        <v>#VALUE!</v>
      </c>
      <c r="AA38" s="4" t="e">
        <f>Z38*(1+'Rhaniad y Ddeiliadaeth (Cymru)'!G$118)</f>
        <v>#VALUE!</v>
      </c>
      <c r="AC38" s="260">
        <v>44</v>
      </c>
      <c r="AD38" s="4">
        <f>IF('Rhaniad y Ddeiliadaeth (Cymru)'!$D$18="Data Cofrestrfa Tir",'Prisiau Tai (De-ddwyrain)'!E38,'Prisiau Tai (De-ddwyrain)'!W38)</f>
        <v>155104</v>
      </c>
      <c r="AE38" s="4">
        <f>IF('Rhaniad y Ddeiliadaeth (Cymru)'!$D$18="Data Cofrestrfa Tir",'Prisiau Tai (De-ddwyrain)'!F38,'Prisiau Tai (De-ddwyrain)'!X38)</f>
        <v>164146.5632</v>
      </c>
      <c r="AF38" s="4">
        <f>IF('Rhaniad y Ddeiliadaeth (Cymru)'!$D$18="Data Cofrestrfa Tir",'Prisiau Tai (De-ddwyrain)'!G38,'Prisiau Tai (De-ddwyrain)'!Y38)</f>
        <v>175741.37279816199</v>
      </c>
      <c r="AG38" s="4">
        <f>IF('Rhaniad y Ddeiliadaeth (Cymru)'!$D$18="Data Cofrestrfa Tir",'Prisiau Tai (De-ddwyrain)'!H38,'Prisiau Tai (De-ddwyrain)'!Z38)</f>
        <v>185305.37142279078</v>
      </c>
      <c r="AH38" s="4">
        <f>IF('Rhaniad y Ddeiliadaeth (Cymru)'!$D$18="Data Cofrestrfa Tir",'Prisiau Tai (De-ddwyrain)'!I38,'Prisiau Tai (De-ddwyrain)'!AA38)</f>
        <v>193122.24288492597</v>
      </c>
    </row>
    <row r="39" spans="2:34" x14ac:dyDescent="0.35">
      <c r="B39" s="251">
        <v>45</v>
      </c>
      <c r="C39" s="258">
        <v>144000</v>
      </c>
      <c r="D39" s="258">
        <v>150000</v>
      </c>
      <c r="E39" s="278">
        <f>D39*(1+'Rhaniad y Ddeiliadaeth (De-ddn)'!C$118)</f>
        <v>157200</v>
      </c>
      <c r="F39" s="278">
        <f>E39*(1+'Rhaniad y Ddeiliadaeth (De-ddn)'!D$118)</f>
        <v>166364.76</v>
      </c>
      <c r="G39" s="278">
        <f>F39*(1+'Rhaniad y Ddeiliadaeth (De-ddn)'!E$118)</f>
        <v>178116.25621435337</v>
      </c>
      <c r="H39" s="278">
        <f>G39*(1+'Rhaniad y Ddeiliadaeth (De-ddn)'!F$118)</f>
        <v>187809.4980636393</v>
      </c>
      <c r="I39" s="279">
        <f>H39*(1+'Rhaniad y Ddeiliadaeth (De-ddn)'!G$118)</f>
        <v>195732.00292391144</v>
      </c>
      <c r="M39" s="36" t="str">
        <f t="shared" si="0"/>
        <v/>
      </c>
      <c r="N39" s="202"/>
      <c r="O39" s="13">
        <f t="shared" si="3"/>
        <v>1</v>
      </c>
      <c r="U39" s="1">
        <f t="shared" si="1"/>
        <v>45</v>
      </c>
      <c r="V39" s="4" t="str">
        <f t="shared" si="2"/>
        <v/>
      </c>
      <c r="W39" s="4" t="e">
        <f>IF($W$3=$N$3,N39,V39*(1+'Rhaniad y Ddeiliadaeth (Cymru)'!C$118))</f>
        <v>#VALUE!</v>
      </c>
      <c r="X39" s="4" t="e">
        <f>W39*(1+'Rhaniad y Ddeiliadaeth (Cymru)'!D$118)</f>
        <v>#VALUE!</v>
      </c>
      <c r="Y39" s="4" t="e">
        <f>X39*(1+'Rhaniad y Ddeiliadaeth (Cymru)'!E$118)</f>
        <v>#VALUE!</v>
      </c>
      <c r="Z39" s="4" t="e">
        <f>Y39*(1+'Rhaniad y Ddeiliadaeth (Cymru)'!F$118)</f>
        <v>#VALUE!</v>
      </c>
      <c r="AA39" s="4" t="e">
        <f>Z39*(1+'Rhaniad y Ddeiliadaeth (Cymru)'!G$118)</f>
        <v>#VALUE!</v>
      </c>
      <c r="AC39" s="260">
        <v>45</v>
      </c>
      <c r="AD39" s="4">
        <f>IF('Rhaniad y Ddeiliadaeth (Cymru)'!$D$18="Data Cofrestrfa Tir",'Prisiau Tai (De-ddwyrain)'!E39,'Prisiau Tai (De-ddwyrain)'!W39)</f>
        <v>157200</v>
      </c>
      <c r="AE39" s="4">
        <f>IF('Rhaniad y Ddeiliadaeth (Cymru)'!$D$18="Data Cofrestrfa Tir",'Prisiau Tai (De-ddwyrain)'!F39,'Prisiau Tai (De-ddwyrain)'!X39)</f>
        <v>166364.76</v>
      </c>
      <c r="AF39" s="4">
        <f>IF('Rhaniad y Ddeiliadaeth (Cymru)'!$D$18="Data Cofrestrfa Tir",'Prisiau Tai (De-ddwyrain)'!G39,'Prisiau Tai (De-ddwyrain)'!Y39)</f>
        <v>178116.25621435337</v>
      </c>
      <c r="AG39" s="4">
        <f>IF('Rhaniad y Ddeiliadaeth (Cymru)'!$D$18="Data Cofrestrfa Tir",'Prisiau Tai (De-ddwyrain)'!H39,'Prisiau Tai (De-ddwyrain)'!Z39)</f>
        <v>187809.4980636393</v>
      </c>
      <c r="AH39" s="4">
        <f>IF('Rhaniad y Ddeiliadaeth (Cymru)'!$D$18="Data Cofrestrfa Tir",'Prisiau Tai (De-ddwyrain)'!I39,'Prisiau Tai (De-ddwyrain)'!AA39)</f>
        <v>195732.00292391144</v>
      </c>
    </row>
    <row r="40" spans="2:34" x14ac:dyDescent="0.35">
      <c r="B40" s="251">
        <v>46</v>
      </c>
      <c r="C40" s="258">
        <v>145000</v>
      </c>
      <c r="D40" s="258">
        <v>151000</v>
      </c>
      <c r="E40" s="278">
        <f>D40*(1+'Rhaniad y Ddeiliadaeth (De-ddn)'!C$118)</f>
        <v>158248</v>
      </c>
      <c r="F40" s="278">
        <f>E40*(1+'Rhaniad y Ddeiliadaeth (De-ddn)'!D$118)</f>
        <v>167473.8584</v>
      </c>
      <c r="G40" s="278">
        <f>F40*(1+'Rhaniad y Ddeiliadaeth (De-ddn)'!E$118)</f>
        <v>179303.69792244906</v>
      </c>
      <c r="H40" s="278">
        <f>G40*(1+'Rhaniad y Ddeiliadaeth (De-ddn)'!F$118)</f>
        <v>189061.56138406356</v>
      </c>
      <c r="I40" s="279">
        <f>H40*(1+'Rhaniad y Ddeiliadaeth (De-ddn)'!G$118)</f>
        <v>197036.8829434042</v>
      </c>
      <c r="M40" s="36" t="str">
        <f t="shared" si="0"/>
        <v/>
      </c>
      <c r="N40" s="202"/>
      <c r="O40" s="13">
        <f t="shared" si="3"/>
        <v>1</v>
      </c>
      <c r="U40" s="1">
        <f t="shared" si="1"/>
        <v>46</v>
      </c>
      <c r="V40" s="4" t="str">
        <f t="shared" si="2"/>
        <v/>
      </c>
      <c r="W40" s="4" t="e">
        <f>IF($W$3=$N$3,N40,V40*(1+'Rhaniad y Ddeiliadaeth (Cymru)'!C$118))</f>
        <v>#VALUE!</v>
      </c>
      <c r="X40" s="4" t="e">
        <f>W40*(1+'Rhaniad y Ddeiliadaeth (Cymru)'!D$118)</f>
        <v>#VALUE!</v>
      </c>
      <c r="Y40" s="4" t="e">
        <f>X40*(1+'Rhaniad y Ddeiliadaeth (Cymru)'!E$118)</f>
        <v>#VALUE!</v>
      </c>
      <c r="Z40" s="4" t="e">
        <f>Y40*(1+'Rhaniad y Ddeiliadaeth (Cymru)'!F$118)</f>
        <v>#VALUE!</v>
      </c>
      <c r="AA40" s="4" t="e">
        <f>Z40*(1+'Rhaniad y Ddeiliadaeth (Cymru)'!G$118)</f>
        <v>#VALUE!</v>
      </c>
      <c r="AC40" s="260">
        <v>46</v>
      </c>
      <c r="AD40" s="4">
        <f>IF('Rhaniad y Ddeiliadaeth (Cymru)'!$D$18="Data Cofrestrfa Tir",'Prisiau Tai (De-ddwyrain)'!E40,'Prisiau Tai (De-ddwyrain)'!W40)</f>
        <v>158248</v>
      </c>
      <c r="AE40" s="4">
        <f>IF('Rhaniad y Ddeiliadaeth (Cymru)'!$D$18="Data Cofrestrfa Tir",'Prisiau Tai (De-ddwyrain)'!F40,'Prisiau Tai (De-ddwyrain)'!X40)</f>
        <v>167473.8584</v>
      </c>
      <c r="AF40" s="4">
        <f>IF('Rhaniad y Ddeiliadaeth (Cymru)'!$D$18="Data Cofrestrfa Tir",'Prisiau Tai (De-ddwyrain)'!G40,'Prisiau Tai (De-ddwyrain)'!Y40)</f>
        <v>179303.69792244906</v>
      </c>
      <c r="AG40" s="4">
        <f>IF('Rhaniad y Ddeiliadaeth (Cymru)'!$D$18="Data Cofrestrfa Tir",'Prisiau Tai (De-ddwyrain)'!H40,'Prisiau Tai (De-ddwyrain)'!Z40)</f>
        <v>189061.56138406356</v>
      </c>
      <c r="AH40" s="4">
        <f>IF('Rhaniad y Ddeiliadaeth (Cymru)'!$D$18="Data Cofrestrfa Tir",'Prisiau Tai (De-ddwyrain)'!I40,'Prisiau Tai (De-ddwyrain)'!AA40)</f>
        <v>197036.8829434042</v>
      </c>
    </row>
    <row r="41" spans="2:34" x14ac:dyDescent="0.35">
      <c r="B41" s="251">
        <v>47</v>
      </c>
      <c r="C41" s="258">
        <v>148000</v>
      </c>
      <c r="D41" s="258">
        <v>155000</v>
      </c>
      <c r="E41" s="278">
        <f>D41*(1+'Rhaniad y Ddeiliadaeth (De-ddn)'!C$118)</f>
        <v>162440</v>
      </c>
      <c r="F41" s="278">
        <f>E41*(1+'Rhaniad y Ddeiliadaeth (De-ddn)'!D$118)</f>
        <v>171910.25200000001</v>
      </c>
      <c r="G41" s="278">
        <f>F41*(1+'Rhaniad y Ddeiliadaeth (De-ddn)'!E$118)</f>
        <v>184053.46475483183</v>
      </c>
      <c r="H41" s="278">
        <f>G41*(1+'Rhaniad y Ddeiliadaeth (De-ddn)'!F$118)</f>
        <v>194069.81466576064</v>
      </c>
      <c r="I41" s="279">
        <f>H41*(1+'Rhaniad y Ddeiliadaeth (De-ddn)'!G$118)</f>
        <v>202256.40302137518</v>
      </c>
      <c r="M41" s="36" t="str">
        <f t="shared" si="0"/>
        <v/>
      </c>
      <c r="N41" s="202"/>
      <c r="O41" s="13">
        <f t="shared" si="3"/>
        <v>1</v>
      </c>
      <c r="U41" s="1">
        <f t="shared" si="1"/>
        <v>47</v>
      </c>
      <c r="V41" s="4" t="str">
        <f t="shared" si="2"/>
        <v/>
      </c>
      <c r="W41" s="4" t="e">
        <f>IF($W$3=$N$3,N41,V41*(1+'Rhaniad y Ddeiliadaeth (Cymru)'!C$118))</f>
        <v>#VALUE!</v>
      </c>
      <c r="X41" s="4" t="e">
        <f>W41*(1+'Rhaniad y Ddeiliadaeth (Cymru)'!D$118)</f>
        <v>#VALUE!</v>
      </c>
      <c r="Y41" s="4" t="e">
        <f>X41*(1+'Rhaniad y Ddeiliadaeth (Cymru)'!E$118)</f>
        <v>#VALUE!</v>
      </c>
      <c r="Z41" s="4" t="e">
        <f>Y41*(1+'Rhaniad y Ddeiliadaeth (Cymru)'!F$118)</f>
        <v>#VALUE!</v>
      </c>
      <c r="AA41" s="4" t="e">
        <f>Z41*(1+'Rhaniad y Ddeiliadaeth (Cymru)'!G$118)</f>
        <v>#VALUE!</v>
      </c>
      <c r="AC41" s="260">
        <v>47</v>
      </c>
      <c r="AD41" s="4">
        <f>IF('Rhaniad y Ddeiliadaeth (Cymru)'!$D$18="Data Cofrestrfa Tir",'Prisiau Tai (De-ddwyrain)'!E41,'Prisiau Tai (De-ddwyrain)'!W41)</f>
        <v>162440</v>
      </c>
      <c r="AE41" s="4">
        <f>IF('Rhaniad y Ddeiliadaeth (Cymru)'!$D$18="Data Cofrestrfa Tir",'Prisiau Tai (De-ddwyrain)'!F41,'Prisiau Tai (De-ddwyrain)'!X41)</f>
        <v>171910.25200000001</v>
      </c>
      <c r="AF41" s="4">
        <f>IF('Rhaniad y Ddeiliadaeth (Cymru)'!$D$18="Data Cofrestrfa Tir",'Prisiau Tai (De-ddwyrain)'!G41,'Prisiau Tai (De-ddwyrain)'!Y41)</f>
        <v>184053.46475483183</v>
      </c>
      <c r="AG41" s="4">
        <f>IF('Rhaniad y Ddeiliadaeth (Cymru)'!$D$18="Data Cofrestrfa Tir",'Prisiau Tai (De-ddwyrain)'!H41,'Prisiau Tai (De-ddwyrain)'!Z41)</f>
        <v>194069.81466576064</v>
      </c>
      <c r="AH41" s="4">
        <f>IF('Rhaniad y Ddeiliadaeth (Cymru)'!$D$18="Data Cofrestrfa Tir",'Prisiau Tai (De-ddwyrain)'!I41,'Prisiau Tai (De-ddwyrain)'!AA41)</f>
        <v>202256.40302137518</v>
      </c>
    </row>
    <row r="42" spans="2:34" x14ac:dyDescent="0.35">
      <c r="B42" s="251">
        <v>48</v>
      </c>
      <c r="C42" s="258">
        <v>150000</v>
      </c>
      <c r="D42" s="258">
        <v>155500</v>
      </c>
      <c r="E42" s="278">
        <f>D42*(1+'Rhaniad y Ddeiliadaeth (De-ddn)'!C$118)</f>
        <v>162964</v>
      </c>
      <c r="F42" s="278">
        <f>E42*(1+'Rhaniad y Ddeiliadaeth (De-ddn)'!D$118)</f>
        <v>172464.80120000002</v>
      </c>
      <c r="G42" s="278">
        <f>F42*(1+'Rhaniad y Ddeiliadaeth (De-ddn)'!E$118)</f>
        <v>184647.18560887966</v>
      </c>
      <c r="H42" s="278">
        <f>G42*(1+'Rhaniad y Ddeiliadaeth (De-ddn)'!F$118)</f>
        <v>194695.84632597276</v>
      </c>
      <c r="I42" s="279">
        <f>H42*(1+'Rhaniad y Ddeiliadaeth (De-ddn)'!G$118)</f>
        <v>202908.84303112156</v>
      </c>
      <c r="M42" s="36" t="str">
        <f t="shared" si="0"/>
        <v/>
      </c>
      <c r="N42" s="202"/>
      <c r="O42" s="13">
        <f t="shared" si="3"/>
        <v>1</v>
      </c>
      <c r="U42" s="1">
        <f t="shared" si="1"/>
        <v>48</v>
      </c>
      <c r="V42" s="4" t="str">
        <f t="shared" si="2"/>
        <v/>
      </c>
      <c r="W42" s="4" t="e">
        <f>IF($W$3=$N$3,N42,V42*(1+'Rhaniad y Ddeiliadaeth (Cymru)'!C$118))</f>
        <v>#VALUE!</v>
      </c>
      <c r="X42" s="4" t="e">
        <f>W42*(1+'Rhaniad y Ddeiliadaeth (Cymru)'!D$118)</f>
        <v>#VALUE!</v>
      </c>
      <c r="Y42" s="4" t="e">
        <f>X42*(1+'Rhaniad y Ddeiliadaeth (Cymru)'!E$118)</f>
        <v>#VALUE!</v>
      </c>
      <c r="Z42" s="4" t="e">
        <f>Y42*(1+'Rhaniad y Ddeiliadaeth (Cymru)'!F$118)</f>
        <v>#VALUE!</v>
      </c>
      <c r="AA42" s="4" t="e">
        <f>Z42*(1+'Rhaniad y Ddeiliadaeth (Cymru)'!G$118)</f>
        <v>#VALUE!</v>
      </c>
      <c r="AC42" s="260">
        <v>48</v>
      </c>
      <c r="AD42" s="4">
        <f>IF('Rhaniad y Ddeiliadaeth (Cymru)'!$D$18="Data Cofrestrfa Tir",'Prisiau Tai (De-ddwyrain)'!E42,'Prisiau Tai (De-ddwyrain)'!W42)</f>
        <v>162964</v>
      </c>
      <c r="AE42" s="4">
        <f>IF('Rhaniad y Ddeiliadaeth (Cymru)'!$D$18="Data Cofrestrfa Tir",'Prisiau Tai (De-ddwyrain)'!F42,'Prisiau Tai (De-ddwyrain)'!X42)</f>
        <v>172464.80120000002</v>
      </c>
      <c r="AF42" s="4">
        <f>IF('Rhaniad y Ddeiliadaeth (Cymru)'!$D$18="Data Cofrestrfa Tir",'Prisiau Tai (De-ddwyrain)'!G42,'Prisiau Tai (De-ddwyrain)'!Y42)</f>
        <v>184647.18560887966</v>
      </c>
      <c r="AG42" s="4">
        <f>IF('Rhaniad y Ddeiliadaeth (Cymru)'!$D$18="Data Cofrestrfa Tir",'Prisiau Tai (De-ddwyrain)'!H42,'Prisiau Tai (De-ddwyrain)'!Z42)</f>
        <v>194695.84632597276</v>
      </c>
      <c r="AH42" s="4">
        <f>IF('Rhaniad y Ddeiliadaeth (Cymru)'!$D$18="Data Cofrestrfa Tir",'Prisiau Tai (De-ddwyrain)'!I42,'Prisiau Tai (De-ddwyrain)'!AA42)</f>
        <v>202908.84303112156</v>
      </c>
    </row>
    <row r="43" spans="2:34" x14ac:dyDescent="0.35">
      <c r="B43" s="251">
        <v>49</v>
      </c>
      <c r="C43" s="258">
        <v>152054.00000000009</v>
      </c>
      <c r="D43" s="258">
        <v>158000</v>
      </c>
      <c r="E43" s="278">
        <f>D43*(1+'Rhaniad y Ddeiliadaeth (De-ddn)'!C$118)</f>
        <v>165584</v>
      </c>
      <c r="F43" s="278">
        <f>E43*(1+'Rhaniad y Ddeiliadaeth (De-ddn)'!D$118)</f>
        <v>175237.5472</v>
      </c>
      <c r="G43" s="278">
        <f>F43*(1+'Rhaniad y Ddeiliadaeth (De-ddn)'!E$118)</f>
        <v>187615.78987911888</v>
      </c>
      <c r="H43" s="278">
        <f>G43*(1+'Rhaniad y Ddeiliadaeth (De-ddn)'!F$118)</f>
        <v>197826.0046270334</v>
      </c>
      <c r="I43" s="279">
        <f>H43*(1+'Rhaniad y Ddeiliadaeth (De-ddn)'!G$118)</f>
        <v>206171.04307985341</v>
      </c>
      <c r="M43" s="36" t="str">
        <f t="shared" si="0"/>
        <v/>
      </c>
      <c r="N43" s="202"/>
      <c r="O43" s="13">
        <f t="shared" si="3"/>
        <v>1</v>
      </c>
      <c r="U43" s="1">
        <f t="shared" si="1"/>
        <v>49</v>
      </c>
      <c r="V43" s="4" t="str">
        <f t="shared" si="2"/>
        <v/>
      </c>
      <c r="W43" s="4" t="e">
        <f>IF($W$3=$N$3,N43,V43*(1+'Rhaniad y Ddeiliadaeth (Cymru)'!C$118))</f>
        <v>#VALUE!</v>
      </c>
      <c r="X43" s="4" t="e">
        <f>W43*(1+'Rhaniad y Ddeiliadaeth (Cymru)'!D$118)</f>
        <v>#VALUE!</v>
      </c>
      <c r="Y43" s="4" t="e">
        <f>X43*(1+'Rhaniad y Ddeiliadaeth (Cymru)'!E$118)</f>
        <v>#VALUE!</v>
      </c>
      <c r="Z43" s="4" t="e">
        <f>Y43*(1+'Rhaniad y Ddeiliadaeth (Cymru)'!F$118)</f>
        <v>#VALUE!</v>
      </c>
      <c r="AA43" s="4" t="e">
        <f>Z43*(1+'Rhaniad y Ddeiliadaeth (Cymru)'!G$118)</f>
        <v>#VALUE!</v>
      </c>
      <c r="AC43" s="260">
        <v>49</v>
      </c>
      <c r="AD43" s="4">
        <f>IF('Rhaniad y Ddeiliadaeth (Cymru)'!$D$18="Data Cofrestrfa Tir",'Prisiau Tai (De-ddwyrain)'!E43,'Prisiau Tai (De-ddwyrain)'!W43)</f>
        <v>165584</v>
      </c>
      <c r="AE43" s="4">
        <f>IF('Rhaniad y Ddeiliadaeth (Cymru)'!$D$18="Data Cofrestrfa Tir",'Prisiau Tai (De-ddwyrain)'!F43,'Prisiau Tai (De-ddwyrain)'!X43)</f>
        <v>175237.5472</v>
      </c>
      <c r="AF43" s="4">
        <f>IF('Rhaniad y Ddeiliadaeth (Cymru)'!$D$18="Data Cofrestrfa Tir",'Prisiau Tai (De-ddwyrain)'!G43,'Prisiau Tai (De-ddwyrain)'!Y43)</f>
        <v>187615.78987911888</v>
      </c>
      <c r="AG43" s="4">
        <f>IF('Rhaniad y Ddeiliadaeth (Cymru)'!$D$18="Data Cofrestrfa Tir",'Prisiau Tai (De-ddwyrain)'!H43,'Prisiau Tai (De-ddwyrain)'!Z43)</f>
        <v>197826.0046270334</v>
      </c>
      <c r="AH43" s="4">
        <f>IF('Rhaniad y Ddeiliadaeth (Cymru)'!$D$18="Data Cofrestrfa Tir",'Prisiau Tai (De-ddwyrain)'!I43,'Prisiau Tai (De-ddwyrain)'!AA43)</f>
        <v>206171.04307985341</v>
      </c>
    </row>
    <row r="44" spans="2:34" x14ac:dyDescent="0.35">
      <c r="B44" s="251">
        <v>50</v>
      </c>
      <c r="C44" s="258">
        <v>155000</v>
      </c>
      <c r="D44" s="258">
        <v>160000</v>
      </c>
      <c r="E44" s="278">
        <f>D44*(1+'Rhaniad y Ddeiliadaeth (De-ddn)'!C$118)</f>
        <v>167680</v>
      </c>
      <c r="F44" s="278">
        <f>E44*(1+'Rhaniad y Ddeiliadaeth (De-ddn)'!D$118)</f>
        <v>177455.74400000001</v>
      </c>
      <c r="G44" s="278">
        <f>F44*(1+'Rhaniad y Ddeiliadaeth (De-ddn)'!E$118)</f>
        <v>189990.67329531026</v>
      </c>
      <c r="H44" s="278">
        <f>G44*(1+'Rhaniad y Ddeiliadaeth (De-ddn)'!F$118)</f>
        <v>200330.13126788192</v>
      </c>
      <c r="I44" s="279">
        <f>H44*(1+'Rhaniad y Ddeiliadaeth (De-ddn)'!G$118)</f>
        <v>208780.80311883887</v>
      </c>
      <c r="M44" s="36" t="str">
        <f t="shared" si="0"/>
        <v/>
      </c>
      <c r="N44" s="202"/>
      <c r="O44" s="13">
        <f t="shared" si="3"/>
        <v>1</v>
      </c>
      <c r="U44" s="1">
        <f t="shared" si="1"/>
        <v>50</v>
      </c>
      <c r="V44" s="4" t="str">
        <f t="shared" si="2"/>
        <v/>
      </c>
      <c r="W44" s="4" t="e">
        <f>IF($W$3=$N$3,N44,V44*(1+'Rhaniad y Ddeiliadaeth (Cymru)'!C$118))</f>
        <v>#VALUE!</v>
      </c>
      <c r="X44" s="4" t="e">
        <f>W44*(1+'Rhaniad y Ddeiliadaeth (Cymru)'!D$118)</f>
        <v>#VALUE!</v>
      </c>
      <c r="Y44" s="4" t="e">
        <f>X44*(1+'Rhaniad y Ddeiliadaeth (Cymru)'!E$118)</f>
        <v>#VALUE!</v>
      </c>
      <c r="Z44" s="4" t="e">
        <f>Y44*(1+'Rhaniad y Ddeiliadaeth (Cymru)'!F$118)</f>
        <v>#VALUE!</v>
      </c>
      <c r="AA44" s="4" t="e">
        <f>Z44*(1+'Rhaniad y Ddeiliadaeth (Cymru)'!G$118)</f>
        <v>#VALUE!</v>
      </c>
      <c r="AC44" s="260">
        <v>50</v>
      </c>
      <c r="AD44" s="4">
        <f>IF('Rhaniad y Ddeiliadaeth (Cymru)'!$D$18="Data Cofrestrfa Tir",'Prisiau Tai (De-ddwyrain)'!E44,'Prisiau Tai (De-ddwyrain)'!W44)</f>
        <v>167680</v>
      </c>
      <c r="AE44" s="4">
        <f>IF('Rhaniad y Ddeiliadaeth (Cymru)'!$D$18="Data Cofrestrfa Tir",'Prisiau Tai (De-ddwyrain)'!F44,'Prisiau Tai (De-ddwyrain)'!X44)</f>
        <v>177455.74400000001</v>
      </c>
      <c r="AF44" s="4">
        <f>IF('Rhaniad y Ddeiliadaeth (Cymru)'!$D$18="Data Cofrestrfa Tir",'Prisiau Tai (De-ddwyrain)'!G44,'Prisiau Tai (De-ddwyrain)'!Y44)</f>
        <v>189990.67329531026</v>
      </c>
      <c r="AG44" s="4">
        <f>IF('Rhaniad y Ddeiliadaeth (Cymru)'!$D$18="Data Cofrestrfa Tir",'Prisiau Tai (De-ddwyrain)'!H44,'Prisiau Tai (De-ddwyrain)'!Z44)</f>
        <v>200330.13126788192</v>
      </c>
      <c r="AH44" s="4">
        <f>IF('Rhaniad y Ddeiliadaeth (Cymru)'!$D$18="Data Cofrestrfa Tir",'Prisiau Tai (De-ddwyrain)'!I44,'Prisiau Tai (De-ddwyrain)'!AA44)</f>
        <v>208780.80311883887</v>
      </c>
    </row>
    <row r="45" spans="2:34" x14ac:dyDescent="0.35">
      <c r="B45" s="251">
        <v>51</v>
      </c>
      <c r="C45" s="258">
        <v>158000</v>
      </c>
      <c r="D45" s="258">
        <v>162500</v>
      </c>
      <c r="E45" s="278">
        <f>D45*(1+'Rhaniad y Ddeiliadaeth (De-ddn)'!C$118)</f>
        <v>170300</v>
      </c>
      <c r="F45" s="278">
        <f>E45*(1+'Rhaniad y Ddeiliadaeth (De-ddn)'!D$118)</f>
        <v>180228.49</v>
      </c>
      <c r="G45" s="278">
        <f>F45*(1+'Rhaniad y Ddeiliadaeth (De-ddn)'!E$118)</f>
        <v>192959.27756554948</v>
      </c>
      <c r="H45" s="278">
        <f>G45*(1+'Rhaniad y Ddeiliadaeth (De-ddn)'!F$118)</f>
        <v>203460.28956894256</v>
      </c>
      <c r="I45" s="279">
        <f>H45*(1+'Rhaniad y Ddeiliadaeth (De-ddn)'!G$118)</f>
        <v>212043.00316757071</v>
      </c>
      <c r="M45" s="36" t="str">
        <f t="shared" si="0"/>
        <v/>
      </c>
      <c r="N45" s="202"/>
      <c r="O45" s="13">
        <f t="shared" si="3"/>
        <v>1</v>
      </c>
      <c r="U45" s="1">
        <f t="shared" si="1"/>
        <v>51</v>
      </c>
      <c r="V45" s="4" t="str">
        <f t="shared" si="2"/>
        <v/>
      </c>
      <c r="W45" s="4" t="e">
        <f>IF($W$3=$N$3,N45,V45*(1+'Rhaniad y Ddeiliadaeth (Cymru)'!C$118))</f>
        <v>#VALUE!</v>
      </c>
      <c r="X45" s="4" t="e">
        <f>W45*(1+'Rhaniad y Ddeiliadaeth (Cymru)'!D$118)</f>
        <v>#VALUE!</v>
      </c>
      <c r="Y45" s="4" t="e">
        <f>X45*(1+'Rhaniad y Ddeiliadaeth (Cymru)'!E$118)</f>
        <v>#VALUE!</v>
      </c>
      <c r="Z45" s="4" t="e">
        <f>Y45*(1+'Rhaniad y Ddeiliadaeth (Cymru)'!F$118)</f>
        <v>#VALUE!</v>
      </c>
      <c r="AA45" s="4" t="e">
        <f>Z45*(1+'Rhaniad y Ddeiliadaeth (Cymru)'!G$118)</f>
        <v>#VALUE!</v>
      </c>
      <c r="AC45" s="260">
        <v>51</v>
      </c>
      <c r="AD45" s="4">
        <f>IF('Rhaniad y Ddeiliadaeth (Cymru)'!$D$18="Data Cofrestrfa Tir",'Prisiau Tai (De-ddwyrain)'!E45,'Prisiau Tai (De-ddwyrain)'!W45)</f>
        <v>170300</v>
      </c>
      <c r="AE45" s="4">
        <f>IF('Rhaniad y Ddeiliadaeth (Cymru)'!$D$18="Data Cofrestrfa Tir",'Prisiau Tai (De-ddwyrain)'!F45,'Prisiau Tai (De-ddwyrain)'!X45)</f>
        <v>180228.49</v>
      </c>
      <c r="AF45" s="4">
        <f>IF('Rhaniad y Ddeiliadaeth (Cymru)'!$D$18="Data Cofrestrfa Tir",'Prisiau Tai (De-ddwyrain)'!G45,'Prisiau Tai (De-ddwyrain)'!Y45)</f>
        <v>192959.27756554948</v>
      </c>
      <c r="AG45" s="4">
        <f>IF('Rhaniad y Ddeiliadaeth (Cymru)'!$D$18="Data Cofrestrfa Tir",'Prisiau Tai (De-ddwyrain)'!H45,'Prisiau Tai (De-ddwyrain)'!Z45)</f>
        <v>203460.28956894256</v>
      </c>
      <c r="AH45" s="4">
        <f>IF('Rhaniad y Ddeiliadaeth (Cymru)'!$D$18="Data Cofrestrfa Tir",'Prisiau Tai (De-ddwyrain)'!I45,'Prisiau Tai (De-ddwyrain)'!AA45)</f>
        <v>212043.00316757071</v>
      </c>
    </row>
    <row r="46" spans="2:34" x14ac:dyDescent="0.35">
      <c r="B46" s="251">
        <v>52</v>
      </c>
      <c r="C46" s="258">
        <v>160000</v>
      </c>
      <c r="D46" s="258">
        <v>165000</v>
      </c>
      <c r="E46" s="278">
        <f>D46*(1+'Rhaniad y Ddeiliadaeth (De-ddn)'!C$118)</f>
        <v>172920</v>
      </c>
      <c r="F46" s="278">
        <f>E46*(1+'Rhaniad y Ddeiliadaeth (De-ddn)'!D$118)</f>
        <v>183001.236</v>
      </c>
      <c r="G46" s="278">
        <f>F46*(1+'Rhaniad y Ddeiliadaeth (De-ddn)'!E$118)</f>
        <v>195927.88183578869</v>
      </c>
      <c r="H46" s="278">
        <f>G46*(1+'Rhaniad y Ddeiliadaeth (De-ddn)'!F$118)</f>
        <v>206590.44787000323</v>
      </c>
      <c r="I46" s="279">
        <f>H46*(1+'Rhaniad y Ddeiliadaeth (De-ddn)'!G$118)</f>
        <v>215305.20321630259</v>
      </c>
      <c r="M46" s="36" t="str">
        <f t="shared" si="0"/>
        <v/>
      </c>
      <c r="N46" s="202"/>
      <c r="O46" s="13">
        <f t="shared" si="3"/>
        <v>1</v>
      </c>
      <c r="U46" s="1">
        <f t="shared" si="1"/>
        <v>52</v>
      </c>
      <c r="V46" s="4" t="str">
        <f t="shared" si="2"/>
        <v/>
      </c>
      <c r="W46" s="4" t="e">
        <f>IF($W$3=$N$3,N46,V46*(1+'Rhaniad y Ddeiliadaeth (Cymru)'!C$118))</f>
        <v>#VALUE!</v>
      </c>
      <c r="X46" s="4" t="e">
        <f>W46*(1+'Rhaniad y Ddeiliadaeth (Cymru)'!D$118)</f>
        <v>#VALUE!</v>
      </c>
      <c r="Y46" s="4" t="e">
        <f>X46*(1+'Rhaniad y Ddeiliadaeth (Cymru)'!E$118)</f>
        <v>#VALUE!</v>
      </c>
      <c r="Z46" s="4" t="e">
        <f>Y46*(1+'Rhaniad y Ddeiliadaeth (Cymru)'!F$118)</f>
        <v>#VALUE!</v>
      </c>
      <c r="AA46" s="4" t="e">
        <f>Z46*(1+'Rhaniad y Ddeiliadaeth (Cymru)'!G$118)</f>
        <v>#VALUE!</v>
      </c>
      <c r="AC46" s="260">
        <v>52</v>
      </c>
      <c r="AD46" s="4">
        <f>IF('Rhaniad y Ddeiliadaeth (Cymru)'!$D$18="Data Cofrestrfa Tir",'Prisiau Tai (De-ddwyrain)'!E46,'Prisiau Tai (De-ddwyrain)'!W46)</f>
        <v>172920</v>
      </c>
      <c r="AE46" s="4">
        <f>IF('Rhaniad y Ddeiliadaeth (Cymru)'!$D$18="Data Cofrestrfa Tir",'Prisiau Tai (De-ddwyrain)'!F46,'Prisiau Tai (De-ddwyrain)'!X46)</f>
        <v>183001.236</v>
      </c>
      <c r="AF46" s="4">
        <f>IF('Rhaniad y Ddeiliadaeth (Cymru)'!$D$18="Data Cofrestrfa Tir",'Prisiau Tai (De-ddwyrain)'!G46,'Prisiau Tai (De-ddwyrain)'!Y46)</f>
        <v>195927.88183578869</v>
      </c>
      <c r="AG46" s="4">
        <f>IF('Rhaniad y Ddeiliadaeth (Cymru)'!$D$18="Data Cofrestrfa Tir",'Prisiau Tai (De-ddwyrain)'!H46,'Prisiau Tai (De-ddwyrain)'!Z46)</f>
        <v>206590.44787000323</v>
      </c>
      <c r="AH46" s="4">
        <f>IF('Rhaniad y Ddeiliadaeth (Cymru)'!$D$18="Data Cofrestrfa Tir",'Prisiau Tai (De-ddwyrain)'!I46,'Prisiau Tai (De-ddwyrain)'!AA46)</f>
        <v>215305.20321630259</v>
      </c>
    </row>
    <row r="47" spans="2:34" x14ac:dyDescent="0.35">
      <c r="B47" s="251">
        <v>53</v>
      </c>
      <c r="C47" s="258">
        <v>161500</v>
      </c>
      <c r="D47" s="258">
        <v>166000</v>
      </c>
      <c r="E47" s="278">
        <f>D47*(1+'Rhaniad y Ddeiliadaeth (De-ddn)'!C$118)</f>
        <v>173968</v>
      </c>
      <c r="F47" s="278">
        <f>E47*(1+'Rhaniad y Ddeiliadaeth (De-ddn)'!D$118)</f>
        <v>184110.33439999999</v>
      </c>
      <c r="G47" s="278">
        <f>F47*(1+'Rhaniad y Ddeiliadaeth (De-ddn)'!E$118)</f>
        <v>197115.32354388438</v>
      </c>
      <c r="H47" s="278">
        <f>G47*(1+'Rhaniad y Ddeiliadaeth (De-ddn)'!F$118)</f>
        <v>207842.5111904275</v>
      </c>
      <c r="I47" s="279">
        <f>H47*(1+'Rhaniad y Ddeiliadaeth (De-ddn)'!G$118)</f>
        <v>216610.08323579535</v>
      </c>
      <c r="M47" s="36" t="str">
        <f t="shared" si="0"/>
        <v/>
      </c>
      <c r="N47" s="202"/>
      <c r="O47" s="13">
        <f t="shared" si="3"/>
        <v>1</v>
      </c>
      <c r="U47" s="1">
        <f t="shared" si="1"/>
        <v>53</v>
      </c>
      <c r="V47" s="4" t="str">
        <f t="shared" si="2"/>
        <v/>
      </c>
      <c r="W47" s="4" t="e">
        <f>IF($W$3=$N$3,N47,V47*(1+'Rhaniad y Ddeiliadaeth (Cymru)'!C$118))</f>
        <v>#VALUE!</v>
      </c>
      <c r="X47" s="4" t="e">
        <f>W47*(1+'Rhaniad y Ddeiliadaeth (Cymru)'!D$118)</f>
        <v>#VALUE!</v>
      </c>
      <c r="Y47" s="4" t="e">
        <f>X47*(1+'Rhaniad y Ddeiliadaeth (Cymru)'!E$118)</f>
        <v>#VALUE!</v>
      </c>
      <c r="Z47" s="4" t="e">
        <f>Y47*(1+'Rhaniad y Ddeiliadaeth (Cymru)'!F$118)</f>
        <v>#VALUE!</v>
      </c>
      <c r="AA47" s="4" t="e">
        <f>Z47*(1+'Rhaniad y Ddeiliadaeth (Cymru)'!G$118)</f>
        <v>#VALUE!</v>
      </c>
      <c r="AC47" s="260">
        <v>53</v>
      </c>
      <c r="AD47" s="4">
        <f>IF('Rhaniad y Ddeiliadaeth (Cymru)'!$D$18="Data Cofrestrfa Tir",'Prisiau Tai (De-ddwyrain)'!E47,'Prisiau Tai (De-ddwyrain)'!W47)</f>
        <v>173968</v>
      </c>
      <c r="AE47" s="4">
        <f>IF('Rhaniad y Ddeiliadaeth (Cymru)'!$D$18="Data Cofrestrfa Tir",'Prisiau Tai (De-ddwyrain)'!F47,'Prisiau Tai (De-ddwyrain)'!X47)</f>
        <v>184110.33439999999</v>
      </c>
      <c r="AF47" s="4">
        <f>IF('Rhaniad y Ddeiliadaeth (Cymru)'!$D$18="Data Cofrestrfa Tir",'Prisiau Tai (De-ddwyrain)'!G47,'Prisiau Tai (De-ddwyrain)'!Y47)</f>
        <v>197115.32354388438</v>
      </c>
      <c r="AG47" s="4">
        <f>IF('Rhaniad y Ddeiliadaeth (Cymru)'!$D$18="Data Cofrestrfa Tir",'Prisiau Tai (De-ddwyrain)'!H47,'Prisiau Tai (De-ddwyrain)'!Z47)</f>
        <v>207842.5111904275</v>
      </c>
      <c r="AH47" s="4">
        <f>IF('Rhaniad y Ddeiliadaeth (Cymru)'!$D$18="Data Cofrestrfa Tir",'Prisiau Tai (De-ddwyrain)'!I47,'Prisiau Tai (De-ddwyrain)'!AA47)</f>
        <v>216610.08323579535</v>
      </c>
    </row>
    <row r="48" spans="2:34" x14ac:dyDescent="0.35">
      <c r="B48" s="251">
        <v>54</v>
      </c>
      <c r="C48" s="258">
        <v>164950</v>
      </c>
      <c r="D48" s="258">
        <v>169950</v>
      </c>
      <c r="E48" s="278">
        <f>D48*(1+'Rhaniad y Ddeiliadaeth (De-ddn)'!C$118)</f>
        <v>178107.6</v>
      </c>
      <c r="F48" s="278">
        <f>E48*(1+'Rhaniad y Ddeiliadaeth (De-ddn)'!D$118)</f>
        <v>188491.27308000001</v>
      </c>
      <c r="G48" s="278">
        <f>F48*(1+'Rhaniad y Ddeiliadaeth (De-ddn)'!E$118)</f>
        <v>201805.71829086237</v>
      </c>
      <c r="H48" s="278">
        <f>G48*(1+'Rhaniad y Ddeiliadaeth (De-ddn)'!F$118)</f>
        <v>212788.16130610334</v>
      </c>
      <c r="I48" s="279">
        <f>H48*(1+'Rhaniad y Ddeiliadaeth (De-ddn)'!G$118)</f>
        <v>221764.3593127917</v>
      </c>
      <c r="M48" s="36" t="str">
        <f t="shared" si="0"/>
        <v/>
      </c>
      <c r="N48" s="202"/>
      <c r="O48" s="13">
        <f t="shared" si="3"/>
        <v>1</v>
      </c>
      <c r="U48" s="1">
        <f t="shared" si="1"/>
        <v>54</v>
      </c>
      <c r="V48" s="4" t="str">
        <f t="shared" si="2"/>
        <v/>
      </c>
      <c r="W48" s="4" t="e">
        <f>IF($W$3=$N$3,N48,V48*(1+'Rhaniad y Ddeiliadaeth (Cymru)'!C$118))</f>
        <v>#VALUE!</v>
      </c>
      <c r="X48" s="4" t="e">
        <f>W48*(1+'Rhaniad y Ddeiliadaeth (Cymru)'!D$118)</f>
        <v>#VALUE!</v>
      </c>
      <c r="Y48" s="4" t="e">
        <f>X48*(1+'Rhaniad y Ddeiliadaeth (Cymru)'!E$118)</f>
        <v>#VALUE!</v>
      </c>
      <c r="Z48" s="4" t="e">
        <f>Y48*(1+'Rhaniad y Ddeiliadaeth (Cymru)'!F$118)</f>
        <v>#VALUE!</v>
      </c>
      <c r="AA48" s="4" t="e">
        <f>Z48*(1+'Rhaniad y Ddeiliadaeth (Cymru)'!G$118)</f>
        <v>#VALUE!</v>
      </c>
      <c r="AC48" s="260">
        <v>54</v>
      </c>
      <c r="AD48" s="4">
        <f>IF('Rhaniad y Ddeiliadaeth (Cymru)'!$D$18="Data Cofrestrfa Tir",'Prisiau Tai (De-ddwyrain)'!E48,'Prisiau Tai (De-ddwyrain)'!W48)</f>
        <v>178107.6</v>
      </c>
      <c r="AE48" s="4">
        <f>IF('Rhaniad y Ddeiliadaeth (Cymru)'!$D$18="Data Cofrestrfa Tir",'Prisiau Tai (De-ddwyrain)'!F48,'Prisiau Tai (De-ddwyrain)'!X48)</f>
        <v>188491.27308000001</v>
      </c>
      <c r="AF48" s="4">
        <f>IF('Rhaniad y Ddeiliadaeth (Cymru)'!$D$18="Data Cofrestrfa Tir",'Prisiau Tai (De-ddwyrain)'!G48,'Prisiau Tai (De-ddwyrain)'!Y48)</f>
        <v>201805.71829086237</v>
      </c>
      <c r="AG48" s="4">
        <f>IF('Rhaniad y Ddeiliadaeth (Cymru)'!$D$18="Data Cofrestrfa Tir",'Prisiau Tai (De-ddwyrain)'!H48,'Prisiau Tai (De-ddwyrain)'!Z48)</f>
        <v>212788.16130610334</v>
      </c>
      <c r="AH48" s="4">
        <f>IF('Rhaniad y Ddeiliadaeth (Cymru)'!$D$18="Data Cofrestrfa Tir",'Prisiau Tai (De-ddwyrain)'!I48,'Prisiau Tai (De-ddwyrain)'!AA48)</f>
        <v>221764.3593127917</v>
      </c>
    </row>
    <row r="49" spans="2:34" x14ac:dyDescent="0.35">
      <c r="B49" s="251">
        <v>55</v>
      </c>
      <c r="C49" s="258">
        <v>165000</v>
      </c>
      <c r="D49" s="258">
        <v>170000</v>
      </c>
      <c r="E49" s="278">
        <f>D49*(1+'Rhaniad y Ddeiliadaeth (De-ddn)'!C$118)</f>
        <v>178160</v>
      </c>
      <c r="F49" s="278">
        <f>E49*(1+'Rhaniad y Ddeiliadaeth (De-ddn)'!D$118)</f>
        <v>188546.728</v>
      </c>
      <c r="G49" s="278">
        <f>F49*(1+'Rhaniad y Ddeiliadaeth (De-ddn)'!E$118)</f>
        <v>201865.09037626715</v>
      </c>
      <c r="H49" s="278">
        <f>G49*(1+'Rhaniad y Ddeiliadaeth (De-ddn)'!F$118)</f>
        <v>212850.76447212455</v>
      </c>
      <c r="I49" s="279">
        <f>H49*(1+'Rhaniad y Ddeiliadaeth (De-ddn)'!G$118)</f>
        <v>221829.6033137663</v>
      </c>
      <c r="M49" s="36" t="str">
        <f t="shared" si="0"/>
        <v/>
      </c>
      <c r="N49" s="202"/>
      <c r="O49" s="13">
        <f t="shared" si="3"/>
        <v>1</v>
      </c>
      <c r="U49" s="1">
        <f t="shared" si="1"/>
        <v>55</v>
      </c>
      <c r="V49" s="4" t="str">
        <f t="shared" si="2"/>
        <v/>
      </c>
      <c r="W49" s="4" t="e">
        <f>IF($W$3=$N$3,N49,V49*(1+'Rhaniad y Ddeiliadaeth (Cymru)'!C$118))</f>
        <v>#VALUE!</v>
      </c>
      <c r="X49" s="4" t="e">
        <f>W49*(1+'Rhaniad y Ddeiliadaeth (Cymru)'!D$118)</f>
        <v>#VALUE!</v>
      </c>
      <c r="Y49" s="4" t="e">
        <f>X49*(1+'Rhaniad y Ddeiliadaeth (Cymru)'!E$118)</f>
        <v>#VALUE!</v>
      </c>
      <c r="Z49" s="4" t="e">
        <f>Y49*(1+'Rhaniad y Ddeiliadaeth (Cymru)'!F$118)</f>
        <v>#VALUE!</v>
      </c>
      <c r="AA49" s="4" t="e">
        <f>Z49*(1+'Rhaniad y Ddeiliadaeth (Cymru)'!G$118)</f>
        <v>#VALUE!</v>
      </c>
      <c r="AC49" s="260">
        <v>55</v>
      </c>
      <c r="AD49" s="4">
        <f>IF('Rhaniad y Ddeiliadaeth (Cymru)'!$D$18="Data Cofrestrfa Tir",'Prisiau Tai (De-ddwyrain)'!E49,'Prisiau Tai (De-ddwyrain)'!W49)</f>
        <v>178160</v>
      </c>
      <c r="AE49" s="4">
        <f>IF('Rhaniad y Ddeiliadaeth (Cymru)'!$D$18="Data Cofrestrfa Tir",'Prisiau Tai (De-ddwyrain)'!F49,'Prisiau Tai (De-ddwyrain)'!X49)</f>
        <v>188546.728</v>
      </c>
      <c r="AF49" s="4">
        <f>IF('Rhaniad y Ddeiliadaeth (Cymru)'!$D$18="Data Cofrestrfa Tir",'Prisiau Tai (De-ddwyrain)'!G49,'Prisiau Tai (De-ddwyrain)'!Y49)</f>
        <v>201865.09037626715</v>
      </c>
      <c r="AG49" s="4">
        <f>IF('Rhaniad y Ddeiliadaeth (Cymru)'!$D$18="Data Cofrestrfa Tir",'Prisiau Tai (De-ddwyrain)'!H49,'Prisiau Tai (De-ddwyrain)'!Z49)</f>
        <v>212850.76447212455</v>
      </c>
      <c r="AH49" s="4">
        <f>IF('Rhaniad y Ddeiliadaeth (Cymru)'!$D$18="Data Cofrestrfa Tir",'Prisiau Tai (De-ddwyrain)'!I49,'Prisiau Tai (De-ddwyrain)'!AA49)</f>
        <v>221829.6033137663</v>
      </c>
    </row>
    <row r="50" spans="2:34" x14ac:dyDescent="0.35">
      <c r="B50" s="251">
        <v>56</v>
      </c>
      <c r="C50" s="258">
        <v>168949.2</v>
      </c>
      <c r="D50" s="258">
        <v>174928.00000000035</v>
      </c>
      <c r="E50" s="278">
        <f>D50*(1+'Rhaniad y Ddeiliadaeth (De-ddn)'!C$118)</f>
        <v>183324.54400000037</v>
      </c>
      <c r="F50" s="278">
        <f>E50*(1+'Rhaniad y Ddeiliadaeth (De-ddn)'!D$118)</f>
        <v>194012.36491520039</v>
      </c>
      <c r="G50" s="278">
        <f>F50*(1+'Rhaniad y Ddeiliadaeth (De-ddn)'!E$118)</f>
        <v>207716.80311376313</v>
      </c>
      <c r="H50" s="278">
        <f>G50*(1+'Rhaniad y Ddeiliadaeth (De-ddn)'!F$118)</f>
        <v>219020.93251517575</v>
      </c>
      <c r="I50" s="279">
        <f>H50*(1+'Rhaniad y Ddeiliadaeth (De-ddn)'!G$118)</f>
        <v>228260.05204982701</v>
      </c>
      <c r="M50" s="36" t="str">
        <f t="shared" si="0"/>
        <v/>
      </c>
      <c r="N50" s="202"/>
      <c r="O50" s="13">
        <f t="shared" si="3"/>
        <v>1</v>
      </c>
      <c r="U50" s="1">
        <f t="shared" si="1"/>
        <v>56</v>
      </c>
      <c r="V50" s="4" t="str">
        <f t="shared" si="2"/>
        <v/>
      </c>
      <c r="W50" s="4" t="e">
        <f>IF($W$3=$N$3,N50,V50*(1+'Rhaniad y Ddeiliadaeth (Cymru)'!C$118))</f>
        <v>#VALUE!</v>
      </c>
      <c r="X50" s="4" t="e">
        <f>W50*(1+'Rhaniad y Ddeiliadaeth (Cymru)'!D$118)</f>
        <v>#VALUE!</v>
      </c>
      <c r="Y50" s="4" t="e">
        <f>X50*(1+'Rhaniad y Ddeiliadaeth (Cymru)'!E$118)</f>
        <v>#VALUE!</v>
      </c>
      <c r="Z50" s="4" t="e">
        <f>Y50*(1+'Rhaniad y Ddeiliadaeth (Cymru)'!F$118)</f>
        <v>#VALUE!</v>
      </c>
      <c r="AA50" s="4" t="e">
        <f>Z50*(1+'Rhaniad y Ddeiliadaeth (Cymru)'!G$118)</f>
        <v>#VALUE!</v>
      </c>
      <c r="AC50" s="260">
        <v>56</v>
      </c>
      <c r="AD50" s="4">
        <f>IF('Rhaniad y Ddeiliadaeth (Cymru)'!$D$18="Data Cofrestrfa Tir",'Prisiau Tai (De-ddwyrain)'!E50,'Prisiau Tai (De-ddwyrain)'!W50)</f>
        <v>183324.54400000037</v>
      </c>
      <c r="AE50" s="4">
        <f>IF('Rhaniad y Ddeiliadaeth (Cymru)'!$D$18="Data Cofrestrfa Tir",'Prisiau Tai (De-ddwyrain)'!F50,'Prisiau Tai (De-ddwyrain)'!X50)</f>
        <v>194012.36491520039</v>
      </c>
      <c r="AF50" s="4">
        <f>IF('Rhaniad y Ddeiliadaeth (Cymru)'!$D$18="Data Cofrestrfa Tir",'Prisiau Tai (De-ddwyrain)'!G50,'Prisiau Tai (De-ddwyrain)'!Y50)</f>
        <v>207716.80311376313</v>
      </c>
      <c r="AG50" s="4">
        <f>IF('Rhaniad y Ddeiliadaeth (Cymru)'!$D$18="Data Cofrestrfa Tir",'Prisiau Tai (De-ddwyrain)'!H50,'Prisiau Tai (De-ddwyrain)'!Z50)</f>
        <v>219020.93251517575</v>
      </c>
      <c r="AH50" s="4">
        <f>IF('Rhaniad y Ddeiliadaeth (Cymru)'!$D$18="Data Cofrestrfa Tir",'Prisiau Tai (De-ddwyrain)'!I50,'Prisiau Tai (De-ddwyrain)'!AA50)</f>
        <v>228260.05204982701</v>
      </c>
    </row>
    <row r="51" spans="2:34" x14ac:dyDescent="0.35">
      <c r="B51" s="251">
        <v>57</v>
      </c>
      <c r="C51" s="258">
        <v>170000</v>
      </c>
      <c r="D51" s="258">
        <v>175000</v>
      </c>
      <c r="E51" s="278">
        <f>D51*(1+'Rhaniad y Ddeiliadaeth (De-ddn)'!C$118)</f>
        <v>183400</v>
      </c>
      <c r="F51" s="278">
        <f>E51*(1+'Rhaniad y Ddeiliadaeth (De-ddn)'!D$118)</f>
        <v>194092.22</v>
      </c>
      <c r="G51" s="278">
        <f>F51*(1+'Rhaniad y Ddeiliadaeth (De-ddn)'!E$118)</f>
        <v>207802.29891674558</v>
      </c>
      <c r="H51" s="278">
        <f>G51*(1+'Rhaniad y Ddeiliadaeth (De-ddn)'!F$118)</f>
        <v>219111.08107424586</v>
      </c>
      <c r="I51" s="279">
        <f>H51*(1+'Rhaniad y Ddeiliadaeth (De-ddn)'!G$118)</f>
        <v>228354.00341123002</v>
      </c>
      <c r="M51" s="36" t="str">
        <f t="shared" si="0"/>
        <v/>
      </c>
      <c r="N51" s="202"/>
      <c r="O51" s="13">
        <f t="shared" si="3"/>
        <v>1</v>
      </c>
      <c r="U51" s="1">
        <f t="shared" si="1"/>
        <v>57</v>
      </c>
      <c r="V51" s="4" t="str">
        <f t="shared" si="2"/>
        <v/>
      </c>
      <c r="W51" s="4" t="e">
        <f>IF($W$3=$N$3,N51,V51*(1+'Rhaniad y Ddeiliadaeth (Cymru)'!C$118))</f>
        <v>#VALUE!</v>
      </c>
      <c r="X51" s="4" t="e">
        <f>W51*(1+'Rhaniad y Ddeiliadaeth (Cymru)'!D$118)</f>
        <v>#VALUE!</v>
      </c>
      <c r="Y51" s="4" t="e">
        <f>X51*(1+'Rhaniad y Ddeiliadaeth (Cymru)'!E$118)</f>
        <v>#VALUE!</v>
      </c>
      <c r="Z51" s="4" t="e">
        <f>Y51*(1+'Rhaniad y Ddeiliadaeth (Cymru)'!F$118)</f>
        <v>#VALUE!</v>
      </c>
      <c r="AA51" s="4" t="e">
        <f>Z51*(1+'Rhaniad y Ddeiliadaeth (Cymru)'!G$118)</f>
        <v>#VALUE!</v>
      </c>
      <c r="AC51" s="260">
        <v>57</v>
      </c>
      <c r="AD51" s="4">
        <f>IF('Rhaniad y Ddeiliadaeth (Cymru)'!$D$18="Data Cofrestrfa Tir",'Prisiau Tai (De-ddwyrain)'!E51,'Prisiau Tai (De-ddwyrain)'!W51)</f>
        <v>183400</v>
      </c>
      <c r="AE51" s="4">
        <f>IF('Rhaniad y Ddeiliadaeth (Cymru)'!$D$18="Data Cofrestrfa Tir",'Prisiau Tai (De-ddwyrain)'!F51,'Prisiau Tai (De-ddwyrain)'!X51)</f>
        <v>194092.22</v>
      </c>
      <c r="AF51" s="4">
        <f>IF('Rhaniad y Ddeiliadaeth (Cymru)'!$D$18="Data Cofrestrfa Tir",'Prisiau Tai (De-ddwyrain)'!G51,'Prisiau Tai (De-ddwyrain)'!Y51)</f>
        <v>207802.29891674558</v>
      </c>
      <c r="AG51" s="4">
        <f>IF('Rhaniad y Ddeiliadaeth (Cymru)'!$D$18="Data Cofrestrfa Tir",'Prisiau Tai (De-ddwyrain)'!H51,'Prisiau Tai (De-ddwyrain)'!Z51)</f>
        <v>219111.08107424586</v>
      </c>
      <c r="AH51" s="4">
        <f>IF('Rhaniad y Ddeiliadaeth (Cymru)'!$D$18="Data Cofrestrfa Tir",'Prisiau Tai (De-ddwyrain)'!I51,'Prisiau Tai (De-ddwyrain)'!AA51)</f>
        <v>228354.00341123002</v>
      </c>
    </row>
    <row r="52" spans="2:34" x14ac:dyDescent="0.35">
      <c r="B52" s="251">
        <v>58</v>
      </c>
      <c r="C52" s="258">
        <v>173000</v>
      </c>
      <c r="D52" s="258">
        <v>179000</v>
      </c>
      <c r="E52" s="278">
        <f>D52*(1+'Rhaniad y Ddeiliadaeth (De-ddn)'!C$118)</f>
        <v>187592</v>
      </c>
      <c r="F52" s="278">
        <f>E52*(1+'Rhaniad y Ddeiliadaeth (De-ddn)'!D$118)</f>
        <v>198528.61360000001</v>
      </c>
      <c r="G52" s="278">
        <f>F52*(1+'Rhaniad y Ddeiliadaeth (De-ddn)'!E$118)</f>
        <v>212552.06574912835</v>
      </c>
      <c r="H52" s="278">
        <f>G52*(1+'Rhaniad y Ddeiliadaeth (De-ddn)'!F$118)</f>
        <v>224119.3343559429</v>
      </c>
      <c r="I52" s="279">
        <f>H52*(1+'Rhaniad y Ddeiliadaeth (De-ddn)'!G$118)</f>
        <v>233573.523489201</v>
      </c>
      <c r="M52" s="36" t="str">
        <f t="shared" si="0"/>
        <v/>
      </c>
      <c r="N52" s="202"/>
      <c r="O52" s="13">
        <f t="shared" si="3"/>
        <v>1</v>
      </c>
      <c r="U52" s="1">
        <f t="shared" si="1"/>
        <v>58</v>
      </c>
      <c r="V52" s="4" t="str">
        <f t="shared" si="2"/>
        <v/>
      </c>
      <c r="W52" s="4" t="e">
        <f>IF($W$3=$N$3,N52,V52*(1+'Rhaniad y Ddeiliadaeth (Cymru)'!C$118))</f>
        <v>#VALUE!</v>
      </c>
      <c r="X52" s="4" t="e">
        <f>W52*(1+'Rhaniad y Ddeiliadaeth (Cymru)'!D$118)</f>
        <v>#VALUE!</v>
      </c>
      <c r="Y52" s="4" t="e">
        <f>X52*(1+'Rhaniad y Ddeiliadaeth (Cymru)'!E$118)</f>
        <v>#VALUE!</v>
      </c>
      <c r="Z52" s="4" t="e">
        <f>Y52*(1+'Rhaniad y Ddeiliadaeth (Cymru)'!F$118)</f>
        <v>#VALUE!</v>
      </c>
      <c r="AA52" s="4" t="e">
        <f>Z52*(1+'Rhaniad y Ddeiliadaeth (Cymru)'!G$118)</f>
        <v>#VALUE!</v>
      </c>
      <c r="AC52" s="260">
        <v>58</v>
      </c>
      <c r="AD52" s="4">
        <f>IF('Rhaniad y Ddeiliadaeth (Cymru)'!$D$18="Data Cofrestrfa Tir",'Prisiau Tai (De-ddwyrain)'!E52,'Prisiau Tai (De-ddwyrain)'!W52)</f>
        <v>187592</v>
      </c>
      <c r="AE52" s="4">
        <f>IF('Rhaniad y Ddeiliadaeth (Cymru)'!$D$18="Data Cofrestrfa Tir",'Prisiau Tai (De-ddwyrain)'!F52,'Prisiau Tai (De-ddwyrain)'!X52)</f>
        <v>198528.61360000001</v>
      </c>
      <c r="AF52" s="4">
        <f>IF('Rhaniad y Ddeiliadaeth (Cymru)'!$D$18="Data Cofrestrfa Tir",'Prisiau Tai (De-ddwyrain)'!G52,'Prisiau Tai (De-ddwyrain)'!Y52)</f>
        <v>212552.06574912835</v>
      </c>
      <c r="AG52" s="4">
        <f>IF('Rhaniad y Ddeiliadaeth (Cymru)'!$D$18="Data Cofrestrfa Tir",'Prisiau Tai (De-ddwyrain)'!H52,'Prisiau Tai (De-ddwyrain)'!Z52)</f>
        <v>224119.3343559429</v>
      </c>
      <c r="AH52" s="4">
        <f>IF('Rhaniad y Ddeiliadaeth (Cymru)'!$D$18="Data Cofrestrfa Tir",'Prisiau Tai (De-ddwyrain)'!I52,'Prisiau Tai (De-ddwyrain)'!AA52)</f>
        <v>233573.523489201</v>
      </c>
    </row>
    <row r="53" spans="2:34" x14ac:dyDescent="0.35">
      <c r="B53" s="251">
        <v>59</v>
      </c>
      <c r="C53" s="258">
        <v>175000</v>
      </c>
      <c r="D53" s="258">
        <v>180000</v>
      </c>
      <c r="E53" s="278">
        <f>D53*(1+'Rhaniad y Ddeiliadaeth (De-ddn)'!C$118)</f>
        <v>188640</v>
      </c>
      <c r="F53" s="278">
        <f>E53*(1+'Rhaniad y Ddeiliadaeth (De-ddn)'!D$118)</f>
        <v>199637.712</v>
      </c>
      <c r="G53" s="278">
        <f>F53*(1+'Rhaniad y Ddeiliadaeth (De-ddn)'!E$118)</f>
        <v>213739.50745722404</v>
      </c>
      <c r="H53" s="278">
        <f>G53*(1+'Rhaniad y Ddeiliadaeth (De-ddn)'!F$118)</f>
        <v>225371.39767636717</v>
      </c>
      <c r="I53" s="279">
        <f>H53*(1+'Rhaniad y Ddeiliadaeth (De-ddn)'!G$118)</f>
        <v>234878.40350869374</v>
      </c>
      <c r="M53" s="36" t="str">
        <f t="shared" si="0"/>
        <v/>
      </c>
      <c r="N53" s="202"/>
      <c r="O53" s="13">
        <f t="shared" si="3"/>
        <v>1</v>
      </c>
      <c r="U53" s="1">
        <f t="shared" si="1"/>
        <v>59</v>
      </c>
      <c r="V53" s="4" t="str">
        <f t="shared" si="2"/>
        <v/>
      </c>
      <c r="W53" s="4" t="e">
        <f>IF($W$3=$N$3,N53,V53*(1+'Rhaniad y Ddeiliadaeth (Cymru)'!C$118))</f>
        <v>#VALUE!</v>
      </c>
      <c r="X53" s="4" t="e">
        <f>W53*(1+'Rhaniad y Ddeiliadaeth (Cymru)'!D$118)</f>
        <v>#VALUE!</v>
      </c>
      <c r="Y53" s="4" t="e">
        <f>X53*(1+'Rhaniad y Ddeiliadaeth (Cymru)'!E$118)</f>
        <v>#VALUE!</v>
      </c>
      <c r="Z53" s="4" t="e">
        <f>Y53*(1+'Rhaniad y Ddeiliadaeth (Cymru)'!F$118)</f>
        <v>#VALUE!</v>
      </c>
      <c r="AA53" s="4" t="e">
        <f>Z53*(1+'Rhaniad y Ddeiliadaeth (Cymru)'!G$118)</f>
        <v>#VALUE!</v>
      </c>
      <c r="AC53" s="260">
        <v>59</v>
      </c>
      <c r="AD53" s="4">
        <f>IF('Rhaniad y Ddeiliadaeth (Cymru)'!$D$18="Data Cofrestrfa Tir",'Prisiau Tai (De-ddwyrain)'!E53,'Prisiau Tai (De-ddwyrain)'!W53)</f>
        <v>188640</v>
      </c>
      <c r="AE53" s="4">
        <f>IF('Rhaniad y Ddeiliadaeth (Cymru)'!$D$18="Data Cofrestrfa Tir",'Prisiau Tai (De-ddwyrain)'!F53,'Prisiau Tai (De-ddwyrain)'!X53)</f>
        <v>199637.712</v>
      </c>
      <c r="AF53" s="4">
        <f>IF('Rhaniad y Ddeiliadaeth (Cymru)'!$D$18="Data Cofrestrfa Tir",'Prisiau Tai (De-ddwyrain)'!G53,'Prisiau Tai (De-ddwyrain)'!Y53)</f>
        <v>213739.50745722404</v>
      </c>
      <c r="AG53" s="4">
        <f>IF('Rhaniad y Ddeiliadaeth (Cymru)'!$D$18="Data Cofrestrfa Tir",'Prisiau Tai (De-ddwyrain)'!H53,'Prisiau Tai (De-ddwyrain)'!Z53)</f>
        <v>225371.39767636717</v>
      </c>
      <c r="AH53" s="4">
        <f>IF('Rhaniad y Ddeiliadaeth (Cymru)'!$D$18="Data Cofrestrfa Tir",'Prisiau Tai (De-ddwyrain)'!I53,'Prisiau Tai (De-ddwyrain)'!AA53)</f>
        <v>234878.40350869374</v>
      </c>
    </row>
    <row r="54" spans="2:34" x14ac:dyDescent="0.35">
      <c r="B54" s="251">
        <v>60</v>
      </c>
      <c r="C54" s="258">
        <v>178000</v>
      </c>
      <c r="D54" s="258">
        <v>183000</v>
      </c>
      <c r="E54" s="278">
        <f>D54*(1+'Rhaniad y Ddeiliadaeth (De-ddn)'!C$118)</f>
        <v>191784</v>
      </c>
      <c r="F54" s="278">
        <f>E54*(1+'Rhaniad y Ddeiliadaeth (De-ddn)'!D$118)</f>
        <v>202965.00719999999</v>
      </c>
      <c r="G54" s="278">
        <f>F54*(1+'Rhaniad y Ddeiliadaeth (De-ddn)'!E$118)</f>
        <v>217301.83258151109</v>
      </c>
      <c r="H54" s="278">
        <f>G54*(1+'Rhaniad y Ddeiliadaeth (De-ddn)'!F$118)</f>
        <v>229127.58763763992</v>
      </c>
      <c r="I54" s="279">
        <f>H54*(1+'Rhaniad y Ddeiliadaeth (De-ddn)'!G$118)</f>
        <v>238793.04356717193</v>
      </c>
      <c r="M54" s="36" t="str">
        <f t="shared" si="0"/>
        <v/>
      </c>
      <c r="N54" s="202"/>
      <c r="O54" s="13">
        <f t="shared" si="3"/>
        <v>1</v>
      </c>
      <c r="U54" s="1">
        <f t="shared" si="1"/>
        <v>60</v>
      </c>
      <c r="V54" s="4" t="str">
        <f t="shared" si="2"/>
        <v/>
      </c>
      <c r="W54" s="4" t="e">
        <f>IF($W$3=$N$3,N54,V54*(1+'Rhaniad y Ddeiliadaeth (Cymru)'!C$118))</f>
        <v>#VALUE!</v>
      </c>
      <c r="X54" s="4" t="e">
        <f>W54*(1+'Rhaniad y Ddeiliadaeth (Cymru)'!D$118)</f>
        <v>#VALUE!</v>
      </c>
      <c r="Y54" s="4" t="e">
        <f>X54*(1+'Rhaniad y Ddeiliadaeth (Cymru)'!E$118)</f>
        <v>#VALUE!</v>
      </c>
      <c r="Z54" s="4" t="e">
        <f>Y54*(1+'Rhaniad y Ddeiliadaeth (Cymru)'!F$118)</f>
        <v>#VALUE!</v>
      </c>
      <c r="AA54" s="4" t="e">
        <f>Z54*(1+'Rhaniad y Ddeiliadaeth (Cymru)'!G$118)</f>
        <v>#VALUE!</v>
      </c>
      <c r="AC54" s="260">
        <v>60</v>
      </c>
      <c r="AD54" s="4">
        <f>IF('Rhaniad y Ddeiliadaeth (Cymru)'!$D$18="Data Cofrestrfa Tir",'Prisiau Tai (De-ddwyrain)'!E54,'Prisiau Tai (De-ddwyrain)'!W54)</f>
        <v>191784</v>
      </c>
      <c r="AE54" s="4">
        <f>IF('Rhaniad y Ddeiliadaeth (Cymru)'!$D$18="Data Cofrestrfa Tir",'Prisiau Tai (De-ddwyrain)'!F54,'Prisiau Tai (De-ddwyrain)'!X54)</f>
        <v>202965.00719999999</v>
      </c>
      <c r="AF54" s="4">
        <f>IF('Rhaniad y Ddeiliadaeth (Cymru)'!$D$18="Data Cofrestrfa Tir",'Prisiau Tai (De-ddwyrain)'!G54,'Prisiau Tai (De-ddwyrain)'!Y54)</f>
        <v>217301.83258151109</v>
      </c>
      <c r="AG54" s="4">
        <f>IF('Rhaniad y Ddeiliadaeth (Cymru)'!$D$18="Data Cofrestrfa Tir",'Prisiau Tai (De-ddwyrain)'!H54,'Prisiau Tai (De-ddwyrain)'!Z54)</f>
        <v>229127.58763763992</v>
      </c>
      <c r="AH54" s="4">
        <f>IF('Rhaniad y Ddeiliadaeth (Cymru)'!$D$18="Data Cofrestrfa Tir",'Prisiau Tai (De-ddwyrain)'!I54,'Prisiau Tai (De-ddwyrain)'!AA54)</f>
        <v>238793.04356717193</v>
      </c>
    </row>
    <row r="55" spans="2:34" x14ac:dyDescent="0.35">
      <c r="B55" s="251">
        <v>61</v>
      </c>
      <c r="C55" s="258">
        <v>180000</v>
      </c>
      <c r="D55" s="258">
        <v>185000</v>
      </c>
      <c r="E55" s="278">
        <f>D55*(1+'Rhaniad y Ddeiliadaeth (De-ddn)'!C$118)</f>
        <v>193880</v>
      </c>
      <c r="F55" s="278">
        <f>E55*(1+'Rhaniad y Ddeiliadaeth (De-ddn)'!D$118)</f>
        <v>205183.204</v>
      </c>
      <c r="G55" s="278">
        <f>F55*(1+'Rhaniad y Ddeiliadaeth (De-ddn)'!E$118)</f>
        <v>219676.71599770247</v>
      </c>
      <c r="H55" s="278">
        <f>G55*(1+'Rhaniad y Ddeiliadaeth (De-ddn)'!F$118)</f>
        <v>231631.71427848845</v>
      </c>
      <c r="I55" s="279">
        <f>H55*(1+'Rhaniad y Ddeiliadaeth (De-ddn)'!G$118)</f>
        <v>241402.80360615742</v>
      </c>
      <c r="M55" s="36" t="str">
        <f t="shared" si="0"/>
        <v/>
      </c>
      <c r="N55" s="202"/>
      <c r="O55" s="13">
        <f t="shared" si="3"/>
        <v>1</v>
      </c>
      <c r="U55" s="1">
        <f t="shared" si="1"/>
        <v>61</v>
      </c>
      <c r="V55" s="4" t="str">
        <f t="shared" si="2"/>
        <v/>
      </c>
      <c r="W55" s="4" t="e">
        <f>IF($W$3=$N$3,N55,V55*(1+'Rhaniad y Ddeiliadaeth (Cymru)'!C$118))</f>
        <v>#VALUE!</v>
      </c>
      <c r="X55" s="4" t="e">
        <f>W55*(1+'Rhaniad y Ddeiliadaeth (Cymru)'!D$118)</f>
        <v>#VALUE!</v>
      </c>
      <c r="Y55" s="4" t="e">
        <f>X55*(1+'Rhaniad y Ddeiliadaeth (Cymru)'!E$118)</f>
        <v>#VALUE!</v>
      </c>
      <c r="Z55" s="4" t="e">
        <f>Y55*(1+'Rhaniad y Ddeiliadaeth (Cymru)'!F$118)</f>
        <v>#VALUE!</v>
      </c>
      <c r="AA55" s="4" t="e">
        <f>Z55*(1+'Rhaniad y Ddeiliadaeth (Cymru)'!G$118)</f>
        <v>#VALUE!</v>
      </c>
      <c r="AC55" s="260">
        <v>61</v>
      </c>
      <c r="AD55" s="4">
        <f>IF('Rhaniad y Ddeiliadaeth (Cymru)'!$D$18="Data Cofrestrfa Tir",'Prisiau Tai (De-ddwyrain)'!E55,'Prisiau Tai (De-ddwyrain)'!W55)</f>
        <v>193880</v>
      </c>
      <c r="AE55" s="4">
        <f>IF('Rhaniad y Ddeiliadaeth (Cymru)'!$D$18="Data Cofrestrfa Tir",'Prisiau Tai (De-ddwyrain)'!F55,'Prisiau Tai (De-ddwyrain)'!X55)</f>
        <v>205183.204</v>
      </c>
      <c r="AF55" s="4">
        <f>IF('Rhaniad y Ddeiliadaeth (Cymru)'!$D$18="Data Cofrestrfa Tir",'Prisiau Tai (De-ddwyrain)'!G55,'Prisiau Tai (De-ddwyrain)'!Y55)</f>
        <v>219676.71599770247</v>
      </c>
      <c r="AG55" s="4">
        <f>IF('Rhaniad y Ddeiliadaeth (Cymru)'!$D$18="Data Cofrestrfa Tir",'Prisiau Tai (De-ddwyrain)'!H55,'Prisiau Tai (De-ddwyrain)'!Z55)</f>
        <v>231631.71427848845</v>
      </c>
      <c r="AH55" s="4">
        <f>IF('Rhaniad y Ddeiliadaeth (Cymru)'!$D$18="Data Cofrestrfa Tir",'Prisiau Tai (De-ddwyrain)'!I55,'Prisiau Tai (De-ddwyrain)'!AA55)</f>
        <v>241402.80360615742</v>
      </c>
    </row>
    <row r="56" spans="2:34" x14ac:dyDescent="0.35">
      <c r="B56" s="251">
        <v>62</v>
      </c>
      <c r="C56" s="258">
        <v>182500</v>
      </c>
      <c r="D56" s="258">
        <v>188000</v>
      </c>
      <c r="E56" s="278">
        <f>D56*(1+'Rhaniad y Ddeiliadaeth (De-ddn)'!C$118)</f>
        <v>197024</v>
      </c>
      <c r="F56" s="278">
        <f>E56*(1+'Rhaniad y Ddeiliadaeth (De-ddn)'!D$118)</f>
        <v>208510.49919999999</v>
      </c>
      <c r="G56" s="278">
        <f>F56*(1+'Rhaniad y Ddeiliadaeth (De-ddn)'!E$118)</f>
        <v>223239.04112198955</v>
      </c>
      <c r="H56" s="278">
        <f>G56*(1+'Rhaniad y Ddeiliadaeth (De-ddn)'!F$118)</f>
        <v>235387.90423976126</v>
      </c>
      <c r="I56" s="279">
        <f>H56*(1+'Rhaniad y Ddeiliadaeth (De-ddn)'!G$118)</f>
        <v>245317.44366463568</v>
      </c>
      <c r="M56" s="36" t="str">
        <f t="shared" si="0"/>
        <v/>
      </c>
      <c r="N56" s="202"/>
      <c r="O56" s="13">
        <f t="shared" si="3"/>
        <v>1</v>
      </c>
      <c r="U56" s="1">
        <f t="shared" si="1"/>
        <v>62</v>
      </c>
      <c r="V56" s="4" t="str">
        <f t="shared" si="2"/>
        <v/>
      </c>
      <c r="W56" s="4" t="e">
        <f>IF($W$3=$N$3,N56,V56*(1+'Rhaniad y Ddeiliadaeth (Cymru)'!C$118))</f>
        <v>#VALUE!</v>
      </c>
      <c r="X56" s="4" t="e">
        <f>W56*(1+'Rhaniad y Ddeiliadaeth (Cymru)'!D$118)</f>
        <v>#VALUE!</v>
      </c>
      <c r="Y56" s="4" t="e">
        <f>X56*(1+'Rhaniad y Ddeiliadaeth (Cymru)'!E$118)</f>
        <v>#VALUE!</v>
      </c>
      <c r="Z56" s="4" t="e">
        <f>Y56*(1+'Rhaniad y Ddeiliadaeth (Cymru)'!F$118)</f>
        <v>#VALUE!</v>
      </c>
      <c r="AA56" s="4" t="e">
        <f>Z56*(1+'Rhaniad y Ddeiliadaeth (Cymru)'!G$118)</f>
        <v>#VALUE!</v>
      </c>
      <c r="AC56" s="260">
        <v>62</v>
      </c>
      <c r="AD56" s="4">
        <f>IF('Rhaniad y Ddeiliadaeth (Cymru)'!$D$18="Data Cofrestrfa Tir",'Prisiau Tai (De-ddwyrain)'!E56,'Prisiau Tai (De-ddwyrain)'!W56)</f>
        <v>197024</v>
      </c>
      <c r="AE56" s="4">
        <f>IF('Rhaniad y Ddeiliadaeth (Cymru)'!$D$18="Data Cofrestrfa Tir",'Prisiau Tai (De-ddwyrain)'!F56,'Prisiau Tai (De-ddwyrain)'!X56)</f>
        <v>208510.49919999999</v>
      </c>
      <c r="AF56" s="4">
        <f>IF('Rhaniad y Ddeiliadaeth (Cymru)'!$D$18="Data Cofrestrfa Tir",'Prisiau Tai (De-ddwyrain)'!G56,'Prisiau Tai (De-ddwyrain)'!Y56)</f>
        <v>223239.04112198955</v>
      </c>
      <c r="AG56" s="4">
        <f>IF('Rhaniad y Ddeiliadaeth (Cymru)'!$D$18="Data Cofrestrfa Tir",'Prisiau Tai (De-ddwyrain)'!H56,'Prisiau Tai (De-ddwyrain)'!Z56)</f>
        <v>235387.90423976126</v>
      </c>
      <c r="AH56" s="4">
        <f>IF('Rhaniad y Ddeiliadaeth (Cymru)'!$D$18="Data Cofrestrfa Tir",'Prisiau Tai (De-ddwyrain)'!I56,'Prisiau Tai (De-ddwyrain)'!AA56)</f>
        <v>245317.44366463568</v>
      </c>
    </row>
    <row r="57" spans="2:34" x14ac:dyDescent="0.35">
      <c r="B57" s="251">
        <v>63</v>
      </c>
      <c r="C57" s="258">
        <v>185000</v>
      </c>
      <c r="D57" s="258">
        <v>190000</v>
      </c>
      <c r="E57" s="278">
        <f>D57*(1+'Rhaniad y Ddeiliadaeth (De-ddn)'!C$118)</f>
        <v>199120</v>
      </c>
      <c r="F57" s="278">
        <f>E57*(1+'Rhaniad y Ddeiliadaeth (De-ddn)'!D$118)</f>
        <v>210728.696</v>
      </c>
      <c r="G57" s="278">
        <f>F57*(1+'Rhaniad y Ddeiliadaeth (De-ddn)'!E$118)</f>
        <v>225613.92453818093</v>
      </c>
      <c r="H57" s="278">
        <f>G57*(1+'Rhaniad y Ddeiliadaeth (De-ddn)'!F$118)</f>
        <v>237892.03088060979</v>
      </c>
      <c r="I57" s="279">
        <f>H57*(1+'Rhaniad y Ddeiliadaeth (De-ddn)'!G$118)</f>
        <v>247927.20370362117</v>
      </c>
      <c r="M57" s="36" t="str">
        <f t="shared" si="0"/>
        <v/>
      </c>
      <c r="N57" s="202"/>
      <c r="O57" s="13">
        <f t="shared" si="3"/>
        <v>1</v>
      </c>
      <c r="U57" s="1">
        <f t="shared" si="1"/>
        <v>63</v>
      </c>
      <c r="V57" s="4" t="str">
        <f t="shared" si="2"/>
        <v/>
      </c>
      <c r="W57" s="4" t="e">
        <f>IF($W$3=$N$3,N57,V57*(1+'Rhaniad y Ddeiliadaeth (Cymru)'!C$118))</f>
        <v>#VALUE!</v>
      </c>
      <c r="X57" s="4" t="e">
        <f>W57*(1+'Rhaniad y Ddeiliadaeth (Cymru)'!D$118)</f>
        <v>#VALUE!</v>
      </c>
      <c r="Y57" s="4" t="e">
        <f>X57*(1+'Rhaniad y Ddeiliadaeth (Cymru)'!E$118)</f>
        <v>#VALUE!</v>
      </c>
      <c r="Z57" s="4" t="e">
        <f>Y57*(1+'Rhaniad y Ddeiliadaeth (Cymru)'!F$118)</f>
        <v>#VALUE!</v>
      </c>
      <c r="AA57" s="4" t="e">
        <f>Z57*(1+'Rhaniad y Ddeiliadaeth (Cymru)'!G$118)</f>
        <v>#VALUE!</v>
      </c>
      <c r="AC57" s="260">
        <v>63</v>
      </c>
      <c r="AD57" s="4">
        <f>IF('Rhaniad y Ddeiliadaeth (Cymru)'!$D$18="Data Cofrestrfa Tir",'Prisiau Tai (De-ddwyrain)'!E57,'Prisiau Tai (De-ddwyrain)'!W57)</f>
        <v>199120</v>
      </c>
      <c r="AE57" s="4">
        <f>IF('Rhaniad y Ddeiliadaeth (Cymru)'!$D$18="Data Cofrestrfa Tir",'Prisiau Tai (De-ddwyrain)'!F57,'Prisiau Tai (De-ddwyrain)'!X57)</f>
        <v>210728.696</v>
      </c>
      <c r="AF57" s="4">
        <f>IF('Rhaniad y Ddeiliadaeth (Cymru)'!$D$18="Data Cofrestrfa Tir",'Prisiau Tai (De-ddwyrain)'!G57,'Prisiau Tai (De-ddwyrain)'!Y57)</f>
        <v>225613.92453818093</v>
      </c>
      <c r="AG57" s="4">
        <f>IF('Rhaniad y Ddeiliadaeth (Cymru)'!$D$18="Data Cofrestrfa Tir",'Prisiau Tai (De-ddwyrain)'!H57,'Prisiau Tai (De-ddwyrain)'!Z57)</f>
        <v>237892.03088060979</v>
      </c>
      <c r="AH57" s="4">
        <f>IF('Rhaniad y Ddeiliadaeth (Cymru)'!$D$18="Data Cofrestrfa Tir",'Prisiau Tai (De-ddwyrain)'!I57,'Prisiau Tai (De-ddwyrain)'!AA57)</f>
        <v>247927.20370362117</v>
      </c>
    </row>
    <row r="58" spans="2:34" x14ac:dyDescent="0.35">
      <c r="B58" s="251">
        <v>64</v>
      </c>
      <c r="C58" s="258">
        <v>188000</v>
      </c>
      <c r="D58" s="258">
        <v>195000</v>
      </c>
      <c r="E58" s="278">
        <f>D58*(1+'Rhaniad y Ddeiliadaeth (De-ddn)'!C$118)</f>
        <v>204360</v>
      </c>
      <c r="F58" s="278">
        <f>E58*(1+'Rhaniad y Ddeiliadaeth (De-ddn)'!D$118)</f>
        <v>216274.18799999999</v>
      </c>
      <c r="G58" s="278">
        <f>F58*(1+'Rhaniad y Ddeiliadaeth (De-ddn)'!E$118)</f>
        <v>231551.13307865936</v>
      </c>
      <c r="H58" s="278">
        <f>G58*(1+'Rhaniad y Ddeiliadaeth (De-ddn)'!F$118)</f>
        <v>244152.34748273107</v>
      </c>
      <c r="I58" s="279">
        <f>H58*(1+'Rhaniad y Ddeiliadaeth (De-ddn)'!G$118)</f>
        <v>254451.60380108486</v>
      </c>
      <c r="M58" s="36" t="str">
        <f t="shared" si="0"/>
        <v/>
      </c>
      <c r="N58" s="202"/>
      <c r="O58" s="13">
        <f t="shared" si="3"/>
        <v>1</v>
      </c>
      <c r="U58" s="1">
        <f t="shared" si="1"/>
        <v>64</v>
      </c>
      <c r="V58" s="4" t="str">
        <f t="shared" si="2"/>
        <v/>
      </c>
      <c r="W58" s="4" t="e">
        <f>IF($W$3=$N$3,N58,V58*(1+'Rhaniad y Ddeiliadaeth (Cymru)'!C$118))</f>
        <v>#VALUE!</v>
      </c>
      <c r="X58" s="4" t="e">
        <f>W58*(1+'Rhaniad y Ddeiliadaeth (Cymru)'!D$118)</f>
        <v>#VALUE!</v>
      </c>
      <c r="Y58" s="4" t="e">
        <f>X58*(1+'Rhaniad y Ddeiliadaeth (Cymru)'!E$118)</f>
        <v>#VALUE!</v>
      </c>
      <c r="Z58" s="4" t="e">
        <f>Y58*(1+'Rhaniad y Ddeiliadaeth (Cymru)'!F$118)</f>
        <v>#VALUE!</v>
      </c>
      <c r="AA58" s="4" t="e">
        <f>Z58*(1+'Rhaniad y Ddeiliadaeth (Cymru)'!G$118)</f>
        <v>#VALUE!</v>
      </c>
      <c r="AC58" s="260">
        <v>64</v>
      </c>
      <c r="AD58" s="4">
        <f>IF('Rhaniad y Ddeiliadaeth (Cymru)'!$D$18="Data Cofrestrfa Tir",'Prisiau Tai (De-ddwyrain)'!E58,'Prisiau Tai (De-ddwyrain)'!W58)</f>
        <v>204360</v>
      </c>
      <c r="AE58" s="4">
        <f>IF('Rhaniad y Ddeiliadaeth (Cymru)'!$D$18="Data Cofrestrfa Tir",'Prisiau Tai (De-ddwyrain)'!F58,'Prisiau Tai (De-ddwyrain)'!X58)</f>
        <v>216274.18799999999</v>
      </c>
      <c r="AF58" s="4">
        <f>IF('Rhaniad y Ddeiliadaeth (Cymru)'!$D$18="Data Cofrestrfa Tir",'Prisiau Tai (De-ddwyrain)'!G58,'Prisiau Tai (De-ddwyrain)'!Y58)</f>
        <v>231551.13307865936</v>
      </c>
      <c r="AG58" s="4">
        <f>IF('Rhaniad y Ddeiliadaeth (Cymru)'!$D$18="Data Cofrestrfa Tir",'Prisiau Tai (De-ddwyrain)'!H58,'Prisiau Tai (De-ddwyrain)'!Z58)</f>
        <v>244152.34748273107</v>
      </c>
      <c r="AH58" s="4">
        <f>IF('Rhaniad y Ddeiliadaeth (Cymru)'!$D$18="Data Cofrestrfa Tir",'Prisiau Tai (De-ddwyrain)'!I58,'Prisiau Tai (De-ddwyrain)'!AA58)</f>
        <v>254451.60380108486</v>
      </c>
    </row>
    <row r="59" spans="2:34" x14ac:dyDescent="0.35">
      <c r="B59" s="251">
        <v>65</v>
      </c>
      <c r="C59" s="258">
        <v>190000</v>
      </c>
      <c r="D59" s="258">
        <v>198000</v>
      </c>
      <c r="E59" s="278">
        <f>D59*(1+'Rhaniad y Ddeiliadaeth (De-ddn)'!C$118)</f>
        <v>207504</v>
      </c>
      <c r="F59" s="278">
        <f>E59*(1+'Rhaniad y Ddeiliadaeth (De-ddn)'!D$118)</f>
        <v>219601.48320000002</v>
      </c>
      <c r="G59" s="278">
        <f>F59*(1+'Rhaniad y Ddeiliadaeth (De-ddn)'!E$118)</f>
        <v>235113.45820294647</v>
      </c>
      <c r="H59" s="278">
        <f>G59*(1+'Rhaniad y Ddeiliadaeth (De-ddn)'!F$118)</f>
        <v>247908.53744400392</v>
      </c>
      <c r="I59" s="279">
        <f>H59*(1+'Rhaniad y Ddeiliadaeth (De-ddn)'!G$118)</f>
        <v>258366.24385956314</v>
      </c>
      <c r="M59" s="36" t="str">
        <f t="shared" si="0"/>
        <v/>
      </c>
      <c r="N59" s="202"/>
      <c r="O59" s="13">
        <f t="shared" si="3"/>
        <v>1</v>
      </c>
      <c r="U59" s="1">
        <f t="shared" si="1"/>
        <v>65</v>
      </c>
      <c r="V59" s="4" t="str">
        <f t="shared" si="2"/>
        <v/>
      </c>
      <c r="W59" s="4" t="e">
        <f>IF($W$3=$N$3,N59,V59*(1+'Rhaniad y Ddeiliadaeth (Cymru)'!C$118))</f>
        <v>#VALUE!</v>
      </c>
      <c r="X59" s="4" t="e">
        <f>W59*(1+'Rhaniad y Ddeiliadaeth (Cymru)'!D$118)</f>
        <v>#VALUE!</v>
      </c>
      <c r="Y59" s="4" t="e">
        <f>X59*(1+'Rhaniad y Ddeiliadaeth (Cymru)'!E$118)</f>
        <v>#VALUE!</v>
      </c>
      <c r="Z59" s="4" t="e">
        <f>Y59*(1+'Rhaniad y Ddeiliadaeth (Cymru)'!F$118)</f>
        <v>#VALUE!</v>
      </c>
      <c r="AA59" s="4" t="e">
        <f>Z59*(1+'Rhaniad y Ddeiliadaeth (Cymru)'!G$118)</f>
        <v>#VALUE!</v>
      </c>
      <c r="AC59" s="260">
        <v>65</v>
      </c>
      <c r="AD59" s="4">
        <f>IF('Rhaniad y Ddeiliadaeth (Cymru)'!$D$18="Data Cofrestrfa Tir",'Prisiau Tai (De-ddwyrain)'!E59,'Prisiau Tai (De-ddwyrain)'!W59)</f>
        <v>207504</v>
      </c>
      <c r="AE59" s="4">
        <f>IF('Rhaniad y Ddeiliadaeth (Cymru)'!$D$18="Data Cofrestrfa Tir",'Prisiau Tai (De-ddwyrain)'!F59,'Prisiau Tai (De-ddwyrain)'!X59)</f>
        <v>219601.48320000002</v>
      </c>
      <c r="AF59" s="4">
        <f>IF('Rhaniad y Ddeiliadaeth (Cymru)'!$D$18="Data Cofrestrfa Tir",'Prisiau Tai (De-ddwyrain)'!G59,'Prisiau Tai (De-ddwyrain)'!Y59)</f>
        <v>235113.45820294647</v>
      </c>
      <c r="AG59" s="4">
        <f>IF('Rhaniad y Ddeiliadaeth (Cymru)'!$D$18="Data Cofrestrfa Tir",'Prisiau Tai (De-ddwyrain)'!H59,'Prisiau Tai (De-ddwyrain)'!Z59)</f>
        <v>247908.53744400392</v>
      </c>
      <c r="AH59" s="4">
        <f>IF('Rhaniad y Ddeiliadaeth (Cymru)'!$D$18="Data Cofrestrfa Tir",'Prisiau Tai (De-ddwyrain)'!I59,'Prisiau Tai (De-ddwyrain)'!AA59)</f>
        <v>258366.24385956314</v>
      </c>
    </row>
    <row r="60" spans="2:34" x14ac:dyDescent="0.35">
      <c r="B60" s="251">
        <v>66</v>
      </c>
      <c r="C60" s="258">
        <v>194000</v>
      </c>
      <c r="D60" s="258">
        <v>200000</v>
      </c>
      <c r="E60" s="278">
        <f>D60*(1+'Rhaniad y Ddeiliadaeth (De-ddn)'!C$118)</f>
        <v>209600</v>
      </c>
      <c r="F60" s="278">
        <f>E60*(1+'Rhaniad y Ddeiliadaeth (De-ddn)'!D$118)</f>
        <v>221819.68</v>
      </c>
      <c r="G60" s="278">
        <f>F60*(1+'Rhaniad y Ddeiliadaeth (De-ddn)'!E$118)</f>
        <v>237488.34161913782</v>
      </c>
      <c r="H60" s="278">
        <f>G60*(1+'Rhaniad y Ddeiliadaeth (De-ddn)'!F$118)</f>
        <v>250412.66408485241</v>
      </c>
      <c r="I60" s="279">
        <f>H60*(1+'Rhaniad y Ddeiliadaeth (De-ddn)'!G$118)</f>
        <v>260976.0038985486</v>
      </c>
      <c r="M60" s="36" t="str">
        <f t="shared" si="0"/>
        <v/>
      </c>
      <c r="N60" s="202"/>
      <c r="O60" s="13">
        <f t="shared" si="3"/>
        <v>1</v>
      </c>
      <c r="U60" s="1">
        <f t="shared" si="1"/>
        <v>66</v>
      </c>
      <c r="V60" s="4" t="str">
        <f t="shared" si="2"/>
        <v/>
      </c>
      <c r="W60" s="4" t="e">
        <f>IF($W$3=$N$3,N60,V60*(1+'Rhaniad y Ddeiliadaeth (Cymru)'!C$118))</f>
        <v>#VALUE!</v>
      </c>
      <c r="X60" s="4" t="e">
        <f>W60*(1+'Rhaniad y Ddeiliadaeth (Cymru)'!D$118)</f>
        <v>#VALUE!</v>
      </c>
      <c r="Y60" s="4" t="e">
        <f>X60*(1+'Rhaniad y Ddeiliadaeth (Cymru)'!E$118)</f>
        <v>#VALUE!</v>
      </c>
      <c r="Z60" s="4" t="e">
        <f>Y60*(1+'Rhaniad y Ddeiliadaeth (Cymru)'!F$118)</f>
        <v>#VALUE!</v>
      </c>
      <c r="AA60" s="4" t="e">
        <f>Z60*(1+'Rhaniad y Ddeiliadaeth (Cymru)'!G$118)</f>
        <v>#VALUE!</v>
      </c>
      <c r="AC60" s="260">
        <v>66</v>
      </c>
      <c r="AD60" s="4">
        <f>IF('Rhaniad y Ddeiliadaeth (Cymru)'!$D$18="Data Cofrestrfa Tir",'Prisiau Tai (De-ddwyrain)'!E60,'Prisiau Tai (De-ddwyrain)'!W60)</f>
        <v>209600</v>
      </c>
      <c r="AE60" s="4">
        <f>IF('Rhaniad y Ddeiliadaeth (Cymru)'!$D$18="Data Cofrestrfa Tir",'Prisiau Tai (De-ddwyrain)'!F60,'Prisiau Tai (De-ddwyrain)'!X60)</f>
        <v>221819.68</v>
      </c>
      <c r="AF60" s="4">
        <f>IF('Rhaniad y Ddeiliadaeth (Cymru)'!$D$18="Data Cofrestrfa Tir",'Prisiau Tai (De-ddwyrain)'!G60,'Prisiau Tai (De-ddwyrain)'!Y60)</f>
        <v>237488.34161913782</v>
      </c>
      <c r="AG60" s="4">
        <f>IF('Rhaniad y Ddeiliadaeth (Cymru)'!$D$18="Data Cofrestrfa Tir",'Prisiau Tai (De-ddwyrain)'!H60,'Prisiau Tai (De-ddwyrain)'!Z60)</f>
        <v>250412.66408485241</v>
      </c>
      <c r="AH60" s="4">
        <f>IF('Rhaniad y Ddeiliadaeth (Cymru)'!$D$18="Data Cofrestrfa Tir",'Prisiau Tai (De-ddwyrain)'!I60,'Prisiau Tai (De-ddwyrain)'!AA60)</f>
        <v>260976.0038985486</v>
      </c>
    </row>
    <row r="61" spans="2:34" x14ac:dyDescent="0.35">
      <c r="B61" s="251">
        <v>67</v>
      </c>
      <c r="C61" s="258">
        <v>197000</v>
      </c>
      <c r="D61" s="258">
        <v>205000</v>
      </c>
      <c r="E61" s="278">
        <f>D61*(1+'Rhaniad y Ddeiliadaeth (De-ddn)'!C$118)</f>
        <v>214840</v>
      </c>
      <c r="F61" s="278">
        <f>E61*(1+'Rhaniad y Ddeiliadaeth (De-ddn)'!D$118)</f>
        <v>227365.17199999999</v>
      </c>
      <c r="G61" s="278">
        <f>F61*(1+'Rhaniad y Ddeiliadaeth (De-ddn)'!E$118)</f>
        <v>243425.55015961625</v>
      </c>
      <c r="H61" s="278">
        <f>G61*(1+'Rhaniad y Ddeiliadaeth (De-ddn)'!F$118)</f>
        <v>256672.98068697369</v>
      </c>
      <c r="I61" s="279">
        <f>H61*(1+'Rhaniad y Ddeiliadaeth (De-ddn)'!G$118)</f>
        <v>267500.40399601229</v>
      </c>
      <c r="M61" s="36" t="str">
        <f t="shared" si="0"/>
        <v/>
      </c>
      <c r="N61" s="202"/>
      <c r="O61" s="13">
        <f t="shared" si="3"/>
        <v>1</v>
      </c>
      <c r="U61" s="1">
        <f t="shared" si="1"/>
        <v>67</v>
      </c>
      <c r="V61" s="4" t="str">
        <f t="shared" si="2"/>
        <v/>
      </c>
      <c r="W61" s="4" t="e">
        <f>IF($W$3=$N$3,N61,V61*(1+'Rhaniad y Ddeiliadaeth (Cymru)'!C$118))</f>
        <v>#VALUE!</v>
      </c>
      <c r="X61" s="4" t="e">
        <f>W61*(1+'Rhaniad y Ddeiliadaeth (Cymru)'!D$118)</f>
        <v>#VALUE!</v>
      </c>
      <c r="Y61" s="4" t="e">
        <f>X61*(1+'Rhaniad y Ddeiliadaeth (Cymru)'!E$118)</f>
        <v>#VALUE!</v>
      </c>
      <c r="Z61" s="4" t="e">
        <f>Y61*(1+'Rhaniad y Ddeiliadaeth (Cymru)'!F$118)</f>
        <v>#VALUE!</v>
      </c>
      <c r="AA61" s="4" t="e">
        <f>Z61*(1+'Rhaniad y Ddeiliadaeth (Cymru)'!G$118)</f>
        <v>#VALUE!</v>
      </c>
      <c r="AC61" s="260">
        <v>67</v>
      </c>
      <c r="AD61" s="4">
        <f>IF('Rhaniad y Ddeiliadaeth (Cymru)'!$D$18="Data Cofrestrfa Tir",'Prisiau Tai (De-ddwyrain)'!E61,'Prisiau Tai (De-ddwyrain)'!W61)</f>
        <v>214840</v>
      </c>
      <c r="AE61" s="4">
        <f>IF('Rhaniad y Ddeiliadaeth (Cymru)'!$D$18="Data Cofrestrfa Tir",'Prisiau Tai (De-ddwyrain)'!F61,'Prisiau Tai (De-ddwyrain)'!X61)</f>
        <v>227365.17199999999</v>
      </c>
      <c r="AF61" s="4">
        <f>IF('Rhaniad y Ddeiliadaeth (Cymru)'!$D$18="Data Cofrestrfa Tir",'Prisiau Tai (De-ddwyrain)'!G61,'Prisiau Tai (De-ddwyrain)'!Y61)</f>
        <v>243425.55015961625</v>
      </c>
      <c r="AG61" s="4">
        <f>IF('Rhaniad y Ddeiliadaeth (Cymru)'!$D$18="Data Cofrestrfa Tir",'Prisiau Tai (De-ddwyrain)'!H61,'Prisiau Tai (De-ddwyrain)'!Z61)</f>
        <v>256672.98068697369</v>
      </c>
      <c r="AH61" s="4">
        <f>IF('Rhaniad y Ddeiliadaeth (Cymru)'!$D$18="Data Cofrestrfa Tir",'Prisiau Tai (De-ddwyrain)'!I61,'Prisiau Tai (De-ddwyrain)'!AA61)</f>
        <v>267500.40399601229</v>
      </c>
    </row>
    <row r="62" spans="2:34" x14ac:dyDescent="0.35">
      <c r="B62" s="251">
        <v>68</v>
      </c>
      <c r="C62" s="258">
        <v>200000</v>
      </c>
      <c r="D62" s="258">
        <v>209500</v>
      </c>
      <c r="E62" s="278">
        <f>D62*(1+'Rhaniad y Ddeiliadaeth (De-ddn)'!C$118)</f>
        <v>219556</v>
      </c>
      <c r="F62" s="278">
        <f>E62*(1+'Rhaniad y Ddeiliadaeth (De-ddn)'!D$118)</f>
        <v>232356.11480000001</v>
      </c>
      <c r="G62" s="278">
        <f>F62*(1+'Rhaniad y Ddeiliadaeth (De-ddn)'!E$118)</f>
        <v>248769.03784604688</v>
      </c>
      <c r="H62" s="278">
        <f>G62*(1+'Rhaniad y Ddeiliadaeth (De-ddn)'!F$118)</f>
        <v>262307.26562888292</v>
      </c>
      <c r="I62" s="279">
        <f>H62*(1+'Rhaniad y Ddeiliadaeth (De-ddn)'!G$118)</f>
        <v>273372.36408372968</v>
      </c>
      <c r="M62" s="36" t="str">
        <f t="shared" si="0"/>
        <v/>
      </c>
      <c r="N62" s="202"/>
      <c r="O62" s="13">
        <f t="shared" si="3"/>
        <v>1</v>
      </c>
      <c r="U62" s="1">
        <f t="shared" si="1"/>
        <v>68</v>
      </c>
      <c r="V62" s="4" t="str">
        <f t="shared" si="2"/>
        <v/>
      </c>
      <c r="W62" s="4" t="e">
        <f>IF($W$3=$N$3,N62,V62*(1+'Rhaniad y Ddeiliadaeth (Cymru)'!C$118))</f>
        <v>#VALUE!</v>
      </c>
      <c r="X62" s="4" t="e">
        <f>W62*(1+'Rhaniad y Ddeiliadaeth (Cymru)'!D$118)</f>
        <v>#VALUE!</v>
      </c>
      <c r="Y62" s="4" t="e">
        <f>X62*(1+'Rhaniad y Ddeiliadaeth (Cymru)'!E$118)</f>
        <v>#VALUE!</v>
      </c>
      <c r="Z62" s="4" t="e">
        <f>Y62*(1+'Rhaniad y Ddeiliadaeth (Cymru)'!F$118)</f>
        <v>#VALUE!</v>
      </c>
      <c r="AA62" s="4" t="e">
        <f>Z62*(1+'Rhaniad y Ddeiliadaeth (Cymru)'!G$118)</f>
        <v>#VALUE!</v>
      </c>
      <c r="AC62" s="260">
        <v>68</v>
      </c>
      <c r="AD62" s="4">
        <f>IF('Rhaniad y Ddeiliadaeth (Cymru)'!$D$18="Data Cofrestrfa Tir",'Prisiau Tai (De-ddwyrain)'!E62,'Prisiau Tai (De-ddwyrain)'!W62)</f>
        <v>219556</v>
      </c>
      <c r="AE62" s="4">
        <f>IF('Rhaniad y Ddeiliadaeth (Cymru)'!$D$18="Data Cofrestrfa Tir",'Prisiau Tai (De-ddwyrain)'!F62,'Prisiau Tai (De-ddwyrain)'!X62)</f>
        <v>232356.11480000001</v>
      </c>
      <c r="AF62" s="4">
        <f>IF('Rhaniad y Ddeiliadaeth (Cymru)'!$D$18="Data Cofrestrfa Tir",'Prisiau Tai (De-ddwyrain)'!G62,'Prisiau Tai (De-ddwyrain)'!Y62)</f>
        <v>248769.03784604688</v>
      </c>
      <c r="AG62" s="4">
        <f>IF('Rhaniad y Ddeiliadaeth (Cymru)'!$D$18="Data Cofrestrfa Tir",'Prisiau Tai (De-ddwyrain)'!H62,'Prisiau Tai (De-ddwyrain)'!Z62)</f>
        <v>262307.26562888292</v>
      </c>
      <c r="AH62" s="4">
        <f>IF('Rhaniad y Ddeiliadaeth (Cymru)'!$D$18="Data Cofrestrfa Tir",'Prisiau Tai (De-ddwyrain)'!I62,'Prisiau Tai (De-ddwyrain)'!AA62)</f>
        <v>273372.36408372968</v>
      </c>
    </row>
    <row r="63" spans="2:34" x14ac:dyDescent="0.35">
      <c r="B63" s="251">
        <v>69</v>
      </c>
      <c r="C63" s="258">
        <v>204995</v>
      </c>
      <c r="D63" s="258">
        <v>210998.45000000004</v>
      </c>
      <c r="E63" s="278">
        <f>D63*(1+'Rhaniad y Ddeiliadaeth (De-ddn)'!C$118)</f>
        <v>221126.37560000006</v>
      </c>
      <c r="F63" s="278">
        <f>E63*(1+'Rhaniad y Ddeiliadaeth (De-ddn)'!D$118)</f>
        <v>234018.04329748006</v>
      </c>
      <c r="G63" s="278">
        <f>F63*(1+'Rhaniad y Ddeiliadaeth (De-ddn)'!E$118)</f>
        <v>250548.35987354291</v>
      </c>
      <c r="H63" s="278">
        <f>G63*(1+'Rhaniad y Ddeiliadaeth (De-ddn)'!F$118)</f>
        <v>264183.41991137271</v>
      </c>
      <c r="I63" s="279">
        <f>H63*(1+'Rhaniad y Ddeiliadaeth (De-ddn)'!G$118)</f>
        <v>275327.66154893866</v>
      </c>
      <c r="M63" s="36" t="str">
        <f t="shared" si="0"/>
        <v/>
      </c>
      <c r="N63" s="202"/>
      <c r="O63" s="13">
        <f t="shared" si="3"/>
        <v>1</v>
      </c>
      <c r="U63" s="1">
        <f t="shared" si="1"/>
        <v>69</v>
      </c>
      <c r="V63" s="4" t="str">
        <f t="shared" si="2"/>
        <v/>
      </c>
      <c r="W63" s="4" t="e">
        <f>IF($W$3=$N$3,N63,V63*(1+'Rhaniad y Ddeiliadaeth (Cymru)'!C$118))</f>
        <v>#VALUE!</v>
      </c>
      <c r="X63" s="4" t="e">
        <f>W63*(1+'Rhaniad y Ddeiliadaeth (Cymru)'!D$118)</f>
        <v>#VALUE!</v>
      </c>
      <c r="Y63" s="4" t="e">
        <f>X63*(1+'Rhaniad y Ddeiliadaeth (Cymru)'!E$118)</f>
        <v>#VALUE!</v>
      </c>
      <c r="Z63" s="4" t="e">
        <f>Y63*(1+'Rhaniad y Ddeiliadaeth (Cymru)'!F$118)</f>
        <v>#VALUE!</v>
      </c>
      <c r="AA63" s="4" t="e">
        <f>Z63*(1+'Rhaniad y Ddeiliadaeth (Cymru)'!G$118)</f>
        <v>#VALUE!</v>
      </c>
      <c r="AC63" s="260">
        <v>69</v>
      </c>
      <c r="AD63" s="4">
        <f>IF('Rhaniad y Ddeiliadaeth (Cymru)'!$D$18="Data Cofrestrfa Tir",'Prisiau Tai (De-ddwyrain)'!E63,'Prisiau Tai (De-ddwyrain)'!W63)</f>
        <v>221126.37560000006</v>
      </c>
      <c r="AE63" s="4">
        <f>IF('Rhaniad y Ddeiliadaeth (Cymru)'!$D$18="Data Cofrestrfa Tir",'Prisiau Tai (De-ddwyrain)'!F63,'Prisiau Tai (De-ddwyrain)'!X63)</f>
        <v>234018.04329748006</v>
      </c>
      <c r="AF63" s="4">
        <f>IF('Rhaniad y Ddeiliadaeth (Cymru)'!$D$18="Data Cofrestrfa Tir",'Prisiau Tai (De-ddwyrain)'!G63,'Prisiau Tai (De-ddwyrain)'!Y63)</f>
        <v>250548.35987354291</v>
      </c>
      <c r="AG63" s="4">
        <f>IF('Rhaniad y Ddeiliadaeth (Cymru)'!$D$18="Data Cofrestrfa Tir",'Prisiau Tai (De-ddwyrain)'!H63,'Prisiau Tai (De-ddwyrain)'!Z63)</f>
        <v>264183.41991137271</v>
      </c>
      <c r="AH63" s="4">
        <f>IF('Rhaniad y Ddeiliadaeth (Cymru)'!$D$18="Data Cofrestrfa Tir",'Prisiau Tai (De-ddwyrain)'!I63,'Prisiau Tai (De-ddwyrain)'!AA63)</f>
        <v>275327.66154893866</v>
      </c>
    </row>
    <row r="64" spans="2:34" x14ac:dyDescent="0.35">
      <c r="B64" s="251">
        <v>70</v>
      </c>
      <c r="C64" s="258">
        <v>208000</v>
      </c>
      <c r="D64" s="258">
        <v>215000</v>
      </c>
      <c r="E64" s="278">
        <f>D64*(1+'Rhaniad y Ddeiliadaeth (De-ddn)'!C$118)</f>
        <v>225320</v>
      </c>
      <c r="F64" s="278">
        <f>E64*(1+'Rhaniad y Ddeiliadaeth (De-ddn)'!D$118)</f>
        <v>238456.15600000002</v>
      </c>
      <c r="G64" s="278">
        <f>F64*(1+'Rhaniad y Ddeiliadaeth (De-ddn)'!E$118)</f>
        <v>255299.96724057317</v>
      </c>
      <c r="H64" s="278">
        <f>G64*(1+'Rhaniad y Ddeiliadaeth (De-ddn)'!F$118)</f>
        <v>269193.61389121634</v>
      </c>
      <c r="I64" s="279">
        <f>H64*(1+'Rhaniad y Ddeiliadaeth (De-ddn)'!G$118)</f>
        <v>280549.20419093978</v>
      </c>
      <c r="M64" s="36" t="str">
        <f t="shared" si="0"/>
        <v/>
      </c>
      <c r="N64" s="202"/>
      <c r="O64" s="13">
        <f t="shared" si="3"/>
        <v>1</v>
      </c>
      <c r="U64" s="1">
        <f t="shared" si="1"/>
        <v>70</v>
      </c>
      <c r="V64" s="4" t="str">
        <f t="shared" si="2"/>
        <v/>
      </c>
      <c r="W64" s="4" t="e">
        <f>IF($W$3=$N$3,N64,V64*(1+'Rhaniad y Ddeiliadaeth (Cymru)'!C$118))</f>
        <v>#VALUE!</v>
      </c>
      <c r="X64" s="4" t="e">
        <f>W64*(1+'Rhaniad y Ddeiliadaeth (Cymru)'!D$118)</f>
        <v>#VALUE!</v>
      </c>
      <c r="Y64" s="4" t="e">
        <f>X64*(1+'Rhaniad y Ddeiliadaeth (Cymru)'!E$118)</f>
        <v>#VALUE!</v>
      </c>
      <c r="Z64" s="4" t="e">
        <f>Y64*(1+'Rhaniad y Ddeiliadaeth (Cymru)'!F$118)</f>
        <v>#VALUE!</v>
      </c>
      <c r="AA64" s="4" t="e">
        <f>Z64*(1+'Rhaniad y Ddeiliadaeth (Cymru)'!G$118)</f>
        <v>#VALUE!</v>
      </c>
      <c r="AC64" s="260">
        <v>70</v>
      </c>
      <c r="AD64" s="4">
        <f>IF('Rhaniad y Ddeiliadaeth (Cymru)'!$D$18="Data Cofrestrfa Tir",'Prisiau Tai (De-ddwyrain)'!E64,'Prisiau Tai (De-ddwyrain)'!W64)</f>
        <v>225320</v>
      </c>
      <c r="AE64" s="4">
        <f>IF('Rhaniad y Ddeiliadaeth (Cymru)'!$D$18="Data Cofrestrfa Tir",'Prisiau Tai (De-ddwyrain)'!F64,'Prisiau Tai (De-ddwyrain)'!X64)</f>
        <v>238456.15600000002</v>
      </c>
      <c r="AF64" s="4">
        <f>IF('Rhaniad y Ddeiliadaeth (Cymru)'!$D$18="Data Cofrestrfa Tir",'Prisiau Tai (De-ddwyrain)'!G64,'Prisiau Tai (De-ddwyrain)'!Y64)</f>
        <v>255299.96724057317</v>
      </c>
      <c r="AG64" s="4">
        <f>IF('Rhaniad y Ddeiliadaeth (Cymru)'!$D$18="Data Cofrestrfa Tir",'Prisiau Tai (De-ddwyrain)'!H64,'Prisiau Tai (De-ddwyrain)'!Z64)</f>
        <v>269193.61389121634</v>
      </c>
      <c r="AH64" s="4">
        <f>IF('Rhaniad y Ddeiliadaeth (Cymru)'!$D$18="Data Cofrestrfa Tir",'Prisiau Tai (De-ddwyrain)'!I64,'Prisiau Tai (De-ddwyrain)'!AA64)</f>
        <v>280549.20419093978</v>
      </c>
    </row>
    <row r="65" spans="2:34" x14ac:dyDescent="0.35">
      <c r="B65" s="251">
        <v>71</v>
      </c>
      <c r="C65" s="258">
        <v>210000</v>
      </c>
      <c r="D65" s="258">
        <v>219950</v>
      </c>
      <c r="E65" s="278">
        <f>D65*(1+'Rhaniad y Ddeiliadaeth (De-ddn)'!C$118)</f>
        <v>230507.6</v>
      </c>
      <c r="F65" s="278">
        <f>E65*(1+'Rhaniad y Ddeiliadaeth (De-ddn)'!D$118)</f>
        <v>243946.19308</v>
      </c>
      <c r="G65" s="278">
        <f>F65*(1+'Rhaniad y Ddeiliadaeth (De-ddn)'!E$118)</f>
        <v>261177.80369564681</v>
      </c>
      <c r="H65" s="278">
        <f>G65*(1+'Rhaniad y Ddeiliadaeth (De-ddn)'!F$118)</f>
        <v>275391.32732731645</v>
      </c>
      <c r="I65" s="279">
        <f>H65*(1+'Rhaniad y Ddeiliadaeth (De-ddn)'!G$118)</f>
        <v>287008.36028742883</v>
      </c>
      <c r="M65" s="36" t="str">
        <f t="shared" si="0"/>
        <v/>
      </c>
      <c r="N65" s="202"/>
      <c r="O65" s="13">
        <f t="shared" si="3"/>
        <v>1</v>
      </c>
      <c r="U65" s="1">
        <f t="shared" si="1"/>
        <v>71</v>
      </c>
      <c r="V65" s="4" t="str">
        <f t="shared" si="2"/>
        <v/>
      </c>
      <c r="W65" s="4" t="e">
        <f>IF($W$3=$N$3,N65,V65*(1+'Rhaniad y Ddeiliadaeth (Cymru)'!C$118))</f>
        <v>#VALUE!</v>
      </c>
      <c r="X65" s="4" t="e">
        <f>W65*(1+'Rhaniad y Ddeiliadaeth (Cymru)'!D$118)</f>
        <v>#VALUE!</v>
      </c>
      <c r="Y65" s="4" t="e">
        <f>X65*(1+'Rhaniad y Ddeiliadaeth (Cymru)'!E$118)</f>
        <v>#VALUE!</v>
      </c>
      <c r="Z65" s="4" t="e">
        <f>Y65*(1+'Rhaniad y Ddeiliadaeth (Cymru)'!F$118)</f>
        <v>#VALUE!</v>
      </c>
      <c r="AA65" s="4" t="e">
        <f>Z65*(1+'Rhaniad y Ddeiliadaeth (Cymru)'!G$118)</f>
        <v>#VALUE!</v>
      </c>
      <c r="AC65" s="260">
        <v>71</v>
      </c>
      <c r="AD65" s="4">
        <f>IF('Rhaniad y Ddeiliadaeth (Cymru)'!$D$18="Data Cofrestrfa Tir",'Prisiau Tai (De-ddwyrain)'!E65,'Prisiau Tai (De-ddwyrain)'!W65)</f>
        <v>230507.6</v>
      </c>
      <c r="AE65" s="4">
        <f>IF('Rhaniad y Ddeiliadaeth (Cymru)'!$D$18="Data Cofrestrfa Tir",'Prisiau Tai (De-ddwyrain)'!F65,'Prisiau Tai (De-ddwyrain)'!X65)</f>
        <v>243946.19308</v>
      </c>
      <c r="AF65" s="4">
        <f>IF('Rhaniad y Ddeiliadaeth (Cymru)'!$D$18="Data Cofrestrfa Tir",'Prisiau Tai (De-ddwyrain)'!G65,'Prisiau Tai (De-ddwyrain)'!Y65)</f>
        <v>261177.80369564681</v>
      </c>
      <c r="AG65" s="4">
        <f>IF('Rhaniad y Ddeiliadaeth (Cymru)'!$D$18="Data Cofrestrfa Tir",'Prisiau Tai (De-ddwyrain)'!H65,'Prisiau Tai (De-ddwyrain)'!Z65)</f>
        <v>275391.32732731645</v>
      </c>
      <c r="AH65" s="4">
        <f>IF('Rhaniad y Ddeiliadaeth (Cymru)'!$D$18="Data Cofrestrfa Tir",'Prisiau Tai (De-ddwyrain)'!I65,'Prisiau Tai (De-ddwyrain)'!AA65)</f>
        <v>287008.36028742883</v>
      </c>
    </row>
    <row r="66" spans="2:34" x14ac:dyDescent="0.35">
      <c r="B66" s="251">
        <v>72</v>
      </c>
      <c r="C66" s="258">
        <v>215000</v>
      </c>
      <c r="D66" s="258">
        <v>222360.00000000605</v>
      </c>
      <c r="E66" s="278">
        <f>D66*(1+'Rhaniad y Ddeiliadaeth (De-ddn)'!C$118)</f>
        <v>233033.28000000634</v>
      </c>
      <c r="F66" s="278">
        <f>E66*(1+'Rhaniad y Ddeiliadaeth (De-ddn)'!D$118)</f>
        <v>246619.12022400671</v>
      </c>
      <c r="G66" s="278">
        <f>F66*(1+'Rhaniad y Ddeiliadaeth (De-ddn)'!E$118)</f>
        <v>264039.5382121646</v>
      </c>
      <c r="H66" s="278">
        <f>G66*(1+'Rhaniad y Ddeiliadaeth (De-ddn)'!F$118)</f>
        <v>278408.79992954648</v>
      </c>
      <c r="I66" s="279">
        <f>H66*(1+'Rhaniad y Ddeiliadaeth (De-ddn)'!G$118)</f>
        <v>290153.12113441422</v>
      </c>
      <c r="M66" s="36" t="str">
        <f t="shared" si="0"/>
        <v/>
      </c>
      <c r="N66" s="202"/>
      <c r="O66" s="13">
        <f t="shared" si="3"/>
        <v>1</v>
      </c>
      <c r="U66" s="1">
        <f t="shared" si="1"/>
        <v>72</v>
      </c>
      <c r="V66" s="4" t="str">
        <f t="shared" si="2"/>
        <v/>
      </c>
      <c r="W66" s="4" t="e">
        <f>IF($W$3=$N$3,N66,V66*(1+'Rhaniad y Ddeiliadaeth (Cymru)'!C$118))</f>
        <v>#VALUE!</v>
      </c>
      <c r="X66" s="4" t="e">
        <f>W66*(1+'Rhaniad y Ddeiliadaeth (Cymru)'!D$118)</f>
        <v>#VALUE!</v>
      </c>
      <c r="Y66" s="4" t="e">
        <f>X66*(1+'Rhaniad y Ddeiliadaeth (Cymru)'!E$118)</f>
        <v>#VALUE!</v>
      </c>
      <c r="Z66" s="4" t="e">
        <f>Y66*(1+'Rhaniad y Ddeiliadaeth (Cymru)'!F$118)</f>
        <v>#VALUE!</v>
      </c>
      <c r="AA66" s="4" t="e">
        <f>Z66*(1+'Rhaniad y Ddeiliadaeth (Cymru)'!G$118)</f>
        <v>#VALUE!</v>
      </c>
      <c r="AC66" s="260">
        <v>72</v>
      </c>
      <c r="AD66" s="4">
        <f>IF('Rhaniad y Ddeiliadaeth (Cymru)'!$D$18="Data Cofrestrfa Tir",'Prisiau Tai (De-ddwyrain)'!E66,'Prisiau Tai (De-ddwyrain)'!W66)</f>
        <v>233033.28000000634</v>
      </c>
      <c r="AE66" s="4">
        <f>IF('Rhaniad y Ddeiliadaeth (Cymru)'!$D$18="Data Cofrestrfa Tir",'Prisiau Tai (De-ddwyrain)'!F66,'Prisiau Tai (De-ddwyrain)'!X66)</f>
        <v>246619.12022400671</v>
      </c>
      <c r="AF66" s="4">
        <f>IF('Rhaniad y Ddeiliadaeth (Cymru)'!$D$18="Data Cofrestrfa Tir",'Prisiau Tai (De-ddwyrain)'!G66,'Prisiau Tai (De-ddwyrain)'!Y66)</f>
        <v>264039.5382121646</v>
      </c>
      <c r="AG66" s="4">
        <f>IF('Rhaniad y Ddeiliadaeth (Cymru)'!$D$18="Data Cofrestrfa Tir",'Prisiau Tai (De-ddwyrain)'!H66,'Prisiau Tai (De-ddwyrain)'!Z66)</f>
        <v>278408.79992954648</v>
      </c>
      <c r="AH66" s="4">
        <f>IF('Rhaniad y Ddeiliadaeth (Cymru)'!$D$18="Data Cofrestrfa Tir",'Prisiau Tai (De-ddwyrain)'!I66,'Prisiau Tai (De-ddwyrain)'!AA66)</f>
        <v>290153.12113441422</v>
      </c>
    </row>
    <row r="67" spans="2:34" x14ac:dyDescent="0.35">
      <c r="B67" s="251">
        <v>73</v>
      </c>
      <c r="C67" s="258">
        <v>219995</v>
      </c>
      <c r="D67" s="258">
        <v>225000</v>
      </c>
      <c r="E67" s="278">
        <f>D67*(1+'Rhaniad y Ddeiliadaeth (De-ddn)'!C$118)</f>
        <v>235800</v>
      </c>
      <c r="F67" s="278">
        <f>E67*(1+'Rhaniad y Ddeiliadaeth (De-ddn)'!D$118)</f>
        <v>249547.14</v>
      </c>
      <c r="G67" s="278">
        <f>F67*(1+'Rhaniad y Ddeiliadaeth (De-ddn)'!E$118)</f>
        <v>267174.38432153006</v>
      </c>
      <c r="H67" s="278">
        <f>G67*(1+'Rhaniad y Ddeiliadaeth (De-ddn)'!F$118)</f>
        <v>281714.24709545897</v>
      </c>
      <c r="I67" s="279">
        <f>H67*(1+'Rhaniad y Ddeiliadaeth (De-ddn)'!G$118)</f>
        <v>293598.00438586721</v>
      </c>
      <c r="M67" s="36" t="str">
        <f t="shared" si="0"/>
        <v/>
      </c>
      <c r="N67" s="202"/>
      <c r="O67" s="13">
        <f t="shared" si="3"/>
        <v>1</v>
      </c>
      <c r="U67" s="1">
        <f t="shared" si="1"/>
        <v>73</v>
      </c>
      <c r="V67" s="4" t="str">
        <f t="shared" si="2"/>
        <v/>
      </c>
      <c r="W67" s="4" t="e">
        <f>IF($W$3=$N$3,N67,V67*(1+'Rhaniad y Ddeiliadaeth (Cymru)'!C$118))</f>
        <v>#VALUE!</v>
      </c>
      <c r="X67" s="4" t="e">
        <f>W67*(1+'Rhaniad y Ddeiliadaeth (Cymru)'!D$118)</f>
        <v>#VALUE!</v>
      </c>
      <c r="Y67" s="4" t="e">
        <f>X67*(1+'Rhaniad y Ddeiliadaeth (Cymru)'!E$118)</f>
        <v>#VALUE!</v>
      </c>
      <c r="Z67" s="4" t="e">
        <f>Y67*(1+'Rhaniad y Ddeiliadaeth (Cymru)'!F$118)</f>
        <v>#VALUE!</v>
      </c>
      <c r="AA67" s="4" t="e">
        <f>Z67*(1+'Rhaniad y Ddeiliadaeth (Cymru)'!G$118)</f>
        <v>#VALUE!</v>
      </c>
      <c r="AC67" s="260">
        <v>73</v>
      </c>
      <c r="AD67" s="4">
        <f>IF('Rhaniad y Ddeiliadaeth (Cymru)'!$D$18="Data Cofrestrfa Tir",'Prisiau Tai (De-ddwyrain)'!E67,'Prisiau Tai (De-ddwyrain)'!W67)</f>
        <v>235800</v>
      </c>
      <c r="AE67" s="4">
        <f>IF('Rhaniad y Ddeiliadaeth (Cymru)'!$D$18="Data Cofrestrfa Tir",'Prisiau Tai (De-ddwyrain)'!F67,'Prisiau Tai (De-ddwyrain)'!X67)</f>
        <v>249547.14</v>
      </c>
      <c r="AF67" s="4">
        <f>IF('Rhaniad y Ddeiliadaeth (Cymru)'!$D$18="Data Cofrestrfa Tir",'Prisiau Tai (De-ddwyrain)'!G67,'Prisiau Tai (De-ddwyrain)'!Y67)</f>
        <v>267174.38432153006</v>
      </c>
      <c r="AG67" s="4">
        <f>IF('Rhaniad y Ddeiliadaeth (Cymru)'!$D$18="Data Cofrestrfa Tir",'Prisiau Tai (De-ddwyrain)'!H67,'Prisiau Tai (De-ddwyrain)'!Z67)</f>
        <v>281714.24709545897</v>
      </c>
      <c r="AH67" s="4">
        <f>IF('Rhaniad y Ddeiliadaeth (Cymru)'!$D$18="Data Cofrestrfa Tir",'Prisiau Tai (De-ddwyrain)'!I67,'Prisiau Tai (De-ddwyrain)'!AA67)</f>
        <v>293598.00438586721</v>
      </c>
    </row>
    <row r="68" spans="2:34" x14ac:dyDescent="0.35">
      <c r="B68" s="251">
        <v>74</v>
      </c>
      <c r="C68" s="258">
        <v>223250</v>
      </c>
      <c r="D68" s="258">
        <v>230000</v>
      </c>
      <c r="E68" s="278">
        <f>D68*(1+'Rhaniad y Ddeiliadaeth (De-ddn)'!C$118)</f>
        <v>241040</v>
      </c>
      <c r="F68" s="278">
        <f>E68*(1+'Rhaniad y Ddeiliadaeth (De-ddn)'!D$118)</f>
        <v>255092.63200000001</v>
      </c>
      <c r="G68" s="278">
        <f>F68*(1+'Rhaniad y Ddeiliadaeth (De-ddn)'!E$118)</f>
        <v>273111.59286200849</v>
      </c>
      <c r="H68" s="278">
        <f>G68*(1+'Rhaniad y Ddeiliadaeth (De-ddn)'!F$118)</f>
        <v>287974.56369758025</v>
      </c>
      <c r="I68" s="279">
        <f>H68*(1+'Rhaniad y Ddeiliadaeth (De-ddn)'!G$118)</f>
        <v>300122.4044833309</v>
      </c>
      <c r="M68" s="36" t="str">
        <f t="shared" ref="M68:M84" si="4">IF(ISBLANK($L$4),"",B68)</f>
        <v/>
      </c>
      <c r="N68" s="202"/>
      <c r="O68" s="13">
        <f t="shared" si="3"/>
        <v>1</v>
      </c>
      <c r="U68" s="1">
        <f t="shared" ref="U68:U84" si="5">B68</f>
        <v>74</v>
      </c>
      <c r="V68" s="4" t="str">
        <f t="shared" ref="V68:V84" si="6">IF($N$3=$V$3,N68,"")</f>
        <v/>
      </c>
      <c r="W68" s="4" t="e">
        <f>IF($W$3=$N$3,N68,V68*(1+'Rhaniad y Ddeiliadaeth (Cymru)'!C$118))</f>
        <v>#VALUE!</v>
      </c>
      <c r="X68" s="4" t="e">
        <f>W68*(1+'Rhaniad y Ddeiliadaeth (Cymru)'!D$118)</f>
        <v>#VALUE!</v>
      </c>
      <c r="Y68" s="4" t="e">
        <f>X68*(1+'Rhaniad y Ddeiliadaeth (Cymru)'!E$118)</f>
        <v>#VALUE!</v>
      </c>
      <c r="Z68" s="4" t="e">
        <f>Y68*(1+'Rhaniad y Ddeiliadaeth (Cymru)'!F$118)</f>
        <v>#VALUE!</v>
      </c>
      <c r="AA68" s="4" t="e">
        <f>Z68*(1+'Rhaniad y Ddeiliadaeth (Cymru)'!G$118)</f>
        <v>#VALUE!</v>
      </c>
      <c r="AC68" s="260">
        <v>74</v>
      </c>
      <c r="AD68" s="4">
        <f>IF('Rhaniad y Ddeiliadaeth (Cymru)'!$D$18="Data Cofrestrfa Tir",'Prisiau Tai (De-ddwyrain)'!E68,'Prisiau Tai (De-ddwyrain)'!W68)</f>
        <v>241040</v>
      </c>
      <c r="AE68" s="4">
        <f>IF('Rhaniad y Ddeiliadaeth (Cymru)'!$D$18="Data Cofrestrfa Tir",'Prisiau Tai (De-ddwyrain)'!F68,'Prisiau Tai (De-ddwyrain)'!X68)</f>
        <v>255092.63200000001</v>
      </c>
      <c r="AF68" s="4">
        <f>IF('Rhaniad y Ddeiliadaeth (Cymru)'!$D$18="Data Cofrestrfa Tir",'Prisiau Tai (De-ddwyrain)'!G68,'Prisiau Tai (De-ddwyrain)'!Y68)</f>
        <v>273111.59286200849</v>
      </c>
      <c r="AG68" s="4">
        <f>IF('Rhaniad y Ddeiliadaeth (Cymru)'!$D$18="Data Cofrestrfa Tir",'Prisiau Tai (De-ddwyrain)'!H68,'Prisiau Tai (De-ddwyrain)'!Z68)</f>
        <v>287974.56369758025</v>
      </c>
      <c r="AH68" s="4">
        <f>IF('Rhaniad y Ddeiliadaeth (Cymru)'!$D$18="Data Cofrestrfa Tir",'Prisiau Tai (De-ddwyrain)'!I68,'Prisiau Tai (De-ddwyrain)'!AA68)</f>
        <v>300122.4044833309</v>
      </c>
    </row>
    <row r="69" spans="2:34" x14ac:dyDescent="0.35">
      <c r="B69" s="251">
        <v>75</v>
      </c>
      <c r="C69" s="258">
        <v>226995</v>
      </c>
      <c r="D69" s="258">
        <v>234950</v>
      </c>
      <c r="E69" s="278">
        <f>D69*(1+'Rhaniad y Ddeiliadaeth (De-ddn)'!C$118)</f>
        <v>246227.6</v>
      </c>
      <c r="F69" s="278">
        <f>E69*(1+'Rhaniad y Ddeiliadaeth (De-ddn)'!D$118)</f>
        <v>260582.66908000002</v>
      </c>
      <c r="G69" s="278">
        <f>F69*(1+'Rhaniad y Ddeiliadaeth (De-ddn)'!E$118)</f>
        <v>278989.42931708216</v>
      </c>
      <c r="H69" s="278">
        <f>G69*(1+'Rhaniad y Ddeiliadaeth (De-ddn)'!F$118)</f>
        <v>294172.27713368036</v>
      </c>
      <c r="I69" s="279">
        <f>H69*(1+'Rhaniad y Ddeiliadaeth (De-ddn)'!G$118)</f>
        <v>306581.56057981995</v>
      </c>
      <c r="M69" s="36" t="str">
        <f t="shared" si="4"/>
        <v/>
      </c>
      <c r="N69" s="202"/>
      <c r="O69" s="13">
        <f t="shared" ref="O69:O84" si="7">IF(ISBLANK(N69),1,0)</f>
        <v>1</v>
      </c>
      <c r="U69" s="1">
        <f t="shared" si="5"/>
        <v>75</v>
      </c>
      <c r="V69" s="4" t="str">
        <f t="shared" si="6"/>
        <v/>
      </c>
      <c r="W69" s="4" t="e">
        <f>IF($W$3=$N$3,N69,V69*(1+'Rhaniad y Ddeiliadaeth (Cymru)'!C$118))</f>
        <v>#VALUE!</v>
      </c>
      <c r="X69" s="4" t="e">
        <f>W69*(1+'Rhaniad y Ddeiliadaeth (Cymru)'!D$118)</f>
        <v>#VALUE!</v>
      </c>
      <c r="Y69" s="4" t="e">
        <f>X69*(1+'Rhaniad y Ddeiliadaeth (Cymru)'!E$118)</f>
        <v>#VALUE!</v>
      </c>
      <c r="Z69" s="4" t="e">
        <f>Y69*(1+'Rhaniad y Ddeiliadaeth (Cymru)'!F$118)</f>
        <v>#VALUE!</v>
      </c>
      <c r="AA69" s="4" t="e">
        <f>Z69*(1+'Rhaniad y Ddeiliadaeth (Cymru)'!G$118)</f>
        <v>#VALUE!</v>
      </c>
      <c r="AC69" s="260">
        <v>75</v>
      </c>
      <c r="AD69" s="4">
        <f>IF('Rhaniad y Ddeiliadaeth (Cymru)'!$D$18="Data Cofrestrfa Tir",'Prisiau Tai (De-ddwyrain)'!E69,'Prisiau Tai (De-ddwyrain)'!W69)</f>
        <v>246227.6</v>
      </c>
      <c r="AE69" s="4">
        <f>IF('Rhaniad y Ddeiliadaeth (Cymru)'!$D$18="Data Cofrestrfa Tir",'Prisiau Tai (De-ddwyrain)'!F69,'Prisiau Tai (De-ddwyrain)'!X69)</f>
        <v>260582.66908000002</v>
      </c>
      <c r="AF69" s="4">
        <f>IF('Rhaniad y Ddeiliadaeth (Cymru)'!$D$18="Data Cofrestrfa Tir",'Prisiau Tai (De-ddwyrain)'!G69,'Prisiau Tai (De-ddwyrain)'!Y69)</f>
        <v>278989.42931708216</v>
      </c>
      <c r="AG69" s="4">
        <f>IF('Rhaniad y Ddeiliadaeth (Cymru)'!$D$18="Data Cofrestrfa Tir",'Prisiau Tai (De-ddwyrain)'!H69,'Prisiau Tai (De-ddwyrain)'!Z69)</f>
        <v>294172.27713368036</v>
      </c>
      <c r="AH69" s="4">
        <f>IF('Rhaniad y Ddeiliadaeth (Cymru)'!$D$18="Data Cofrestrfa Tir",'Prisiau Tai (De-ddwyrain)'!I69,'Prisiau Tai (De-ddwyrain)'!AA69)</f>
        <v>306581.56057981995</v>
      </c>
    </row>
    <row r="70" spans="2:34" x14ac:dyDescent="0.35">
      <c r="B70" s="251">
        <v>76</v>
      </c>
      <c r="C70" s="258">
        <v>230000</v>
      </c>
      <c r="D70" s="258">
        <v>239000</v>
      </c>
      <c r="E70" s="278">
        <f>D70*(1+'Rhaniad y Ddeiliadaeth (De-ddn)'!C$118)</f>
        <v>250472</v>
      </c>
      <c r="F70" s="278">
        <f>E70*(1+'Rhaniad y Ddeiliadaeth (De-ddn)'!D$118)</f>
        <v>265074.51760000002</v>
      </c>
      <c r="G70" s="278">
        <f>F70*(1+'Rhaniad y Ddeiliadaeth (De-ddn)'!E$118)</f>
        <v>283798.56823486974</v>
      </c>
      <c r="H70" s="278">
        <f>G70*(1+'Rhaniad y Ddeiliadaeth (De-ddn)'!F$118)</f>
        <v>299243.1335813987</v>
      </c>
      <c r="I70" s="279">
        <f>H70*(1+'Rhaniad y Ddeiliadaeth (De-ddn)'!G$118)</f>
        <v>311866.32465876563</v>
      </c>
      <c r="M70" s="36" t="str">
        <f t="shared" si="4"/>
        <v/>
      </c>
      <c r="N70" s="202"/>
      <c r="O70" s="13">
        <f t="shared" si="7"/>
        <v>1</v>
      </c>
      <c r="U70" s="1">
        <f t="shared" si="5"/>
        <v>76</v>
      </c>
      <c r="V70" s="4" t="str">
        <f t="shared" si="6"/>
        <v/>
      </c>
      <c r="W70" s="4" t="e">
        <f>IF($W$3=$N$3,N70,V70*(1+'Rhaniad y Ddeiliadaeth (Cymru)'!C$118))</f>
        <v>#VALUE!</v>
      </c>
      <c r="X70" s="4" t="e">
        <f>W70*(1+'Rhaniad y Ddeiliadaeth (Cymru)'!D$118)</f>
        <v>#VALUE!</v>
      </c>
      <c r="Y70" s="4" t="e">
        <f>X70*(1+'Rhaniad y Ddeiliadaeth (Cymru)'!E$118)</f>
        <v>#VALUE!</v>
      </c>
      <c r="Z70" s="4" t="e">
        <f>Y70*(1+'Rhaniad y Ddeiliadaeth (Cymru)'!F$118)</f>
        <v>#VALUE!</v>
      </c>
      <c r="AA70" s="4" t="e">
        <f>Z70*(1+'Rhaniad y Ddeiliadaeth (Cymru)'!G$118)</f>
        <v>#VALUE!</v>
      </c>
      <c r="AC70" s="260">
        <v>76</v>
      </c>
      <c r="AD70" s="4">
        <f>IF('Rhaniad y Ddeiliadaeth (Cymru)'!$D$18="Data Cofrestrfa Tir",'Prisiau Tai (De-ddwyrain)'!E70,'Prisiau Tai (De-ddwyrain)'!W70)</f>
        <v>250472</v>
      </c>
      <c r="AE70" s="4">
        <f>IF('Rhaniad y Ddeiliadaeth (Cymru)'!$D$18="Data Cofrestrfa Tir",'Prisiau Tai (De-ddwyrain)'!F70,'Prisiau Tai (De-ddwyrain)'!X70)</f>
        <v>265074.51760000002</v>
      </c>
      <c r="AF70" s="4">
        <f>IF('Rhaniad y Ddeiliadaeth (Cymru)'!$D$18="Data Cofrestrfa Tir",'Prisiau Tai (De-ddwyrain)'!G70,'Prisiau Tai (De-ddwyrain)'!Y70)</f>
        <v>283798.56823486974</v>
      </c>
      <c r="AG70" s="4">
        <f>IF('Rhaniad y Ddeiliadaeth (Cymru)'!$D$18="Data Cofrestrfa Tir",'Prisiau Tai (De-ddwyrain)'!H70,'Prisiau Tai (De-ddwyrain)'!Z70)</f>
        <v>299243.1335813987</v>
      </c>
      <c r="AH70" s="4">
        <f>IF('Rhaniad y Ddeiliadaeth (Cymru)'!$D$18="Data Cofrestrfa Tir",'Prisiau Tai (De-ddwyrain)'!I70,'Prisiau Tai (De-ddwyrain)'!AA70)</f>
        <v>311866.32465876563</v>
      </c>
    </row>
    <row r="71" spans="2:34" x14ac:dyDescent="0.35">
      <c r="B71" s="251">
        <v>77</v>
      </c>
      <c r="C71" s="258">
        <v>235000</v>
      </c>
      <c r="D71" s="258">
        <v>242995</v>
      </c>
      <c r="E71" s="278">
        <f>D71*(1+'Rhaniad y Ddeiliadaeth (De-ddn)'!C$118)</f>
        <v>254658.76</v>
      </c>
      <c r="F71" s="278">
        <f>E71*(1+'Rhaniad y Ddeiliadaeth (De-ddn)'!D$118)</f>
        <v>269505.36570800003</v>
      </c>
      <c r="G71" s="278">
        <f>F71*(1+'Rhaniad y Ddeiliadaeth (De-ddn)'!E$118)</f>
        <v>288542.39785871201</v>
      </c>
      <c r="H71" s="278">
        <f>G71*(1+'Rhaniad y Ddeiliadaeth (De-ddn)'!F$118)</f>
        <v>304245.12654649362</v>
      </c>
      <c r="I71" s="279">
        <f>H71*(1+'Rhaniad y Ddeiliadaeth (De-ddn)'!G$118)</f>
        <v>317079.32033663912</v>
      </c>
      <c r="M71" s="36" t="str">
        <f t="shared" si="4"/>
        <v/>
      </c>
      <c r="N71" s="202"/>
      <c r="O71" s="13">
        <f t="shared" si="7"/>
        <v>1</v>
      </c>
      <c r="U71" s="1">
        <f t="shared" si="5"/>
        <v>77</v>
      </c>
      <c r="V71" s="4" t="str">
        <f t="shared" si="6"/>
        <v/>
      </c>
      <c r="W71" s="4" t="e">
        <f>IF($W$3=$N$3,N71,V71*(1+'Rhaniad y Ddeiliadaeth (Cymru)'!C$118))</f>
        <v>#VALUE!</v>
      </c>
      <c r="X71" s="4" t="e">
        <f>W71*(1+'Rhaniad y Ddeiliadaeth (Cymru)'!D$118)</f>
        <v>#VALUE!</v>
      </c>
      <c r="Y71" s="4" t="e">
        <f>X71*(1+'Rhaniad y Ddeiliadaeth (Cymru)'!E$118)</f>
        <v>#VALUE!</v>
      </c>
      <c r="Z71" s="4" t="e">
        <f>Y71*(1+'Rhaniad y Ddeiliadaeth (Cymru)'!F$118)</f>
        <v>#VALUE!</v>
      </c>
      <c r="AA71" s="4" t="e">
        <f>Z71*(1+'Rhaniad y Ddeiliadaeth (Cymru)'!G$118)</f>
        <v>#VALUE!</v>
      </c>
      <c r="AC71" s="260">
        <v>77</v>
      </c>
      <c r="AD71" s="4">
        <f>IF('Rhaniad y Ddeiliadaeth (Cymru)'!$D$18="Data Cofrestrfa Tir",'Prisiau Tai (De-ddwyrain)'!E71,'Prisiau Tai (De-ddwyrain)'!W71)</f>
        <v>254658.76</v>
      </c>
      <c r="AE71" s="4">
        <f>IF('Rhaniad y Ddeiliadaeth (Cymru)'!$D$18="Data Cofrestrfa Tir",'Prisiau Tai (De-ddwyrain)'!F71,'Prisiau Tai (De-ddwyrain)'!X71)</f>
        <v>269505.36570800003</v>
      </c>
      <c r="AF71" s="4">
        <f>IF('Rhaniad y Ddeiliadaeth (Cymru)'!$D$18="Data Cofrestrfa Tir",'Prisiau Tai (De-ddwyrain)'!G71,'Prisiau Tai (De-ddwyrain)'!Y71)</f>
        <v>288542.39785871201</v>
      </c>
      <c r="AG71" s="4">
        <f>IF('Rhaniad y Ddeiliadaeth (Cymru)'!$D$18="Data Cofrestrfa Tir",'Prisiau Tai (De-ddwyrain)'!H71,'Prisiau Tai (De-ddwyrain)'!Z71)</f>
        <v>304245.12654649362</v>
      </c>
      <c r="AH71" s="4">
        <f>IF('Rhaniad y Ddeiliadaeth (Cymru)'!$D$18="Data Cofrestrfa Tir",'Prisiau Tai (De-ddwyrain)'!I71,'Prisiau Tai (De-ddwyrain)'!AA71)</f>
        <v>317079.32033663912</v>
      </c>
    </row>
    <row r="72" spans="2:34" x14ac:dyDescent="0.35">
      <c r="B72" s="251">
        <v>78</v>
      </c>
      <c r="C72" s="258">
        <v>240000</v>
      </c>
      <c r="D72" s="258">
        <v>247500</v>
      </c>
      <c r="E72" s="278">
        <f>D72*(1+'Rhaniad y Ddeiliadaeth (De-ddn)'!C$118)</f>
        <v>259380</v>
      </c>
      <c r="F72" s="278">
        <f>E72*(1+'Rhaniad y Ddeiliadaeth (De-ddn)'!D$118)</f>
        <v>274501.85399999999</v>
      </c>
      <c r="G72" s="278">
        <f>F72*(1+'Rhaniad y Ddeiliadaeth (De-ddn)'!E$118)</f>
        <v>293891.82275368302</v>
      </c>
      <c r="H72" s="278">
        <f>G72*(1+'Rhaniad y Ddeiliadaeth (De-ddn)'!F$118)</f>
        <v>309885.67180500482</v>
      </c>
      <c r="I72" s="279">
        <f>H72*(1+'Rhaniad y Ddeiliadaeth (De-ddn)'!G$118)</f>
        <v>322957.80482445384</v>
      </c>
      <c r="M72" s="36" t="str">
        <f t="shared" si="4"/>
        <v/>
      </c>
      <c r="N72" s="202"/>
      <c r="O72" s="13">
        <f t="shared" si="7"/>
        <v>1</v>
      </c>
      <c r="U72" s="1">
        <f t="shared" si="5"/>
        <v>78</v>
      </c>
      <c r="V72" s="4" t="str">
        <f t="shared" si="6"/>
        <v/>
      </c>
      <c r="W72" s="4" t="e">
        <f>IF($W$3=$N$3,N72,V72*(1+'Rhaniad y Ddeiliadaeth (Cymru)'!C$118))</f>
        <v>#VALUE!</v>
      </c>
      <c r="X72" s="4" t="e">
        <f>W72*(1+'Rhaniad y Ddeiliadaeth (Cymru)'!D$118)</f>
        <v>#VALUE!</v>
      </c>
      <c r="Y72" s="4" t="e">
        <f>X72*(1+'Rhaniad y Ddeiliadaeth (Cymru)'!E$118)</f>
        <v>#VALUE!</v>
      </c>
      <c r="Z72" s="4" t="e">
        <f>Y72*(1+'Rhaniad y Ddeiliadaeth (Cymru)'!F$118)</f>
        <v>#VALUE!</v>
      </c>
      <c r="AA72" s="4" t="e">
        <f>Z72*(1+'Rhaniad y Ddeiliadaeth (Cymru)'!G$118)</f>
        <v>#VALUE!</v>
      </c>
      <c r="AC72" s="260">
        <v>78</v>
      </c>
      <c r="AD72" s="4">
        <f>IF('Rhaniad y Ddeiliadaeth (Cymru)'!$D$18="Data Cofrestrfa Tir",'Prisiau Tai (De-ddwyrain)'!E72,'Prisiau Tai (De-ddwyrain)'!W72)</f>
        <v>259380</v>
      </c>
      <c r="AE72" s="4">
        <f>IF('Rhaniad y Ddeiliadaeth (Cymru)'!$D$18="Data Cofrestrfa Tir",'Prisiau Tai (De-ddwyrain)'!F72,'Prisiau Tai (De-ddwyrain)'!X72)</f>
        <v>274501.85399999999</v>
      </c>
      <c r="AF72" s="4">
        <f>IF('Rhaniad y Ddeiliadaeth (Cymru)'!$D$18="Data Cofrestrfa Tir",'Prisiau Tai (De-ddwyrain)'!G72,'Prisiau Tai (De-ddwyrain)'!Y72)</f>
        <v>293891.82275368302</v>
      </c>
      <c r="AG72" s="4">
        <f>IF('Rhaniad y Ddeiliadaeth (Cymru)'!$D$18="Data Cofrestrfa Tir",'Prisiau Tai (De-ddwyrain)'!H72,'Prisiau Tai (De-ddwyrain)'!Z72)</f>
        <v>309885.67180500482</v>
      </c>
      <c r="AH72" s="4">
        <f>IF('Rhaniad y Ddeiliadaeth (Cymru)'!$D$18="Data Cofrestrfa Tir",'Prisiau Tai (De-ddwyrain)'!I72,'Prisiau Tai (De-ddwyrain)'!AA72)</f>
        <v>322957.80482445384</v>
      </c>
    </row>
    <row r="73" spans="2:34" x14ac:dyDescent="0.35">
      <c r="B73" s="251">
        <v>79</v>
      </c>
      <c r="C73" s="258">
        <v>245000</v>
      </c>
      <c r="D73" s="258">
        <v>250000</v>
      </c>
      <c r="E73" s="278">
        <f>D73*(1+'Rhaniad y Ddeiliadaeth (De-ddn)'!C$118)</f>
        <v>262000</v>
      </c>
      <c r="F73" s="278">
        <f>E73*(1+'Rhaniad y Ddeiliadaeth (De-ddn)'!D$118)</f>
        <v>277274.59999999998</v>
      </c>
      <c r="G73" s="278">
        <f>F73*(1+'Rhaniad y Ddeiliadaeth (De-ddn)'!E$118)</f>
        <v>296860.42702392227</v>
      </c>
      <c r="H73" s="278">
        <f>G73*(1+'Rhaniad y Ddeiliadaeth (De-ddn)'!F$118)</f>
        <v>313015.83010606549</v>
      </c>
      <c r="I73" s="279">
        <f>H73*(1+'Rhaniad y Ddeiliadaeth (De-ddn)'!G$118)</f>
        <v>326220.00487318571</v>
      </c>
      <c r="M73" s="36" t="str">
        <f t="shared" si="4"/>
        <v/>
      </c>
      <c r="N73" s="202"/>
      <c r="O73" s="13">
        <f t="shared" si="7"/>
        <v>1</v>
      </c>
      <c r="U73" s="1">
        <f t="shared" si="5"/>
        <v>79</v>
      </c>
      <c r="V73" s="4" t="str">
        <f t="shared" si="6"/>
        <v/>
      </c>
      <c r="W73" s="4" t="e">
        <f>IF($W$3=$N$3,N73,V73*(1+'Rhaniad y Ddeiliadaeth (Cymru)'!C$118))</f>
        <v>#VALUE!</v>
      </c>
      <c r="X73" s="4" t="e">
        <f>W73*(1+'Rhaniad y Ddeiliadaeth (Cymru)'!D$118)</f>
        <v>#VALUE!</v>
      </c>
      <c r="Y73" s="4" t="e">
        <f>X73*(1+'Rhaniad y Ddeiliadaeth (Cymru)'!E$118)</f>
        <v>#VALUE!</v>
      </c>
      <c r="Z73" s="4" t="e">
        <f>Y73*(1+'Rhaniad y Ddeiliadaeth (Cymru)'!F$118)</f>
        <v>#VALUE!</v>
      </c>
      <c r="AA73" s="4" t="e">
        <f>Z73*(1+'Rhaniad y Ddeiliadaeth (Cymru)'!G$118)</f>
        <v>#VALUE!</v>
      </c>
      <c r="AC73" s="260">
        <v>79</v>
      </c>
      <c r="AD73" s="4">
        <f>IF('Rhaniad y Ddeiliadaeth (Cymru)'!$D$18="Data Cofrestrfa Tir",'Prisiau Tai (De-ddwyrain)'!E73,'Prisiau Tai (De-ddwyrain)'!W73)</f>
        <v>262000</v>
      </c>
      <c r="AE73" s="4">
        <f>IF('Rhaniad y Ddeiliadaeth (Cymru)'!$D$18="Data Cofrestrfa Tir",'Prisiau Tai (De-ddwyrain)'!F73,'Prisiau Tai (De-ddwyrain)'!X73)</f>
        <v>277274.59999999998</v>
      </c>
      <c r="AF73" s="4">
        <f>IF('Rhaniad y Ddeiliadaeth (Cymru)'!$D$18="Data Cofrestrfa Tir",'Prisiau Tai (De-ddwyrain)'!G73,'Prisiau Tai (De-ddwyrain)'!Y73)</f>
        <v>296860.42702392227</v>
      </c>
      <c r="AG73" s="4">
        <f>IF('Rhaniad y Ddeiliadaeth (Cymru)'!$D$18="Data Cofrestrfa Tir",'Prisiau Tai (De-ddwyrain)'!H73,'Prisiau Tai (De-ddwyrain)'!Z73)</f>
        <v>313015.83010606549</v>
      </c>
      <c r="AH73" s="4">
        <f>IF('Rhaniad y Ddeiliadaeth (Cymru)'!$D$18="Data Cofrestrfa Tir",'Prisiau Tai (De-ddwyrain)'!I73,'Prisiau Tai (De-ddwyrain)'!AA73)</f>
        <v>326220.00487318571</v>
      </c>
    </row>
    <row r="74" spans="2:34" x14ac:dyDescent="0.35">
      <c r="B74" s="251">
        <v>80</v>
      </c>
      <c r="C74" s="258">
        <v>249999.2</v>
      </c>
      <c r="D74" s="258">
        <v>255500</v>
      </c>
      <c r="E74" s="278">
        <f>D74*(1+'Rhaniad y Ddeiliadaeth (De-ddn)'!C$118)</f>
        <v>267764</v>
      </c>
      <c r="F74" s="278">
        <f>E74*(1+'Rhaniad y Ddeiliadaeth (De-ddn)'!D$118)</f>
        <v>283374.64120000001</v>
      </c>
      <c r="G74" s="278">
        <f>F74*(1+'Rhaniad y Ddeiliadaeth (De-ddn)'!E$118)</f>
        <v>303391.35641844856</v>
      </c>
      <c r="H74" s="278">
        <f>G74*(1+'Rhaniad y Ddeiliadaeth (De-ddn)'!F$118)</f>
        <v>319902.17836839892</v>
      </c>
      <c r="I74" s="279">
        <f>H74*(1+'Rhaniad y Ddeiliadaeth (De-ddn)'!G$118)</f>
        <v>333396.84498039581</v>
      </c>
      <c r="M74" s="36" t="str">
        <f t="shared" si="4"/>
        <v/>
      </c>
      <c r="N74" s="202"/>
      <c r="O74" s="13">
        <f t="shared" si="7"/>
        <v>1</v>
      </c>
      <c r="U74" s="1">
        <f t="shared" si="5"/>
        <v>80</v>
      </c>
      <c r="V74" s="4" t="str">
        <f t="shared" si="6"/>
        <v/>
      </c>
      <c r="W74" s="4" t="e">
        <f>IF($W$3=$N$3,N74,V74*(1+'Rhaniad y Ddeiliadaeth (Cymru)'!C$118))</f>
        <v>#VALUE!</v>
      </c>
      <c r="X74" s="4" t="e">
        <f>W74*(1+'Rhaniad y Ddeiliadaeth (Cymru)'!D$118)</f>
        <v>#VALUE!</v>
      </c>
      <c r="Y74" s="4" t="e">
        <f>X74*(1+'Rhaniad y Ddeiliadaeth (Cymru)'!E$118)</f>
        <v>#VALUE!</v>
      </c>
      <c r="Z74" s="4" t="e">
        <f>Y74*(1+'Rhaniad y Ddeiliadaeth (Cymru)'!F$118)</f>
        <v>#VALUE!</v>
      </c>
      <c r="AA74" s="4" t="e">
        <f>Z74*(1+'Rhaniad y Ddeiliadaeth (Cymru)'!G$118)</f>
        <v>#VALUE!</v>
      </c>
      <c r="AC74" s="260">
        <v>80</v>
      </c>
      <c r="AD74" s="4">
        <f>IF('Rhaniad y Ddeiliadaeth (Cymru)'!$D$18="Data Cofrestrfa Tir",'Prisiau Tai (De-ddwyrain)'!E74,'Prisiau Tai (De-ddwyrain)'!W74)</f>
        <v>267764</v>
      </c>
      <c r="AE74" s="4">
        <f>IF('Rhaniad y Ddeiliadaeth (Cymru)'!$D$18="Data Cofrestrfa Tir",'Prisiau Tai (De-ddwyrain)'!F74,'Prisiau Tai (De-ddwyrain)'!X74)</f>
        <v>283374.64120000001</v>
      </c>
      <c r="AF74" s="4">
        <f>IF('Rhaniad y Ddeiliadaeth (Cymru)'!$D$18="Data Cofrestrfa Tir",'Prisiau Tai (De-ddwyrain)'!G74,'Prisiau Tai (De-ddwyrain)'!Y74)</f>
        <v>303391.35641844856</v>
      </c>
      <c r="AG74" s="4">
        <f>IF('Rhaniad y Ddeiliadaeth (Cymru)'!$D$18="Data Cofrestrfa Tir",'Prisiau Tai (De-ddwyrain)'!H74,'Prisiau Tai (De-ddwyrain)'!Z74)</f>
        <v>319902.17836839892</v>
      </c>
      <c r="AH74" s="4">
        <f>IF('Rhaniad y Ddeiliadaeth (Cymru)'!$D$18="Data Cofrestrfa Tir",'Prisiau Tai (De-ddwyrain)'!I74,'Prisiau Tai (De-ddwyrain)'!AA74)</f>
        <v>333396.84498039581</v>
      </c>
    </row>
    <row r="75" spans="2:34" x14ac:dyDescent="0.35">
      <c r="B75" s="251">
        <v>81</v>
      </c>
      <c r="C75" s="258">
        <v>255000</v>
      </c>
      <c r="D75" s="258">
        <v>262000</v>
      </c>
      <c r="E75" s="278">
        <f>D75*(1+'Rhaniad y Ddeiliadaeth (De-ddn)'!C$118)</f>
        <v>274576</v>
      </c>
      <c r="F75" s="278">
        <f>E75*(1+'Rhaniad y Ddeiliadaeth (De-ddn)'!D$118)</f>
        <v>290583.78080000001</v>
      </c>
      <c r="G75" s="278">
        <f>F75*(1+'Rhaniad y Ddeiliadaeth (De-ddn)'!E$118)</f>
        <v>311109.72752107057</v>
      </c>
      <c r="H75" s="278">
        <f>G75*(1+'Rhaniad y Ddeiliadaeth (De-ddn)'!F$118)</f>
        <v>328040.5899511567</v>
      </c>
      <c r="I75" s="279">
        <f>H75*(1+'Rhaniad y Ddeiliadaeth (De-ddn)'!G$118)</f>
        <v>341878.56510709872</v>
      </c>
      <c r="M75" s="36" t="str">
        <f t="shared" si="4"/>
        <v/>
      </c>
      <c r="N75" s="202"/>
      <c r="O75" s="13">
        <f t="shared" si="7"/>
        <v>1</v>
      </c>
      <c r="U75" s="1">
        <f t="shared" si="5"/>
        <v>81</v>
      </c>
      <c r="V75" s="4" t="str">
        <f t="shared" si="6"/>
        <v/>
      </c>
      <c r="W75" s="4" t="e">
        <f>IF($W$3=$N$3,N75,V75*(1+'Rhaniad y Ddeiliadaeth (Cymru)'!C$118))</f>
        <v>#VALUE!</v>
      </c>
      <c r="X75" s="4" t="e">
        <f>W75*(1+'Rhaniad y Ddeiliadaeth (Cymru)'!D$118)</f>
        <v>#VALUE!</v>
      </c>
      <c r="Y75" s="4" t="e">
        <f>X75*(1+'Rhaniad y Ddeiliadaeth (Cymru)'!E$118)</f>
        <v>#VALUE!</v>
      </c>
      <c r="Z75" s="4" t="e">
        <f>Y75*(1+'Rhaniad y Ddeiliadaeth (Cymru)'!F$118)</f>
        <v>#VALUE!</v>
      </c>
      <c r="AA75" s="4" t="e">
        <f>Z75*(1+'Rhaniad y Ddeiliadaeth (Cymru)'!G$118)</f>
        <v>#VALUE!</v>
      </c>
      <c r="AC75" s="260">
        <v>81</v>
      </c>
      <c r="AD75" s="4">
        <f>IF('Rhaniad y Ddeiliadaeth (Cymru)'!$D$18="Data Cofrestrfa Tir",'Prisiau Tai (De-ddwyrain)'!E75,'Prisiau Tai (De-ddwyrain)'!W75)</f>
        <v>274576</v>
      </c>
      <c r="AE75" s="4">
        <f>IF('Rhaniad y Ddeiliadaeth (Cymru)'!$D$18="Data Cofrestrfa Tir",'Prisiau Tai (De-ddwyrain)'!F75,'Prisiau Tai (De-ddwyrain)'!X75)</f>
        <v>290583.78080000001</v>
      </c>
      <c r="AF75" s="4">
        <f>IF('Rhaniad y Ddeiliadaeth (Cymru)'!$D$18="Data Cofrestrfa Tir",'Prisiau Tai (De-ddwyrain)'!G75,'Prisiau Tai (De-ddwyrain)'!Y75)</f>
        <v>311109.72752107057</v>
      </c>
      <c r="AG75" s="4">
        <f>IF('Rhaniad y Ddeiliadaeth (Cymru)'!$D$18="Data Cofrestrfa Tir",'Prisiau Tai (De-ddwyrain)'!H75,'Prisiau Tai (De-ddwyrain)'!Z75)</f>
        <v>328040.5899511567</v>
      </c>
      <c r="AH75" s="4">
        <f>IF('Rhaniad y Ddeiliadaeth (Cymru)'!$D$18="Data Cofrestrfa Tir",'Prisiau Tai (De-ddwyrain)'!I75,'Prisiau Tai (De-ddwyrain)'!AA75)</f>
        <v>341878.56510709872</v>
      </c>
    </row>
    <row r="76" spans="2:34" x14ac:dyDescent="0.35">
      <c r="B76" s="251">
        <v>82</v>
      </c>
      <c r="C76" s="258">
        <v>260000</v>
      </c>
      <c r="D76" s="258">
        <v>267500</v>
      </c>
      <c r="E76" s="278">
        <f>D76*(1+'Rhaniad y Ddeiliadaeth (De-ddn)'!C$118)</f>
        <v>280340</v>
      </c>
      <c r="F76" s="278">
        <f>E76*(1+'Rhaniad y Ddeiliadaeth (De-ddn)'!D$118)</f>
        <v>296683.82199999999</v>
      </c>
      <c r="G76" s="278">
        <f>F76*(1+'Rhaniad y Ddeiliadaeth (De-ddn)'!E$118)</f>
        <v>317640.6569155968</v>
      </c>
      <c r="H76" s="278">
        <f>G76*(1+'Rhaniad y Ddeiliadaeth (De-ddn)'!F$118)</f>
        <v>334926.93821349007</v>
      </c>
      <c r="I76" s="279">
        <f>H76*(1+'Rhaniad y Ddeiliadaeth (De-ddn)'!G$118)</f>
        <v>349055.4052143087</v>
      </c>
      <c r="M76" s="36" t="str">
        <f t="shared" si="4"/>
        <v/>
      </c>
      <c r="N76" s="202"/>
      <c r="O76" s="13">
        <f t="shared" si="7"/>
        <v>1</v>
      </c>
      <c r="U76" s="1">
        <f t="shared" si="5"/>
        <v>82</v>
      </c>
      <c r="V76" s="4" t="str">
        <f t="shared" si="6"/>
        <v/>
      </c>
      <c r="W76" s="4" t="e">
        <f>IF($W$3=$N$3,N76,V76*(1+'Rhaniad y Ddeiliadaeth (Cymru)'!C$118))</f>
        <v>#VALUE!</v>
      </c>
      <c r="X76" s="4" t="e">
        <f>W76*(1+'Rhaniad y Ddeiliadaeth (Cymru)'!D$118)</f>
        <v>#VALUE!</v>
      </c>
      <c r="Y76" s="4" t="e">
        <f>X76*(1+'Rhaniad y Ddeiliadaeth (Cymru)'!E$118)</f>
        <v>#VALUE!</v>
      </c>
      <c r="Z76" s="4" t="e">
        <f>Y76*(1+'Rhaniad y Ddeiliadaeth (Cymru)'!F$118)</f>
        <v>#VALUE!</v>
      </c>
      <c r="AA76" s="4" t="e">
        <f>Z76*(1+'Rhaniad y Ddeiliadaeth (Cymru)'!G$118)</f>
        <v>#VALUE!</v>
      </c>
      <c r="AC76" s="260">
        <v>82</v>
      </c>
      <c r="AD76" s="4">
        <f>IF('Rhaniad y Ddeiliadaeth (Cymru)'!$D$18="Data Cofrestrfa Tir",'Prisiau Tai (De-ddwyrain)'!E76,'Prisiau Tai (De-ddwyrain)'!W76)</f>
        <v>280340</v>
      </c>
      <c r="AE76" s="4">
        <f>IF('Rhaniad y Ddeiliadaeth (Cymru)'!$D$18="Data Cofrestrfa Tir",'Prisiau Tai (De-ddwyrain)'!F76,'Prisiau Tai (De-ddwyrain)'!X76)</f>
        <v>296683.82199999999</v>
      </c>
      <c r="AF76" s="4">
        <f>IF('Rhaniad y Ddeiliadaeth (Cymru)'!$D$18="Data Cofrestrfa Tir",'Prisiau Tai (De-ddwyrain)'!G76,'Prisiau Tai (De-ddwyrain)'!Y76)</f>
        <v>317640.6569155968</v>
      </c>
      <c r="AG76" s="4">
        <f>IF('Rhaniad y Ddeiliadaeth (Cymru)'!$D$18="Data Cofrestrfa Tir",'Prisiau Tai (De-ddwyrain)'!H76,'Prisiau Tai (De-ddwyrain)'!Z76)</f>
        <v>334926.93821349007</v>
      </c>
      <c r="AH76" s="4">
        <f>IF('Rhaniad y Ddeiliadaeth (Cymru)'!$D$18="Data Cofrestrfa Tir",'Prisiau Tai (De-ddwyrain)'!I76,'Prisiau Tai (De-ddwyrain)'!AA76)</f>
        <v>349055.4052143087</v>
      </c>
    </row>
    <row r="77" spans="2:34" x14ac:dyDescent="0.35">
      <c r="B77" s="251">
        <v>83</v>
      </c>
      <c r="C77" s="258">
        <v>265023.99999999977</v>
      </c>
      <c r="D77" s="258">
        <v>272999.15000000008</v>
      </c>
      <c r="E77" s="278">
        <f>D77*(1+'Rhaniad y Ddeiliadaeth (De-ddn)'!C$118)</f>
        <v>286103.10920000012</v>
      </c>
      <c r="F77" s="278">
        <f>E77*(1+'Rhaniad y Ddeiliadaeth (De-ddn)'!D$118)</f>
        <v>302782.92046636011</v>
      </c>
      <c r="G77" s="278">
        <f>F77*(1+'Rhaniad y Ddeiliadaeth (De-ddn)'!E$118)</f>
        <v>324170.57698467135</v>
      </c>
      <c r="H77" s="278">
        <f>G77*(1+'Rhaniad y Ddeiliadaeth (De-ddn)'!F$118)</f>
        <v>341812.22222200129</v>
      </c>
      <c r="I77" s="279">
        <f>H77*(1+'Rhaniad y Ddeiliadaeth (De-ddn)'!G$118)</f>
        <v>356231.13617350237</v>
      </c>
      <c r="M77" s="36" t="str">
        <f t="shared" si="4"/>
        <v/>
      </c>
      <c r="N77" s="202"/>
      <c r="O77" s="13">
        <f t="shared" si="7"/>
        <v>1</v>
      </c>
      <c r="U77" s="1">
        <f t="shared" si="5"/>
        <v>83</v>
      </c>
      <c r="V77" s="4" t="str">
        <f t="shared" si="6"/>
        <v/>
      </c>
      <c r="W77" s="4" t="e">
        <f>IF($W$3=$N$3,N77,V77*(1+'Rhaniad y Ddeiliadaeth (Cymru)'!C$118))</f>
        <v>#VALUE!</v>
      </c>
      <c r="X77" s="4" t="e">
        <f>W77*(1+'Rhaniad y Ddeiliadaeth (Cymru)'!D$118)</f>
        <v>#VALUE!</v>
      </c>
      <c r="Y77" s="4" t="e">
        <f>X77*(1+'Rhaniad y Ddeiliadaeth (Cymru)'!E$118)</f>
        <v>#VALUE!</v>
      </c>
      <c r="Z77" s="4" t="e">
        <f>Y77*(1+'Rhaniad y Ddeiliadaeth (Cymru)'!F$118)</f>
        <v>#VALUE!</v>
      </c>
      <c r="AA77" s="4" t="e">
        <f>Z77*(1+'Rhaniad y Ddeiliadaeth (Cymru)'!G$118)</f>
        <v>#VALUE!</v>
      </c>
      <c r="AC77" s="260">
        <v>83</v>
      </c>
      <c r="AD77" s="4">
        <f>IF('Rhaniad y Ddeiliadaeth (Cymru)'!$D$18="Data Cofrestrfa Tir",'Prisiau Tai (De-ddwyrain)'!E77,'Prisiau Tai (De-ddwyrain)'!W77)</f>
        <v>286103.10920000012</v>
      </c>
      <c r="AE77" s="4">
        <f>IF('Rhaniad y Ddeiliadaeth (Cymru)'!$D$18="Data Cofrestrfa Tir",'Prisiau Tai (De-ddwyrain)'!F77,'Prisiau Tai (De-ddwyrain)'!X77)</f>
        <v>302782.92046636011</v>
      </c>
      <c r="AF77" s="4">
        <f>IF('Rhaniad y Ddeiliadaeth (Cymru)'!$D$18="Data Cofrestrfa Tir",'Prisiau Tai (De-ddwyrain)'!G77,'Prisiau Tai (De-ddwyrain)'!Y77)</f>
        <v>324170.57698467135</v>
      </c>
      <c r="AG77" s="4">
        <f>IF('Rhaniad y Ddeiliadaeth (Cymru)'!$D$18="Data Cofrestrfa Tir",'Prisiau Tai (De-ddwyrain)'!H77,'Prisiau Tai (De-ddwyrain)'!Z77)</f>
        <v>341812.22222200129</v>
      </c>
      <c r="AH77" s="4">
        <f>IF('Rhaniad y Ddeiliadaeth (Cymru)'!$D$18="Data Cofrestrfa Tir",'Prisiau Tai (De-ddwyrain)'!I77,'Prisiau Tai (De-ddwyrain)'!AA77)</f>
        <v>356231.13617350237</v>
      </c>
    </row>
    <row r="78" spans="2:34" x14ac:dyDescent="0.35">
      <c r="B78" s="251">
        <v>84</v>
      </c>
      <c r="C78" s="258">
        <v>272000</v>
      </c>
      <c r="D78" s="258">
        <v>279950</v>
      </c>
      <c r="E78" s="278">
        <f>D78*(1+'Rhaniad y Ddeiliadaeth (De-ddn)'!C$118)</f>
        <v>293387.60000000003</v>
      </c>
      <c r="F78" s="278">
        <f>E78*(1+'Rhaniad y Ddeiliadaeth (De-ddn)'!D$118)</f>
        <v>310492.09708000004</v>
      </c>
      <c r="G78" s="278">
        <f>F78*(1+'Rhaniad y Ddeiliadaeth (De-ddn)'!E$118)</f>
        <v>332424.30618138821</v>
      </c>
      <c r="H78" s="278">
        <f>G78*(1+'Rhaniad y Ddeiliadaeth (De-ddn)'!F$118)</f>
        <v>350515.12655277218</v>
      </c>
      <c r="I78" s="279">
        <f>H78*(1+'Rhaniad y Ddeiliadaeth (De-ddn)'!G$118)</f>
        <v>365301.16145699343</v>
      </c>
      <c r="M78" s="36" t="str">
        <f t="shared" si="4"/>
        <v/>
      </c>
      <c r="N78" s="202"/>
      <c r="O78" s="13">
        <f t="shared" si="7"/>
        <v>1</v>
      </c>
      <c r="U78" s="1">
        <f t="shared" si="5"/>
        <v>84</v>
      </c>
      <c r="V78" s="4" t="str">
        <f t="shared" si="6"/>
        <v/>
      </c>
      <c r="W78" s="4" t="e">
        <f>IF($W$3=$N$3,N78,V78*(1+'Rhaniad y Ddeiliadaeth (Cymru)'!C$118))</f>
        <v>#VALUE!</v>
      </c>
      <c r="X78" s="4" t="e">
        <f>W78*(1+'Rhaniad y Ddeiliadaeth (Cymru)'!D$118)</f>
        <v>#VALUE!</v>
      </c>
      <c r="Y78" s="4" t="e">
        <f>X78*(1+'Rhaniad y Ddeiliadaeth (Cymru)'!E$118)</f>
        <v>#VALUE!</v>
      </c>
      <c r="Z78" s="4" t="e">
        <f>Y78*(1+'Rhaniad y Ddeiliadaeth (Cymru)'!F$118)</f>
        <v>#VALUE!</v>
      </c>
      <c r="AA78" s="4" t="e">
        <f>Z78*(1+'Rhaniad y Ddeiliadaeth (Cymru)'!G$118)</f>
        <v>#VALUE!</v>
      </c>
      <c r="AC78" s="260">
        <v>84</v>
      </c>
      <c r="AD78" s="4">
        <f>IF('Rhaniad y Ddeiliadaeth (Cymru)'!$D$18="Data Cofrestrfa Tir",'Prisiau Tai (De-ddwyrain)'!E78,'Prisiau Tai (De-ddwyrain)'!W78)</f>
        <v>293387.60000000003</v>
      </c>
      <c r="AE78" s="4">
        <f>IF('Rhaniad y Ddeiliadaeth (Cymru)'!$D$18="Data Cofrestrfa Tir",'Prisiau Tai (De-ddwyrain)'!F78,'Prisiau Tai (De-ddwyrain)'!X78)</f>
        <v>310492.09708000004</v>
      </c>
      <c r="AF78" s="4">
        <f>IF('Rhaniad y Ddeiliadaeth (Cymru)'!$D$18="Data Cofrestrfa Tir",'Prisiau Tai (De-ddwyrain)'!G78,'Prisiau Tai (De-ddwyrain)'!Y78)</f>
        <v>332424.30618138821</v>
      </c>
      <c r="AG78" s="4">
        <f>IF('Rhaniad y Ddeiliadaeth (Cymru)'!$D$18="Data Cofrestrfa Tir",'Prisiau Tai (De-ddwyrain)'!H78,'Prisiau Tai (De-ddwyrain)'!Z78)</f>
        <v>350515.12655277218</v>
      </c>
      <c r="AH78" s="4">
        <f>IF('Rhaniad y Ddeiliadaeth (Cymru)'!$D$18="Data Cofrestrfa Tir",'Prisiau Tai (De-ddwyrain)'!I78,'Prisiau Tai (De-ddwyrain)'!AA78)</f>
        <v>365301.16145699343</v>
      </c>
    </row>
    <row r="79" spans="2:34" x14ac:dyDescent="0.35">
      <c r="B79" s="251">
        <v>85</v>
      </c>
      <c r="C79" s="258">
        <v>279950</v>
      </c>
      <c r="D79" s="258">
        <v>285000</v>
      </c>
      <c r="E79" s="278">
        <f>D79*(1+'Rhaniad y Ddeiliadaeth (De-ddn)'!C$118)</f>
        <v>298680</v>
      </c>
      <c r="F79" s="278">
        <f>E79*(1+'Rhaniad y Ddeiliadaeth (De-ddn)'!D$118)</f>
        <v>316093.04399999999</v>
      </c>
      <c r="G79" s="278">
        <f>F79*(1+'Rhaniad y Ddeiliadaeth (De-ddn)'!E$118)</f>
        <v>338420.8868072714</v>
      </c>
      <c r="H79" s="278">
        <f>G79*(1+'Rhaniad y Ddeiliadaeth (De-ddn)'!F$118)</f>
        <v>356838.0463209147</v>
      </c>
      <c r="I79" s="279">
        <f>H79*(1+'Rhaniad y Ddeiliadaeth (De-ddn)'!G$118)</f>
        <v>371890.80555543175</v>
      </c>
      <c r="M79" s="36" t="str">
        <f t="shared" si="4"/>
        <v/>
      </c>
      <c r="N79" s="202"/>
      <c r="O79" s="13">
        <f t="shared" si="7"/>
        <v>1</v>
      </c>
      <c r="U79" s="1">
        <f t="shared" si="5"/>
        <v>85</v>
      </c>
      <c r="V79" s="4" t="str">
        <f t="shared" si="6"/>
        <v/>
      </c>
      <c r="W79" s="4" t="e">
        <f>IF($W$3=$N$3,N79,V79*(1+'Rhaniad y Ddeiliadaeth (Cymru)'!C$118))</f>
        <v>#VALUE!</v>
      </c>
      <c r="X79" s="4" t="e">
        <f>W79*(1+'Rhaniad y Ddeiliadaeth (Cymru)'!D$118)</f>
        <v>#VALUE!</v>
      </c>
      <c r="Y79" s="4" t="e">
        <f>X79*(1+'Rhaniad y Ddeiliadaeth (Cymru)'!E$118)</f>
        <v>#VALUE!</v>
      </c>
      <c r="Z79" s="4" t="e">
        <f>Y79*(1+'Rhaniad y Ddeiliadaeth (Cymru)'!F$118)</f>
        <v>#VALUE!</v>
      </c>
      <c r="AA79" s="4" t="e">
        <f>Z79*(1+'Rhaniad y Ddeiliadaeth (Cymru)'!G$118)</f>
        <v>#VALUE!</v>
      </c>
      <c r="AC79" s="260">
        <v>85</v>
      </c>
      <c r="AD79" s="4">
        <f>IF('Rhaniad y Ddeiliadaeth (Cymru)'!$D$18="Data Cofrestrfa Tir",'Prisiau Tai (De-ddwyrain)'!E79,'Prisiau Tai (De-ddwyrain)'!W79)</f>
        <v>298680</v>
      </c>
      <c r="AE79" s="4">
        <f>IF('Rhaniad y Ddeiliadaeth (Cymru)'!$D$18="Data Cofrestrfa Tir",'Prisiau Tai (De-ddwyrain)'!F79,'Prisiau Tai (De-ddwyrain)'!X79)</f>
        <v>316093.04399999999</v>
      </c>
      <c r="AF79" s="4">
        <f>IF('Rhaniad y Ddeiliadaeth (Cymru)'!$D$18="Data Cofrestrfa Tir",'Prisiau Tai (De-ddwyrain)'!G79,'Prisiau Tai (De-ddwyrain)'!Y79)</f>
        <v>338420.8868072714</v>
      </c>
      <c r="AG79" s="4">
        <f>IF('Rhaniad y Ddeiliadaeth (Cymru)'!$D$18="Data Cofrestrfa Tir",'Prisiau Tai (De-ddwyrain)'!H79,'Prisiau Tai (De-ddwyrain)'!Z79)</f>
        <v>356838.0463209147</v>
      </c>
      <c r="AH79" s="4">
        <f>IF('Rhaniad y Ddeiliadaeth (Cymru)'!$D$18="Data Cofrestrfa Tir",'Prisiau Tai (De-ddwyrain)'!I79,'Prisiau Tai (De-ddwyrain)'!AA79)</f>
        <v>371890.80555543175</v>
      </c>
    </row>
    <row r="80" spans="2:34" x14ac:dyDescent="0.35">
      <c r="B80" s="251">
        <v>86</v>
      </c>
      <c r="C80" s="258">
        <v>285000</v>
      </c>
      <c r="D80" s="258">
        <v>290000</v>
      </c>
      <c r="E80" s="278">
        <f>D80*(1+'Rhaniad y Ddeiliadaeth (De-ddn)'!C$118)</f>
        <v>303920</v>
      </c>
      <c r="F80" s="278">
        <f>E80*(1+'Rhaniad y Ddeiliadaeth (De-ddn)'!D$118)</f>
        <v>321638.53600000002</v>
      </c>
      <c r="G80" s="278">
        <f>F80*(1+'Rhaniad y Ddeiliadaeth (De-ddn)'!E$118)</f>
        <v>344358.09534774988</v>
      </c>
      <c r="H80" s="278">
        <f>G80*(1+'Rhaniad y Ddeiliadaeth (De-ddn)'!F$118)</f>
        <v>363098.36292303604</v>
      </c>
      <c r="I80" s="279">
        <f>H80*(1+'Rhaniad y Ddeiliadaeth (De-ddn)'!G$118)</f>
        <v>378415.2056528955</v>
      </c>
      <c r="M80" s="36" t="str">
        <f t="shared" si="4"/>
        <v/>
      </c>
      <c r="N80" s="202"/>
      <c r="O80" s="13">
        <f t="shared" si="7"/>
        <v>1</v>
      </c>
      <c r="U80" s="1">
        <f t="shared" si="5"/>
        <v>86</v>
      </c>
      <c r="V80" s="4" t="str">
        <f t="shared" si="6"/>
        <v/>
      </c>
      <c r="W80" s="4" t="e">
        <f>IF($W$3=$N$3,N80,V80*(1+'Rhaniad y Ddeiliadaeth (Cymru)'!C$118))</f>
        <v>#VALUE!</v>
      </c>
      <c r="X80" s="4" t="e">
        <f>W80*(1+'Rhaniad y Ddeiliadaeth (Cymru)'!D$118)</f>
        <v>#VALUE!</v>
      </c>
      <c r="Y80" s="4" t="e">
        <f>X80*(1+'Rhaniad y Ddeiliadaeth (Cymru)'!E$118)</f>
        <v>#VALUE!</v>
      </c>
      <c r="Z80" s="4" t="e">
        <f>Y80*(1+'Rhaniad y Ddeiliadaeth (Cymru)'!F$118)</f>
        <v>#VALUE!</v>
      </c>
      <c r="AA80" s="4" t="e">
        <f>Z80*(1+'Rhaniad y Ddeiliadaeth (Cymru)'!G$118)</f>
        <v>#VALUE!</v>
      </c>
      <c r="AC80" s="260">
        <v>86</v>
      </c>
      <c r="AD80" s="4">
        <f>IF('Rhaniad y Ddeiliadaeth (Cymru)'!$D$18="Data Cofrestrfa Tir",'Prisiau Tai (De-ddwyrain)'!E80,'Prisiau Tai (De-ddwyrain)'!W80)</f>
        <v>303920</v>
      </c>
      <c r="AE80" s="4">
        <f>IF('Rhaniad y Ddeiliadaeth (Cymru)'!$D$18="Data Cofrestrfa Tir",'Prisiau Tai (De-ddwyrain)'!F80,'Prisiau Tai (De-ddwyrain)'!X80)</f>
        <v>321638.53600000002</v>
      </c>
      <c r="AF80" s="4">
        <f>IF('Rhaniad y Ddeiliadaeth (Cymru)'!$D$18="Data Cofrestrfa Tir",'Prisiau Tai (De-ddwyrain)'!G80,'Prisiau Tai (De-ddwyrain)'!Y80)</f>
        <v>344358.09534774988</v>
      </c>
      <c r="AG80" s="4">
        <f>IF('Rhaniad y Ddeiliadaeth (Cymru)'!$D$18="Data Cofrestrfa Tir",'Prisiau Tai (De-ddwyrain)'!H80,'Prisiau Tai (De-ddwyrain)'!Z80)</f>
        <v>363098.36292303604</v>
      </c>
      <c r="AH80" s="4">
        <f>IF('Rhaniad y Ddeiliadaeth (Cymru)'!$D$18="Data Cofrestrfa Tir",'Prisiau Tai (De-ddwyrain)'!I80,'Prisiau Tai (De-ddwyrain)'!AA80)</f>
        <v>378415.2056528955</v>
      </c>
    </row>
    <row r="81" spans="2:34" x14ac:dyDescent="0.35">
      <c r="B81" s="251">
        <v>87</v>
      </c>
      <c r="C81" s="258">
        <v>292000</v>
      </c>
      <c r="D81" s="258">
        <v>298500</v>
      </c>
      <c r="E81" s="278">
        <f>D81*(1+'Rhaniad y Ddeiliadaeth (De-ddn)'!C$118)</f>
        <v>312828</v>
      </c>
      <c r="F81" s="278">
        <f>E81*(1+'Rhaniad y Ddeiliadaeth (De-ddn)'!D$118)</f>
        <v>331065.87239999999</v>
      </c>
      <c r="G81" s="278">
        <f>F81*(1+'Rhaniad y Ddeiliadaeth (De-ddn)'!E$118)</f>
        <v>354451.34986656316</v>
      </c>
      <c r="H81" s="278">
        <f>G81*(1+'Rhaniad y Ddeiliadaeth (De-ddn)'!F$118)</f>
        <v>373740.90114664217</v>
      </c>
      <c r="I81" s="279">
        <f>H81*(1+'Rhaniad y Ddeiliadaeth (De-ddn)'!G$118)</f>
        <v>389506.68581858376</v>
      </c>
      <c r="M81" s="36" t="str">
        <f t="shared" si="4"/>
        <v/>
      </c>
      <c r="N81" s="202"/>
      <c r="O81" s="13">
        <f t="shared" si="7"/>
        <v>1</v>
      </c>
      <c r="U81" s="1">
        <f t="shared" si="5"/>
        <v>87</v>
      </c>
      <c r="V81" s="4" t="str">
        <f t="shared" si="6"/>
        <v/>
      </c>
      <c r="W81" s="4" t="e">
        <f>IF($W$3=$N$3,N81,V81*(1+'Rhaniad y Ddeiliadaeth (Cymru)'!C$118))</f>
        <v>#VALUE!</v>
      </c>
      <c r="X81" s="4" t="e">
        <f>W81*(1+'Rhaniad y Ddeiliadaeth (Cymru)'!D$118)</f>
        <v>#VALUE!</v>
      </c>
      <c r="Y81" s="4" t="e">
        <f>X81*(1+'Rhaniad y Ddeiliadaeth (Cymru)'!E$118)</f>
        <v>#VALUE!</v>
      </c>
      <c r="Z81" s="4" t="e">
        <f>Y81*(1+'Rhaniad y Ddeiliadaeth (Cymru)'!F$118)</f>
        <v>#VALUE!</v>
      </c>
      <c r="AA81" s="4" t="e">
        <f>Z81*(1+'Rhaniad y Ddeiliadaeth (Cymru)'!G$118)</f>
        <v>#VALUE!</v>
      </c>
      <c r="AC81" s="260">
        <v>87</v>
      </c>
      <c r="AD81" s="4">
        <f>IF('Rhaniad y Ddeiliadaeth (Cymru)'!$D$18="Data Cofrestrfa Tir",'Prisiau Tai (De-ddwyrain)'!E81,'Prisiau Tai (De-ddwyrain)'!W81)</f>
        <v>312828</v>
      </c>
      <c r="AE81" s="4">
        <f>IF('Rhaniad y Ddeiliadaeth (Cymru)'!$D$18="Data Cofrestrfa Tir",'Prisiau Tai (De-ddwyrain)'!F81,'Prisiau Tai (De-ddwyrain)'!X81)</f>
        <v>331065.87239999999</v>
      </c>
      <c r="AF81" s="4">
        <f>IF('Rhaniad y Ddeiliadaeth (Cymru)'!$D$18="Data Cofrestrfa Tir",'Prisiau Tai (De-ddwyrain)'!G81,'Prisiau Tai (De-ddwyrain)'!Y81)</f>
        <v>354451.34986656316</v>
      </c>
      <c r="AG81" s="4">
        <f>IF('Rhaniad y Ddeiliadaeth (Cymru)'!$D$18="Data Cofrestrfa Tir",'Prisiau Tai (De-ddwyrain)'!H81,'Prisiau Tai (De-ddwyrain)'!Z81)</f>
        <v>373740.90114664217</v>
      </c>
      <c r="AH81" s="4">
        <f>IF('Rhaniad y Ddeiliadaeth (Cymru)'!$D$18="Data Cofrestrfa Tir",'Prisiau Tai (De-ddwyrain)'!I81,'Prisiau Tai (De-ddwyrain)'!AA81)</f>
        <v>389506.68581858376</v>
      </c>
    </row>
    <row r="82" spans="2:34" x14ac:dyDescent="0.35">
      <c r="B82" s="251">
        <v>88</v>
      </c>
      <c r="C82" s="258">
        <v>299995</v>
      </c>
      <c r="D82" s="258">
        <v>305000</v>
      </c>
      <c r="E82" s="278">
        <f>D82*(1+'Rhaniad y Ddeiliadaeth (De-ddn)'!C$118)</f>
        <v>319640</v>
      </c>
      <c r="F82" s="278">
        <f>E82*(1+'Rhaniad y Ddeiliadaeth (De-ddn)'!D$118)</f>
        <v>338275.01199999999</v>
      </c>
      <c r="G82" s="278">
        <f>F82*(1+'Rhaniad y Ddeiliadaeth (De-ddn)'!E$118)</f>
        <v>362169.72096918517</v>
      </c>
      <c r="H82" s="278">
        <f>G82*(1+'Rhaniad y Ddeiliadaeth (De-ddn)'!F$118)</f>
        <v>381879.31272939994</v>
      </c>
      <c r="I82" s="279">
        <f>H82*(1+'Rhaniad y Ddeiliadaeth (De-ddn)'!G$118)</f>
        <v>397988.40594528662</v>
      </c>
      <c r="M82" s="36" t="str">
        <f t="shared" si="4"/>
        <v/>
      </c>
      <c r="N82" s="202"/>
      <c r="O82" s="13">
        <f t="shared" si="7"/>
        <v>1</v>
      </c>
      <c r="U82" s="1">
        <f t="shared" si="5"/>
        <v>88</v>
      </c>
      <c r="V82" s="4" t="str">
        <f t="shared" si="6"/>
        <v/>
      </c>
      <c r="W82" s="4" t="e">
        <f>IF($W$3=$N$3,N82,V82*(1+'Rhaniad y Ddeiliadaeth (Cymru)'!C$118))</f>
        <v>#VALUE!</v>
      </c>
      <c r="X82" s="4" t="e">
        <f>W82*(1+'Rhaniad y Ddeiliadaeth (Cymru)'!D$118)</f>
        <v>#VALUE!</v>
      </c>
      <c r="Y82" s="4" t="e">
        <f>X82*(1+'Rhaniad y Ddeiliadaeth (Cymru)'!E$118)</f>
        <v>#VALUE!</v>
      </c>
      <c r="Z82" s="4" t="e">
        <f>Y82*(1+'Rhaniad y Ddeiliadaeth (Cymru)'!F$118)</f>
        <v>#VALUE!</v>
      </c>
      <c r="AA82" s="4" t="e">
        <f>Z82*(1+'Rhaniad y Ddeiliadaeth (Cymru)'!G$118)</f>
        <v>#VALUE!</v>
      </c>
      <c r="AC82" s="260">
        <v>88</v>
      </c>
      <c r="AD82" s="4">
        <f>IF('Rhaniad y Ddeiliadaeth (Cymru)'!$D$18="Data Cofrestrfa Tir",'Prisiau Tai (De-ddwyrain)'!E82,'Prisiau Tai (De-ddwyrain)'!W82)</f>
        <v>319640</v>
      </c>
      <c r="AE82" s="4">
        <f>IF('Rhaniad y Ddeiliadaeth (Cymru)'!$D$18="Data Cofrestrfa Tir",'Prisiau Tai (De-ddwyrain)'!F82,'Prisiau Tai (De-ddwyrain)'!X82)</f>
        <v>338275.01199999999</v>
      </c>
      <c r="AF82" s="4">
        <f>IF('Rhaniad y Ddeiliadaeth (Cymru)'!$D$18="Data Cofrestrfa Tir",'Prisiau Tai (De-ddwyrain)'!G82,'Prisiau Tai (De-ddwyrain)'!Y82)</f>
        <v>362169.72096918517</v>
      </c>
      <c r="AG82" s="4">
        <f>IF('Rhaniad y Ddeiliadaeth (Cymru)'!$D$18="Data Cofrestrfa Tir",'Prisiau Tai (De-ddwyrain)'!H82,'Prisiau Tai (De-ddwyrain)'!Z82)</f>
        <v>381879.31272939994</v>
      </c>
      <c r="AH82" s="4">
        <f>IF('Rhaniad y Ddeiliadaeth (Cymru)'!$D$18="Data Cofrestrfa Tir",'Prisiau Tai (De-ddwyrain)'!I82,'Prisiau Tai (De-ddwyrain)'!AA82)</f>
        <v>397988.40594528662</v>
      </c>
    </row>
    <row r="83" spans="2:34" x14ac:dyDescent="0.35">
      <c r="B83" s="251">
        <v>89</v>
      </c>
      <c r="C83" s="258">
        <v>310000</v>
      </c>
      <c r="D83" s="258">
        <v>315000</v>
      </c>
      <c r="E83" s="278">
        <f>D83*(1+'Rhaniad y Ddeiliadaeth (De-ddn)'!C$118)</f>
        <v>330120</v>
      </c>
      <c r="F83" s="278">
        <f>E83*(1+'Rhaniad y Ddeiliadaeth (De-ddn)'!D$118)</f>
        <v>349365.99599999998</v>
      </c>
      <c r="G83" s="278">
        <f>F83*(1+'Rhaniad y Ddeiliadaeth (De-ddn)'!E$118)</f>
        <v>374044.13805014204</v>
      </c>
      <c r="H83" s="278">
        <f>G83*(1+'Rhaniad y Ddeiliadaeth (De-ddn)'!F$118)</f>
        <v>394399.94593364251</v>
      </c>
      <c r="I83" s="279">
        <f>H83*(1+'Rhaniad y Ddeiliadaeth (De-ddn)'!G$118)</f>
        <v>411037.206140214</v>
      </c>
      <c r="M83" s="36" t="str">
        <f t="shared" si="4"/>
        <v/>
      </c>
      <c r="N83" s="202"/>
      <c r="O83" s="13">
        <f t="shared" si="7"/>
        <v>1</v>
      </c>
      <c r="U83" s="1">
        <f t="shared" si="5"/>
        <v>89</v>
      </c>
      <c r="V83" s="4" t="str">
        <f t="shared" si="6"/>
        <v/>
      </c>
      <c r="W83" s="4" t="e">
        <f>IF($W$3=$N$3,N83,V83*(1+'Rhaniad y Ddeiliadaeth (Cymru)'!C$118))</f>
        <v>#VALUE!</v>
      </c>
      <c r="X83" s="4" t="e">
        <f>W83*(1+'Rhaniad y Ddeiliadaeth (Cymru)'!D$118)</f>
        <v>#VALUE!</v>
      </c>
      <c r="Y83" s="4" t="e">
        <f>X83*(1+'Rhaniad y Ddeiliadaeth (Cymru)'!E$118)</f>
        <v>#VALUE!</v>
      </c>
      <c r="Z83" s="4" t="e">
        <f>Y83*(1+'Rhaniad y Ddeiliadaeth (Cymru)'!F$118)</f>
        <v>#VALUE!</v>
      </c>
      <c r="AA83" s="4" t="e">
        <f>Z83*(1+'Rhaniad y Ddeiliadaeth (Cymru)'!G$118)</f>
        <v>#VALUE!</v>
      </c>
      <c r="AC83" s="260">
        <v>89</v>
      </c>
      <c r="AD83" s="4">
        <f>IF('Rhaniad y Ddeiliadaeth (Cymru)'!$D$18="Data Cofrestrfa Tir",'Prisiau Tai (De-ddwyrain)'!E83,'Prisiau Tai (De-ddwyrain)'!W83)</f>
        <v>330120</v>
      </c>
      <c r="AE83" s="4">
        <f>IF('Rhaniad y Ddeiliadaeth (Cymru)'!$D$18="Data Cofrestrfa Tir",'Prisiau Tai (De-ddwyrain)'!F83,'Prisiau Tai (De-ddwyrain)'!X83)</f>
        <v>349365.99599999998</v>
      </c>
      <c r="AF83" s="4">
        <f>IF('Rhaniad y Ddeiliadaeth (Cymru)'!$D$18="Data Cofrestrfa Tir",'Prisiau Tai (De-ddwyrain)'!G83,'Prisiau Tai (De-ddwyrain)'!Y83)</f>
        <v>374044.13805014204</v>
      </c>
      <c r="AG83" s="4">
        <f>IF('Rhaniad y Ddeiliadaeth (Cymru)'!$D$18="Data Cofrestrfa Tir",'Prisiau Tai (De-ddwyrain)'!H83,'Prisiau Tai (De-ddwyrain)'!Z83)</f>
        <v>394399.94593364251</v>
      </c>
      <c r="AH83" s="4">
        <f>IF('Rhaniad y Ddeiliadaeth (Cymru)'!$D$18="Data Cofrestrfa Tir",'Prisiau Tai (De-ddwyrain)'!I83,'Prisiau Tai (De-ddwyrain)'!AA83)</f>
        <v>411037.206140214</v>
      </c>
    </row>
    <row r="84" spans="2:34" x14ac:dyDescent="0.35">
      <c r="B84" s="253">
        <v>90</v>
      </c>
      <c r="C84" s="259">
        <v>320000</v>
      </c>
      <c r="D84" s="259">
        <v>325000</v>
      </c>
      <c r="E84" s="286">
        <f>D84*(1+'Rhaniad y Ddeiliadaeth (De-ddn)'!C$118)</f>
        <v>340600</v>
      </c>
      <c r="F84" s="286">
        <f>E84*(1+'Rhaniad y Ddeiliadaeth (De-ddn)'!D$118)</f>
        <v>360456.98</v>
      </c>
      <c r="G84" s="286">
        <f>F84*(1+'Rhaniad y Ddeiliadaeth (De-ddn)'!E$118)</f>
        <v>385918.55513109895</v>
      </c>
      <c r="H84" s="286">
        <f>G84*(1+'Rhaniad y Ddeiliadaeth (De-ddn)'!F$118)</f>
        <v>406920.57913788513</v>
      </c>
      <c r="I84" s="287">
        <f>H84*(1+'Rhaniad y Ddeiliadaeth (De-ddn)'!G$118)</f>
        <v>424086.00633514143</v>
      </c>
      <c r="M84" s="37" t="str">
        <f t="shared" si="4"/>
        <v/>
      </c>
      <c r="N84" s="203"/>
      <c r="O84" s="13">
        <f t="shared" si="7"/>
        <v>1</v>
      </c>
      <c r="U84" s="1">
        <f t="shared" si="5"/>
        <v>90</v>
      </c>
      <c r="V84" s="4" t="str">
        <f t="shared" si="6"/>
        <v/>
      </c>
      <c r="W84" s="4" t="e">
        <f>IF($W$3=$N$3,N84,V84*(1+'Rhaniad y Ddeiliadaeth (Cymru)'!C$118))</f>
        <v>#VALUE!</v>
      </c>
      <c r="X84" s="4" t="e">
        <f>W84*(1+'Rhaniad y Ddeiliadaeth (Cymru)'!D$118)</f>
        <v>#VALUE!</v>
      </c>
      <c r="Y84" s="4" t="e">
        <f>X84*(1+'Rhaniad y Ddeiliadaeth (Cymru)'!E$118)</f>
        <v>#VALUE!</v>
      </c>
      <c r="Z84" s="4" t="e">
        <f>Y84*(1+'Rhaniad y Ddeiliadaeth (Cymru)'!F$118)</f>
        <v>#VALUE!</v>
      </c>
      <c r="AA84" s="4" t="e">
        <f>Z84*(1+'Rhaniad y Ddeiliadaeth (Cymru)'!G$118)</f>
        <v>#VALUE!</v>
      </c>
      <c r="AC84" s="260">
        <v>90</v>
      </c>
      <c r="AD84" s="4">
        <f>IF('Rhaniad y Ddeiliadaeth (Cymru)'!$D$18="Data Cofrestrfa Tir",'Prisiau Tai (De-ddwyrain)'!E84,'Prisiau Tai (De-ddwyrain)'!W84)</f>
        <v>340600</v>
      </c>
      <c r="AE84" s="4">
        <f>IF('Rhaniad y Ddeiliadaeth (Cymru)'!$D$18="Data Cofrestrfa Tir",'Prisiau Tai (De-ddwyrain)'!F84,'Prisiau Tai (De-ddwyrain)'!X84)</f>
        <v>360456.98</v>
      </c>
      <c r="AF84" s="4">
        <f>IF('Rhaniad y Ddeiliadaeth (Cymru)'!$D$18="Data Cofrestrfa Tir",'Prisiau Tai (De-ddwyrain)'!G84,'Prisiau Tai (De-ddwyrain)'!Y84)</f>
        <v>385918.55513109895</v>
      </c>
      <c r="AG84" s="4">
        <f>IF('Rhaniad y Ddeiliadaeth (Cymru)'!$D$18="Data Cofrestrfa Tir",'Prisiau Tai (De-ddwyrain)'!H84,'Prisiau Tai (De-ddwyrain)'!Z84)</f>
        <v>406920.57913788513</v>
      </c>
      <c r="AH84" s="4">
        <f>IF('Rhaniad y Ddeiliadaeth (Cymru)'!$D$18="Data Cofrestrfa Tir",'Prisiau Tai (De-ddwyrain)'!I84,'Prisiau Tai (De-ddwyrain)'!AA84)</f>
        <v>424086.00633514143</v>
      </c>
    </row>
    <row r="85" spans="2:34" x14ac:dyDescent="0.35">
      <c r="O85" s="13">
        <f>IF(SUM(O4:O84)&gt;0,1,0)</f>
        <v>1</v>
      </c>
    </row>
  </sheetData>
  <mergeCells count="3">
    <mergeCell ref="B2:I2"/>
    <mergeCell ref="K2:N2"/>
    <mergeCell ref="K9:K10"/>
  </mergeCells>
  <dataValidations count="2">
    <dataValidation type="list" allowBlank="1" showInputMessage="1" showErrorMessage="1" sqref="L4">
      <formula1>"2017,2018"</formula1>
    </dataValidation>
    <dataValidation type="decimal" operator="greaterThan" allowBlank="1" showInputMessage="1" showErrorMessage="1" sqref="N4:N84">
      <formula1>0</formula1>
    </dataValidation>
  </dataValidations>
  <pageMargins left="0.7" right="0.7" top="0.75" bottom="0.75" header="0.3" footer="0.3"/>
  <pageSetup paperSize="9"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9:A26"/>
  <sheetViews>
    <sheetView showGridLines="0" zoomScale="60" zoomScaleNormal="60" workbookViewId="0"/>
  </sheetViews>
  <sheetFormatPr defaultRowHeight="14.5" x14ac:dyDescent="0.35"/>
  <sheetData>
    <row r="9" ht="24.5" customHeight="1" x14ac:dyDescent="0.35"/>
    <row r="25" ht="29.5" customHeight="1" x14ac:dyDescent="0.35"/>
    <row r="26" ht="33" customHeight="1" x14ac:dyDescent="0.35"/>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L37"/>
  <sheetViews>
    <sheetView showGridLines="0" topLeftCell="E1" zoomScale="60" zoomScaleNormal="60" workbookViewId="0">
      <selection activeCell="G25" sqref="G25"/>
    </sheetView>
  </sheetViews>
  <sheetFormatPr defaultRowHeight="14.5" x14ac:dyDescent="0.35"/>
  <cols>
    <col min="1" max="1" width="2" customWidth="1"/>
    <col min="2" max="2" width="32.81640625" customWidth="1"/>
    <col min="3" max="3" width="32.81640625" style="1" customWidth="1"/>
    <col min="4" max="4" width="41.54296875" customWidth="1"/>
    <col min="5" max="5" width="74.1796875" customWidth="1"/>
    <col min="6" max="6" width="62.26953125" customWidth="1"/>
    <col min="7" max="7" width="58.54296875" style="210" customWidth="1"/>
    <col min="8" max="8" width="46" style="213" customWidth="1"/>
    <col min="10" max="10" width="8.7265625" customWidth="1"/>
  </cols>
  <sheetData>
    <row r="1" spans="2:12" s="1" customFormat="1" ht="23" x14ac:dyDescent="0.5">
      <c r="B1" s="143" t="s">
        <v>42</v>
      </c>
      <c r="C1" s="143"/>
      <c r="G1" s="210"/>
      <c r="H1" s="213"/>
    </row>
    <row r="2" spans="2:12" s="1" customFormat="1" x14ac:dyDescent="0.35">
      <c r="B2" s="458" t="s">
        <v>43</v>
      </c>
      <c r="C2" s="459"/>
      <c r="D2" s="460"/>
      <c r="G2" s="210"/>
      <c r="H2" s="213"/>
    </row>
    <row r="3" spans="2:12" x14ac:dyDescent="0.35">
      <c r="B3" s="461"/>
      <c r="C3" s="462"/>
      <c r="D3" s="463"/>
    </row>
    <row r="6" spans="2:12" ht="18.5" x14ac:dyDescent="0.45">
      <c r="B6" s="3"/>
      <c r="C6" s="161" t="s">
        <v>45</v>
      </c>
      <c r="D6" s="161" t="s">
        <v>44</v>
      </c>
      <c r="E6" s="162" t="s">
        <v>46</v>
      </c>
      <c r="F6" s="162" t="s">
        <v>47</v>
      </c>
      <c r="G6" s="219" t="s">
        <v>48</v>
      </c>
      <c r="H6" s="211" t="s">
        <v>49</v>
      </c>
    </row>
    <row r="7" spans="2:12" s="149" customFormat="1" ht="18.75" customHeight="1" x14ac:dyDescent="0.35">
      <c r="B7" s="479" t="s">
        <v>69</v>
      </c>
      <c r="C7" s="307"/>
      <c r="D7" s="464" t="s">
        <v>50</v>
      </c>
      <c r="E7" s="465"/>
      <c r="F7" s="465"/>
      <c r="G7" s="465"/>
      <c r="H7" s="466"/>
    </row>
    <row r="8" spans="2:12" s="149" customFormat="1" ht="196.5" customHeight="1" x14ac:dyDescent="0.35">
      <c r="B8" s="480"/>
      <c r="C8" s="308" t="str">
        <f>D8</f>
        <v>Amcanestyniadau o Aelwydydd</v>
      </c>
      <c r="D8" s="150" t="s">
        <v>51</v>
      </c>
      <c r="E8" s="151" t="s">
        <v>384</v>
      </c>
      <c r="F8" s="151" t="s">
        <v>382</v>
      </c>
      <c r="G8" s="416" t="s">
        <v>62</v>
      </c>
      <c r="H8" s="220" t="s">
        <v>63</v>
      </c>
    </row>
    <row r="9" spans="2:12" s="149" customFormat="1" ht="135" customHeight="1" x14ac:dyDescent="0.35">
      <c r="B9" s="480"/>
      <c r="C9" s="308" t="str">
        <f>D9</f>
        <v>Yr Angen Presennol nas Diwallwyd</v>
      </c>
      <c r="D9" s="152" t="s">
        <v>52</v>
      </c>
      <c r="E9" s="153" t="s">
        <v>383</v>
      </c>
      <c r="F9" s="153" t="s">
        <v>339</v>
      </c>
      <c r="G9" s="154" t="s">
        <v>68</v>
      </c>
      <c r="H9" s="221" t="s">
        <v>64</v>
      </c>
    </row>
    <row r="10" spans="2:12" s="149" customFormat="1" ht="184" customHeight="1" x14ac:dyDescent="0.35">
      <c r="B10" s="480"/>
      <c r="C10" s="308" t="str">
        <f>D10</f>
        <v>Incwm yr Aelwyd</v>
      </c>
      <c r="D10" s="152" t="s">
        <v>53</v>
      </c>
      <c r="E10" s="153" t="s">
        <v>65</v>
      </c>
      <c r="F10" s="153" t="s">
        <v>340</v>
      </c>
      <c r="G10" s="154"/>
      <c r="H10" s="221"/>
    </row>
    <row r="11" spans="2:12" s="149" customFormat="1" ht="95.5" customHeight="1" x14ac:dyDescent="0.35">
      <c r="B11" s="480"/>
      <c r="C11" s="308" t="s">
        <v>55</v>
      </c>
      <c r="D11" s="155" t="s">
        <v>54</v>
      </c>
      <c r="E11" s="156" t="s">
        <v>341</v>
      </c>
      <c r="F11" s="156" t="s">
        <v>388</v>
      </c>
      <c r="G11" s="362" t="s">
        <v>67</v>
      </c>
      <c r="H11" s="222" t="s">
        <v>66</v>
      </c>
      <c r="I11" s="393"/>
      <c r="J11" s="393"/>
      <c r="K11" s="393"/>
      <c r="L11" s="393"/>
    </row>
    <row r="12" spans="2:12" s="149" customFormat="1" ht="18.5" x14ac:dyDescent="0.35">
      <c r="B12" s="481"/>
      <c r="C12" s="310"/>
      <c r="D12" s="464" t="s">
        <v>74</v>
      </c>
      <c r="E12" s="465"/>
      <c r="F12" s="465"/>
      <c r="G12" s="465"/>
      <c r="H12" s="466"/>
    </row>
    <row r="13" spans="2:12" s="149" customFormat="1" ht="136.5" customHeight="1" x14ac:dyDescent="0.35">
      <c r="B13" s="480"/>
      <c r="C13" s="472" t="s">
        <v>75</v>
      </c>
      <c r="D13" s="223" t="s">
        <v>70</v>
      </c>
      <c r="E13" s="151" t="s">
        <v>72</v>
      </c>
      <c r="F13" s="224" t="s">
        <v>77</v>
      </c>
      <c r="G13" s="224"/>
      <c r="H13" s="220"/>
    </row>
    <row r="14" spans="2:12" s="149" customFormat="1" ht="58" x14ac:dyDescent="0.35">
      <c r="B14" s="480"/>
      <c r="C14" s="471"/>
      <c r="D14" s="155" t="s">
        <v>71</v>
      </c>
      <c r="E14" s="156" t="s">
        <v>73</v>
      </c>
      <c r="F14" s="157" t="s">
        <v>78</v>
      </c>
      <c r="G14" s="362"/>
      <c r="H14" s="225"/>
    </row>
    <row r="15" spans="2:12" s="149" customFormat="1" ht="18.5" x14ac:dyDescent="0.35">
      <c r="B15" s="481"/>
      <c r="C15" s="310"/>
      <c r="D15" s="464" t="s">
        <v>76</v>
      </c>
      <c r="E15" s="465"/>
      <c r="F15" s="465"/>
      <c r="G15" s="465"/>
      <c r="H15" s="466"/>
    </row>
    <row r="16" spans="2:12" s="149" customFormat="1" ht="75.75" customHeight="1" x14ac:dyDescent="0.35">
      <c r="B16" s="480"/>
      <c r="C16" s="470" t="s">
        <v>79</v>
      </c>
      <c r="D16" s="223" t="s">
        <v>80</v>
      </c>
      <c r="E16" s="226" t="s">
        <v>81</v>
      </c>
      <c r="F16" s="227" t="s">
        <v>82</v>
      </c>
      <c r="G16" s="228" t="s">
        <v>333</v>
      </c>
      <c r="H16" s="220" t="s">
        <v>385</v>
      </c>
    </row>
    <row r="17" spans="2:8" s="149" customFormat="1" ht="74.25" customHeight="1" x14ac:dyDescent="0.35">
      <c r="B17" s="480"/>
      <c r="C17" s="470"/>
      <c r="D17" s="152" t="s">
        <v>86</v>
      </c>
      <c r="E17" s="158" t="s">
        <v>83</v>
      </c>
      <c r="F17" s="153" t="s">
        <v>342</v>
      </c>
      <c r="G17" s="357"/>
      <c r="H17" s="221"/>
    </row>
    <row r="18" spans="2:8" s="149" customFormat="1" ht="106" customHeight="1" x14ac:dyDescent="0.35">
      <c r="B18" s="480"/>
      <c r="C18" s="471"/>
      <c r="D18" s="155" t="s">
        <v>85</v>
      </c>
      <c r="E18" s="376" t="s">
        <v>273</v>
      </c>
      <c r="F18" s="157" t="s">
        <v>343</v>
      </c>
      <c r="G18" s="357" t="s">
        <v>334</v>
      </c>
      <c r="H18" s="225" t="s">
        <v>385</v>
      </c>
    </row>
    <row r="19" spans="2:8" s="149" customFormat="1" ht="18.5" customHeight="1" x14ac:dyDescent="0.35">
      <c r="B19" s="358"/>
      <c r="C19" s="309"/>
      <c r="D19" s="467" t="s">
        <v>87</v>
      </c>
      <c r="E19" s="468"/>
      <c r="F19" s="468"/>
      <c r="G19" s="468"/>
      <c r="H19" s="469"/>
    </row>
    <row r="20" spans="2:8" s="149" customFormat="1" ht="29" x14ac:dyDescent="0.35">
      <c r="B20" s="477" t="s">
        <v>84</v>
      </c>
      <c r="C20" s="359"/>
      <c r="D20" s="229" t="s">
        <v>88</v>
      </c>
      <c r="E20" s="230" t="s">
        <v>344</v>
      </c>
      <c r="F20" s="230" t="s">
        <v>89</v>
      </c>
      <c r="G20" s="363" t="s">
        <v>9</v>
      </c>
      <c r="H20" s="231" t="s">
        <v>90</v>
      </c>
    </row>
    <row r="21" spans="2:8" s="149" customFormat="1" ht="18.5" x14ac:dyDescent="0.35">
      <c r="B21" s="477"/>
      <c r="C21" s="360"/>
      <c r="D21" s="467" t="s">
        <v>91</v>
      </c>
      <c r="E21" s="468"/>
      <c r="F21" s="468"/>
      <c r="G21" s="468"/>
      <c r="H21" s="468"/>
    </row>
    <row r="22" spans="2:8" s="149" customFormat="1" ht="43.5" x14ac:dyDescent="0.35">
      <c r="B22" s="477"/>
      <c r="C22" s="482" t="s">
        <v>75</v>
      </c>
      <c r="D22" s="382" t="s">
        <v>92</v>
      </c>
      <c r="E22" s="159" t="s">
        <v>345</v>
      </c>
      <c r="F22" s="159" t="s">
        <v>99</v>
      </c>
      <c r="G22" s="364" t="s">
        <v>10</v>
      </c>
      <c r="H22" s="355"/>
    </row>
    <row r="23" spans="2:8" s="149" customFormat="1" ht="85.5" customHeight="1" x14ac:dyDescent="0.35">
      <c r="B23" s="477"/>
      <c r="C23" s="483"/>
      <c r="D23" s="160" t="s">
        <v>346</v>
      </c>
      <c r="E23" s="160" t="s">
        <v>96</v>
      </c>
      <c r="F23" s="160" t="s">
        <v>100</v>
      </c>
      <c r="G23" s="160"/>
      <c r="H23" s="356"/>
    </row>
    <row r="24" spans="2:8" s="149" customFormat="1" ht="56.25" customHeight="1" x14ac:dyDescent="0.35">
      <c r="B24" s="477"/>
      <c r="C24" s="483"/>
      <c r="D24" s="160" t="s">
        <v>94</v>
      </c>
      <c r="E24" s="160" t="s">
        <v>97</v>
      </c>
      <c r="F24" s="160" t="s">
        <v>101</v>
      </c>
      <c r="G24" s="160"/>
      <c r="H24" s="356" t="s">
        <v>102</v>
      </c>
    </row>
    <row r="25" spans="2:8" s="149" customFormat="1" ht="125.25" customHeight="1" x14ac:dyDescent="0.35">
      <c r="B25" s="477"/>
      <c r="C25" s="484"/>
      <c r="D25" s="160" t="s">
        <v>95</v>
      </c>
      <c r="E25" s="160" t="s">
        <v>98</v>
      </c>
      <c r="F25" s="160" t="s">
        <v>347</v>
      </c>
      <c r="G25" s="160"/>
      <c r="H25" s="356"/>
    </row>
    <row r="26" spans="2:8" s="149" customFormat="1" ht="18.5" x14ac:dyDescent="0.35">
      <c r="B26" s="477"/>
      <c r="C26" s="359"/>
      <c r="D26" s="485" t="s">
        <v>107</v>
      </c>
      <c r="E26" s="486"/>
      <c r="F26" s="486"/>
      <c r="G26" s="486"/>
      <c r="H26" s="487"/>
    </row>
    <row r="27" spans="2:8" s="149" customFormat="1" ht="44.5" customHeight="1" x14ac:dyDescent="0.35">
      <c r="B27" s="477"/>
      <c r="C27" s="488" t="s">
        <v>79</v>
      </c>
      <c r="D27" s="475" t="s">
        <v>104</v>
      </c>
      <c r="E27" s="475" t="s">
        <v>103</v>
      </c>
      <c r="F27" s="473" t="s">
        <v>105</v>
      </c>
      <c r="G27" s="159" t="s">
        <v>106</v>
      </c>
      <c r="H27" s="490" t="s">
        <v>385</v>
      </c>
    </row>
    <row r="28" spans="2:8" ht="33.5" customHeight="1" x14ac:dyDescent="0.35">
      <c r="B28" s="478"/>
      <c r="C28" s="489"/>
      <c r="D28" s="476"/>
      <c r="E28" s="476"/>
      <c r="F28" s="474"/>
      <c r="G28" s="373" t="s">
        <v>272</v>
      </c>
      <c r="H28" s="491"/>
    </row>
    <row r="29" spans="2:8" x14ac:dyDescent="0.35">
      <c r="F29" s="246"/>
      <c r="G29" s="374"/>
    </row>
    <row r="30" spans="2:8" x14ac:dyDescent="0.35">
      <c r="F30" s="375"/>
      <c r="G30" s="374"/>
    </row>
    <row r="32" spans="2:8" x14ac:dyDescent="0.35">
      <c r="B32" s="1"/>
    </row>
    <row r="37" spans="2:2" x14ac:dyDescent="0.35">
      <c r="B37" s="1"/>
    </row>
  </sheetData>
  <mergeCells count="17">
    <mergeCell ref="F27:F28"/>
    <mergeCell ref="E27:E28"/>
    <mergeCell ref="D27:D28"/>
    <mergeCell ref="B20:B28"/>
    <mergeCell ref="B7:B18"/>
    <mergeCell ref="D21:H21"/>
    <mergeCell ref="C22:C25"/>
    <mergeCell ref="D26:H26"/>
    <mergeCell ref="C27:C28"/>
    <mergeCell ref="H27:H28"/>
    <mergeCell ref="B2:D3"/>
    <mergeCell ref="D7:H7"/>
    <mergeCell ref="D12:H12"/>
    <mergeCell ref="D15:H15"/>
    <mergeCell ref="D19:H19"/>
    <mergeCell ref="C16:C18"/>
    <mergeCell ref="C13:C14"/>
  </mergeCells>
  <hyperlinks>
    <hyperlink ref="G28" r:id="rId1" display="https://eur01.safelinks.protection.outlook.com/?url=https%3A%2F%2Fobr.uk%2Fdocs%2FDevolvedTaxesMarch2020v2.pdf&amp;data=02%7C01%7CRhiannon.Jones086%40gov.wales%7C39c339b27577490aac2b08d7c752acb6%7Ca2cc36c592804ae78887d06dab89216b%7C0%7C0%7C637197030200413378&amp;sdata=RaIVL1eHqJi6VZudBFnFg3cvxNBrAv0SS5Rq%2FpdoHLk%3D&amp;reserved=0"/>
    <hyperlink ref="G16" r:id="rId2" display="https://obr.uk/download/march-2020-economic-and-fiscal-outlook-supplementary-economy-tables/"/>
    <hyperlink ref="G18" r:id="rId3" display="https://obr.uk/download/march-2020-economic-and-fiscal-outlook-supplementary-economy-tables/"/>
    <hyperlink ref="G27" r:id="rId4" display="https://obr.uk/download/march-2020-economic-and-fiscal-outlook-supplementary-economy-tables/"/>
    <hyperlink ref="G8" r:id="rId5"/>
    <hyperlink ref="G11" r:id="rId6"/>
    <hyperlink ref="G20" r:id="rId7"/>
    <hyperlink ref="G22" r:id="rId8"/>
  </hyperlinks>
  <pageMargins left="0.7" right="0.7" top="0.75" bottom="0.75" header="0.3" footer="0.3"/>
  <pageSetup paperSize="9" orientation="portrait" horizontalDpi="300" verticalDpi="300" r:id="rId9"/>
  <drawing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sheetPr>
  <dimension ref="A1:X207"/>
  <sheetViews>
    <sheetView showGridLines="0" zoomScale="50" zoomScaleNormal="50" workbookViewId="0">
      <selection activeCell="C165" sqref="C165"/>
    </sheetView>
  </sheetViews>
  <sheetFormatPr defaultColWidth="9.1796875" defaultRowHeight="12.5" x14ac:dyDescent="0.25"/>
  <cols>
    <col min="1" max="1" width="4.54296875" style="47" customWidth="1"/>
    <col min="2" max="2" width="31.81640625" style="47" customWidth="1"/>
    <col min="3" max="3" width="44.81640625" style="47" customWidth="1"/>
    <col min="4" max="4" width="20.54296875" style="47" customWidth="1"/>
    <col min="5" max="5" width="18.453125" style="47" customWidth="1"/>
    <col min="6" max="6" width="15.54296875" style="47" customWidth="1"/>
    <col min="7" max="7" width="12.81640625" style="47" customWidth="1"/>
    <col min="8" max="14" width="13" style="47" customWidth="1"/>
    <col min="15" max="16384" width="9.1796875" style="47"/>
  </cols>
  <sheetData>
    <row r="1" spans="1:11" ht="26.25" customHeight="1" x14ac:dyDescent="0.25">
      <c r="B1" s="492" t="s">
        <v>108</v>
      </c>
      <c r="C1" s="492"/>
      <c r="D1" s="120" t="str">
        <f>'Cyfrifiadau - Cymru'!B1</f>
        <v>Cymru</v>
      </c>
      <c r="F1" s="58"/>
      <c r="G1" s="58"/>
    </row>
    <row r="2" spans="1:11" ht="27" customHeight="1" x14ac:dyDescent="0.25">
      <c r="B2" s="74" t="s">
        <v>113</v>
      </c>
      <c r="C2" s="75"/>
      <c r="D2" s="75"/>
      <c r="E2" s="377"/>
      <c r="F2" s="365"/>
      <c r="G2" s="49"/>
    </row>
    <row r="4" spans="1:11" ht="30.75" customHeight="1" x14ac:dyDescent="0.35">
      <c r="C4" s="63" t="s">
        <v>44</v>
      </c>
      <c r="D4" s="72" t="s">
        <v>109</v>
      </c>
      <c r="E4" s="71" t="s">
        <v>110</v>
      </c>
      <c r="F4" s="502" t="s">
        <v>111</v>
      </c>
      <c r="G4" s="502"/>
      <c r="H4" s="502"/>
      <c r="I4" s="503"/>
      <c r="K4" s="44" t="s">
        <v>271</v>
      </c>
    </row>
    <row r="5" spans="1:11" ht="24.75" customHeight="1" x14ac:dyDescent="0.25">
      <c r="B5" s="508" t="s">
        <v>348</v>
      </c>
      <c r="C5" s="96" t="s">
        <v>50</v>
      </c>
      <c r="D5" s="97"/>
      <c r="E5" s="98"/>
      <c r="F5" s="504"/>
      <c r="G5" s="504"/>
      <c r="H5" s="504"/>
      <c r="I5" s="505"/>
    </row>
    <row r="6" spans="1:11" ht="15" customHeight="1" x14ac:dyDescent="0.25">
      <c r="A6" s="76"/>
      <c r="B6" s="509"/>
      <c r="C6" s="99" t="s">
        <v>175</v>
      </c>
      <c r="D6" s="379" t="s">
        <v>350</v>
      </c>
      <c r="E6" s="100" t="str">
        <f>IF(OR(F6=$B$195,F6=$B$196),"Y","N")</f>
        <v>Y</v>
      </c>
      <c r="F6" s="506" t="str">
        <f>IF(D6="",$B$194,IF(D6="Amcanestyniadau Defnyddwyr",IF('Amcanestyniadau Aelwydydd'!J22&lt;6,$B$197&amp;B198,$B$196),$B$195))</f>
        <v>Data rhagosodedig a ddefnyddiwyd</v>
      </c>
      <c r="G6" s="506"/>
      <c r="H6" s="506"/>
      <c r="I6" s="496"/>
    </row>
    <row r="7" spans="1:11" ht="15" customHeight="1" x14ac:dyDescent="0.25">
      <c r="A7" s="76"/>
      <c r="B7" s="509"/>
      <c r="C7" s="99" t="s">
        <v>114</v>
      </c>
      <c r="D7" s="379" t="s">
        <v>166</v>
      </c>
      <c r="E7" s="100" t="str">
        <f>IF(OR(F7=$B$195,F7=$B$196),"Y","N")</f>
        <v>Y</v>
      </c>
      <c r="F7" s="496" t="str">
        <f>IF(D7="",$B$194,IF(D7="Arall",IF(ISBLANK('Angen Presennol Nas Diwallwyd'!C22),$B$197&amp;B199,$B$196),$B$195))</f>
        <v>Data rhagosodedig a ddefnyddiwyd</v>
      </c>
      <c r="G7" s="496"/>
      <c r="H7" s="496"/>
      <c r="I7" s="496"/>
    </row>
    <row r="8" spans="1:11" ht="15" customHeight="1" x14ac:dyDescent="0.25">
      <c r="A8" s="76"/>
      <c r="B8" s="509"/>
      <c r="C8" s="99" t="s">
        <v>53</v>
      </c>
      <c r="D8" s="379" t="s">
        <v>166</v>
      </c>
      <c r="E8" s="100" t="str">
        <f>IF(OR(F8=$B$195,F8=$B$196),"Y","N")</f>
        <v>Y</v>
      </c>
      <c r="F8" s="496" t="str">
        <f>IF(D8="",$B$194,IF(D8="Arall",IF('Incwm (Cymru)'!O85=1,$B$197&amp;B200,$B$196),$B$195))</f>
        <v>Data rhagosodedig a ddefnyddiwyd</v>
      </c>
      <c r="G8" s="496"/>
      <c r="H8" s="496"/>
      <c r="I8" s="496"/>
    </row>
    <row r="9" spans="1:11" ht="15" customHeight="1" x14ac:dyDescent="0.25">
      <c r="A9" s="76"/>
      <c r="B9" s="509"/>
      <c r="C9" s="99" t="s">
        <v>54</v>
      </c>
      <c r="D9" s="379" t="s">
        <v>55</v>
      </c>
      <c r="E9" s="100" t="str">
        <f>IF(OR(F9=$B$195,F9=$B$196),"Y","N")</f>
        <v>Y</v>
      </c>
      <c r="F9" s="506" t="str">
        <f>IF(D9="",$B$194,IF(D9="Arall",IF(OR(ISBLANK('Prisiau Rhenti'!C10),ISBLANK('Prisiau Rhenti'!D10)),$B$197&amp;B202,$B$196),$B$195))</f>
        <v>Data rhagosodedig a ddefnyddiwyd</v>
      </c>
      <c r="G9" s="506"/>
      <c r="H9" s="506"/>
      <c r="I9" s="496"/>
    </row>
    <row r="10" spans="1:11" ht="24.75" customHeight="1" x14ac:dyDescent="0.25">
      <c r="A10" s="76"/>
      <c r="B10" s="509"/>
      <c r="C10" s="96" t="s">
        <v>324</v>
      </c>
      <c r="D10" s="97"/>
      <c r="E10" s="101"/>
      <c r="F10" s="97"/>
      <c r="G10" s="102"/>
      <c r="H10" s="97"/>
      <c r="I10" s="103"/>
    </row>
    <row r="11" spans="1:11" ht="13.5" customHeight="1" x14ac:dyDescent="0.25">
      <c r="A11" s="76"/>
      <c r="B11" s="509"/>
      <c r="C11" s="104" t="s">
        <v>70</v>
      </c>
      <c r="D11" s="380" t="s">
        <v>159</v>
      </c>
      <c r="E11" s="100" t="str">
        <f>IF(OR(F11=$B$195,F11=$B$196),"Y","N")</f>
        <v>Y</v>
      </c>
      <c r="F11" s="496" t="str">
        <f>IF(D11="",$B$194,IF(D11="Arall",IF(ISBLANK('Rhagdybiaeth Blynyddol'!D9),$B$197&amp;B203,$B$196),$B$195))</f>
        <v>Data rhagosodedig a ddefnyddiwyd</v>
      </c>
      <c r="G11" s="496"/>
      <c r="H11" s="496"/>
      <c r="I11" s="496"/>
    </row>
    <row r="12" spans="1:11" ht="15" customHeight="1" x14ac:dyDescent="0.25">
      <c r="A12" s="76"/>
      <c r="B12" s="509"/>
      <c r="C12" s="104" t="s">
        <v>115</v>
      </c>
      <c r="D12" s="380" t="s">
        <v>159</v>
      </c>
      <c r="E12" s="100" t="str">
        <f>IF(OR(F12=$B$195,F12=$B$196),"Y","N")</f>
        <v>Y</v>
      </c>
      <c r="F12" s="506" t="str">
        <f>IF(D12="",$B$194,IF(D12="Arall",IF(ISBLANK('Angen Presennol Nas Diwallwyd'!C27),$B$197&amp;B199,$B$196),$B$195))</f>
        <v>Data rhagosodedig a ddefnyddiwyd</v>
      </c>
      <c r="G12" s="506"/>
      <c r="H12" s="506"/>
      <c r="I12" s="496"/>
    </row>
    <row r="13" spans="1:11" ht="24.75" customHeight="1" x14ac:dyDescent="0.25">
      <c r="A13" s="76"/>
      <c r="B13" s="509"/>
      <c r="C13" s="96" t="s">
        <v>118</v>
      </c>
      <c r="D13" s="97"/>
      <c r="E13" s="101"/>
      <c r="F13" s="97"/>
      <c r="G13" s="102"/>
      <c r="H13" s="97"/>
      <c r="I13" s="103"/>
    </row>
    <row r="14" spans="1:11" ht="29.25" customHeight="1" x14ac:dyDescent="0.25">
      <c r="A14" s="76"/>
      <c r="B14" s="509"/>
      <c r="C14" s="105" t="s">
        <v>80</v>
      </c>
      <c r="D14" s="380" t="s">
        <v>159</v>
      </c>
      <c r="E14" s="100" t="str">
        <f>IF(OR(F14=$B$195,F14=$B$196),"Y","N")</f>
        <v>Y</v>
      </c>
      <c r="F14" s="506" t="str">
        <f>IF(D14="",$B$194,IF(D14="Arall",IF('Rhagolygon y Dyfodol'!I11&lt;5,$B$197&amp;B204,$B$196),$B$195))</f>
        <v>Data rhagosodedig a ddefnyddiwyd</v>
      </c>
      <c r="G14" s="506"/>
      <c r="H14" s="506"/>
      <c r="I14" s="496"/>
    </row>
    <row r="15" spans="1:11" ht="29.25" customHeight="1" x14ac:dyDescent="0.25">
      <c r="A15" s="76"/>
      <c r="B15" s="509"/>
      <c r="C15" s="105" t="s">
        <v>116</v>
      </c>
      <c r="D15" s="379" t="s">
        <v>351</v>
      </c>
      <c r="E15" s="100" t="str">
        <f>IF(OR(F15=$B$195,F15=$B$196),"Y","N")</f>
        <v>Y</v>
      </c>
      <c r="F15" s="496" t="str">
        <f>IF(D15="",$B$194,IF(D15="Arall",IF('Rhagolygon y Dyfodol'!I16&lt;5,$B$197&amp;B204,$B$196),$B$195))</f>
        <v>Data rhagosodedig a ddefnyddiwyd</v>
      </c>
      <c r="G15" s="496"/>
      <c r="H15" s="496"/>
      <c r="I15" s="496"/>
    </row>
    <row r="16" spans="1:11" ht="17.25" customHeight="1" x14ac:dyDescent="0.25">
      <c r="A16" s="76"/>
      <c r="B16" s="510"/>
      <c r="C16" s="106" t="s">
        <v>117</v>
      </c>
      <c r="D16" s="381" t="s">
        <v>159</v>
      </c>
      <c r="E16" s="107" t="str">
        <f>IF(OR(F16=$B$195,F16=$B$196),"Y","N")</f>
        <v>Y</v>
      </c>
      <c r="F16" s="497" t="str">
        <f>IF(D16="",$B$194,IF(D16="Arall",IF('Rhagolygon y Dyfodol'!I22&lt;5,$B$197&amp;B204,$B$196),$B$195))</f>
        <v>Data rhagosodedig a ddefnyddiwyd</v>
      </c>
      <c r="G16" s="497"/>
      <c r="H16" s="497"/>
      <c r="I16" s="497"/>
    </row>
    <row r="17" spans="1:11" ht="24.75" customHeight="1" x14ac:dyDescent="0.25">
      <c r="A17" s="76"/>
      <c r="B17" s="511" t="s">
        <v>349</v>
      </c>
      <c r="C17" s="77" t="s">
        <v>87</v>
      </c>
      <c r="D17" s="78"/>
      <c r="E17" s="92"/>
      <c r="F17" s="514"/>
      <c r="G17" s="514"/>
      <c r="H17" s="514"/>
      <c r="I17" s="515"/>
    </row>
    <row r="18" spans="1:11" ht="31.5" customHeight="1" x14ac:dyDescent="0.25">
      <c r="A18" s="76"/>
      <c r="B18" s="512"/>
      <c r="C18" s="65" t="s">
        <v>88</v>
      </c>
      <c r="D18" s="380" t="s">
        <v>352</v>
      </c>
      <c r="E18" s="91" t="str">
        <f>IF(OR(F18=$B$195,F18=$B$196),"Y","N")</f>
        <v>Y</v>
      </c>
      <c r="F18" s="499" t="str">
        <f>IF(D18="",$B$194,IF(D18="Arall",IF('Prisiau Tai (Cymru)'!O85=1,$B$197&amp;B201,$B$196),$B$195))</f>
        <v>Data rhagosodedig a ddefnyddiwyd</v>
      </c>
      <c r="G18" s="499"/>
      <c r="H18" s="499"/>
      <c r="I18" s="499"/>
    </row>
    <row r="19" spans="1:11" ht="24.75" customHeight="1" x14ac:dyDescent="0.25">
      <c r="A19" s="76"/>
      <c r="B19" s="512"/>
      <c r="C19" s="64" t="s">
        <v>91</v>
      </c>
      <c r="D19" s="68"/>
      <c r="E19" s="93"/>
      <c r="F19" s="68"/>
      <c r="G19" s="69"/>
      <c r="H19" s="68"/>
      <c r="I19" s="70"/>
    </row>
    <row r="20" spans="1:11" ht="18.5" customHeight="1" x14ac:dyDescent="0.25">
      <c r="A20" s="76"/>
      <c r="B20" s="512"/>
      <c r="C20" s="66" t="s">
        <v>92</v>
      </c>
      <c r="D20" s="380" t="s">
        <v>159</v>
      </c>
      <c r="E20" s="91" t="str">
        <f>IF(OR(F20=$B$195,F20=$B$196),"Y","N")</f>
        <v>Y</v>
      </c>
      <c r="F20" s="516" t="str">
        <f>IF(D20="",$B$194,IF(D20="Arall",IF(ISBLANK('Rhagdybiaeth Blynyddol'!D12),$B$197&amp;B203,$B$196),$B$195))</f>
        <v>Data rhagosodedig a ddefnyddiwyd</v>
      </c>
      <c r="G20" s="516"/>
      <c r="H20" s="516"/>
      <c r="I20" s="517"/>
    </row>
    <row r="21" spans="1:11" ht="29.5" customHeight="1" x14ac:dyDescent="0.25">
      <c r="A21" s="76"/>
      <c r="B21" s="512"/>
      <c r="C21" s="90" t="s">
        <v>346</v>
      </c>
      <c r="D21" s="380">
        <v>40</v>
      </c>
      <c r="E21" s="91" t="str">
        <f>IF(OR(F21=$B$195,F21=$B$196),"Y","N")</f>
        <v>Y</v>
      </c>
      <c r="F21" s="498" t="str">
        <f>IF(D21="",$B$194,IF(D21="Other",IF(ISBLANK('Rhagdybiaeth Blynyddol'!D16),$B$197&amp;B203,$B$196),$B$195))</f>
        <v>Data rhagosodedig a ddefnyddiwyd</v>
      </c>
      <c r="G21" s="498"/>
      <c r="H21" s="498"/>
      <c r="I21" s="499"/>
    </row>
    <row r="22" spans="1:11" ht="45" customHeight="1" x14ac:dyDescent="0.25">
      <c r="A22" s="76"/>
      <c r="B22" s="512"/>
      <c r="C22" s="90" t="s">
        <v>94</v>
      </c>
      <c r="D22" s="379" t="s">
        <v>353</v>
      </c>
      <c r="E22" s="91" t="str">
        <f>IF(OR(F22=$B$195,F22=$B$196),"Y","N")</f>
        <v>N</v>
      </c>
      <c r="F22" s="498" t="str">
        <f>IF(ISBLANK('Rhagdybiaeth Blynyddol'!D18),'Rhaniad y Ddeiliadaeth (Cymru)'!B197&amp;'Rhaniad y Ddeiliadaeth (Cymru)'!B203,'Rhaniad y Ddeiliadaeth (Cymru)'!B196)</f>
        <v>Cofnodwch ddata defnyddwyr ar y daflen:'Rhagdybiaeth Blynyddol'</v>
      </c>
      <c r="G22" s="498"/>
      <c r="H22" s="498"/>
      <c r="I22" s="499"/>
    </row>
    <row r="23" spans="1:11" ht="15" customHeight="1" x14ac:dyDescent="0.25">
      <c r="A23" s="76"/>
      <c r="B23" s="512"/>
      <c r="C23" s="66" t="s">
        <v>95</v>
      </c>
      <c r="D23" s="380" t="s">
        <v>159</v>
      </c>
      <c r="E23" s="91" t="str">
        <f>IF(OR(F23=$B$195,F23=$B$196),"Y","N")</f>
        <v>Y</v>
      </c>
      <c r="F23" s="500" t="str">
        <f>IF(D23="",$B$194,IF(D23="Arall",IF(ISBLANK('Rhagdybiaeth Blynyddol'!D21),$B$197&amp;B203,$B$196),$B$195))</f>
        <v>Data rhagosodedig a ddefnyddiwyd</v>
      </c>
      <c r="G23" s="500"/>
      <c r="H23" s="500"/>
      <c r="I23" s="501"/>
    </row>
    <row r="24" spans="1:11" ht="33.5" customHeight="1" x14ac:dyDescent="0.25">
      <c r="A24" s="76"/>
      <c r="B24" s="512"/>
      <c r="C24" s="64" t="s">
        <v>107</v>
      </c>
      <c r="D24" s="68"/>
      <c r="E24" s="93"/>
      <c r="F24" s="68"/>
      <c r="G24" s="69"/>
      <c r="H24" s="68"/>
      <c r="I24" s="70"/>
    </row>
    <row r="25" spans="1:11" ht="30.5" customHeight="1" x14ac:dyDescent="0.25">
      <c r="A25" s="76"/>
      <c r="B25" s="513"/>
      <c r="C25" s="67" t="s">
        <v>119</v>
      </c>
      <c r="D25" s="381" t="s">
        <v>159</v>
      </c>
      <c r="E25" s="94" t="str">
        <f>IF(OR(F25=$B$195,F25=$B$196),"Y","N")</f>
        <v>Y</v>
      </c>
      <c r="F25" s="493" t="str">
        <f>IF(D25="",$B$194,IF(D25="Arall",IF('Rhagolygon y Dyfodol'!I28&lt;5,$B$197&amp;B204,$B$196),$B$195))</f>
        <v>Data rhagosodedig a ddefnyddiwyd</v>
      </c>
      <c r="G25" s="493"/>
      <c r="H25" s="493"/>
      <c r="I25" s="494"/>
    </row>
    <row r="26" spans="1:11" ht="15" customHeight="1" x14ac:dyDescent="0.25">
      <c r="A26" s="58"/>
      <c r="B26" s="58"/>
      <c r="C26" s="49"/>
      <c r="D26" s="50"/>
      <c r="E26" s="368"/>
      <c r="F26" s="51"/>
      <c r="G26" s="51"/>
      <c r="H26" s="51"/>
      <c r="I26" s="51"/>
      <c r="J26" s="58"/>
      <c r="K26" s="58"/>
    </row>
    <row r="27" spans="1:11" s="58" customFormat="1" ht="15" customHeight="1" x14ac:dyDescent="0.25">
      <c r="B27" s="52" t="str">
        <f>IF(C133=1,"","Sylwadau ar y rhagdybiaethau a ddewiswyd ar gyfer rhaniad o ddwy ddeiliadaeth: "&amp;D1)</f>
        <v>Sylwadau ar y rhagdybiaethau a ddewiswyd ar gyfer rhaniad o ddwy ddeiliadaeth: Cymru</v>
      </c>
      <c r="D27" s="50"/>
      <c r="E27" s="368"/>
      <c r="F27" s="51"/>
      <c r="G27" s="51"/>
      <c r="H27" s="51"/>
      <c r="I27" s="51"/>
    </row>
    <row r="28" spans="1:11" s="58" customFormat="1" ht="15" customHeight="1" x14ac:dyDescent="0.25">
      <c r="B28" s="495" t="str">
        <f>B188</f>
        <v>Mae'r ffigurau isod yn rhannu yr amcangyfrifon o'r angen am dai yn 2 deiliadaeth ac maent yn seiliedig ar y rhagdybiaethau canlynol. Mae amcangyfrifon sylfaenol yr unedau tai ychwanegol wedi'u seilio ar  amcanestyniadau aelwydydd gan Llywodraeth Cymru sy'n seiliedig ar 2018 (Prif Amcanestyniadau), ac amcangyfrif o 5732 aelwydydd o ran angen presennol nas diwallwyd  a fydd yn cymryd 5 mlynedd i'w diwallu.Mae data ar incwm yn seiliedig ar  Ddata Llywodraeth Cymru ac mae data ar renti preifat yn seiliedig ar  Ddata Llywodraeth Cymru. Mae'r newid blynyddol i incwm canolrifol yr aelwyd yn seiliedig ar amcangyfrifon wedi'u rhagosod, mae'r newid blynyddol i ddosbarthiad incwm yr aelwyd yn seiliedig ar amcangyfrifon wedi'u rhagosod ac mae'r newid blynyddol i brisiau rhenti yn seiliedig ar amcangyfrifon wedi'u rhagosod.</v>
      </c>
      <c r="C28" s="495"/>
      <c r="D28" s="495"/>
      <c r="E28" s="495"/>
      <c r="F28" s="495"/>
      <c r="G28" s="495"/>
      <c r="H28" s="495"/>
      <c r="I28" s="495"/>
      <c r="J28" s="495"/>
      <c r="K28" s="79"/>
    </row>
    <row r="29" spans="1:11" s="58" customFormat="1" ht="15" customHeight="1" x14ac:dyDescent="0.25">
      <c r="B29" s="495"/>
      <c r="C29" s="495"/>
      <c r="D29" s="495"/>
      <c r="E29" s="495"/>
      <c r="F29" s="495"/>
      <c r="G29" s="495"/>
      <c r="H29" s="495"/>
      <c r="I29" s="495"/>
      <c r="J29" s="495"/>
      <c r="K29" s="79"/>
    </row>
    <row r="30" spans="1:11" s="58" customFormat="1" ht="15" customHeight="1" x14ac:dyDescent="0.25">
      <c r="B30" s="495"/>
      <c r="C30" s="495"/>
      <c r="D30" s="495"/>
      <c r="E30" s="495"/>
      <c r="F30" s="495"/>
      <c r="G30" s="495"/>
      <c r="H30" s="495"/>
      <c r="I30" s="495"/>
      <c r="J30" s="495"/>
      <c r="K30" s="79"/>
    </row>
    <row r="31" spans="1:11" s="58" customFormat="1" ht="15" customHeight="1" x14ac:dyDescent="0.25">
      <c r="B31" s="495"/>
      <c r="C31" s="495"/>
      <c r="D31" s="495"/>
      <c r="E31" s="495"/>
      <c r="F31" s="495"/>
      <c r="G31" s="495"/>
      <c r="H31" s="495"/>
      <c r="I31" s="495"/>
      <c r="J31" s="495"/>
      <c r="K31" s="79"/>
    </row>
    <row r="32" spans="1:11" s="58" customFormat="1" ht="15" customHeight="1" x14ac:dyDescent="0.25">
      <c r="B32" s="495"/>
      <c r="C32" s="495"/>
      <c r="D32" s="495"/>
      <c r="E32" s="495"/>
      <c r="F32" s="495"/>
      <c r="G32" s="495"/>
      <c r="H32" s="495"/>
      <c r="I32" s="495"/>
      <c r="J32" s="495"/>
      <c r="K32" s="79"/>
    </row>
    <row r="33" spans="2:11" ht="15" customHeight="1" x14ac:dyDescent="0.25">
      <c r="B33" s="80"/>
      <c r="C33" s="45"/>
      <c r="D33" s="45"/>
      <c r="E33" s="45"/>
      <c r="F33" s="45"/>
      <c r="G33" s="45"/>
      <c r="H33" s="45"/>
      <c r="I33" s="45"/>
      <c r="J33" s="45"/>
      <c r="K33" s="79"/>
    </row>
    <row r="34" spans="2:11" ht="15" customHeight="1" x14ac:dyDescent="0.25">
      <c r="B34" s="80"/>
      <c r="C34" s="45"/>
      <c r="D34" s="45"/>
      <c r="E34" s="45"/>
      <c r="F34" s="45"/>
      <c r="G34" s="45"/>
      <c r="H34" s="45"/>
      <c r="I34" s="45"/>
      <c r="J34" s="45"/>
      <c r="K34" s="79"/>
    </row>
    <row r="35" spans="2:11" ht="15" customHeight="1" x14ac:dyDescent="0.25">
      <c r="B35" s="80"/>
      <c r="C35" s="45"/>
      <c r="D35" s="45"/>
      <c r="E35" s="45"/>
      <c r="F35" s="45"/>
      <c r="G35" s="45"/>
      <c r="H35" s="45"/>
      <c r="I35" s="45"/>
      <c r="J35" s="45"/>
      <c r="K35" s="79"/>
    </row>
    <row r="36" spans="2:11" ht="15" customHeight="1" x14ac:dyDescent="0.25">
      <c r="B36" s="80"/>
      <c r="C36" s="45"/>
      <c r="D36" s="45"/>
      <c r="E36" s="45"/>
      <c r="F36" s="45"/>
      <c r="G36" s="45"/>
      <c r="H36" s="45"/>
      <c r="I36" s="45"/>
      <c r="J36" s="45"/>
      <c r="K36" s="79"/>
    </row>
    <row r="37" spans="2:11" ht="15" customHeight="1" x14ac:dyDescent="0.25">
      <c r="B37" s="80"/>
      <c r="C37" s="45"/>
      <c r="D37" s="45"/>
      <c r="E37" s="45"/>
      <c r="F37" s="45"/>
      <c r="G37" s="45"/>
      <c r="H37" s="45"/>
      <c r="I37" s="45"/>
      <c r="J37" s="45"/>
      <c r="K37" s="79"/>
    </row>
    <row r="38" spans="2:11" ht="15" customHeight="1" x14ac:dyDescent="0.25">
      <c r="B38" s="45"/>
      <c r="C38" s="45"/>
      <c r="D38" s="45"/>
      <c r="E38" s="45"/>
      <c r="F38" s="45"/>
      <c r="G38" s="45"/>
      <c r="H38" s="45"/>
      <c r="I38" s="45"/>
      <c r="J38" s="45"/>
      <c r="K38" s="79"/>
    </row>
    <row r="39" spans="2:11" ht="15" customHeight="1" x14ac:dyDescent="0.25">
      <c r="B39" s="45"/>
      <c r="C39" s="45"/>
      <c r="D39" s="45"/>
      <c r="E39" s="45"/>
      <c r="F39" s="45"/>
      <c r="G39" s="45"/>
      <c r="H39" s="45"/>
      <c r="I39" s="45"/>
      <c r="J39" s="45"/>
      <c r="K39" s="79"/>
    </row>
    <row r="40" spans="2:11" ht="15" customHeight="1" x14ac:dyDescent="0.25">
      <c r="B40" s="45"/>
      <c r="C40" s="45"/>
      <c r="D40" s="45"/>
      <c r="E40" s="45"/>
      <c r="F40" s="45"/>
      <c r="G40" s="45"/>
      <c r="H40" s="45"/>
      <c r="I40" s="45"/>
      <c r="J40" s="45"/>
      <c r="K40" s="79"/>
    </row>
    <row r="41" spans="2:11" ht="15" customHeight="1" x14ac:dyDescent="0.25">
      <c r="B41" s="45"/>
      <c r="C41" s="45"/>
      <c r="D41" s="45"/>
      <c r="E41" s="45"/>
      <c r="F41" s="45"/>
      <c r="G41" s="45"/>
      <c r="H41" s="45"/>
      <c r="I41" s="45"/>
      <c r="J41" s="45"/>
      <c r="K41" s="79"/>
    </row>
    <row r="42" spans="2:11" ht="15" customHeight="1" x14ac:dyDescent="0.25">
      <c r="B42" s="45"/>
      <c r="C42" s="45"/>
      <c r="D42" s="45"/>
      <c r="E42" s="45"/>
      <c r="F42" s="45"/>
      <c r="G42" s="45"/>
      <c r="H42" s="45"/>
      <c r="I42" s="45"/>
      <c r="J42" s="45"/>
      <c r="K42" s="79"/>
    </row>
    <row r="43" spans="2:11" ht="15" customHeight="1" x14ac:dyDescent="0.25">
      <c r="B43" s="45"/>
      <c r="C43" s="45"/>
      <c r="D43" s="45"/>
      <c r="E43" s="45"/>
      <c r="F43" s="45"/>
      <c r="G43" s="45"/>
      <c r="H43" s="45"/>
      <c r="I43" s="45"/>
      <c r="J43" s="45"/>
      <c r="K43" s="79"/>
    </row>
    <row r="44" spans="2:11" ht="15" customHeight="1" x14ac:dyDescent="0.25">
      <c r="B44" s="45"/>
      <c r="C44" s="45"/>
      <c r="D44" s="45"/>
      <c r="E44" s="45"/>
      <c r="F44" s="45"/>
      <c r="G44" s="45"/>
      <c r="H44" s="45"/>
      <c r="I44" s="45"/>
      <c r="J44" s="45"/>
      <c r="K44" s="79"/>
    </row>
    <row r="45" spans="2:11" ht="15" customHeight="1" x14ac:dyDescent="0.25">
      <c r="B45" s="45"/>
      <c r="C45" s="45"/>
      <c r="D45" s="45"/>
      <c r="E45" s="45"/>
      <c r="F45" s="45"/>
      <c r="G45" s="45"/>
      <c r="H45" s="45"/>
      <c r="I45" s="45"/>
      <c r="J45" s="45"/>
      <c r="K45" s="79"/>
    </row>
    <row r="46" spans="2:11" ht="15" customHeight="1" x14ac:dyDescent="0.25">
      <c r="B46" s="45"/>
      <c r="C46" s="45"/>
      <c r="D46" s="45"/>
      <c r="E46" s="45"/>
      <c r="F46" s="45"/>
      <c r="G46" s="45"/>
      <c r="H46" s="45"/>
      <c r="I46" s="45"/>
      <c r="J46" s="45"/>
      <c r="K46" s="79"/>
    </row>
    <row r="47" spans="2:11" ht="15" customHeight="1" x14ac:dyDescent="0.25">
      <c r="B47" s="45"/>
      <c r="C47" s="45"/>
      <c r="D47" s="45"/>
      <c r="E47" s="45"/>
      <c r="F47" s="45"/>
      <c r="G47" s="45"/>
      <c r="H47" s="45"/>
      <c r="I47" s="45"/>
      <c r="J47" s="45"/>
      <c r="K47" s="79"/>
    </row>
    <row r="48" spans="2:11" ht="15" customHeight="1" x14ac:dyDescent="0.25">
      <c r="B48" s="45"/>
      <c r="C48" s="45"/>
      <c r="D48" s="45"/>
      <c r="E48" s="45"/>
      <c r="F48" s="45"/>
      <c r="G48" s="45"/>
      <c r="H48" s="45"/>
      <c r="I48" s="45"/>
      <c r="J48" s="45"/>
      <c r="K48" s="79"/>
    </row>
    <row r="49" spans="2:14" ht="15" customHeight="1" x14ac:dyDescent="0.25">
      <c r="B49" s="45"/>
      <c r="C49" s="45"/>
      <c r="D49" s="45"/>
      <c r="E49" s="45"/>
      <c r="F49" s="45"/>
      <c r="G49" s="45"/>
      <c r="H49" s="45"/>
      <c r="I49" s="45"/>
      <c r="J49" s="45"/>
      <c r="K49" s="79"/>
    </row>
    <row r="50" spans="2:14" ht="15" customHeight="1" x14ac:dyDescent="0.3">
      <c r="B50" s="45"/>
      <c r="C50" s="45"/>
      <c r="D50" s="45"/>
      <c r="E50" s="45"/>
      <c r="F50" s="45"/>
      <c r="G50" s="45"/>
      <c r="H50" s="45"/>
      <c r="I50" s="45"/>
      <c r="J50" s="45"/>
      <c r="K50" s="79"/>
      <c r="L50" s="387"/>
      <c r="M50" s="58"/>
      <c r="N50" s="58"/>
    </row>
    <row r="51" spans="2:14" ht="15" customHeight="1" x14ac:dyDescent="0.25">
      <c r="B51" s="45"/>
      <c r="C51" s="45"/>
      <c r="D51" s="45"/>
      <c r="E51" s="45"/>
      <c r="F51" s="45"/>
      <c r="G51" s="45"/>
      <c r="H51" s="45"/>
      <c r="I51" s="45"/>
      <c r="J51" s="45"/>
      <c r="K51" s="79"/>
      <c r="L51" s="58"/>
      <c r="M51" s="58"/>
      <c r="N51" s="58"/>
    </row>
    <row r="52" spans="2:14" ht="15" customHeight="1" x14ac:dyDescent="0.25">
      <c r="B52" s="451" t="s">
        <v>354</v>
      </c>
      <c r="C52" s="452"/>
      <c r="D52" s="452"/>
      <c r="E52" s="452"/>
      <c r="F52" s="452"/>
      <c r="G52" s="452"/>
      <c r="H52" s="452"/>
      <c r="I52" s="452"/>
      <c r="J52" s="453"/>
      <c r="K52" s="79"/>
      <c r="L52" s="58"/>
      <c r="M52" s="58"/>
      <c r="N52" s="58"/>
    </row>
    <row r="53" spans="2:14" ht="28.5" customHeight="1" x14ac:dyDescent="0.25">
      <c r="B53" s="454"/>
      <c r="C53" s="455"/>
      <c r="D53" s="455"/>
      <c r="E53" s="455"/>
      <c r="F53" s="455"/>
      <c r="G53" s="455"/>
      <c r="H53" s="455"/>
      <c r="I53" s="455"/>
      <c r="J53" s="456"/>
      <c r="K53" s="79"/>
      <c r="L53" s="58"/>
      <c r="M53" s="58"/>
      <c r="N53" s="58"/>
    </row>
    <row r="54" spans="2:14" ht="15" customHeight="1" x14ac:dyDescent="0.25">
      <c r="B54" s="204"/>
      <c r="C54" s="204"/>
      <c r="D54" s="204"/>
      <c r="E54" s="204"/>
      <c r="F54" s="204"/>
      <c r="G54" s="204"/>
      <c r="H54" s="204"/>
      <c r="I54" s="204"/>
      <c r="J54" s="204"/>
      <c r="K54" s="79"/>
      <c r="L54" s="58"/>
      <c r="M54" s="58"/>
      <c r="N54" s="58"/>
    </row>
    <row r="55" spans="2:14" ht="15" customHeight="1" x14ac:dyDescent="0.3">
      <c r="B55" s="56" t="s">
        <v>274</v>
      </c>
      <c r="C55" s="57"/>
      <c r="D55" s="57"/>
      <c r="E55" s="57"/>
      <c r="F55" s="57"/>
      <c r="G55" s="57"/>
      <c r="K55" s="79"/>
      <c r="L55" s="58"/>
      <c r="M55" s="58"/>
      <c r="N55" s="58"/>
    </row>
    <row r="56" spans="2:14" ht="15" customHeight="1" x14ac:dyDescent="0.3">
      <c r="B56" s="112" t="str">
        <f>B148</f>
        <v/>
      </c>
      <c r="C56" s="113" t="str">
        <f t="shared" ref="C56:G56" si="0">C148</f>
        <v>2019/20</v>
      </c>
      <c r="D56" s="113" t="str">
        <f t="shared" si="0"/>
        <v>2020/21</v>
      </c>
      <c r="E56" s="113" t="str">
        <f t="shared" si="0"/>
        <v>2021/22</v>
      </c>
      <c r="F56" s="113" t="str">
        <f t="shared" si="0"/>
        <v>2022/23</v>
      </c>
      <c r="G56" s="113" t="str">
        <f t="shared" si="0"/>
        <v>2023/24</v>
      </c>
      <c r="J56" s="58"/>
      <c r="K56" s="79"/>
      <c r="L56" s="58"/>
      <c r="M56" s="58"/>
      <c r="N56" s="58"/>
    </row>
    <row r="57" spans="2:14" ht="15" customHeight="1" x14ac:dyDescent="0.25">
      <c r="B57" s="112" t="str">
        <f t="shared" ref="B57:G57" si="1">B149</f>
        <v>Tai'r Farchnad</v>
      </c>
      <c r="C57" s="114">
        <f t="shared" si="1"/>
        <v>3687.6833514404298</v>
      </c>
      <c r="D57" s="114">
        <f t="shared" si="1"/>
        <v>3769.7515658569337</v>
      </c>
      <c r="E57" s="114">
        <f t="shared" si="1"/>
        <v>4069.735627441406</v>
      </c>
      <c r="F57" s="114">
        <f t="shared" si="1"/>
        <v>3909.5476731872559</v>
      </c>
      <c r="G57" s="114">
        <f t="shared" si="1"/>
        <v>3845.0894996261595</v>
      </c>
      <c r="I57" s="340"/>
      <c r="K57" s="79"/>
      <c r="L57" s="58"/>
      <c r="M57" s="58"/>
      <c r="N57" s="58"/>
    </row>
    <row r="58" spans="2:14" ht="15" customHeight="1" x14ac:dyDescent="0.25">
      <c r="B58" s="112" t="str">
        <f t="shared" ref="B58:G58" si="2">B150</f>
        <v>Tai fforddiadwy</v>
      </c>
      <c r="C58" s="114">
        <f>C150</f>
        <v>3406.5930218505855</v>
      </c>
      <c r="D58" s="114">
        <f>D150</f>
        <v>3456.8928952026363</v>
      </c>
      <c r="E58" s="114">
        <f t="shared" si="2"/>
        <v>3640.7540942382811</v>
      </c>
      <c r="F58" s="114">
        <f t="shared" si="2"/>
        <v>3542.5743803405758</v>
      </c>
      <c r="G58" s="114">
        <f t="shared" si="2"/>
        <v>3503.067757835388</v>
      </c>
      <c r="I58" s="108"/>
      <c r="J58" s="332"/>
      <c r="K58" s="79"/>
      <c r="L58" s="58"/>
      <c r="M58" s="58"/>
      <c r="N58" s="58"/>
    </row>
    <row r="59" spans="2:14" ht="15" customHeight="1" x14ac:dyDescent="0.25">
      <c r="K59" s="79"/>
      <c r="L59" s="58"/>
      <c r="M59" s="58"/>
      <c r="N59" s="58"/>
    </row>
    <row r="60" spans="2:14" ht="15" customHeight="1" x14ac:dyDescent="0.3">
      <c r="B60" s="46" t="s">
        <v>283</v>
      </c>
      <c r="K60" s="79"/>
      <c r="L60" s="58"/>
      <c r="M60" s="58"/>
      <c r="N60" s="58"/>
    </row>
    <row r="61" spans="2:14" ht="15" customHeight="1" x14ac:dyDescent="0.3">
      <c r="B61" s="82" t="str">
        <f>B151</f>
        <v/>
      </c>
      <c r="C61" s="115" t="str">
        <f t="shared" ref="C61:G61" si="3">C151</f>
        <v>2019/20</v>
      </c>
      <c r="D61" s="115" t="str">
        <f t="shared" si="3"/>
        <v>2020/21</v>
      </c>
      <c r="E61" s="115" t="str">
        <f t="shared" si="3"/>
        <v>2021/22</v>
      </c>
      <c r="F61" s="115" t="str">
        <f t="shared" si="3"/>
        <v>2022/23</v>
      </c>
      <c r="G61" s="115" t="str">
        <f t="shared" si="3"/>
        <v>2023/24</v>
      </c>
      <c r="I61" s="117" t="str">
        <f>I151</f>
        <v>Rhaniad 5 mlynedd</v>
      </c>
      <c r="J61" s="117"/>
      <c r="K61" s="79"/>
      <c r="L61" s="58"/>
      <c r="M61" s="58"/>
      <c r="N61" s="58"/>
    </row>
    <row r="62" spans="2:14" ht="15" customHeight="1" x14ac:dyDescent="0.3">
      <c r="B62" s="82" t="str">
        <f>B152</f>
        <v>Tai'r Farchnad</v>
      </c>
      <c r="C62" s="116">
        <f>C152</f>
        <v>0.51981106421566203</v>
      </c>
      <c r="D62" s="116">
        <f t="shared" ref="D62:G63" si="4">D152</f>
        <v>0.52164619225009068</v>
      </c>
      <c r="E62" s="116">
        <f t="shared" si="4"/>
        <v>0.52781804714666514</v>
      </c>
      <c r="F62" s="116">
        <f t="shared" si="4"/>
        <v>0.52462206672211942</v>
      </c>
      <c r="G62" s="116">
        <f t="shared" si="4"/>
        <v>0.52327261991048657</v>
      </c>
      <c r="I62" s="507">
        <f>I152</f>
        <v>0.52351135088205047</v>
      </c>
      <c r="J62" s="507"/>
      <c r="K62" s="79"/>
      <c r="L62" s="58"/>
      <c r="M62" s="58"/>
      <c r="N62" s="58"/>
    </row>
    <row r="63" spans="2:14" ht="15" customHeight="1" x14ac:dyDescent="0.3">
      <c r="B63" s="82" t="str">
        <f t="shared" ref="B63" si="5">B153</f>
        <v>Tai fforddiadwy</v>
      </c>
      <c r="C63" s="116">
        <f>C153</f>
        <v>0.48018893578433797</v>
      </c>
      <c r="D63" s="116">
        <f t="shared" si="4"/>
        <v>0.47835380774990927</v>
      </c>
      <c r="E63" s="116">
        <f t="shared" si="4"/>
        <v>0.47218195285333486</v>
      </c>
      <c r="F63" s="116">
        <f t="shared" si="4"/>
        <v>0.47537793327788053</v>
      </c>
      <c r="G63" s="116">
        <f t="shared" si="4"/>
        <v>0.47672738008951349</v>
      </c>
      <c r="I63" s="507">
        <f>I153</f>
        <v>0.47648864911794958</v>
      </c>
      <c r="J63" s="507"/>
      <c r="K63" s="79"/>
      <c r="L63" s="58"/>
      <c r="M63" s="58"/>
      <c r="N63" s="58"/>
    </row>
    <row r="64" spans="2:14" ht="15" customHeight="1" x14ac:dyDescent="0.25">
      <c r="B64" s="80"/>
      <c r="C64" s="45"/>
      <c r="D64" s="45"/>
      <c r="E64" s="45"/>
      <c r="F64" s="45"/>
      <c r="G64" s="45"/>
      <c r="H64" s="45"/>
      <c r="I64" s="45"/>
      <c r="J64" s="45"/>
      <c r="K64" s="79"/>
      <c r="L64" s="58"/>
      <c r="M64" s="58"/>
      <c r="N64" s="58"/>
    </row>
    <row r="65" spans="2:11" ht="15" customHeight="1" x14ac:dyDescent="0.25">
      <c r="B65" s="52" t="str">
        <f>IF(C145=1,"","Sylwebaeth ar y rhagdybiaethau a ddewiswyd ar gyfer y rhaniad 4 deiliadaeth")</f>
        <v/>
      </c>
      <c r="C65" s="45"/>
      <c r="D65" s="45"/>
      <c r="E65" s="45"/>
      <c r="F65" s="45"/>
      <c r="G65" s="45"/>
      <c r="H65" s="45"/>
      <c r="I65" s="45"/>
      <c r="J65" s="45"/>
      <c r="K65" s="79"/>
    </row>
    <row r="66" spans="2:11" ht="15" customHeight="1" x14ac:dyDescent="0.25">
      <c r="B66" s="495" t="str">
        <f>B192</f>
        <v>Ni fydd amcangyfrifon wedi'u rhannu'n 4 deiliadaeth yn ymddangos hyd nes bod y tabl uchod wedi'i gwblhau.</v>
      </c>
      <c r="C66" s="495"/>
      <c r="D66" s="495"/>
      <c r="E66" s="495"/>
      <c r="F66" s="495"/>
      <c r="G66" s="495"/>
      <c r="H66" s="495"/>
      <c r="I66" s="495"/>
      <c r="J66" s="495"/>
      <c r="K66" s="79"/>
    </row>
    <row r="67" spans="2:11" ht="15" customHeight="1" x14ac:dyDescent="0.25">
      <c r="B67" s="495"/>
      <c r="C67" s="495"/>
      <c r="D67" s="495"/>
      <c r="E67" s="495"/>
      <c r="F67" s="495"/>
      <c r="G67" s="495"/>
      <c r="H67" s="495"/>
      <c r="I67" s="495"/>
      <c r="J67" s="495"/>
      <c r="K67" s="79"/>
    </row>
    <row r="68" spans="2:11" ht="15" customHeight="1" x14ac:dyDescent="0.25">
      <c r="B68" s="495"/>
      <c r="C68" s="495"/>
      <c r="D68" s="495"/>
      <c r="E68" s="495"/>
      <c r="F68" s="495"/>
      <c r="G68" s="495"/>
      <c r="H68" s="495"/>
      <c r="I68" s="495"/>
      <c r="J68" s="495"/>
      <c r="K68" s="79"/>
    </row>
    <row r="69" spans="2:11" ht="15" customHeight="1" x14ac:dyDescent="0.25">
      <c r="B69" s="495"/>
      <c r="C69" s="495"/>
      <c r="D69" s="495"/>
      <c r="E69" s="495"/>
      <c r="F69" s="495"/>
      <c r="G69" s="495"/>
      <c r="H69" s="495"/>
      <c r="I69" s="495"/>
      <c r="J69" s="495"/>
      <c r="K69" s="79"/>
    </row>
    <row r="70" spans="2:11" ht="15" customHeight="1" x14ac:dyDescent="0.25">
      <c r="C70" s="49"/>
      <c r="D70" s="53"/>
      <c r="F70" s="54"/>
      <c r="G70" s="55"/>
    </row>
    <row r="71" spans="2:11" ht="15" customHeight="1" x14ac:dyDescent="0.25">
      <c r="C71" s="49"/>
      <c r="D71" s="53"/>
      <c r="E71" s="55"/>
      <c r="F71" s="54"/>
      <c r="G71" s="55"/>
    </row>
    <row r="72" spans="2:11" ht="15" customHeight="1" x14ac:dyDescent="0.25">
      <c r="C72" s="49"/>
      <c r="D72" s="53"/>
      <c r="E72" s="55"/>
      <c r="F72" s="54"/>
      <c r="G72" s="55"/>
    </row>
    <row r="73" spans="2:11" ht="15" customHeight="1" x14ac:dyDescent="0.25">
      <c r="C73" s="49"/>
      <c r="D73" s="53"/>
      <c r="E73" s="55"/>
      <c r="F73" s="54"/>
      <c r="G73" s="55"/>
    </row>
    <row r="74" spans="2:11" ht="15" customHeight="1" x14ac:dyDescent="0.25">
      <c r="C74" s="49"/>
      <c r="D74" s="53"/>
      <c r="E74" s="55"/>
      <c r="F74" s="54"/>
      <c r="G74" s="55"/>
    </row>
    <row r="75" spans="2:11" ht="15" customHeight="1" x14ac:dyDescent="0.25">
      <c r="C75" s="49"/>
      <c r="D75" s="53"/>
      <c r="E75" s="55"/>
      <c r="F75" s="54"/>
      <c r="G75" s="55"/>
    </row>
    <row r="76" spans="2:11" ht="15" customHeight="1" x14ac:dyDescent="0.25">
      <c r="C76" s="49"/>
      <c r="D76" s="53"/>
      <c r="E76" s="55"/>
      <c r="F76" s="54"/>
      <c r="G76" s="55"/>
    </row>
    <row r="77" spans="2:11" ht="15" customHeight="1" x14ac:dyDescent="0.25">
      <c r="C77" s="49"/>
      <c r="D77" s="53"/>
      <c r="E77" s="55"/>
      <c r="F77" s="54"/>
      <c r="G77" s="55"/>
    </row>
    <row r="78" spans="2:11" ht="15" customHeight="1" x14ac:dyDescent="0.25">
      <c r="C78" s="49"/>
      <c r="D78" s="53"/>
      <c r="E78" s="55"/>
      <c r="F78" s="54"/>
      <c r="G78" s="55"/>
    </row>
    <row r="79" spans="2:11" ht="15" customHeight="1" x14ac:dyDescent="0.25">
      <c r="C79" s="49"/>
      <c r="D79" s="53"/>
      <c r="E79" s="55"/>
      <c r="F79" s="54"/>
      <c r="G79" s="55"/>
    </row>
    <row r="80" spans="2:11" ht="15" customHeight="1" x14ac:dyDescent="0.25">
      <c r="C80" s="49"/>
      <c r="D80" s="53"/>
      <c r="E80" s="55"/>
      <c r="F80" s="54"/>
      <c r="G80" s="55"/>
    </row>
    <row r="81" spans="2:11" ht="15" customHeight="1" x14ac:dyDescent="0.25">
      <c r="C81" s="49"/>
      <c r="D81" s="53"/>
      <c r="E81" s="55"/>
      <c r="F81" s="54"/>
      <c r="G81" s="55"/>
    </row>
    <row r="82" spans="2:11" ht="15" customHeight="1" x14ac:dyDescent="0.25">
      <c r="C82" s="49"/>
      <c r="D82" s="53"/>
      <c r="E82" s="55"/>
      <c r="F82" s="54"/>
      <c r="G82" s="55"/>
    </row>
    <row r="83" spans="2:11" ht="15" customHeight="1" x14ac:dyDescent="0.25">
      <c r="C83" s="49"/>
      <c r="D83" s="53"/>
      <c r="E83" s="55"/>
      <c r="F83" s="54"/>
      <c r="G83" s="55"/>
    </row>
    <row r="84" spans="2:11" ht="15" customHeight="1" x14ac:dyDescent="0.25">
      <c r="C84" s="49"/>
      <c r="D84" s="53"/>
      <c r="E84" s="55"/>
      <c r="F84" s="54"/>
      <c r="G84" s="55"/>
    </row>
    <row r="85" spans="2:11" ht="15" customHeight="1" x14ac:dyDescent="0.25">
      <c r="C85" s="49"/>
      <c r="D85" s="53"/>
      <c r="E85" s="55"/>
      <c r="F85" s="54"/>
      <c r="G85" s="55"/>
    </row>
    <row r="86" spans="2:11" ht="15" customHeight="1" x14ac:dyDescent="0.25">
      <c r="C86" s="49"/>
      <c r="D86" s="53"/>
      <c r="E86" s="55"/>
      <c r="F86" s="54"/>
      <c r="G86" s="55"/>
    </row>
    <row r="87" spans="2:11" ht="15" customHeight="1" x14ac:dyDescent="0.25">
      <c r="C87" s="49"/>
      <c r="D87" s="53"/>
      <c r="E87" s="55"/>
      <c r="F87" s="54"/>
      <c r="G87" s="55"/>
    </row>
    <row r="88" spans="2:11" ht="15" customHeight="1" x14ac:dyDescent="0.25">
      <c r="C88" s="49"/>
      <c r="D88" s="53"/>
      <c r="E88" s="55"/>
      <c r="F88" s="54"/>
      <c r="G88" s="55"/>
    </row>
    <row r="89" spans="2:11" ht="15" customHeight="1" x14ac:dyDescent="0.25">
      <c r="C89" s="49"/>
      <c r="D89" s="53"/>
      <c r="E89" s="55"/>
      <c r="F89" s="54"/>
      <c r="G89" s="55"/>
    </row>
    <row r="90" spans="2:11" ht="15" customHeight="1" x14ac:dyDescent="0.3">
      <c r="B90" s="56" t="s">
        <v>300</v>
      </c>
      <c r="C90" s="57"/>
      <c r="D90" s="57"/>
      <c r="E90" s="57"/>
      <c r="F90" s="57"/>
      <c r="G90" s="57"/>
      <c r="H90" s="58"/>
      <c r="K90" s="58"/>
    </row>
    <row r="91" spans="2:11" ht="15" customHeight="1" x14ac:dyDescent="0.25">
      <c r="B91" s="118" t="str">
        <f>B157</f>
        <v>Cwblhewch y tabl i weld amcangyfrifon wedi'u rhannu'n 4 deiliadaeth.</v>
      </c>
      <c r="C91" s="82"/>
      <c r="D91" s="82"/>
      <c r="E91" s="82"/>
      <c r="F91" s="82"/>
      <c r="G91" s="82"/>
      <c r="H91" s="58"/>
      <c r="K91" s="58"/>
    </row>
    <row r="92" spans="2:11" ht="15" customHeight="1" x14ac:dyDescent="0.3">
      <c r="B92" s="339"/>
      <c r="C92" s="113" t="str">
        <f t="shared" ref="C92:G96" si="6">C157</f>
        <v/>
      </c>
      <c r="D92" s="113" t="str">
        <f t="shared" si="6"/>
        <v/>
      </c>
      <c r="E92" s="113" t="str">
        <f t="shared" si="6"/>
        <v/>
      </c>
      <c r="F92" s="113" t="str">
        <f t="shared" si="6"/>
        <v/>
      </c>
      <c r="G92" s="113" t="str">
        <f t="shared" si="6"/>
        <v/>
      </c>
      <c r="H92" s="58"/>
      <c r="K92" s="58"/>
    </row>
    <row r="93" spans="2:11" ht="15" customHeight="1" x14ac:dyDescent="0.25">
      <c r="B93" s="112" t="str">
        <f>B158</f>
        <v/>
      </c>
      <c r="C93" s="119" t="str">
        <f t="shared" si="6"/>
        <v/>
      </c>
      <c r="D93" s="114" t="str">
        <f t="shared" si="6"/>
        <v/>
      </c>
      <c r="E93" s="114" t="str">
        <f t="shared" si="6"/>
        <v/>
      </c>
      <c r="F93" s="114" t="str">
        <f t="shared" si="6"/>
        <v/>
      </c>
      <c r="G93" s="114" t="str">
        <f t="shared" si="6"/>
        <v/>
      </c>
      <c r="H93" s="58"/>
      <c r="K93" s="58"/>
    </row>
    <row r="94" spans="2:11" ht="15" customHeight="1" x14ac:dyDescent="0.25">
      <c r="B94" s="112" t="str">
        <f>B159</f>
        <v/>
      </c>
      <c r="C94" s="114" t="str">
        <f t="shared" si="6"/>
        <v/>
      </c>
      <c r="D94" s="114" t="str">
        <f t="shared" si="6"/>
        <v/>
      </c>
      <c r="E94" s="114" t="str">
        <f t="shared" si="6"/>
        <v/>
      </c>
      <c r="F94" s="114" t="str">
        <f t="shared" si="6"/>
        <v/>
      </c>
      <c r="G94" s="114" t="str">
        <f t="shared" si="6"/>
        <v/>
      </c>
      <c r="H94" s="58"/>
      <c r="K94" s="58"/>
    </row>
    <row r="95" spans="2:11" ht="15" customHeight="1" x14ac:dyDescent="0.25">
      <c r="B95" s="114" t="str">
        <f>B160</f>
        <v/>
      </c>
      <c r="C95" s="114" t="str">
        <f t="shared" si="6"/>
        <v/>
      </c>
      <c r="D95" s="114" t="str">
        <f t="shared" si="6"/>
        <v/>
      </c>
      <c r="E95" s="114" t="str">
        <f t="shared" si="6"/>
        <v/>
      </c>
      <c r="F95" s="114" t="str">
        <f t="shared" si="6"/>
        <v/>
      </c>
      <c r="G95" s="114" t="str">
        <f t="shared" si="6"/>
        <v/>
      </c>
      <c r="H95" s="58"/>
      <c r="K95" s="58"/>
    </row>
    <row r="96" spans="2:11" ht="15" customHeight="1" x14ac:dyDescent="0.25">
      <c r="B96" s="114" t="str">
        <f>B161</f>
        <v/>
      </c>
      <c r="C96" s="114" t="str">
        <f t="shared" si="6"/>
        <v/>
      </c>
      <c r="D96" s="114" t="str">
        <f t="shared" si="6"/>
        <v/>
      </c>
      <c r="E96" s="114" t="str">
        <f t="shared" si="6"/>
        <v/>
      </c>
      <c r="F96" s="114" t="str">
        <f t="shared" si="6"/>
        <v/>
      </c>
      <c r="G96" s="114" t="str">
        <f t="shared" si="6"/>
        <v/>
      </c>
      <c r="H96" s="58"/>
      <c r="K96" s="58"/>
    </row>
    <row r="97" spans="2:20" ht="15" customHeight="1" x14ac:dyDescent="0.25">
      <c r="H97" s="58"/>
      <c r="K97" s="58"/>
    </row>
    <row r="98" spans="2:20" ht="15" customHeight="1" x14ac:dyDescent="0.3">
      <c r="B98" s="46" t="s">
        <v>301</v>
      </c>
      <c r="H98" s="58"/>
      <c r="K98" s="58"/>
    </row>
    <row r="99" spans="2:20" ht="15" customHeight="1" x14ac:dyDescent="0.3">
      <c r="B99" s="82" t="str">
        <f>B162</f>
        <v>Cwblhewch y tabl i weld amcangyfrifon wedi'u rhannu'n 4 deiliadaeth.</v>
      </c>
      <c r="C99" s="82"/>
      <c r="D99" s="82"/>
      <c r="E99" s="82"/>
      <c r="F99" s="82"/>
      <c r="G99" s="82"/>
      <c r="H99" s="58"/>
      <c r="I99" s="117" t="str">
        <f>I162</f>
        <v/>
      </c>
      <c r="J99" s="117"/>
      <c r="K99" s="58"/>
    </row>
    <row r="100" spans="2:20" ht="15" customHeight="1" x14ac:dyDescent="0.3">
      <c r="B100" s="82"/>
      <c r="C100" s="115" t="str">
        <f t="shared" ref="C100:G104" si="7">C162</f>
        <v/>
      </c>
      <c r="D100" s="115" t="str">
        <f t="shared" si="7"/>
        <v/>
      </c>
      <c r="E100" s="115" t="str">
        <f t="shared" si="7"/>
        <v/>
      </c>
      <c r="F100" s="115" t="str">
        <f t="shared" si="7"/>
        <v/>
      </c>
      <c r="G100" s="115" t="str">
        <f t="shared" si="7"/>
        <v/>
      </c>
      <c r="H100" s="58"/>
      <c r="I100" s="117"/>
      <c r="J100" s="117"/>
      <c r="K100" s="58"/>
    </row>
    <row r="101" spans="2:20" ht="15" customHeight="1" x14ac:dyDescent="0.3">
      <c r="B101" s="82" t="str">
        <f>B163</f>
        <v/>
      </c>
      <c r="C101" s="116" t="str">
        <f t="shared" si="7"/>
        <v/>
      </c>
      <c r="D101" s="116" t="str">
        <f t="shared" si="7"/>
        <v/>
      </c>
      <c r="E101" s="116" t="str">
        <f t="shared" si="7"/>
        <v/>
      </c>
      <c r="F101" s="116" t="str">
        <f t="shared" si="7"/>
        <v/>
      </c>
      <c r="G101" s="116" t="str">
        <f t="shared" si="7"/>
        <v/>
      </c>
      <c r="H101" s="58"/>
      <c r="I101" s="507" t="str">
        <f>I163</f>
        <v/>
      </c>
      <c r="J101" s="507"/>
      <c r="K101" s="58"/>
    </row>
    <row r="102" spans="2:20" ht="15" customHeight="1" x14ac:dyDescent="0.3">
      <c r="B102" s="82" t="str">
        <f>B164</f>
        <v/>
      </c>
      <c r="C102" s="116" t="str">
        <f t="shared" si="7"/>
        <v/>
      </c>
      <c r="D102" s="116" t="str">
        <f t="shared" si="7"/>
        <v/>
      </c>
      <c r="E102" s="116" t="str">
        <f t="shared" si="7"/>
        <v/>
      </c>
      <c r="F102" s="116" t="str">
        <f t="shared" si="7"/>
        <v/>
      </c>
      <c r="G102" s="116" t="str">
        <f t="shared" si="7"/>
        <v/>
      </c>
      <c r="H102" s="58"/>
      <c r="I102" s="507" t="str">
        <f>I164</f>
        <v/>
      </c>
      <c r="J102" s="507"/>
      <c r="K102" s="58"/>
    </row>
    <row r="103" spans="2:20" ht="14.25" customHeight="1" x14ac:dyDescent="0.3">
      <c r="B103" s="82" t="str">
        <f>B165</f>
        <v/>
      </c>
      <c r="C103" s="116" t="str">
        <f t="shared" si="7"/>
        <v/>
      </c>
      <c r="D103" s="116" t="str">
        <f t="shared" si="7"/>
        <v/>
      </c>
      <c r="E103" s="116" t="str">
        <f t="shared" si="7"/>
        <v/>
      </c>
      <c r="F103" s="116" t="str">
        <f t="shared" si="7"/>
        <v/>
      </c>
      <c r="G103" s="116" t="str">
        <f t="shared" si="7"/>
        <v/>
      </c>
      <c r="H103" s="58"/>
      <c r="I103" s="507" t="str">
        <f>I165</f>
        <v/>
      </c>
      <c r="J103" s="507"/>
      <c r="K103" s="58"/>
    </row>
    <row r="104" spans="2:20" ht="14.25" customHeight="1" x14ac:dyDescent="0.3">
      <c r="B104" s="82" t="str">
        <f>B166</f>
        <v/>
      </c>
      <c r="C104" s="116" t="str">
        <f t="shared" si="7"/>
        <v/>
      </c>
      <c r="D104" s="116" t="str">
        <f t="shared" si="7"/>
        <v/>
      </c>
      <c r="E104" s="116" t="str">
        <f t="shared" si="7"/>
        <v/>
      </c>
      <c r="F104" s="116" t="str">
        <f t="shared" si="7"/>
        <v/>
      </c>
      <c r="G104" s="116" t="str">
        <f t="shared" si="7"/>
        <v/>
      </c>
      <c r="H104" s="58"/>
      <c r="I104" s="507" t="str">
        <f>I166</f>
        <v/>
      </c>
      <c r="J104" s="507"/>
      <c r="K104" s="58"/>
    </row>
    <row r="105" spans="2:20" ht="14.25" customHeight="1" x14ac:dyDescent="0.3">
      <c r="C105" s="46"/>
      <c r="M105" s="58"/>
      <c r="N105" s="59"/>
      <c r="O105" s="59"/>
      <c r="P105" s="59"/>
      <c r="Q105" s="59"/>
      <c r="R105" s="59"/>
      <c r="S105" s="58"/>
      <c r="T105" s="60"/>
    </row>
    <row r="106" spans="2:20" ht="14.25" customHeight="1" x14ac:dyDescent="0.35">
      <c r="B106" s="44" t="s">
        <v>291</v>
      </c>
      <c r="M106" s="58"/>
      <c r="N106" s="59"/>
      <c r="O106" s="59"/>
      <c r="P106" s="59"/>
      <c r="Q106" s="59"/>
      <c r="R106" s="59"/>
      <c r="S106" s="58"/>
      <c r="T106" s="60"/>
    </row>
    <row r="107" spans="2:20" ht="14.25" customHeight="1" x14ac:dyDescent="0.3">
      <c r="B107" s="123"/>
      <c r="C107" s="124" t="str">
        <f>Year1</f>
        <v>2019/20</v>
      </c>
      <c r="D107" s="124" t="str">
        <f>Year2</f>
        <v>2020/21</v>
      </c>
      <c r="E107" s="124" t="str">
        <f>Year3</f>
        <v>2021/22</v>
      </c>
      <c r="F107" s="124" t="str">
        <f>Year4</f>
        <v>2022/23</v>
      </c>
      <c r="G107" s="125" t="str">
        <f>Year5</f>
        <v>2023/24</v>
      </c>
      <c r="M107" s="58"/>
      <c r="N107" s="59"/>
      <c r="O107" s="59"/>
      <c r="P107" s="59"/>
      <c r="Q107" s="59"/>
      <c r="R107" s="59"/>
      <c r="S107" s="58"/>
      <c r="T107" s="60"/>
    </row>
    <row r="108" spans="2:20" ht="25.5" x14ac:dyDescent="0.3">
      <c r="B108" s="126" t="s">
        <v>70</v>
      </c>
      <c r="C108" s="128">
        <f>IF($D11="Wedi'i ragosod",'Rhagdybiaeth Blynyddol'!$D$8,'Rhagdybiaeth Blynyddol'!$D$9)</f>
        <v>0.3</v>
      </c>
      <c r="D108" s="128">
        <f>IF($D11="Wedi'i ragosod",'Rhagdybiaeth Blynyddol'!$D$8,'Rhagdybiaeth Blynyddol'!$D$9)</f>
        <v>0.3</v>
      </c>
      <c r="E108" s="128">
        <f>IF($D11="Wedi'i ragosod",'Rhagdybiaeth Blynyddol'!$D$8,'Rhagdybiaeth Blynyddol'!$D$9)</f>
        <v>0.3</v>
      </c>
      <c r="F108" s="128">
        <f>IF($D11="Wedi'i ragosod",'Rhagdybiaeth Blynyddol'!$D$8,'Rhagdybiaeth Blynyddol'!$D$9)</f>
        <v>0.3</v>
      </c>
      <c r="G108" s="129">
        <f>IF($D11="Wedi'i ragosod",'Rhagdybiaeth Blynyddol'!$D$8,'Rhagdybiaeth Blynyddol'!$D$9)</f>
        <v>0.3</v>
      </c>
      <c r="O108" s="59"/>
      <c r="P108" s="59"/>
      <c r="Q108" s="59"/>
      <c r="R108" s="59"/>
      <c r="S108" s="58"/>
      <c r="T108" s="60"/>
    </row>
    <row r="109" spans="2:20" ht="13" x14ac:dyDescent="0.3">
      <c r="B109" s="126" t="s">
        <v>284</v>
      </c>
      <c r="C109" s="128">
        <f>INDEX('Rhagolygon y Dyfodol'!D10:D11,MATCH('Rhaniad y Ddeiliadaeth (Cymru)'!$D$14,'Rhagolygon y Dyfodol'!$C$10:$C$11,0))</f>
        <v>2.2446185800604201E-2</v>
      </c>
      <c r="D109" s="128">
        <f>INDEX('Rhagolygon y Dyfodol'!E10:E11,MATCH('Rhaniad y Ddeiliadaeth (Cymru)'!$D$14,'Rhagolygon y Dyfodol'!$C$10:$C$11,0))</f>
        <v>3.4273974138698815E-2</v>
      </c>
      <c r="E109" s="128">
        <f>INDEX('Rhagolygon y Dyfodol'!F10:F11,MATCH('Rhaniad y Ddeiliadaeth (Cymru)'!$D$14,'Rhagolygon y Dyfodol'!$C$10:$C$11,0))</f>
        <v>3.4178288789832534E-2</v>
      </c>
      <c r="F109" s="128">
        <f>INDEX('Rhagolygon y Dyfodol'!G10:G11,MATCH('Rhaniad y Ddeiliadaeth (Cymru)'!$D$14,'Rhagolygon y Dyfodol'!$C$10:$C$11,0))</f>
        <v>3.468526742495337E-2</v>
      </c>
      <c r="G109" s="129">
        <f>INDEX('Rhagolygon y Dyfodol'!H10:H11,MATCH('Rhaniad y Ddeiliadaeth (Cymru)'!$D$14,'Rhagolygon y Dyfodol'!$C$10:$C$11,0))</f>
        <v>3.4498109627313145E-2</v>
      </c>
      <c r="O109" s="59"/>
      <c r="P109" s="59"/>
      <c r="Q109" s="59"/>
      <c r="R109" s="59"/>
      <c r="S109" s="58"/>
      <c r="T109" s="60"/>
    </row>
    <row r="110" spans="2:20" ht="13" x14ac:dyDescent="0.3">
      <c r="B110" s="126" t="s">
        <v>285</v>
      </c>
      <c r="C110" s="128">
        <f>INDEX('Rhagolygon y Dyfodol'!D14:D16,MATCH('Rhaniad y Ddeiliadaeth (Cymru)'!$D$15,'Rhagolygon y Dyfodol'!$C$14:$C$16,0))</f>
        <v>0.01</v>
      </c>
      <c r="D110" s="128">
        <f>INDEX('Rhagolygon y Dyfodol'!E14:E16,MATCH('Rhaniad y Ddeiliadaeth (Cymru)'!$D$15,'Rhagolygon y Dyfodol'!$C$14:$C$16,0))</f>
        <v>0.01</v>
      </c>
      <c r="E110" s="128">
        <f>INDEX('Rhagolygon y Dyfodol'!F14:F16,MATCH('Rhaniad y Ddeiliadaeth (Cymru)'!$D$15,'Rhagolygon y Dyfodol'!$C$14:$C$16,0))</f>
        <v>0.01</v>
      </c>
      <c r="F110" s="128">
        <f>INDEX('Rhagolygon y Dyfodol'!G14:G16,MATCH('Rhaniad y Ddeiliadaeth (Cymru)'!$D$15,'Rhagolygon y Dyfodol'!$C$14:$C$16,0))</f>
        <v>0.01</v>
      </c>
      <c r="G110" s="129">
        <f>INDEX('Rhagolygon y Dyfodol'!H14:H16,MATCH('Rhaniad y Ddeiliadaeth (Cymru)'!$D$15,'Rhagolygon y Dyfodol'!$C$14:$C$16,0))</f>
        <v>0.01</v>
      </c>
      <c r="I110" s="209"/>
      <c r="O110" s="59"/>
      <c r="P110" s="59"/>
      <c r="Q110" s="59"/>
      <c r="R110" s="59"/>
      <c r="S110" s="58"/>
      <c r="T110" s="60"/>
    </row>
    <row r="111" spans="2:20" ht="13" x14ac:dyDescent="0.3">
      <c r="B111" s="126" t="s">
        <v>286</v>
      </c>
      <c r="C111" s="128">
        <f>INDEX('Rhagolygon y Dyfodol'!D21:D22,MATCH('Rhaniad y Ddeiliadaeth (Cymru)'!$D$16,'Rhagolygon y Dyfodol'!$C$21:$C$22,0))</f>
        <v>2.95362389376672E-2</v>
      </c>
      <c r="D111" s="128">
        <f>INDEX('Rhagolygon y Dyfodol'!E21:E22,MATCH('Rhaniad y Ddeiliadaeth (Cymru)'!$D$16,'Rhagolygon y Dyfodol'!$C$21:$C$22,0))</f>
        <v>3.06009237258206E-2</v>
      </c>
      <c r="E111" s="128">
        <f>INDEX('Rhagolygon y Dyfodol'!F21:F22,MATCH('Rhaniad y Ddeiliadaeth (Cymru)'!$D$16,'Rhagolygon y Dyfodol'!$C$21:$C$22,0))</f>
        <v>3.1212408697362796E-2</v>
      </c>
      <c r="F111" s="128">
        <f>INDEX('Rhagolygon y Dyfodol'!G21:G22,MATCH('Rhaniad y Ddeiliadaeth (Cymru)'!$D$16,'Rhagolygon y Dyfodol'!$C$21:$C$22,0))</f>
        <v>3.1716449662899202E-2</v>
      </c>
      <c r="G111" s="129">
        <f>INDEX('Rhagolygon y Dyfodol'!H21:H22,MATCH('Rhaniad y Ddeiliadaeth (Cymru)'!$D$16,'Rhagolygon y Dyfodol'!$C$21:$C$22,0))</f>
        <v>3.2947319786085505E-2</v>
      </c>
      <c r="O111" s="59"/>
      <c r="P111" s="59"/>
      <c r="Q111" s="59"/>
      <c r="R111" s="59"/>
      <c r="S111" s="58"/>
      <c r="T111" s="60"/>
    </row>
    <row r="112" spans="2:20" ht="13" x14ac:dyDescent="0.3">
      <c r="B112" s="126" t="s">
        <v>287</v>
      </c>
      <c r="C112" s="130">
        <f>INDEX('Prisiau Rhenti'!D9:D10,MATCH('Rhaniad y Ddeiliadaeth (Cymru)'!D9,'Prisiau Rhenti'!B9:B10,0))*(1+C111)</f>
        <v>6486.0783053073037</v>
      </c>
      <c r="D112" s="130">
        <f>C112*(1+D111)</f>
        <v>6684.5582928077129</v>
      </c>
      <c r="E112" s="130">
        <f>D112*(1+E111)</f>
        <v>6893.1994582041734</v>
      </c>
      <c r="F112" s="130">
        <f>E112*(1+F111)</f>
        <v>7111.8272718366306</v>
      </c>
      <c r="G112" s="131">
        <f>F112*(1+G111)</f>
        <v>7346.1429192252353</v>
      </c>
      <c r="O112" s="59"/>
      <c r="P112" s="59"/>
      <c r="Q112" s="59"/>
      <c r="R112" s="59"/>
      <c r="S112" s="58"/>
      <c r="T112" s="60"/>
    </row>
    <row r="113" spans="2:20" ht="13" x14ac:dyDescent="0.3">
      <c r="B113" s="126" t="s">
        <v>288</v>
      </c>
      <c r="C113" s="130">
        <f>INDEX('Prisiau Rhenti'!C9:C10,MATCH('Rhaniad y Ddeiliadaeth (Cymru)'!D9,'Prisiau Rhenti'!B9:B10,0))*(1+C111)</f>
        <v>5868.3565619447036</v>
      </c>
      <c r="D113" s="130">
        <f>C113*(1+D111)</f>
        <v>6047.9336934926923</v>
      </c>
      <c r="E113" s="130">
        <f>D113*(1+E111)</f>
        <v>6236.7042717085378</v>
      </c>
      <c r="F113" s="130">
        <f>E113*(1+F111)</f>
        <v>6434.5103888045705</v>
      </c>
      <c r="G113" s="131">
        <f>F113*(1+G111)</f>
        <v>6646.5102602514035</v>
      </c>
      <c r="O113" s="59"/>
      <c r="P113" s="59"/>
      <c r="Q113" s="59"/>
      <c r="R113" s="59"/>
      <c r="S113" s="58"/>
      <c r="T113" s="60"/>
    </row>
    <row r="114" spans="2:20" ht="25.5" x14ac:dyDescent="0.3">
      <c r="B114" s="122" t="s">
        <v>92</v>
      </c>
      <c r="C114" s="327">
        <f>IF($D20="Wedi'i ragosod",'Rhagdybiaeth Blynyddol'!$D$11,'Rhagdybiaeth Blynyddol'!$D$12)</f>
        <v>4.03</v>
      </c>
      <c r="D114" s="327">
        <f>IF($D20="Wedi'i ragosod",'Rhagdybiaeth Blynyddol'!$D$11,'Rhagdybiaeth Blynyddol'!$D$12)</f>
        <v>4.03</v>
      </c>
      <c r="E114" s="327">
        <f>IF($D20="Wedi'i ragosod",'Rhagdybiaeth Blynyddol'!$D$11,'Rhagdybiaeth Blynyddol'!$D$12)</f>
        <v>4.03</v>
      </c>
      <c r="F114" s="327">
        <f>IF($D20="Wedi'i ragosod",'Rhagdybiaeth Blynyddol'!$D$11,'Rhagdybiaeth Blynyddol'!$D$12)</f>
        <v>4.03</v>
      </c>
      <c r="G114" s="327">
        <f>IF($D20="Wedi'i ragosod",'Rhagdybiaeth Blynyddol'!$D$11,'Rhagdybiaeth Blynyddol'!$D$12)</f>
        <v>4.03</v>
      </c>
      <c r="O114" s="59"/>
      <c r="P114" s="59"/>
      <c r="Q114" s="59"/>
      <c r="R114" s="59"/>
      <c r="S114" s="58"/>
      <c r="T114" s="60"/>
    </row>
    <row r="115" spans="2:20" ht="37.5" x14ac:dyDescent="0.3">
      <c r="B115" s="90" t="s">
        <v>346</v>
      </c>
      <c r="C115" s="132">
        <f>IF($D21=25,25,IF($D21=40,40,'Rhagdybiaeth Blynyddol'!$D$16))</f>
        <v>40</v>
      </c>
      <c r="D115" s="132">
        <f>IF($D21=25,25,IF($D21=40,40,'Rhagdybiaeth Blynyddol'!$D$16))</f>
        <v>40</v>
      </c>
      <c r="E115" s="132">
        <f>IF($D21=25,25,IF($D21=40,40,'Rhagdybiaeth Blynyddol'!$D$16))</f>
        <v>40</v>
      </c>
      <c r="F115" s="132">
        <f>IF($D21=25,25,IF($D21=40,40,'Rhagdybiaeth Blynyddol'!$D$16))</f>
        <v>40</v>
      </c>
      <c r="G115" s="133">
        <f>IF($D21=25,25,IF($D21=40,40,'Rhagdybiaeth Blynyddol'!$D$16))</f>
        <v>40</v>
      </c>
      <c r="O115" s="59"/>
      <c r="P115" s="59"/>
      <c r="Q115" s="59"/>
      <c r="R115" s="59"/>
      <c r="S115" s="58"/>
      <c r="T115" s="60"/>
    </row>
    <row r="116" spans="2:20" ht="25.5" x14ac:dyDescent="0.3">
      <c r="B116" s="122" t="s">
        <v>289</v>
      </c>
      <c r="C116" s="134" t="str">
        <f>IF(ISBLANK('Rhagdybiaeth Blynyddol'!$D$18),"-",'Rhagdybiaeth Blynyddol'!$D$18)</f>
        <v>-</v>
      </c>
      <c r="D116" s="134" t="str">
        <f>IF(ISBLANK('Rhagdybiaeth Blynyddol'!$D$18),"-",'Rhagdybiaeth Blynyddol'!$D$18)</f>
        <v>-</v>
      </c>
      <c r="E116" s="134" t="str">
        <f>IF(ISBLANK('Rhagdybiaeth Blynyddol'!$D$18),"-",'Rhagdybiaeth Blynyddol'!$D$18)</f>
        <v>-</v>
      </c>
      <c r="F116" s="134" t="str">
        <f>IF(ISBLANK('Rhagdybiaeth Blynyddol'!$D$18),"-",'Rhagdybiaeth Blynyddol'!$D$18)</f>
        <v>-</v>
      </c>
      <c r="G116" s="135" t="str">
        <f>IF(ISBLANK('Rhagdybiaeth Blynyddol'!$D$18),"-",'Rhagdybiaeth Blynyddol'!$D$18)</f>
        <v>-</v>
      </c>
      <c r="O116" s="59"/>
      <c r="P116" s="59"/>
      <c r="Q116" s="59"/>
      <c r="R116" s="59"/>
      <c r="S116" s="58"/>
      <c r="T116" s="60"/>
    </row>
    <row r="117" spans="2:20" ht="25.5" x14ac:dyDescent="0.3">
      <c r="B117" s="122" t="s">
        <v>95</v>
      </c>
      <c r="C117" s="134">
        <f>IF($D23="Wedi'i ragosod",'Rhagdybiaeth Blynyddol'!$D$20,'Rhagdybiaeth Blynyddol'!$D$21)</f>
        <v>0.35</v>
      </c>
      <c r="D117" s="134">
        <f>IF($D23="Wedi'i ragosod",'Rhagdybiaeth Blynyddol'!$D$20,'Rhagdybiaeth Blynyddol'!$D$21)</f>
        <v>0.35</v>
      </c>
      <c r="E117" s="134">
        <f>IF($D23="Wedi'i ragosod",'Rhagdybiaeth Blynyddol'!$D$20,'Rhagdybiaeth Blynyddol'!$D$21)</f>
        <v>0.35</v>
      </c>
      <c r="F117" s="134">
        <f>IF($D23="Wedi'i ragosod",'Rhagdybiaeth Blynyddol'!$D$20,'Rhagdybiaeth Blynyddol'!$D$21)</f>
        <v>0.35</v>
      </c>
      <c r="G117" s="135">
        <f>IF($D23="Wedi'i ragosod",'Rhagdybiaeth Blynyddol'!$D$20,'Rhagdybiaeth Blynyddol'!$D$21)</f>
        <v>0.35</v>
      </c>
      <c r="O117" s="59"/>
      <c r="P117" s="59"/>
      <c r="Q117" s="59"/>
      <c r="R117" s="59"/>
      <c r="S117" s="58"/>
      <c r="T117" s="60"/>
    </row>
    <row r="118" spans="2:20" ht="13" x14ac:dyDescent="0.3">
      <c r="B118" s="127" t="s">
        <v>290</v>
      </c>
      <c r="C118" s="136">
        <f>INDEX('Rhagolygon y Dyfodol'!D27:D28,MATCH('Rhaniad y Ddeiliadaeth (Cymru)'!$D$25,'Rhagolygon y Dyfodol'!$C$27:$C$28,0))</f>
        <v>4.8000000000000001E-2</v>
      </c>
      <c r="D118" s="136">
        <f>INDEX('Rhagolygon y Dyfodol'!E27:E28,MATCH('Rhaniad y Ddeiliadaeth (Cymru)'!$D$25,'Rhagolygon y Dyfodol'!$C$27:$C$28,0))</f>
        <v>5.8299999999999998E-2</v>
      </c>
      <c r="E118" s="136">
        <f>INDEX('Rhagolygon y Dyfodol'!F27:F28,MATCH('Rhaniad y Ddeiliadaeth (Cymru)'!$D$25,'Rhagolygon y Dyfodol'!$C$27:$C$28,0))</f>
        <v>7.0636931849950499E-2</v>
      </c>
      <c r="F118" s="136">
        <f>INDEX('Rhagolygon y Dyfodol'!G27:G28,MATCH('Rhaniad y Ddeiliadaeth (Cymru)'!$D$25,'Rhagolygon y Dyfodol'!$C$27:$C$28,0))</f>
        <v>5.44208712629837E-2</v>
      </c>
      <c r="G118" s="137">
        <f>INDEX('Rhagolygon y Dyfodol'!H27:H28,MATCH('Rhaniad y Ddeiliadaeth (Cymru)'!$D$25,'Rhagolygon y Dyfodol'!$C$27:$C$28,0))</f>
        <v>4.2183728416054896E-2</v>
      </c>
      <c r="O118" s="59"/>
      <c r="P118" s="59"/>
      <c r="Q118" s="59"/>
      <c r="R118" s="59"/>
      <c r="S118" s="58"/>
      <c r="T118" s="60"/>
    </row>
    <row r="119" spans="2:20" ht="14.25" customHeight="1" x14ac:dyDescent="0.3">
      <c r="C119" s="46"/>
      <c r="M119" s="58"/>
      <c r="N119" s="59"/>
      <c r="O119" s="59"/>
      <c r="P119" s="59"/>
      <c r="Q119" s="59"/>
      <c r="R119" s="59"/>
      <c r="S119" s="58"/>
      <c r="T119" s="60"/>
    </row>
    <row r="120" spans="2:20" ht="14.25" customHeight="1" x14ac:dyDescent="0.3">
      <c r="B120" s="85" t="s">
        <v>312</v>
      </c>
      <c r="C120" s="86"/>
      <c r="L120" s="58"/>
      <c r="M120" s="59"/>
      <c r="N120" s="59"/>
      <c r="O120" s="59"/>
      <c r="P120" s="59"/>
      <c r="R120" s="59"/>
      <c r="S120" s="58"/>
      <c r="T120" s="60"/>
    </row>
    <row r="121" spans="2:20" ht="14.25" customHeight="1" x14ac:dyDescent="0.3">
      <c r="B121" s="85" t="s">
        <v>313</v>
      </c>
      <c r="C121" s="87" t="s">
        <v>311</v>
      </c>
      <c r="G121" s="58"/>
      <c r="L121" s="58"/>
      <c r="M121" s="58"/>
      <c r="N121" s="58"/>
      <c r="O121" s="58"/>
      <c r="P121" s="58"/>
      <c r="R121" s="58"/>
      <c r="S121" s="58"/>
      <c r="T121" s="58"/>
    </row>
    <row r="122" spans="2:20" ht="14.25" customHeight="1" x14ac:dyDescent="0.25">
      <c r="B122" s="86" t="s">
        <v>175</v>
      </c>
      <c r="C122" s="86">
        <f>IF(E6="Y",0,1)</f>
        <v>0</v>
      </c>
      <c r="G122" s="58"/>
    </row>
    <row r="123" spans="2:20" ht="14.25" customHeight="1" x14ac:dyDescent="0.25">
      <c r="B123" s="86" t="s">
        <v>165</v>
      </c>
      <c r="C123" s="86">
        <f>IF(E7="Y",0,1)</f>
        <v>0</v>
      </c>
      <c r="G123" s="58"/>
    </row>
    <row r="124" spans="2:20" ht="14.25" customHeight="1" x14ac:dyDescent="0.25">
      <c r="B124" s="86" t="s">
        <v>321</v>
      </c>
      <c r="C124" s="86">
        <f>IF(E8="Y",0,1)</f>
        <v>0</v>
      </c>
      <c r="G124" s="58"/>
    </row>
    <row r="125" spans="2:20" ht="14.25" customHeight="1" x14ac:dyDescent="0.25">
      <c r="B125" s="86" t="s">
        <v>55</v>
      </c>
      <c r="C125" s="86">
        <f>IF(E9="Y",0,1)</f>
        <v>0</v>
      </c>
      <c r="G125" s="58"/>
    </row>
    <row r="126" spans="2:20" ht="14.25" customHeight="1" x14ac:dyDescent="0.3">
      <c r="B126" s="85" t="s">
        <v>325</v>
      </c>
      <c r="C126" s="86"/>
      <c r="G126" s="58"/>
    </row>
    <row r="127" spans="2:20" ht="14.25" customHeight="1" x14ac:dyDescent="0.25">
      <c r="B127" s="86" t="s">
        <v>355</v>
      </c>
      <c r="C127" s="86">
        <f>IF(E11="Y",0,1)</f>
        <v>0</v>
      </c>
      <c r="G127" s="58"/>
    </row>
    <row r="128" spans="2:20" ht="14.25" customHeight="1" x14ac:dyDescent="0.25">
      <c r="B128" s="86" t="s">
        <v>327</v>
      </c>
      <c r="C128" s="86">
        <f>IF(E12="Y",0,1)</f>
        <v>0</v>
      </c>
      <c r="G128" s="58"/>
    </row>
    <row r="129" spans="2:7" ht="14.25" customHeight="1" x14ac:dyDescent="0.3">
      <c r="B129" s="85" t="s">
        <v>323</v>
      </c>
      <c r="C129" s="86"/>
      <c r="G129" s="58"/>
    </row>
    <row r="130" spans="2:7" ht="14.25" customHeight="1" x14ac:dyDescent="0.25">
      <c r="B130" s="86" t="s">
        <v>80</v>
      </c>
      <c r="C130" s="86">
        <f>IF(E14="Y",0,1)</f>
        <v>0</v>
      </c>
      <c r="G130" s="58"/>
    </row>
    <row r="131" spans="2:7" ht="14.25" customHeight="1" x14ac:dyDescent="0.25">
      <c r="B131" s="86" t="s">
        <v>86</v>
      </c>
      <c r="C131" s="86">
        <f>IF(E15="Y",0,1)</f>
        <v>0</v>
      </c>
      <c r="G131" s="58"/>
    </row>
    <row r="132" spans="2:7" ht="14.25" customHeight="1" x14ac:dyDescent="0.25">
      <c r="B132" s="86" t="s">
        <v>117</v>
      </c>
      <c r="C132" s="86">
        <f>IF(E16="Y",0,1)</f>
        <v>0</v>
      </c>
      <c r="G132" s="58"/>
    </row>
    <row r="133" spans="2:7" ht="14.25" customHeight="1" x14ac:dyDescent="0.25">
      <c r="B133" s="86" t="s">
        <v>7</v>
      </c>
      <c r="C133" s="86">
        <f>IF(SUM(C122:C132)&gt;0,1,0)</f>
        <v>0</v>
      </c>
      <c r="G133" s="58"/>
    </row>
    <row r="134" spans="2:7" ht="14.25" customHeight="1" x14ac:dyDescent="0.25">
      <c r="G134" s="58"/>
    </row>
    <row r="135" spans="2:7" ht="14.25" customHeight="1" x14ac:dyDescent="0.3">
      <c r="B135" s="81" t="s">
        <v>319</v>
      </c>
      <c r="C135" s="82"/>
      <c r="G135" s="58"/>
    </row>
    <row r="136" spans="2:7" ht="14.25" customHeight="1" x14ac:dyDescent="0.3">
      <c r="B136" s="81" t="s">
        <v>313</v>
      </c>
      <c r="C136" s="82"/>
      <c r="G136" s="58"/>
    </row>
    <row r="137" spans="2:7" ht="14.25" customHeight="1" x14ac:dyDescent="0.25">
      <c r="B137" s="82" t="s">
        <v>88</v>
      </c>
      <c r="C137" s="82">
        <f>IF(E18="Y",0,1)</f>
        <v>0</v>
      </c>
      <c r="G137" s="58"/>
    </row>
    <row r="138" spans="2:7" ht="14.25" customHeight="1" x14ac:dyDescent="0.3">
      <c r="B138" s="81" t="s">
        <v>325</v>
      </c>
      <c r="C138" s="82"/>
      <c r="G138" s="58"/>
    </row>
    <row r="139" spans="2:7" ht="14.25" customHeight="1" x14ac:dyDescent="0.25">
      <c r="B139" s="82" t="s">
        <v>315</v>
      </c>
      <c r="C139" s="82">
        <f>IF(E20="Y",0,1)</f>
        <v>0</v>
      </c>
      <c r="G139" s="58"/>
    </row>
    <row r="140" spans="2:7" ht="18.75" customHeight="1" x14ac:dyDescent="0.25">
      <c r="B140" s="82" t="s">
        <v>316</v>
      </c>
      <c r="C140" s="82">
        <f>IF(E21="Y",0,1)</f>
        <v>0</v>
      </c>
      <c r="G140" s="58"/>
    </row>
    <row r="141" spans="2:7" ht="18.75" customHeight="1" x14ac:dyDescent="0.25">
      <c r="B141" s="82" t="s">
        <v>322</v>
      </c>
      <c r="C141" s="82">
        <f>IF(E22="Y",0,1)</f>
        <v>1</v>
      </c>
      <c r="G141" s="58"/>
    </row>
    <row r="142" spans="2:7" x14ac:dyDescent="0.25">
      <c r="B142" s="82" t="s">
        <v>326</v>
      </c>
      <c r="C142" s="82">
        <f>IF(E23="Y",0,1)</f>
        <v>0</v>
      </c>
    </row>
    <row r="143" spans="2:7" ht="13" x14ac:dyDescent="0.3">
      <c r="B143" s="81" t="s">
        <v>323</v>
      </c>
      <c r="C143" s="82"/>
    </row>
    <row r="144" spans="2:7" x14ac:dyDescent="0.25">
      <c r="B144" s="82" t="s">
        <v>320</v>
      </c>
      <c r="C144" s="82">
        <f>IF(E25="Y",0,1)</f>
        <v>0</v>
      </c>
    </row>
    <row r="145" spans="2:11" x14ac:dyDescent="0.25">
      <c r="B145" s="82" t="s">
        <v>314</v>
      </c>
      <c r="C145" s="82">
        <f>IF(SUM(C133,C137:C144)=0,0,1)</f>
        <v>1</v>
      </c>
    </row>
    <row r="146" spans="2:11" x14ac:dyDescent="0.25">
      <c r="C146" s="61"/>
      <c r="D146" s="61"/>
      <c r="E146" s="61"/>
      <c r="F146" s="61"/>
      <c r="G146" s="61"/>
      <c r="I146" s="61"/>
    </row>
    <row r="147" spans="2:11" ht="13" x14ac:dyDescent="0.3">
      <c r="B147" s="85" t="s">
        <v>309</v>
      </c>
      <c r="C147" s="86"/>
      <c r="D147" s="86"/>
      <c r="E147" s="86"/>
      <c r="F147" s="86"/>
      <c r="G147" s="86"/>
      <c r="H147" s="86"/>
      <c r="I147" s="86"/>
      <c r="J147" s="86"/>
      <c r="K147" s="394"/>
    </row>
    <row r="148" spans="2:11" x14ac:dyDescent="0.25">
      <c r="B148" s="86" t="str">
        <f>IF(C133=1,"Please complete table to view figures.","")</f>
        <v/>
      </c>
      <c r="C148" s="86" t="str">
        <f>IF($C$133=0,Year1,"")</f>
        <v>2019/20</v>
      </c>
      <c r="D148" s="86" t="str">
        <f>IF($C$133=0, Year2,"")</f>
        <v>2020/21</v>
      </c>
      <c r="E148" s="86" t="str">
        <f>IF($C$133=0,Year3,"")</f>
        <v>2021/22</v>
      </c>
      <c r="F148" s="86" t="str">
        <f>IF($C$133=0,Year4,"")</f>
        <v>2022/23</v>
      </c>
      <c r="G148" s="86" t="str">
        <f>IF($C$133=0,Year5,"")</f>
        <v>2023/24</v>
      </c>
      <c r="H148" s="86"/>
      <c r="I148" s="86"/>
      <c r="J148" s="86"/>
      <c r="K148" s="394"/>
    </row>
    <row r="149" spans="2:11" x14ac:dyDescent="0.25">
      <c r="B149" s="86" t="str">
        <f>IF($C$133=0,"Tai'r Farchnad","")</f>
        <v>Tai'r Farchnad</v>
      </c>
      <c r="C149" s="88">
        <f>IF($C$133=0,'Cyfrifiadau - Cymru'!C29,"")</f>
        <v>3687.6833514404298</v>
      </c>
      <c r="D149" s="88">
        <f>IF($C$133=0,'Cyfrifiadau - Cymru'!D29,"")</f>
        <v>3769.7515658569337</v>
      </c>
      <c r="E149" s="88">
        <f>IF($C$133=0,'Cyfrifiadau - Cymru'!E29,"")</f>
        <v>4069.735627441406</v>
      </c>
      <c r="F149" s="88">
        <f>IF($C$133=0,'Cyfrifiadau - Cymru'!F29,"")</f>
        <v>3909.5476731872559</v>
      </c>
      <c r="G149" s="88">
        <f>IF($C$133=0,'Cyfrifiadau - Cymru'!G29,"")</f>
        <v>3845.0894996261595</v>
      </c>
      <c r="H149" s="86"/>
      <c r="I149" s="86"/>
      <c r="J149" s="86"/>
      <c r="K149" s="394"/>
    </row>
    <row r="150" spans="2:11" x14ac:dyDescent="0.25">
      <c r="B150" s="86" t="str">
        <f>IF($C$133=0,"Tai fforddiadwy","")</f>
        <v>Tai fforddiadwy</v>
      </c>
      <c r="C150" s="88">
        <f>IF($C$133=0,'Cyfrifiadau - Cymru'!C30,"")</f>
        <v>3406.5930218505855</v>
      </c>
      <c r="D150" s="88">
        <f>IF($C$133=0,'Cyfrifiadau - Cymru'!D30,"")</f>
        <v>3456.8928952026363</v>
      </c>
      <c r="E150" s="88">
        <f>IF($C$133=0,'Cyfrifiadau - Cymru'!E30,"")</f>
        <v>3640.7540942382811</v>
      </c>
      <c r="F150" s="88">
        <f>IF($C$133=0,'Cyfrifiadau - Cymru'!F30,"")</f>
        <v>3542.5743803405758</v>
      </c>
      <c r="G150" s="88">
        <f>IF($C$133=0,'Cyfrifiadau - Cymru'!G30,"")</f>
        <v>3503.067757835388</v>
      </c>
      <c r="H150" s="86"/>
      <c r="I150" s="86"/>
      <c r="J150" s="86"/>
      <c r="K150" s="394"/>
    </row>
    <row r="151" spans="2:11" x14ac:dyDescent="0.25">
      <c r="B151" s="86" t="str">
        <f>IF(C133=1,"Please complete table to view figures.","")</f>
        <v/>
      </c>
      <c r="C151" s="86" t="str">
        <f>C148</f>
        <v>2019/20</v>
      </c>
      <c r="D151" s="86" t="str">
        <f t="shared" ref="D151:G151" si="8">D148</f>
        <v>2020/21</v>
      </c>
      <c r="E151" s="86" t="str">
        <f t="shared" si="8"/>
        <v>2021/22</v>
      </c>
      <c r="F151" s="86" t="str">
        <f t="shared" si="8"/>
        <v>2022/23</v>
      </c>
      <c r="G151" s="86" t="str">
        <f t="shared" si="8"/>
        <v>2023/24</v>
      </c>
      <c r="H151" s="86"/>
      <c r="I151" s="86" t="str">
        <f>IF(C133=1,"","Rhaniad 5 mlynedd")</f>
        <v>Rhaniad 5 mlynedd</v>
      </c>
      <c r="J151" s="86"/>
      <c r="K151" s="394"/>
    </row>
    <row r="152" spans="2:11" x14ac:dyDescent="0.25">
      <c r="B152" s="86" t="str">
        <f>IF($C$133=0,"Tai'r Farchnad","")</f>
        <v>Tai'r Farchnad</v>
      </c>
      <c r="C152" s="89">
        <f>IF($C$133=1,"",C149/SUM(C$149:C$150))</f>
        <v>0.51981106421566203</v>
      </c>
      <c r="D152" s="89">
        <f>IF($C$133=1,"",D149/SUM(D$149:D$150))</f>
        <v>0.52164619225009068</v>
      </c>
      <c r="E152" s="89">
        <f t="shared" ref="D152:G153" si="9">IF($C$133=1,"",E149/SUM(E$149:E$150))</f>
        <v>0.52781804714666514</v>
      </c>
      <c r="F152" s="89">
        <f t="shared" si="9"/>
        <v>0.52462206672211942</v>
      </c>
      <c r="G152" s="89">
        <f t="shared" si="9"/>
        <v>0.52327261991048657</v>
      </c>
      <c r="H152" s="86"/>
      <c r="I152" s="89">
        <f>IF($C$133=1,"",SUM(C149:G149)/SUM(C149:G150))</f>
        <v>0.52351135088205047</v>
      </c>
      <c r="J152" s="86"/>
      <c r="K152" s="394"/>
    </row>
    <row r="153" spans="2:11" x14ac:dyDescent="0.25">
      <c r="B153" s="86" t="str">
        <f>IF($C$133=0,"Tai fforddiadwy","")</f>
        <v>Tai fforddiadwy</v>
      </c>
      <c r="C153" s="89">
        <f>IF($C$133=1,"",C150/SUM(C$149:C$150))</f>
        <v>0.48018893578433797</v>
      </c>
      <c r="D153" s="89">
        <f t="shared" si="9"/>
        <v>0.47835380774990927</v>
      </c>
      <c r="E153" s="89">
        <f t="shared" si="9"/>
        <v>0.47218195285333486</v>
      </c>
      <c r="F153" s="89">
        <f t="shared" si="9"/>
        <v>0.47537793327788053</v>
      </c>
      <c r="G153" s="89">
        <f t="shared" si="9"/>
        <v>0.47672738008951349</v>
      </c>
      <c r="H153" s="86"/>
      <c r="I153" s="89">
        <f>IF($C$133=1,"",SUM(C150:G150)/SUM(C149:G150))</f>
        <v>0.47648864911794958</v>
      </c>
      <c r="J153" s="86"/>
      <c r="K153" s="394"/>
    </row>
    <row r="154" spans="2:11" x14ac:dyDescent="0.25">
      <c r="C154" s="61"/>
      <c r="D154" s="61"/>
      <c r="E154" s="61"/>
      <c r="F154" s="61"/>
      <c r="G154" s="61"/>
      <c r="I154" s="61"/>
      <c r="K154" s="394"/>
    </row>
    <row r="155" spans="2:11" x14ac:dyDescent="0.25">
      <c r="C155" s="61"/>
      <c r="D155" s="61"/>
      <c r="E155" s="61"/>
      <c r="F155" s="61"/>
      <c r="G155" s="61"/>
      <c r="I155" s="61"/>
      <c r="K155" s="394"/>
    </row>
    <row r="156" spans="2:11" ht="13" x14ac:dyDescent="0.3">
      <c r="B156" s="81" t="s">
        <v>310</v>
      </c>
      <c r="C156" s="82"/>
      <c r="D156" s="82"/>
      <c r="E156" s="82"/>
      <c r="F156" s="82"/>
      <c r="G156" s="82"/>
      <c r="H156" s="82"/>
      <c r="I156" s="82"/>
      <c r="J156" s="82"/>
      <c r="K156" s="394"/>
    </row>
    <row r="157" spans="2:11" x14ac:dyDescent="0.25">
      <c r="B157" s="82" t="str">
        <f>IF(C145=1,"Cwblhewch y tabl i weld amcangyfrifon wedi'u rhannu'n 4 deiliadaeth.","")</f>
        <v>Cwblhewch y tabl i weld amcangyfrifon wedi'u rhannu'n 4 deiliadaeth.</v>
      </c>
      <c r="C157" s="83" t="str">
        <f>IF($C$145=0,Year1,"")</f>
        <v/>
      </c>
      <c r="D157" s="83" t="str">
        <f>IF($C$145=0,Year2,"")</f>
        <v/>
      </c>
      <c r="E157" s="83" t="str">
        <f>IF($C$145=0,Year3,"")</f>
        <v/>
      </c>
      <c r="F157" s="83" t="str">
        <f>IF($C$145=0,Year4,"")</f>
        <v/>
      </c>
      <c r="G157" s="83" t="str">
        <f>IF($C$145=0,Year5,"")</f>
        <v/>
      </c>
      <c r="H157" s="82"/>
      <c r="I157" s="82"/>
      <c r="J157" s="82"/>
      <c r="K157" s="394"/>
    </row>
    <row r="158" spans="2:11" x14ac:dyDescent="0.25">
      <c r="B158" s="82" t="str">
        <f>IF($C$145=0,"Perchen-feddiannydd","")</f>
        <v/>
      </c>
      <c r="C158" s="83" t="str">
        <f>IF($C$145=0,'Cyfrifiadau - Cymru'!C59,"")</f>
        <v/>
      </c>
      <c r="D158" s="83" t="str">
        <f>IF($C$145=0,'Cyfrifiadau - Cymru'!D59,"")</f>
        <v/>
      </c>
      <c r="E158" s="83" t="str">
        <f>IF($C$145=0,'Cyfrifiadau - Cymru'!E59,"")</f>
        <v/>
      </c>
      <c r="F158" s="83" t="str">
        <f>IF($C$145=0,'Cyfrifiadau - Cymru'!F59,"")</f>
        <v/>
      </c>
      <c r="G158" s="83" t="str">
        <f>IF($C$145=0,'Cyfrifiadau - Cymru'!G59,"")</f>
        <v/>
      </c>
      <c r="H158" s="82"/>
      <c r="I158" s="82"/>
      <c r="J158" s="82"/>
      <c r="K158" s="394"/>
    </row>
    <row r="159" spans="2:11" x14ac:dyDescent="0.25">
      <c r="B159" s="82" t="str">
        <f>IF($C$145=0,"Y Sector Rhenti Preifat","")</f>
        <v/>
      </c>
      <c r="C159" s="83" t="str">
        <f>IF($C$145=0,'Cyfrifiadau - Cymru'!C60,"")</f>
        <v/>
      </c>
      <c r="D159" s="83" t="str">
        <f>IF($C$145=0,'Cyfrifiadau - Cymru'!D60,"")</f>
        <v/>
      </c>
      <c r="E159" s="83" t="str">
        <f>IF($C$145=0,'Cyfrifiadau - Cymru'!E60,"")</f>
        <v/>
      </c>
      <c r="F159" s="83" t="str">
        <f>IF($C$145=0,'Cyfrifiadau - Cymru'!F60,"")</f>
        <v/>
      </c>
      <c r="G159" s="83" t="str">
        <f>IF($C$145=0,'Cyfrifiadau - Cymru'!G60,"")</f>
        <v/>
      </c>
      <c r="H159" s="82"/>
      <c r="I159" s="82"/>
      <c r="J159" s="82"/>
      <c r="K159" s="394"/>
    </row>
    <row r="160" spans="2:11" x14ac:dyDescent="0.25">
      <c r="B160" s="82" t="str">
        <f>IF($C$145=0,"Rhent gymdeithasol","")</f>
        <v/>
      </c>
      <c r="C160" s="83" t="str">
        <f>IF($C$145=0,'Cyfrifiadau - Cymru'!C61,"")</f>
        <v/>
      </c>
      <c r="D160" s="83" t="str">
        <f>IF($C$145=0,'Cyfrifiadau - Cymru'!D61,"")</f>
        <v/>
      </c>
      <c r="E160" s="83" t="str">
        <f>IF($C$145=0,'Cyfrifiadau - Cymru'!E61,"")</f>
        <v/>
      </c>
      <c r="F160" s="83" t="str">
        <f>IF($C$145=0,'Cyfrifiadau - Cymru'!F61,"")</f>
        <v/>
      </c>
      <c r="G160" s="83" t="str">
        <f>IF($C$145=0,'Cyfrifiadau - Cymru'!G61,"")</f>
        <v/>
      </c>
      <c r="H160" s="82"/>
      <c r="I160" s="82"/>
      <c r="J160" s="82"/>
      <c r="K160" s="394"/>
    </row>
    <row r="161" spans="2:24" x14ac:dyDescent="0.25">
      <c r="B161" s="82" t="str">
        <f>IF($C$145=0,"Rhent ganolradd","")</f>
        <v/>
      </c>
      <c r="C161" s="83" t="str">
        <f>IF($C$145=0,'Cyfrifiadau - Cymru'!C62,"")</f>
        <v/>
      </c>
      <c r="D161" s="83" t="str">
        <f>IF($C$145=0,'Cyfrifiadau - Cymru'!D62,"")</f>
        <v/>
      </c>
      <c r="E161" s="83" t="str">
        <f>IF($C$145=0,'Cyfrifiadau - Cymru'!E62,"")</f>
        <v/>
      </c>
      <c r="F161" s="83" t="str">
        <f>IF($C$145=0,'Cyfrifiadau - Cymru'!F62,"")</f>
        <v/>
      </c>
      <c r="G161" s="83" t="str">
        <f>IF($C$145=0,'Cyfrifiadau - Cymru'!G62,"")</f>
        <v/>
      </c>
      <c r="H161" s="82"/>
      <c r="I161" s="82"/>
      <c r="J161" s="82"/>
      <c r="K161" s="394"/>
    </row>
    <row r="162" spans="2:24" x14ac:dyDescent="0.25">
      <c r="B162" s="82" t="str">
        <f>IF(C145=1,"Cwblhewch y tabl i weld amcangyfrifon wedi'u rhannu'n 4 deiliadaeth.","")</f>
        <v>Cwblhewch y tabl i weld amcangyfrifon wedi'u rhannu'n 4 deiliadaeth.</v>
      </c>
      <c r="C162" s="83" t="str">
        <f>IF($C$145=0,Year1,"")</f>
        <v/>
      </c>
      <c r="D162" s="83" t="str">
        <f>IF($C$145=0,Year2,"")</f>
        <v/>
      </c>
      <c r="E162" s="83" t="str">
        <f>IF($C$145=0,Year3,"")</f>
        <v/>
      </c>
      <c r="F162" s="83" t="str">
        <f>IF($C$145=0,Year4,"")</f>
        <v/>
      </c>
      <c r="G162" s="83" t="str">
        <f>IF($C$145=0,Year5,"")</f>
        <v/>
      </c>
      <c r="H162" s="82"/>
      <c r="I162" s="82" t="str">
        <f>IF(C145=1,"","Rhaniad 5 mlynedd")</f>
        <v/>
      </c>
      <c r="J162" s="82"/>
      <c r="K162" s="394"/>
    </row>
    <row r="163" spans="2:24" x14ac:dyDescent="0.25">
      <c r="B163" s="82" t="str">
        <f>IF($C$145=0,"Perchen-feddiannydd","")</f>
        <v/>
      </c>
      <c r="C163" s="84" t="str">
        <f>IF($C$145=1,"",C158/SUM(C$158:C$161))</f>
        <v/>
      </c>
      <c r="D163" s="84" t="str">
        <f t="shared" ref="D163:G163" si="10">IF($C$145=1,"",D158/SUM(D$158:D$161))</f>
        <v/>
      </c>
      <c r="E163" s="84" t="str">
        <f t="shared" si="10"/>
        <v/>
      </c>
      <c r="F163" s="84" t="str">
        <f t="shared" si="10"/>
        <v/>
      </c>
      <c r="G163" s="84" t="str">
        <f t="shared" si="10"/>
        <v/>
      </c>
      <c r="H163" s="82"/>
      <c r="I163" s="84" t="str">
        <f>IF($C$145=1,"",SUM(C158:G158)/SUM($C$158:$G$161))</f>
        <v/>
      </c>
      <c r="J163" s="82"/>
      <c r="K163" s="394"/>
    </row>
    <row r="164" spans="2:24" x14ac:dyDescent="0.25">
      <c r="B164" s="82" t="str">
        <f>IF($C$145=0,"Y Sector Rhenti Preifat","")</f>
        <v/>
      </c>
      <c r="C164" s="84" t="str">
        <f t="shared" ref="C164:G164" si="11">IF($C$145=1,"",C159/SUM(C$158:C$161))</f>
        <v/>
      </c>
      <c r="D164" s="84" t="str">
        <f t="shared" si="11"/>
        <v/>
      </c>
      <c r="E164" s="84" t="str">
        <f t="shared" si="11"/>
        <v/>
      </c>
      <c r="F164" s="84" t="str">
        <f t="shared" si="11"/>
        <v/>
      </c>
      <c r="G164" s="84" t="str">
        <f t="shared" si="11"/>
        <v/>
      </c>
      <c r="H164" s="82"/>
      <c r="I164" s="84" t="str">
        <f t="shared" ref="I164:I166" si="12">IF($C$145=1,"",SUM(C159:G159)/SUM($C$158:$G$161))</f>
        <v/>
      </c>
      <c r="J164" s="82"/>
      <c r="K164" s="394"/>
    </row>
    <row r="165" spans="2:24" x14ac:dyDescent="0.25">
      <c r="B165" s="82" t="str">
        <f>IF($C$145=0,"Rhent gymdeithasol","")</f>
        <v/>
      </c>
      <c r="C165" s="84" t="str">
        <f t="shared" ref="C165:G166" si="13">IF($C$145=1,"",C160/SUM(C$158:C$161))</f>
        <v/>
      </c>
      <c r="D165" s="84" t="str">
        <f t="shared" si="13"/>
        <v/>
      </c>
      <c r="E165" s="84" t="str">
        <f t="shared" si="13"/>
        <v/>
      </c>
      <c r="F165" s="84" t="str">
        <f t="shared" si="13"/>
        <v/>
      </c>
      <c r="G165" s="84" t="str">
        <f t="shared" si="13"/>
        <v/>
      </c>
      <c r="H165" s="82"/>
      <c r="I165" s="84" t="str">
        <f t="shared" si="12"/>
        <v/>
      </c>
      <c r="J165" s="82"/>
      <c r="K165" s="394"/>
    </row>
    <row r="166" spans="2:24" x14ac:dyDescent="0.25">
      <c r="B166" s="82" t="str">
        <f>IF($C$145=0,"Rhent ganolradd","")</f>
        <v/>
      </c>
      <c r="C166" s="84" t="str">
        <f>IF($C$145=1,"",C161/SUM(C$158:C$161))</f>
        <v/>
      </c>
      <c r="D166" s="84" t="str">
        <f t="shared" si="13"/>
        <v/>
      </c>
      <c r="E166" s="84" t="str">
        <f t="shared" si="13"/>
        <v/>
      </c>
      <c r="F166" s="84" t="str">
        <f t="shared" si="13"/>
        <v/>
      </c>
      <c r="G166" s="84" t="str">
        <f t="shared" si="13"/>
        <v/>
      </c>
      <c r="H166" s="82"/>
      <c r="I166" s="84" t="str">
        <f t="shared" si="12"/>
        <v/>
      </c>
      <c r="J166" s="82"/>
      <c r="K166" s="395"/>
    </row>
    <row r="167" spans="2:24" x14ac:dyDescent="0.25">
      <c r="C167" s="61"/>
      <c r="D167" s="61"/>
      <c r="E167" s="61"/>
      <c r="F167" s="61"/>
      <c r="G167" s="61"/>
      <c r="I167" s="61"/>
    </row>
    <row r="168" spans="2:24" ht="13" hidden="1" x14ac:dyDescent="0.3">
      <c r="B168" s="46" t="s">
        <v>307</v>
      </c>
      <c r="C168" s="61"/>
      <c r="D168" s="61"/>
      <c r="E168" s="61"/>
      <c r="F168" s="61"/>
      <c r="G168" s="61"/>
      <c r="I168" s="61"/>
    </row>
    <row r="169" spans="2:24" hidden="1" x14ac:dyDescent="0.25">
      <c r="C169" s="61" t="s">
        <v>362</v>
      </c>
      <c r="D169" s="61" t="s">
        <v>356</v>
      </c>
      <c r="E169" s="61" t="s">
        <v>357</v>
      </c>
      <c r="F169" s="61" t="s">
        <v>358</v>
      </c>
      <c r="G169" s="61" t="s">
        <v>359</v>
      </c>
      <c r="H169" s="61" t="s">
        <v>360</v>
      </c>
      <c r="I169" s="61" t="s">
        <v>361</v>
      </c>
      <c r="J169" s="58" t="e">
        <f>". Mae gan brynwyr am y tro cyntaf gymhareb fforddiadwyedd o "&amp;C175&amp;" a gallant brynu eiddo am y tro cyntaf yn ôl  "&amp;C176&amp;" canradd dosbarthiad prisiau tai.. "&amp;C177</f>
        <v>#VALUE!</v>
      </c>
    </row>
    <row r="170" spans="2:24" hidden="1" x14ac:dyDescent="0.25">
      <c r="B170" s="47" t="s">
        <v>220</v>
      </c>
      <c r="C170" s="383" t="str">
        <f>IF(D6="Amcanestyniadau Defnyddwyr","amcanestyniadau'r aelwyd gan y defnyddiwr,",("amcanestyniadau aelwydydd gan Llywodraeth Cymru sy'n seiliedig ar 2018 "&amp;"("&amp;D6&amp;")"))</f>
        <v>amcanestyniadau aelwydydd gan Llywodraeth Cymru sy'n seiliedig ar 2018 (Prif Amcanestyniadau)</v>
      </c>
      <c r="D170" s="61"/>
      <c r="E170" s="61"/>
      <c r="F170" s="61"/>
      <c r="G170" s="61"/>
      <c r="I170" s="61"/>
    </row>
    <row r="171" spans="2:24" ht="15" hidden="1" customHeight="1" x14ac:dyDescent="0.25">
      <c r="B171" s="47" t="s">
        <v>165</v>
      </c>
      <c r="C171" s="384" t="str">
        <f>IF(D7="Amcangyfrifon LlC",'Angen Presennol Nas Diwallwyd'!C13,'Angen Presennol Nas Diwallwyd'!C24)&amp;" aelwydydd o ran angen presennol nas diwallwyd "</f>
        <v xml:space="preserve">5732 aelwydydd o ran angen presennol nas diwallwyd </v>
      </c>
      <c r="D171" s="61"/>
      <c r="E171" s="61"/>
      <c r="F171" s="61"/>
      <c r="G171" s="61"/>
      <c r="J171" s="62"/>
      <c r="K171" s="62"/>
      <c r="L171" s="62"/>
      <c r="M171" s="62"/>
      <c r="N171" s="62"/>
      <c r="O171" s="62"/>
      <c r="P171" s="62"/>
      <c r="R171" s="62"/>
      <c r="S171" s="62"/>
      <c r="T171" s="62"/>
      <c r="U171" s="62"/>
      <c r="V171" s="62"/>
      <c r="W171" s="62"/>
      <c r="X171" s="62"/>
    </row>
    <row r="172" spans="2:24" hidden="1" x14ac:dyDescent="0.25">
      <c r="B172" s="47" t="s">
        <v>321</v>
      </c>
      <c r="C172" s="61" t="str">
        <f>IF(D8="Arall", " amcangyfrifon defnyddwyr "," Ddata Llywodraeth Cymru ")</f>
        <v xml:space="preserve"> Ddata Llywodraeth Cymru </v>
      </c>
      <c r="D172" s="61"/>
      <c r="E172" s="61"/>
      <c r="F172" s="61"/>
      <c r="G172" s="61"/>
      <c r="I172" s="62"/>
      <c r="J172" s="62"/>
      <c r="K172" s="62"/>
      <c r="L172" s="62"/>
      <c r="M172" s="62"/>
      <c r="N172" s="62"/>
      <c r="O172" s="62"/>
      <c r="P172" s="62"/>
      <c r="R172" s="62"/>
      <c r="S172" s="62"/>
      <c r="T172" s="62"/>
      <c r="U172" s="62"/>
      <c r="V172" s="62"/>
      <c r="W172" s="62"/>
      <c r="X172" s="62"/>
    </row>
    <row r="173" spans="2:24" hidden="1" x14ac:dyDescent="0.25">
      <c r="B173" s="47" t="s">
        <v>88</v>
      </c>
      <c r="C173" s="61" t="str">
        <f>IF(D18="Arall", " amcangyfrifon defnyddwyr"," Ddata Cofrestrfa Tir")</f>
        <v xml:space="preserve"> Ddata Cofrestrfa Tir</v>
      </c>
      <c r="D173" s="61"/>
      <c r="E173" s="61"/>
      <c r="F173" s="61"/>
      <c r="G173" s="61"/>
      <c r="I173" s="62"/>
      <c r="J173" s="62"/>
      <c r="K173" s="62"/>
      <c r="L173" s="62"/>
      <c r="M173" s="62"/>
      <c r="N173" s="62"/>
      <c r="O173" s="62"/>
      <c r="P173" s="62"/>
      <c r="R173" s="62"/>
      <c r="S173" s="62"/>
      <c r="T173" s="62"/>
      <c r="U173" s="62"/>
      <c r="V173" s="62"/>
      <c r="W173" s="62"/>
      <c r="X173" s="62"/>
    </row>
    <row r="174" spans="2:24" hidden="1" x14ac:dyDescent="0.25">
      <c r="B174" s="47" t="s">
        <v>55</v>
      </c>
      <c r="C174" s="61" t="str">
        <f>IF(D9="Arall", " amcangyfrifon defnyddwyr"," Ddata Llywodraeth Cymru")</f>
        <v xml:space="preserve"> Ddata Llywodraeth Cymru</v>
      </c>
      <c r="D174" s="61"/>
      <c r="E174" s="61"/>
      <c r="F174" s="61"/>
      <c r="G174" s="61"/>
      <c r="I174" s="62"/>
      <c r="J174" s="62"/>
      <c r="K174" s="62"/>
      <c r="L174" s="62"/>
      <c r="M174" s="62"/>
      <c r="N174" s="62"/>
      <c r="O174" s="62"/>
      <c r="P174" s="62"/>
      <c r="R174" s="62"/>
      <c r="S174" s="62"/>
      <c r="T174" s="62"/>
      <c r="U174" s="62"/>
      <c r="V174" s="62"/>
      <c r="W174" s="62"/>
      <c r="X174" s="62"/>
    </row>
    <row r="175" spans="2:24" hidden="1" x14ac:dyDescent="0.25">
      <c r="B175" s="47" t="s">
        <v>315</v>
      </c>
      <c r="C175" s="385">
        <f>C114</f>
        <v>4.03</v>
      </c>
      <c r="D175" s="61"/>
      <c r="E175" s="61"/>
      <c r="F175" s="61"/>
      <c r="G175" s="61"/>
      <c r="I175" s="62"/>
      <c r="J175" s="62"/>
      <c r="K175" s="62"/>
      <c r="L175" s="62"/>
      <c r="M175" s="62"/>
      <c r="N175" s="62"/>
      <c r="O175" s="62"/>
      <c r="P175" s="62"/>
      <c r="R175" s="62"/>
      <c r="S175" s="62"/>
      <c r="T175" s="62"/>
      <c r="U175" s="62"/>
      <c r="V175" s="62"/>
      <c r="W175" s="62"/>
      <c r="X175" s="62"/>
    </row>
    <row r="176" spans="2:24" hidden="1" x14ac:dyDescent="0.25">
      <c r="B176" s="47" t="s">
        <v>316</v>
      </c>
      <c r="C176" s="385">
        <f>C115</f>
        <v>40</v>
      </c>
      <c r="D176" s="61"/>
      <c r="E176" s="61"/>
      <c r="F176" s="61"/>
      <c r="G176" s="61"/>
      <c r="I176" s="62"/>
      <c r="J176" s="62"/>
      <c r="K176" s="62"/>
      <c r="L176" s="62"/>
      <c r="M176" s="62"/>
      <c r="N176" s="62"/>
      <c r="O176" s="62"/>
      <c r="P176" s="62"/>
      <c r="R176" s="62"/>
      <c r="S176" s="62"/>
      <c r="T176" s="62"/>
      <c r="U176" s="62"/>
      <c r="V176" s="62"/>
      <c r="W176" s="62"/>
      <c r="X176" s="62"/>
    </row>
    <row r="177" spans="2:23" hidden="1" x14ac:dyDescent="0.25">
      <c r="B177" s="47" t="s">
        <v>322</v>
      </c>
      <c r="C177" s="383" t="e">
        <f>C116*100&amp;"% o brynwyr potensial am y tro cyntaf sy'n mynd ymlaen i brynu eiddo. "</f>
        <v>#VALUE!</v>
      </c>
      <c r="D177" s="61"/>
      <c r="E177" s="61"/>
      <c r="F177" s="61"/>
      <c r="G177" s="61"/>
      <c r="I177" s="62"/>
      <c r="J177" s="62"/>
      <c r="K177" s="62"/>
      <c r="L177" s="62"/>
      <c r="M177" s="62"/>
      <c r="N177" s="62"/>
      <c r="O177" s="62"/>
      <c r="P177" s="62"/>
      <c r="R177" s="62"/>
      <c r="S177" s="62"/>
      <c r="T177" s="62"/>
      <c r="U177" s="62"/>
      <c r="V177" s="62"/>
      <c r="W177" s="62"/>
    </row>
    <row r="178" spans="2:23" hidden="1" x14ac:dyDescent="0.25">
      <c r="B178" s="47" t="s">
        <v>355</v>
      </c>
      <c r="C178" s="61" t="str">
        <f>"Gall aelwydydd sy'n gwario "&amp;C108*100&amp;"% o incwm yr aelwyd ar rent preifat canolrifol fforddio rhent preifat,"</f>
        <v>Gall aelwydydd sy'n gwario 30% o incwm yr aelwyd ar rent preifat canolrifol fforddio rhent preifat,</v>
      </c>
      <c r="D178" s="61"/>
      <c r="E178" s="61"/>
      <c r="F178" s="61"/>
      <c r="G178" s="61"/>
      <c r="I178" s="61"/>
    </row>
    <row r="179" spans="2:23" hidden="1" x14ac:dyDescent="0.25">
      <c r="B179" s="47" t="s">
        <v>326</v>
      </c>
      <c r="C179" s="61" t="str">
        <f>"Mae aelwydydd sy'n gwario "&amp;C117*100&amp;"% o incwm yr aelwyd ar rent preifat 30 canradd yn addas ar gyfer dai cymdeithasol."</f>
        <v>Mae aelwydydd sy'n gwario 35% o incwm yr aelwyd ar rent preifat 30 canradd yn addas ar gyfer dai cymdeithasol.</v>
      </c>
      <c r="D179" s="61"/>
      <c r="E179" s="61"/>
      <c r="F179" s="61"/>
      <c r="G179" s="61"/>
      <c r="I179" s="61"/>
    </row>
    <row r="180" spans="2:23" hidden="1" x14ac:dyDescent="0.25">
      <c r="B180" s="47" t="s">
        <v>327</v>
      </c>
      <c r="C180" s="61" t="str">
        <f>" a fydd yn cymryd "&amp;'Angen Presennol Nas Diwallwyd'!C29&amp;" mlynedd i'w diwallu."</f>
        <v xml:space="preserve"> a fydd yn cymryd 5 mlynedd i'w diwallu.</v>
      </c>
      <c r="D180" s="61"/>
      <c r="E180" s="61"/>
      <c r="F180" s="61"/>
      <c r="G180" s="61"/>
      <c r="I180" s="61"/>
    </row>
    <row r="181" spans="2:23" hidden="1" x14ac:dyDescent="0.25">
      <c r="B181" s="47" t="s">
        <v>80</v>
      </c>
      <c r="C181" s="61" t="str">
        <f>". Mae'r newid blynyddol i incwm canolrifol yr aelwyd yn seiliedig ar "&amp;IF(D14="Arall","amcangyfrifon defnyddwyr","amcangyfrifon wedi'u rhagosod")</f>
        <v>. Mae'r newid blynyddol i incwm canolrifol yr aelwyd yn seiliedig ar amcangyfrifon wedi'u rhagosod</v>
      </c>
      <c r="D181" s="61"/>
      <c r="E181" s="61"/>
      <c r="F181" s="61"/>
      <c r="G181" s="61"/>
      <c r="I181" s="61"/>
    </row>
    <row r="182" spans="2:23" hidden="1" x14ac:dyDescent="0.25">
      <c r="B182" s="47" t="s">
        <v>86</v>
      </c>
      <c r="C182" s="61" t="str">
        <f>", mae'r newid blynyddol i ddosbarthiad incwm yr aelwyd yn seiliedig ar "&amp;IF(D15="Arall","amcangyfrifon defnyddwyr","amcangyfrifon wedi'u rhagosod")</f>
        <v>, mae'r newid blynyddol i ddosbarthiad incwm yr aelwyd yn seiliedig ar amcangyfrifon wedi'u rhagosod</v>
      </c>
      <c r="D182" s="61"/>
      <c r="E182" s="61"/>
      <c r="F182" s="61"/>
      <c r="G182" s="61"/>
      <c r="I182" s="61"/>
    </row>
    <row r="183" spans="2:23" hidden="1" x14ac:dyDescent="0.25">
      <c r="B183" s="47" t="s">
        <v>320</v>
      </c>
      <c r="C183" s="61" t="str">
        <f>", mae'r newid blynyddol i brisiau tai yn seiliedig ar "&amp;IF(D25="Arall","amcangyfrifon defnyddwyr","amcangyfrifon wedi'u rhagosod")</f>
        <v>, mae'r newid blynyddol i brisiau tai yn seiliedig ar amcangyfrifon wedi'u rhagosod</v>
      </c>
      <c r="D183" s="61"/>
      <c r="E183" s="61"/>
      <c r="F183" s="61"/>
      <c r="G183" s="61"/>
      <c r="I183" s="61"/>
    </row>
    <row r="184" spans="2:23" hidden="1" x14ac:dyDescent="0.25">
      <c r="B184" s="47" t="s">
        <v>117</v>
      </c>
      <c r="C184" s="61" t="str">
        <f>" ac mae'r newid blynyddol i brisiau rhenti yn seiliedig ar "&amp;IF(D16="Arall","amcangyfrifon y defnyddwyr","amcangyfrifon wedi'u rhagosod.")</f>
        <v xml:space="preserve"> ac mae'r newid blynyddol i brisiau rhenti yn seiliedig ar amcangyfrifon wedi'u rhagosod.</v>
      </c>
      <c r="D184" s="61"/>
      <c r="E184" s="61"/>
      <c r="F184" s="61"/>
      <c r="G184" s="61"/>
      <c r="I184" s="61"/>
    </row>
    <row r="185" spans="2:23" hidden="1" x14ac:dyDescent="0.25">
      <c r="C185" s="61"/>
      <c r="D185" s="61"/>
      <c r="E185" s="61"/>
      <c r="F185" s="61"/>
      <c r="G185" s="61"/>
      <c r="I185" s="61"/>
    </row>
    <row r="186" spans="2:23" s="58" customFormat="1" ht="13" hidden="1" x14ac:dyDescent="0.3">
      <c r="B186" s="387" t="s">
        <v>308</v>
      </c>
      <c r="C186" s="383"/>
      <c r="D186" s="383"/>
      <c r="E186" s="383"/>
      <c r="F186" s="383"/>
      <c r="G186" s="383"/>
      <c r="I186" s="383"/>
    </row>
    <row r="187" spans="2:23" s="58" customFormat="1" hidden="1" x14ac:dyDescent="0.25">
      <c r="B187" s="388" t="str">
        <f>C169&amp;E169&amp;C170&amp;F169&amp;C171&amp;C180&amp;H169&amp;C172&amp;I169&amp;C174&amp;C181&amp;C182&amp;C184</f>
        <v>Mae'r ffigurau isod yn rhannu yr amcangyfrifon o'r angen am dai yn 2 deiliadaeth ac maent yn seiliedig ar y rhagdybiaethau canlynol. Mae amcangyfrifon sylfaenol yr unedau tai ychwanegol wedi'u seilio ar  amcanestyniadau aelwydydd gan Llywodraeth Cymru sy'n seiliedig ar 2018 (Prif Amcanestyniadau), ac amcangyfrif o 5732 aelwydydd o ran angen presennol nas diwallwyd  a fydd yn cymryd 5 mlynedd i'w diwallu.Mae data ar incwm yn seiliedig ar  Ddata Llywodraeth Cymru ac mae data ar renti preifat yn seiliedig ar  Ddata Llywodraeth Cymru. Mae'r newid blynyddol i incwm canolrifol yr aelwyd yn seiliedig ar amcangyfrifon wedi'u rhagosod, mae'r newid blynyddol i ddosbarthiad incwm yr aelwyd yn seiliedig ar amcangyfrifon wedi'u rhagosod ac mae'r newid blynyddol i brisiau rhenti yn seiliedig ar amcangyfrifon wedi'u rhagosod.</v>
      </c>
      <c r="C187" s="383"/>
      <c r="D187" s="383"/>
      <c r="E187" s="383"/>
      <c r="F187" s="383"/>
      <c r="G187" s="383"/>
      <c r="I187" s="383"/>
    </row>
    <row r="188" spans="2:23" s="58" customFormat="1" ht="13" hidden="1" x14ac:dyDescent="0.3">
      <c r="B188" s="387" t="str">
        <f>IF(C133=1,"Estimates will not appear below until the above table is complete.",B187)</f>
        <v>Mae'r ffigurau isod yn rhannu yr amcangyfrifon o'r angen am dai yn 2 deiliadaeth ac maent yn seiliedig ar y rhagdybiaethau canlynol. Mae amcangyfrifon sylfaenol yr unedau tai ychwanegol wedi'u seilio ar  amcanestyniadau aelwydydd gan Llywodraeth Cymru sy'n seiliedig ar 2018 (Prif Amcanestyniadau), ac amcangyfrif o 5732 aelwydydd o ran angen presennol nas diwallwyd  a fydd yn cymryd 5 mlynedd i'w diwallu.Mae data ar incwm yn seiliedig ar  Ddata Llywodraeth Cymru ac mae data ar renti preifat yn seiliedig ar  Ddata Llywodraeth Cymru. Mae'r newid blynyddol i incwm canolrifol yr aelwyd yn seiliedig ar amcangyfrifon wedi'u rhagosod, mae'r newid blynyddol i ddosbarthiad incwm yr aelwyd yn seiliedig ar amcangyfrifon wedi'u rhagosod ac mae'r newid blynyddol i brisiau rhenti yn seiliedig ar amcangyfrifon wedi'u rhagosod.</v>
      </c>
      <c r="C188" s="383"/>
      <c r="D188" s="383"/>
      <c r="E188" s="383"/>
      <c r="F188" s="383"/>
      <c r="G188" s="383"/>
      <c r="I188" s="383"/>
    </row>
    <row r="189" spans="2:23" s="58" customFormat="1" ht="13" hidden="1" x14ac:dyDescent="0.3">
      <c r="B189" s="387"/>
      <c r="C189" s="383"/>
      <c r="D189" s="383"/>
      <c r="E189" s="383"/>
      <c r="F189" s="383"/>
      <c r="G189" s="383"/>
      <c r="I189" s="383"/>
    </row>
    <row r="190" spans="2:23" s="58" customFormat="1" ht="13" hidden="1" x14ac:dyDescent="0.3">
      <c r="B190" s="387" t="s">
        <v>317</v>
      </c>
      <c r="C190" s="383"/>
      <c r="D190" s="383"/>
      <c r="E190" s="383"/>
      <c r="F190" s="383"/>
      <c r="G190" s="383"/>
      <c r="I190" s="383"/>
    </row>
    <row r="191" spans="2:23" s="58" customFormat="1" hidden="1" x14ac:dyDescent="0.25">
      <c r="B191" s="58" t="e">
        <f>D169&amp;G169&amp;C173&amp;C183&amp;J169&amp;C179</f>
        <v>#VALUE!</v>
      </c>
      <c r="C191" s="383"/>
      <c r="D191" s="383"/>
      <c r="E191" s="383"/>
      <c r="F191" s="383"/>
      <c r="G191" s="383"/>
      <c r="I191" s="383"/>
    </row>
    <row r="192" spans="2:23" s="58" customFormat="1" ht="13" hidden="1" x14ac:dyDescent="0.3">
      <c r="B192" s="387" t="str">
        <f>IF(C145=1,"Ni fydd amcangyfrifon wedi'u rhannu'n 4 deiliadaeth yn ymddangos hyd nes bod y tabl uchod wedi'i gwblhau.",B191)</f>
        <v>Ni fydd amcangyfrifon wedi'u rhannu'n 4 deiliadaeth yn ymddangos hyd nes bod y tabl uchod wedi'i gwblhau.</v>
      </c>
      <c r="C192" s="383"/>
      <c r="D192" s="383"/>
      <c r="E192" s="383"/>
      <c r="F192" s="383"/>
      <c r="G192" s="383"/>
      <c r="I192" s="383"/>
    </row>
    <row r="193" spans="2:9" hidden="1" x14ac:dyDescent="0.25">
      <c r="C193" s="61"/>
      <c r="D193" s="61"/>
      <c r="E193" s="61"/>
      <c r="F193" s="61"/>
      <c r="G193" s="61"/>
      <c r="I193" s="61"/>
    </row>
    <row r="194" spans="2:9" hidden="1" x14ac:dyDescent="0.25">
      <c r="B194" s="47" t="s">
        <v>329</v>
      </c>
      <c r="I194" s="61"/>
    </row>
    <row r="195" spans="2:9" hidden="1" x14ac:dyDescent="0.25">
      <c r="B195" s="47" t="s">
        <v>331</v>
      </c>
      <c r="I195" s="61"/>
    </row>
    <row r="196" spans="2:9" hidden="1" x14ac:dyDescent="0.25">
      <c r="B196" s="47" t="s">
        <v>391</v>
      </c>
      <c r="I196" s="61"/>
    </row>
    <row r="197" spans="2:9" hidden="1" x14ac:dyDescent="0.25">
      <c r="B197" s="47" t="s">
        <v>332</v>
      </c>
      <c r="I197" s="61"/>
    </row>
    <row r="198" spans="2:9" hidden="1" x14ac:dyDescent="0.25">
      <c r="B198" s="386" t="str">
        <f>"'Amcanestyniadau Aelwydydd'"</f>
        <v>'Amcanestyniadau Aelwydydd'</v>
      </c>
      <c r="C198" s="58"/>
      <c r="I198" s="61"/>
    </row>
    <row r="199" spans="2:9" hidden="1" x14ac:dyDescent="0.25">
      <c r="B199" s="58" t="str">
        <f>"'Angen Presennol Nas Diwallwyd'"</f>
        <v>'Angen Presennol Nas Diwallwyd'</v>
      </c>
      <c r="C199" s="58"/>
      <c r="I199" s="61"/>
    </row>
    <row r="200" spans="2:9" hidden="1" x14ac:dyDescent="0.25">
      <c r="B200" s="58" t="str">
        <f>"'Incwm (Cymru)'"</f>
        <v>'Incwm (Cymru)'</v>
      </c>
      <c r="C200" s="58"/>
      <c r="I200" s="61"/>
    </row>
    <row r="201" spans="2:9" hidden="1" x14ac:dyDescent="0.25">
      <c r="B201" s="58" t="str">
        <f>"'Prisiau Tai (Cymru)'"</f>
        <v>'Prisiau Tai (Cymru)'</v>
      </c>
      <c r="C201" s="58"/>
      <c r="I201" s="61"/>
    </row>
    <row r="202" spans="2:9" hidden="1" x14ac:dyDescent="0.25">
      <c r="B202" s="58" t="str">
        <f>"'Prisiau Rhenti'"</f>
        <v>'Prisiau Rhenti'</v>
      </c>
      <c r="C202" s="58"/>
      <c r="I202" s="61"/>
    </row>
    <row r="203" spans="2:9" hidden="1" x14ac:dyDescent="0.25">
      <c r="B203" s="58" t="str">
        <f>"'Rhagdybiaeth Blynyddol'"</f>
        <v>'Rhagdybiaeth Blynyddol'</v>
      </c>
      <c r="C203" s="58"/>
      <c r="I203" s="61"/>
    </row>
    <row r="204" spans="2:9" hidden="1" x14ac:dyDescent="0.25">
      <c r="B204" s="58" t="str">
        <f>"'Rhagolygon y Dyfodol'"</f>
        <v>'Rhagolygon y Dyfodol'</v>
      </c>
      <c r="C204" s="58"/>
      <c r="I204" s="61"/>
    </row>
    <row r="205" spans="2:9" x14ac:dyDescent="0.25">
      <c r="B205" s="58"/>
      <c r="C205" s="58"/>
      <c r="I205" s="61"/>
    </row>
    <row r="206" spans="2:9" x14ac:dyDescent="0.25">
      <c r="I206" s="61"/>
    </row>
    <row r="207" spans="2:9" x14ac:dyDescent="0.25">
      <c r="I207" s="61"/>
    </row>
  </sheetData>
  <mergeCells count="30">
    <mergeCell ref="I101:J101"/>
    <mergeCell ref="I102:J102"/>
    <mergeCell ref="I103:J103"/>
    <mergeCell ref="I104:J104"/>
    <mergeCell ref="B5:B16"/>
    <mergeCell ref="B17:B25"/>
    <mergeCell ref="I62:J62"/>
    <mergeCell ref="I63:J63"/>
    <mergeCell ref="B28:J32"/>
    <mergeCell ref="F11:I11"/>
    <mergeCell ref="F17:I17"/>
    <mergeCell ref="F12:I12"/>
    <mergeCell ref="F20:I20"/>
    <mergeCell ref="F18:I18"/>
    <mergeCell ref="F9:I9"/>
    <mergeCell ref="F14:I14"/>
    <mergeCell ref="B1:C1"/>
    <mergeCell ref="F25:I25"/>
    <mergeCell ref="B66:J69"/>
    <mergeCell ref="F15:I15"/>
    <mergeCell ref="F16:I16"/>
    <mergeCell ref="F21:I21"/>
    <mergeCell ref="F22:I22"/>
    <mergeCell ref="F23:I23"/>
    <mergeCell ref="F4:I4"/>
    <mergeCell ref="F5:I5"/>
    <mergeCell ref="F6:I6"/>
    <mergeCell ref="F7:I7"/>
    <mergeCell ref="F8:I8"/>
    <mergeCell ref="B52:J53"/>
  </mergeCells>
  <conditionalFormatting sqref="E6:E9 E11:E12 E14:E16 E25:E27 E18 E20:E23">
    <cfRule type="expression" dxfId="27" priority="4">
      <formula>E6="Y"</formula>
    </cfRule>
  </conditionalFormatting>
  <conditionalFormatting sqref="E6:E12 E14:E16 E18 E20:E27">
    <cfRule type="expression" dxfId="26" priority="3">
      <formula>E6="N"</formula>
    </cfRule>
  </conditionalFormatting>
  <conditionalFormatting sqref="E13">
    <cfRule type="expression" dxfId="25" priority="2">
      <formula>E13="N"</formula>
    </cfRule>
  </conditionalFormatting>
  <conditionalFormatting sqref="E19">
    <cfRule type="expression" dxfId="24" priority="1">
      <formula>E19="N"</formula>
    </cfRule>
  </conditionalFormatting>
  <dataValidations count="7">
    <dataValidation type="list" allowBlank="1" showInputMessage="1" showErrorMessage="1" sqref="D7:D8">
      <formula1>"Amcangyfrifon LlC, Arall"</formula1>
    </dataValidation>
    <dataValidation type="list" allowBlank="1" showInputMessage="1" showErrorMessage="1" sqref="D9">
      <formula1>"Prisiau Rhenti, Arall"</formula1>
    </dataValidation>
    <dataValidation type="list" allowBlank="1" showInputMessage="1" showErrorMessage="1" sqref="D6">
      <formula1>"Prif Amcanestyniadau, Amrywiolyn uwch, Amrywiolyn is, Amcanestyniadau Defnyddwyr"</formula1>
    </dataValidation>
    <dataValidation type="list" allowBlank="1" showInputMessage="1" showErrorMessage="1" sqref="D11:D12 D16 D14 D20 D23 D25">
      <formula1>"Wedi'i ragosod, Arall"</formula1>
    </dataValidation>
    <dataValidation type="list" allowBlank="1" showInputMessage="1" showErrorMessage="1" sqref="D15">
      <formula1>"Mwy o Anghydraddoldeb, Dim newid, Arall"</formula1>
    </dataValidation>
    <dataValidation type="list" allowBlank="1" showInputMessage="1" showErrorMessage="1" sqref="D18">
      <formula1>"Data Cofrestrfa Tir, Arall"</formula1>
    </dataValidation>
    <dataValidation type="list" allowBlank="1" showInputMessage="1" showErrorMessage="1" sqref="D21">
      <formula1>"25, 40, Arall"</formula1>
    </dataValidation>
  </dataValidation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sheetPr>
  <dimension ref="A1:X207"/>
  <sheetViews>
    <sheetView showGridLines="0" zoomScale="60" zoomScaleNormal="60" workbookViewId="0"/>
  </sheetViews>
  <sheetFormatPr defaultColWidth="9.1796875" defaultRowHeight="12.5" x14ac:dyDescent="0.25"/>
  <cols>
    <col min="1" max="1" width="4.54296875" style="47" customWidth="1"/>
    <col min="2" max="2" width="28.54296875" style="47" customWidth="1"/>
    <col min="3" max="3" width="41.54296875" style="47" customWidth="1"/>
    <col min="4" max="4" width="20.54296875" style="47" customWidth="1"/>
    <col min="5" max="5" width="18.453125" style="47" customWidth="1"/>
    <col min="6" max="6" width="15.54296875" style="47" customWidth="1"/>
    <col min="7" max="7" width="12.81640625" style="47" customWidth="1"/>
    <col min="8" max="14" width="13" style="47" customWidth="1"/>
    <col min="15" max="16384" width="9.1796875" style="47"/>
  </cols>
  <sheetData>
    <row r="1" spans="1:11" ht="26.25" customHeight="1" x14ac:dyDescent="0.25">
      <c r="B1" s="492" t="s">
        <v>108</v>
      </c>
      <c r="C1" s="492"/>
      <c r="D1" s="73" t="str">
        <f>'Cyfrifiadau - Gogledd'!B1</f>
        <v>Gogledd Cymru</v>
      </c>
    </row>
    <row r="2" spans="1:11" ht="27" customHeight="1" x14ac:dyDescent="0.25">
      <c r="B2" s="519" t="s">
        <v>261</v>
      </c>
      <c r="C2" s="520"/>
      <c r="D2" s="520"/>
      <c r="E2" s="520"/>
      <c r="F2" s="520"/>
      <c r="G2" s="520"/>
      <c r="H2" s="520"/>
      <c r="I2" s="521"/>
    </row>
    <row r="4" spans="1:11" ht="30.75" customHeight="1" x14ac:dyDescent="0.35">
      <c r="C4" s="63" t="s">
        <v>44</v>
      </c>
      <c r="D4" s="72" t="s">
        <v>109</v>
      </c>
      <c r="E4" s="71" t="s">
        <v>110</v>
      </c>
      <c r="F4" s="502" t="s">
        <v>208</v>
      </c>
      <c r="G4" s="502"/>
      <c r="H4" s="502"/>
      <c r="I4" s="503"/>
      <c r="K4" s="44" t="s">
        <v>271</v>
      </c>
    </row>
    <row r="5" spans="1:11" ht="24.75" customHeight="1" x14ac:dyDescent="0.25">
      <c r="B5" s="508" t="s">
        <v>348</v>
      </c>
      <c r="C5" s="96" t="s">
        <v>50</v>
      </c>
      <c r="D5" s="97"/>
      <c r="E5" s="98"/>
      <c r="F5" s="504"/>
      <c r="G5" s="504"/>
      <c r="H5" s="504"/>
      <c r="I5" s="505"/>
    </row>
    <row r="6" spans="1:11" ht="22.5" customHeight="1" x14ac:dyDescent="0.25">
      <c r="A6" s="76"/>
      <c r="B6" s="509"/>
      <c r="C6" s="99" t="s">
        <v>112</v>
      </c>
      <c r="D6" s="187" t="str">
        <f>'Rhaniad y Ddeiliadaeth (Cymru)'!D6</f>
        <v>Prif Amcanestyniadau</v>
      </c>
      <c r="E6" s="100" t="str">
        <f>IF(OR(F6=$B$195,F6=$B$196),"Y","N")</f>
        <v>Y</v>
      </c>
      <c r="F6" s="506" t="str">
        <f>IF(D6="",B194,IF(D6="Other",IF('Amcanestyniadau Aelwydydd'!J18&lt;6,B197&amp;B198,B196),B195))</f>
        <v>Data rhagosodedig a ddefnyddiwyd</v>
      </c>
      <c r="G6" s="506"/>
      <c r="H6" s="506"/>
      <c r="I6" s="496"/>
    </row>
    <row r="7" spans="1:11" ht="21" customHeight="1" x14ac:dyDescent="0.25">
      <c r="A7" s="76"/>
      <c r="B7" s="509"/>
      <c r="C7" s="99" t="s">
        <v>114</v>
      </c>
      <c r="D7" s="187" t="str">
        <f>'Rhaniad y Ddeiliadaeth (Cymru)'!D7</f>
        <v>Amcangyfrifon LlC</v>
      </c>
      <c r="E7" s="100" t="str">
        <f>IF(OR(F7=$B$195,F7=$B$196),"Y","N")</f>
        <v>Y</v>
      </c>
      <c r="F7" s="496" t="str">
        <f>IF(D7="",B194,IF(D7="Other",IF(ISBLANK('Angen Presennol Nas Diwallwyd'!C19),'Rhaniad y Ddeiliadaeth (Gog)'!B197&amp;'Rhaniad y Ddeiliadaeth (Gog)'!B199,'Rhaniad y Ddeiliadaeth (Gog)'!B196),'Rhaniad y Ddeiliadaeth (Gog)'!B195))</f>
        <v>Data rhagosodedig a ddefnyddiwyd</v>
      </c>
      <c r="G7" s="496"/>
      <c r="H7" s="496"/>
      <c r="I7" s="496"/>
    </row>
    <row r="8" spans="1:11" ht="15" customHeight="1" x14ac:dyDescent="0.25">
      <c r="A8" s="76"/>
      <c r="B8" s="509"/>
      <c r="C8" s="99" t="s">
        <v>53</v>
      </c>
      <c r="D8" s="187" t="str">
        <f>'Rhaniad y Ddeiliadaeth (Cymru)'!D8</f>
        <v>Amcangyfrifon LlC</v>
      </c>
      <c r="E8" s="100" t="str">
        <f>IF(OR(F8=$B$195,F8=$B$196),"Y","N")</f>
        <v>Y</v>
      </c>
      <c r="F8" s="496" t="str">
        <f>IF(D8="",B194,IF(D8="Arall",IF('Incwm (Gogledd)'!O85=0,B196,B197&amp;B200),B195))</f>
        <v>Data rhagosodedig a ddefnyddiwyd</v>
      </c>
      <c r="G8" s="496"/>
      <c r="H8" s="496"/>
      <c r="I8" s="496"/>
    </row>
    <row r="9" spans="1:11" ht="15" customHeight="1" x14ac:dyDescent="0.25">
      <c r="A9" s="76"/>
      <c r="B9" s="509"/>
      <c r="C9" s="99" t="s">
        <v>54</v>
      </c>
      <c r="D9" s="187" t="str">
        <f>'Rhaniad y Ddeiliadaeth (Cymru)'!D9</f>
        <v>Prisiau Rhenti</v>
      </c>
      <c r="E9" s="100" t="str">
        <f>IF(OR(F9=$B$195,F9=$B$196),"Y","N")</f>
        <v>Y</v>
      </c>
      <c r="F9" s="506" t="str">
        <f>IF(D9="",B194,IF(D9="Other",IF(OR(ISBLANK('Prisiau Rhenti'!C15),ISBLANK('Prisiau Rhenti'!D15)),'Rhaniad y Ddeiliadaeth (Gog)'!B197&amp;'Rhaniad y Ddeiliadaeth (Gog)'!B202,'Rhaniad y Ddeiliadaeth (Gog)'!B196),'Rhaniad y Ddeiliadaeth (Gog)'!B195))</f>
        <v>Data rhagosodedig a ddefnyddiwyd</v>
      </c>
      <c r="G9" s="506"/>
      <c r="H9" s="506"/>
      <c r="I9" s="496"/>
    </row>
    <row r="10" spans="1:11" ht="24.75" customHeight="1" x14ac:dyDescent="0.25">
      <c r="A10" s="76"/>
      <c r="B10" s="509"/>
      <c r="C10" s="96" t="s">
        <v>74</v>
      </c>
      <c r="D10" s="97"/>
      <c r="E10" s="101"/>
      <c r="F10" s="97"/>
      <c r="G10" s="102"/>
      <c r="H10" s="97"/>
      <c r="I10" s="103"/>
    </row>
    <row r="11" spans="1:11" ht="13.5" customHeight="1" x14ac:dyDescent="0.25">
      <c r="A11" s="76"/>
      <c r="B11" s="509"/>
      <c r="C11" s="104" t="s">
        <v>70</v>
      </c>
      <c r="D11" s="188" t="str">
        <f>'Rhaniad y Ddeiliadaeth (Cymru)'!D11</f>
        <v>Wedi'i ragosod</v>
      </c>
      <c r="E11" s="100" t="str">
        <f>IF(OR(F11=$B$195,F11=$B$196),"Y","N")</f>
        <v>Y</v>
      </c>
      <c r="F11" s="496" t="str">
        <f>'Rhaniad y Ddeiliadaeth (Cymru)'!F11:I11</f>
        <v>Data rhagosodedig a ddefnyddiwyd</v>
      </c>
      <c r="G11" s="496"/>
      <c r="H11" s="496"/>
      <c r="I11" s="496"/>
    </row>
    <row r="12" spans="1:11" ht="15" customHeight="1" x14ac:dyDescent="0.25">
      <c r="A12" s="76"/>
      <c r="B12" s="509"/>
      <c r="C12" s="104" t="s">
        <v>115</v>
      </c>
      <c r="D12" s="188" t="str">
        <f>'Rhaniad y Ddeiliadaeth (Cymru)'!D12</f>
        <v>Wedi'i ragosod</v>
      </c>
      <c r="E12" s="100" t="str">
        <f>IF(OR(F12=$B$195,F12=$B$196),"Y","N")</f>
        <v>Y</v>
      </c>
      <c r="F12" s="506" t="str">
        <f>'Rhaniad y Ddeiliadaeth (Cymru)'!F12:I12</f>
        <v>Data rhagosodedig a ddefnyddiwyd</v>
      </c>
      <c r="G12" s="506"/>
      <c r="H12" s="506"/>
      <c r="I12" s="496"/>
    </row>
    <row r="13" spans="1:11" ht="24.75" customHeight="1" x14ac:dyDescent="0.25">
      <c r="A13" s="76"/>
      <c r="B13" s="509"/>
      <c r="C13" s="96" t="s">
        <v>118</v>
      </c>
      <c r="D13" s="97"/>
      <c r="E13" s="101"/>
      <c r="F13" s="97"/>
      <c r="G13" s="102"/>
      <c r="H13" s="97"/>
      <c r="I13" s="103"/>
    </row>
    <row r="14" spans="1:11" ht="29.25" customHeight="1" x14ac:dyDescent="0.25">
      <c r="A14" s="76"/>
      <c r="B14" s="509"/>
      <c r="C14" s="105" t="s">
        <v>80</v>
      </c>
      <c r="D14" s="188" t="str">
        <f>'Rhaniad y Ddeiliadaeth (Cymru)'!D14</f>
        <v>Wedi'i ragosod</v>
      </c>
      <c r="E14" s="100" t="str">
        <f>IF(OR(F14=$B$195,F14=$B$196),"Y","N")</f>
        <v>Y</v>
      </c>
      <c r="F14" s="506" t="str">
        <f>'Rhaniad y Ddeiliadaeth (Cymru)'!F14:I14</f>
        <v>Data rhagosodedig a ddefnyddiwyd</v>
      </c>
      <c r="G14" s="506"/>
      <c r="H14" s="506"/>
      <c r="I14" s="496"/>
    </row>
    <row r="15" spans="1:11" ht="29.25" customHeight="1" x14ac:dyDescent="0.25">
      <c r="A15" s="76"/>
      <c r="B15" s="509"/>
      <c r="C15" s="105" t="s">
        <v>116</v>
      </c>
      <c r="D15" s="188" t="str">
        <f>'Rhaniad y Ddeiliadaeth (Cymru)'!D15</f>
        <v>Mwy o Anghydraddoldeb</v>
      </c>
      <c r="E15" s="100" t="str">
        <f>IF(OR(F15=$B$195,F15=$B$196),"Y","N")</f>
        <v>Y</v>
      </c>
      <c r="F15" s="506" t="str">
        <f>'Rhaniad y Ddeiliadaeth (Cymru)'!F15:I15</f>
        <v>Data rhagosodedig a ddefnyddiwyd</v>
      </c>
      <c r="G15" s="506"/>
      <c r="H15" s="506"/>
      <c r="I15" s="496"/>
    </row>
    <row r="16" spans="1:11" ht="17.25" customHeight="1" x14ac:dyDescent="0.25">
      <c r="A16" s="76"/>
      <c r="B16" s="510"/>
      <c r="C16" s="106" t="s">
        <v>117</v>
      </c>
      <c r="D16" s="188" t="str">
        <f>'Rhaniad y Ddeiliadaeth (Cymru)'!D16</f>
        <v>Wedi'i ragosod</v>
      </c>
      <c r="E16" s="107" t="str">
        <f>IF(OR(F16=$B$195,F16=$B$196),"Y","N")</f>
        <v>Y</v>
      </c>
      <c r="F16" s="506" t="str">
        <f>'Rhaniad y Ddeiliadaeth (Cymru)'!F16:I16</f>
        <v>Data rhagosodedig a ddefnyddiwyd</v>
      </c>
      <c r="G16" s="506"/>
      <c r="H16" s="506"/>
      <c r="I16" s="496"/>
    </row>
    <row r="17" spans="1:11" ht="24.75" customHeight="1" x14ac:dyDescent="0.25">
      <c r="A17" s="76"/>
      <c r="B17" s="511" t="s">
        <v>349</v>
      </c>
      <c r="C17" s="77" t="s">
        <v>87</v>
      </c>
      <c r="D17" s="298"/>
      <c r="E17" s="92"/>
      <c r="F17" s="514"/>
      <c r="G17" s="514"/>
      <c r="H17" s="514"/>
      <c r="I17" s="515"/>
    </row>
    <row r="18" spans="1:11" ht="31.5" customHeight="1" x14ac:dyDescent="0.25">
      <c r="A18" s="76"/>
      <c r="B18" s="512"/>
      <c r="C18" s="65" t="s">
        <v>88</v>
      </c>
      <c r="D18" s="188" t="str">
        <f>'Rhaniad y Ddeiliadaeth (Cymru)'!D18</f>
        <v>Data Cofrestrfa Tir</v>
      </c>
      <c r="E18" s="91" t="str">
        <f>IF(OR(F18=$B$195,F18=$B$196),"Y","N")</f>
        <v>Y</v>
      </c>
      <c r="F18" s="499" t="str">
        <f>IF(D18="",B194,IF(D18="Other",IF('Prisiau Tai (Gogledd)'!O85=1,B197&amp;B201,B196),B195))</f>
        <v>Data rhagosodedig a ddefnyddiwyd</v>
      </c>
      <c r="G18" s="499"/>
      <c r="H18" s="499"/>
      <c r="I18" s="499"/>
    </row>
    <row r="19" spans="1:11" ht="24.75" customHeight="1" x14ac:dyDescent="0.25">
      <c r="A19" s="76"/>
      <c r="B19" s="512"/>
      <c r="C19" s="64" t="s">
        <v>91</v>
      </c>
      <c r="D19" s="68"/>
      <c r="E19" s="93"/>
      <c r="F19" s="68"/>
      <c r="G19" s="69"/>
      <c r="H19" s="68"/>
      <c r="I19" s="70"/>
    </row>
    <row r="20" spans="1:11" ht="13.5" customHeight="1" x14ac:dyDescent="0.25">
      <c r="A20" s="76"/>
      <c r="B20" s="512"/>
      <c r="C20" s="66" t="s">
        <v>92</v>
      </c>
      <c r="D20" s="188" t="str">
        <f>'Rhaniad y Ddeiliadaeth (Cymru)'!D20</f>
        <v>Wedi'i ragosod</v>
      </c>
      <c r="E20" s="91" t="str">
        <f>IF(OR(F20=$B$195,F20=$B$196),"Y","N")</f>
        <v>Y</v>
      </c>
      <c r="F20" s="499" t="str">
        <f>'Rhaniad y Ddeiliadaeth (Cymru)'!F20:I20</f>
        <v>Data rhagosodedig a ddefnyddiwyd</v>
      </c>
      <c r="G20" s="499"/>
      <c r="H20" s="499"/>
      <c r="I20" s="499"/>
    </row>
    <row r="21" spans="1:11" ht="33.5" customHeight="1" x14ac:dyDescent="0.25">
      <c r="A21" s="76"/>
      <c r="B21" s="512"/>
      <c r="C21" s="90" t="s">
        <v>346</v>
      </c>
      <c r="D21" s="188">
        <f>'Rhaniad y Ddeiliadaeth (Cymru)'!D21</f>
        <v>40</v>
      </c>
      <c r="E21" s="91" t="str">
        <f>IF(OR(F21=$B$195,F21=$B$196),"Y","N")</f>
        <v>Y</v>
      </c>
      <c r="F21" s="499" t="str">
        <f>'Rhaniad y Ddeiliadaeth (Cymru)'!F21:I21</f>
        <v>Data rhagosodedig a ddefnyddiwyd</v>
      </c>
      <c r="G21" s="499"/>
      <c r="H21" s="499"/>
      <c r="I21" s="499"/>
    </row>
    <row r="22" spans="1:11" ht="28.5" customHeight="1" x14ac:dyDescent="0.25">
      <c r="A22" s="76"/>
      <c r="B22" s="512"/>
      <c r="C22" s="90" t="s">
        <v>94</v>
      </c>
      <c r="D22" s="188" t="str">
        <f>'Rhaniad y Ddeiliadaeth (Cymru)'!D22</f>
        <v>Gwerth defnyddiwr (nid oes gwerth wedi'i ragosod)</v>
      </c>
      <c r="E22" s="91" t="str">
        <f>IF(OR(F22=$B$195,F22=$B$196),"Y","N")</f>
        <v>N</v>
      </c>
      <c r="F22" s="499" t="str">
        <f>'Rhaniad y Ddeiliadaeth (Cymru)'!F22:I22</f>
        <v>Cofnodwch ddata defnyddwyr ar y daflen:'Rhagdybiaeth Blynyddol'</v>
      </c>
      <c r="G22" s="499"/>
      <c r="H22" s="499"/>
      <c r="I22" s="499"/>
    </row>
    <row r="23" spans="1:11" ht="15" customHeight="1" x14ac:dyDescent="0.25">
      <c r="A23" s="76"/>
      <c r="B23" s="512"/>
      <c r="C23" s="66" t="s">
        <v>95</v>
      </c>
      <c r="D23" s="188" t="str">
        <f>'Rhaniad y Ddeiliadaeth (Cymru)'!D23</f>
        <v>Wedi'i ragosod</v>
      </c>
      <c r="E23" s="91" t="str">
        <f>IF(OR(F23=$B$195,F23=$B$196),"Y","N")</f>
        <v>Y</v>
      </c>
      <c r="F23" s="499" t="str">
        <f>'Rhaniad y Ddeiliadaeth (Cymru)'!F23:I23</f>
        <v>Data rhagosodedig a ddefnyddiwyd</v>
      </c>
      <c r="G23" s="499"/>
      <c r="H23" s="499"/>
      <c r="I23" s="499"/>
    </row>
    <row r="24" spans="1:11" ht="24.75" customHeight="1" x14ac:dyDescent="0.25">
      <c r="A24" s="76"/>
      <c r="B24" s="512"/>
      <c r="C24" s="64" t="s">
        <v>107</v>
      </c>
      <c r="D24" s="68"/>
      <c r="E24" s="93"/>
      <c r="F24" s="68"/>
      <c r="G24" s="69"/>
      <c r="H24" s="68"/>
      <c r="I24" s="70"/>
    </row>
    <row r="25" spans="1:11" ht="34.5" customHeight="1" x14ac:dyDescent="0.25">
      <c r="A25" s="76"/>
      <c r="B25" s="513"/>
      <c r="C25" s="67" t="s">
        <v>119</v>
      </c>
      <c r="D25" s="189" t="str">
        <f>'Rhaniad y Ddeiliadaeth (Cymru)'!D25</f>
        <v>Wedi'i ragosod</v>
      </c>
      <c r="E25" s="94" t="str">
        <f>IF(OR(F25=$B$195,F25=$B$196),"Y","N")</f>
        <v>Y</v>
      </c>
      <c r="F25" s="494" t="str">
        <f>'Rhaniad y Ddeiliadaeth (Cymru)'!F25:I25</f>
        <v>Data rhagosodedig a ddefnyddiwyd</v>
      </c>
      <c r="G25" s="494"/>
      <c r="H25" s="494"/>
      <c r="I25" s="494"/>
    </row>
    <row r="26" spans="1:11" ht="15" customHeight="1" x14ac:dyDescent="0.25">
      <c r="C26" s="49"/>
      <c r="D26" s="50"/>
      <c r="E26" s="48"/>
      <c r="F26" s="51"/>
      <c r="G26" s="51"/>
      <c r="H26" s="51"/>
      <c r="I26" s="51"/>
    </row>
    <row r="27" spans="1:11" s="58" customFormat="1" ht="15" customHeight="1" x14ac:dyDescent="0.25">
      <c r="B27" s="52" t="str">
        <f>IF(C133=1,"","Sylwadau ar y rhagdybiaethau a ddewiswyd ar gyfer rhaniad o ddwy ddeiliadaeth: "&amp;D1)</f>
        <v>Sylwadau ar y rhagdybiaethau a ddewiswyd ar gyfer rhaniad o ddwy ddeiliadaeth: Gogledd Cymru</v>
      </c>
      <c r="D27" s="50"/>
      <c r="E27" s="368"/>
      <c r="F27" s="51"/>
      <c r="G27" s="51"/>
      <c r="H27" s="51"/>
      <c r="I27" s="51"/>
    </row>
    <row r="28" spans="1:11" s="58" customFormat="1" ht="15" customHeight="1" x14ac:dyDescent="0.25">
      <c r="B28" s="495" t="str">
        <f>B188</f>
        <v>Mae'r ffigurau isod yn rhannu yr amcangyfrifon o'r angen am dai yn 2 deiliadaeth ac maent yn seiliedig ar y rhagdybiaethau canlynol. Mae amcangyfrifon sylfaenol yr unedau tai ychwanegol wedi'u seilio ar  amcanestyniadau aelwydydd gan Llywodraeth Cymru sy'n seiliedig ar 2018 (Prif Amcanestyniadau), ac amcangyfrif o 5732 aelwydydd o ran angen presennol nas diwallwyd  a fydd yn cymryd 5 mlynedd i'w diwallu.Mae data ar incwm yn seiliedig ar  Ddata Llywodraeth Cymru ac mae data ar renti preifat yn seiliedig ar  Ddata Llywodraeth Cymru. Mae'r newid blynyddol i incwm canolrifol yr aelwyd yn seiliedig ar amcangyfrifon wedi'u rhagosod, mae'r newid blynyddol i ddosbarthiad incwm yr aelwyd yn seiliedig ar amcangyfrifon wedi'u rhagosod ac mae'r newid blynyddol i brisiau rhenti yn seiliedig ar amcangyfrifon wedi'u rhagosod.</v>
      </c>
      <c r="C28" s="495"/>
      <c r="D28" s="495"/>
      <c r="E28" s="495"/>
      <c r="F28" s="495"/>
      <c r="G28" s="495"/>
      <c r="H28" s="495"/>
      <c r="I28" s="495"/>
      <c r="J28" s="495"/>
      <c r="K28" s="79"/>
    </row>
    <row r="29" spans="1:11" s="58" customFormat="1" ht="15" customHeight="1" x14ac:dyDescent="0.25">
      <c r="B29" s="495"/>
      <c r="C29" s="495"/>
      <c r="D29" s="495"/>
      <c r="E29" s="495"/>
      <c r="F29" s="495"/>
      <c r="G29" s="495"/>
      <c r="H29" s="495"/>
      <c r="I29" s="495"/>
      <c r="J29" s="495"/>
      <c r="K29" s="79"/>
    </row>
    <row r="30" spans="1:11" s="58" customFormat="1" ht="15" customHeight="1" x14ac:dyDescent="0.25">
      <c r="B30" s="495"/>
      <c r="C30" s="495"/>
      <c r="D30" s="495"/>
      <c r="E30" s="495"/>
      <c r="F30" s="495"/>
      <c r="G30" s="495"/>
      <c r="H30" s="495"/>
      <c r="I30" s="495"/>
      <c r="J30" s="495"/>
      <c r="K30" s="79"/>
    </row>
    <row r="31" spans="1:11" s="58" customFormat="1" ht="15" customHeight="1" x14ac:dyDescent="0.25">
      <c r="B31" s="495"/>
      <c r="C31" s="495"/>
      <c r="D31" s="495"/>
      <c r="E31" s="495"/>
      <c r="F31" s="495"/>
      <c r="G31" s="495"/>
      <c r="H31" s="495"/>
      <c r="I31" s="495"/>
      <c r="J31" s="495"/>
      <c r="K31" s="79"/>
    </row>
    <row r="32" spans="1:11" s="58" customFormat="1" ht="15" customHeight="1" x14ac:dyDescent="0.25">
      <c r="B32" s="495"/>
      <c r="C32" s="495"/>
      <c r="D32" s="495"/>
      <c r="E32" s="495"/>
      <c r="F32" s="495"/>
      <c r="G32" s="495"/>
      <c r="H32" s="495"/>
      <c r="I32" s="495"/>
      <c r="J32" s="495"/>
      <c r="K32" s="79"/>
    </row>
    <row r="33" spans="2:11" ht="15" customHeight="1" x14ac:dyDescent="0.25">
      <c r="B33" s="80"/>
      <c r="C33" s="45"/>
      <c r="D33" s="45"/>
      <c r="E33" s="45"/>
      <c r="F33" s="45"/>
      <c r="G33" s="45"/>
      <c r="H33" s="45"/>
      <c r="I33" s="45"/>
      <c r="J33" s="45"/>
      <c r="K33" s="79"/>
    </row>
    <row r="34" spans="2:11" ht="15" customHeight="1" x14ac:dyDescent="0.25">
      <c r="B34" s="80"/>
      <c r="C34" s="45"/>
      <c r="D34" s="45"/>
      <c r="E34" s="45"/>
      <c r="F34" s="45"/>
      <c r="G34" s="45"/>
      <c r="H34" s="45"/>
      <c r="I34" s="45"/>
      <c r="J34" s="45"/>
      <c r="K34" s="79"/>
    </row>
    <row r="35" spans="2:11" ht="15" customHeight="1" x14ac:dyDescent="0.25">
      <c r="B35" s="80"/>
      <c r="C35" s="45"/>
      <c r="D35" s="45"/>
      <c r="E35" s="45"/>
      <c r="F35" s="45"/>
      <c r="G35" s="45"/>
      <c r="H35" s="45"/>
      <c r="I35" s="45"/>
      <c r="J35" s="45"/>
      <c r="K35" s="79"/>
    </row>
    <row r="36" spans="2:11" ht="15" customHeight="1" x14ac:dyDescent="0.25">
      <c r="B36" s="80"/>
      <c r="C36" s="45"/>
      <c r="D36" s="45"/>
      <c r="E36" s="45"/>
      <c r="F36" s="45"/>
      <c r="G36" s="45"/>
      <c r="H36" s="45"/>
      <c r="I36" s="45"/>
      <c r="J36" s="45"/>
      <c r="K36" s="79"/>
    </row>
    <row r="37" spans="2:11" ht="15" customHeight="1" x14ac:dyDescent="0.25">
      <c r="B37" s="80"/>
      <c r="C37" s="45"/>
      <c r="D37" s="45"/>
      <c r="E37" s="45"/>
      <c r="F37" s="45"/>
      <c r="G37" s="45"/>
      <c r="H37" s="45"/>
      <c r="I37" s="45"/>
      <c r="J37" s="45"/>
      <c r="K37" s="79"/>
    </row>
    <row r="38" spans="2:11" ht="15" customHeight="1" x14ac:dyDescent="0.25">
      <c r="B38" s="45"/>
      <c r="C38" s="45"/>
      <c r="D38" s="45"/>
      <c r="E38" s="45"/>
      <c r="F38" s="45"/>
      <c r="G38" s="45"/>
      <c r="H38" s="45"/>
      <c r="I38" s="45"/>
      <c r="J38" s="45"/>
      <c r="K38" s="79"/>
    </row>
    <row r="39" spans="2:11" ht="15" customHeight="1" x14ac:dyDescent="0.25">
      <c r="B39" s="45"/>
      <c r="C39" s="45"/>
      <c r="D39" s="45"/>
      <c r="E39" s="45"/>
      <c r="F39" s="45"/>
      <c r="G39" s="45"/>
      <c r="H39" s="45"/>
      <c r="I39" s="45"/>
      <c r="J39" s="45"/>
      <c r="K39" s="79"/>
    </row>
    <row r="40" spans="2:11" ht="15" customHeight="1" x14ac:dyDescent="0.25">
      <c r="B40" s="45"/>
      <c r="C40" s="45"/>
      <c r="D40" s="45"/>
      <c r="E40" s="45"/>
      <c r="F40" s="45"/>
      <c r="G40" s="45"/>
      <c r="H40" s="45"/>
      <c r="I40" s="45"/>
      <c r="J40" s="45"/>
      <c r="K40" s="79"/>
    </row>
    <row r="41" spans="2:11" ht="15" customHeight="1" x14ac:dyDescent="0.25">
      <c r="B41" s="45"/>
      <c r="C41" s="45"/>
      <c r="D41" s="45"/>
      <c r="E41" s="45"/>
      <c r="F41" s="45"/>
      <c r="G41" s="45"/>
      <c r="H41" s="45"/>
      <c r="I41" s="45"/>
      <c r="J41" s="45"/>
      <c r="K41" s="79"/>
    </row>
    <row r="42" spans="2:11" ht="15" customHeight="1" x14ac:dyDescent="0.25">
      <c r="B42" s="45"/>
      <c r="C42" s="45"/>
      <c r="D42" s="45"/>
      <c r="E42" s="45"/>
      <c r="F42" s="45"/>
      <c r="G42" s="45"/>
      <c r="H42" s="45"/>
      <c r="I42" s="45"/>
      <c r="J42" s="45"/>
      <c r="K42" s="79"/>
    </row>
    <row r="43" spans="2:11" ht="15" customHeight="1" x14ac:dyDescent="0.25">
      <c r="B43" s="45"/>
      <c r="C43" s="45"/>
      <c r="D43" s="45"/>
      <c r="E43" s="45"/>
      <c r="F43" s="45"/>
      <c r="G43" s="45"/>
      <c r="H43" s="45"/>
      <c r="I43" s="45"/>
      <c r="J43" s="45"/>
      <c r="K43" s="79"/>
    </row>
    <row r="44" spans="2:11" ht="15" customHeight="1" x14ac:dyDescent="0.25">
      <c r="B44" s="45"/>
      <c r="C44" s="45"/>
      <c r="D44" s="45"/>
      <c r="E44" s="45"/>
      <c r="F44" s="45"/>
      <c r="G44" s="45"/>
      <c r="H44" s="45"/>
      <c r="I44" s="45"/>
      <c r="J44" s="45"/>
      <c r="K44" s="79"/>
    </row>
    <row r="45" spans="2:11" ht="15" customHeight="1" x14ac:dyDescent="0.25">
      <c r="B45" s="45"/>
      <c r="C45" s="45"/>
      <c r="D45" s="45"/>
      <c r="E45" s="45"/>
      <c r="F45" s="45"/>
      <c r="G45" s="45"/>
      <c r="H45" s="45"/>
      <c r="I45" s="45"/>
      <c r="J45" s="45"/>
      <c r="K45" s="79"/>
    </row>
    <row r="46" spans="2:11" ht="15" customHeight="1" x14ac:dyDescent="0.25">
      <c r="B46" s="45"/>
      <c r="C46" s="45"/>
      <c r="D46" s="45"/>
      <c r="E46" s="45"/>
      <c r="F46" s="45"/>
      <c r="G46" s="45"/>
      <c r="H46" s="45"/>
      <c r="I46" s="45"/>
      <c r="J46" s="45"/>
      <c r="K46" s="79"/>
    </row>
    <row r="47" spans="2:11" ht="15" customHeight="1" x14ac:dyDescent="0.25">
      <c r="B47" s="45"/>
      <c r="C47" s="45"/>
      <c r="D47" s="45"/>
      <c r="E47" s="45"/>
      <c r="F47" s="45"/>
      <c r="G47" s="45"/>
      <c r="H47" s="45"/>
      <c r="I47" s="45"/>
      <c r="J47" s="45"/>
      <c r="K47" s="79"/>
    </row>
    <row r="48" spans="2:11" ht="15" customHeight="1" x14ac:dyDescent="0.25">
      <c r="B48" s="45"/>
      <c r="C48" s="45"/>
      <c r="D48" s="45"/>
      <c r="E48" s="45"/>
      <c r="F48" s="45"/>
      <c r="G48" s="45"/>
      <c r="H48" s="45"/>
      <c r="I48" s="45"/>
      <c r="J48" s="45"/>
      <c r="K48" s="79"/>
    </row>
    <row r="49" spans="2:11" ht="15" customHeight="1" x14ac:dyDescent="0.25">
      <c r="B49" s="45"/>
      <c r="C49" s="45"/>
      <c r="D49" s="45"/>
      <c r="E49" s="45"/>
      <c r="F49" s="45"/>
      <c r="G49" s="45"/>
      <c r="H49" s="45"/>
      <c r="I49" s="45"/>
      <c r="J49" s="45"/>
      <c r="K49" s="79"/>
    </row>
    <row r="50" spans="2:11" ht="15" customHeight="1" x14ac:dyDescent="0.25">
      <c r="B50" s="45"/>
      <c r="C50" s="45"/>
      <c r="D50" s="45"/>
      <c r="E50" s="45"/>
      <c r="F50" s="45"/>
      <c r="G50" s="45"/>
      <c r="H50" s="45"/>
      <c r="I50" s="45"/>
      <c r="J50" s="45"/>
      <c r="K50" s="79"/>
    </row>
    <row r="51" spans="2:11" ht="15" customHeight="1" x14ac:dyDescent="0.25">
      <c r="B51" s="45"/>
      <c r="C51" s="45"/>
      <c r="D51" s="45"/>
      <c r="E51" s="45"/>
      <c r="F51" s="45"/>
      <c r="G51" s="45"/>
      <c r="H51" s="45"/>
      <c r="I51" s="45"/>
      <c r="J51" s="45"/>
      <c r="K51" s="79"/>
    </row>
    <row r="52" spans="2:11" ht="15" customHeight="1" x14ac:dyDescent="0.25">
      <c r="B52" s="451" t="s">
        <v>354</v>
      </c>
      <c r="C52" s="452"/>
      <c r="D52" s="452"/>
      <c r="E52" s="452"/>
      <c r="F52" s="452"/>
      <c r="G52" s="452"/>
      <c r="H52" s="452"/>
      <c r="I52" s="452"/>
      <c r="J52" s="453"/>
      <c r="K52" s="79"/>
    </row>
    <row r="53" spans="2:11" ht="37.5" customHeight="1" x14ac:dyDescent="0.25">
      <c r="B53" s="454"/>
      <c r="C53" s="455"/>
      <c r="D53" s="455"/>
      <c r="E53" s="455"/>
      <c r="F53" s="455"/>
      <c r="G53" s="455"/>
      <c r="H53" s="455"/>
      <c r="I53" s="455"/>
      <c r="J53" s="456"/>
      <c r="K53" s="79"/>
    </row>
    <row r="54" spans="2:11" ht="15" customHeight="1" x14ac:dyDescent="0.25">
      <c r="B54" s="204"/>
      <c r="C54" s="204"/>
      <c r="D54" s="204"/>
      <c r="E54" s="204"/>
      <c r="F54" s="204"/>
      <c r="G54" s="204"/>
      <c r="H54" s="204"/>
      <c r="I54" s="204"/>
      <c r="J54" s="204"/>
      <c r="K54" s="79"/>
    </row>
    <row r="55" spans="2:11" ht="15" customHeight="1" x14ac:dyDescent="0.3">
      <c r="B55" s="56" t="s">
        <v>275</v>
      </c>
      <c r="C55" s="57"/>
      <c r="D55" s="57"/>
      <c r="E55" s="57"/>
      <c r="F55" s="57"/>
      <c r="G55" s="57"/>
      <c r="K55" s="79"/>
    </row>
    <row r="56" spans="2:11" ht="15" customHeight="1" x14ac:dyDescent="0.3">
      <c r="B56" s="112" t="str">
        <f>B148</f>
        <v/>
      </c>
      <c r="C56" s="113" t="str">
        <f t="shared" ref="C56:G56" si="0">C148</f>
        <v>2019/20</v>
      </c>
      <c r="D56" s="113" t="str">
        <f t="shared" si="0"/>
        <v>2020/21</v>
      </c>
      <c r="E56" s="113" t="str">
        <f t="shared" si="0"/>
        <v>2021/22</v>
      </c>
      <c r="F56" s="113" t="str">
        <f t="shared" si="0"/>
        <v>2022/23</v>
      </c>
      <c r="G56" s="113" t="str">
        <f t="shared" si="0"/>
        <v>2023/24</v>
      </c>
      <c r="K56" s="79"/>
    </row>
    <row r="57" spans="2:11" ht="15" customHeight="1" x14ac:dyDescent="0.25">
      <c r="B57" s="112" t="str">
        <f t="shared" ref="B57:G58" si="1">B149</f>
        <v>Tai'r Farchnad</v>
      </c>
      <c r="C57" s="114">
        <f t="shared" si="1"/>
        <v>539.63915710449214</v>
      </c>
      <c r="D57" s="114">
        <f t="shared" si="1"/>
        <v>566.18781120300287</v>
      </c>
      <c r="E57" s="114">
        <f t="shared" si="1"/>
        <v>621.7059460449218</v>
      </c>
      <c r="F57" s="114">
        <f t="shared" si="1"/>
        <v>579.1342491912842</v>
      </c>
      <c r="G57" s="114">
        <f t="shared" si="1"/>
        <v>568.00398147583007</v>
      </c>
      <c r="K57" s="79"/>
    </row>
    <row r="58" spans="2:11" ht="15" customHeight="1" x14ac:dyDescent="0.25">
      <c r="B58" s="112" t="str">
        <f t="shared" si="1"/>
        <v>Tai fforddiadwy</v>
      </c>
      <c r="C58" s="114">
        <f t="shared" si="1"/>
        <v>631.80348205566406</v>
      </c>
      <c r="D58" s="114">
        <f t="shared" si="1"/>
        <v>650.25254676818849</v>
      </c>
      <c r="E58" s="114">
        <f t="shared" si="1"/>
        <v>688.83294555664065</v>
      </c>
      <c r="F58" s="114">
        <f t="shared" si="1"/>
        <v>659.24922401428216</v>
      </c>
      <c r="G58" s="114">
        <f t="shared" si="1"/>
        <v>651.51463119506832</v>
      </c>
      <c r="K58" s="79"/>
    </row>
    <row r="59" spans="2:11" ht="15" customHeight="1" x14ac:dyDescent="0.25">
      <c r="C59" s="108"/>
      <c r="D59" s="108"/>
      <c r="E59" s="108"/>
      <c r="F59" s="108"/>
      <c r="G59" s="108"/>
      <c r="K59" s="79"/>
    </row>
    <row r="60" spans="2:11" ht="15" customHeight="1" x14ac:dyDescent="0.3">
      <c r="B60" s="46" t="s">
        <v>279</v>
      </c>
      <c r="K60" s="79"/>
    </row>
    <row r="61" spans="2:11" ht="15" customHeight="1" x14ac:dyDescent="0.3">
      <c r="B61" s="82" t="str">
        <f>B151</f>
        <v/>
      </c>
      <c r="C61" s="115" t="str">
        <f t="shared" ref="C61:G63" si="2">C151</f>
        <v>2019/20</v>
      </c>
      <c r="D61" s="115" t="str">
        <f t="shared" si="2"/>
        <v>2020/21</v>
      </c>
      <c r="E61" s="115" t="str">
        <f t="shared" si="2"/>
        <v>2021/22</v>
      </c>
      <c r="F61" s="115" t="str">
        <f t="shared" si="2"/>
        <v>2022/23</v>
      </c>
      <c r="G61" s="115" t="str">
        <f t="shared" si="2"/>
        <v>2023/24</v>
      </c>
      <c r="I61" s="518" t="str">
        <f>I151</f>
        <v>Rhaniad 5 mlynedd</v>
      </c>
      <c r="J61" s="518"/>
      <c r="K61" s="79"/>
    </row>
    <row r="62" spans="2:11" ht="15" customHeight="1" x14ac:dyDescent="0.3">
      <c r="B62" s="82" t="str">
        <f>B152</f>
        <v>Tai'r Farchnad</v>
      </c>
      <c r="C62" s="116">
        <f>C152</f>
        <v>0.46066204102949188</v>
      </c>
      <c r="D62" s="116">
        <f t="shared" si="2"/>
        <v>0.46544642118525614</v>
      </c>
      <c r="E62" s="116">
        <f t="shared" si="2"/>
        <v>0.47438954313302167</v>
      </c>
      <c r="F62" s="116">
        <f t="shared" si="2"/>
        <v>0.46765340601016758</v>
      </c>
      <c r="G62" s="116">
        <f t="shared" si="2"/>
        <v>0.46576081379506812</v>
      </c>
      <c r="I62" s="507">
        <f>I152</f>
        <v>0.46694604716639071</v>
      </c>
      <c r="J62" s="507"/>
      <c r="K62" s="79"/>
    </row>
    <row r="63" spans="2:11" ht="15" customHeight="1" x14ac:dyDescent="0.3">
      <c r="B63" s="82" t="str">
        <f t="shared" ref="B63" si="3">B153</f>
        <v>Tai fforddiadwy</v>
      </c>
      <c r="C63" s="116">
        <f>C153</f>
        <v>0.53933795897050807</v>
      </c>
      <c r="D63" s="116">
        <f t="shared" si="2"/>
        <v>0.53455357881474386</v>
      </c>
      <c r="E63" s="116">
        <f t="shared" si="2"/>
        <v>0.52561045686697838</v>
      </c>
      <c r="F63" s="116">
        <f t="shared" si="2"/>
        <v>0.53234659398983242</v>
      </c>
      <c r="G63" s="116">
        <f t="shared" si="2"/>
        <v>0.53423918620493194</v>
      </c>
      <c r="I63" s="507">
        <f>I153</f>
        <v>0.53305395283360923</v>
      </c>
      <c r="J63" s="507"/>
      <c r="K63" s="79"/>
    </row>
    <row r="64" spans="2:11" ht="15" customHeight="1" x14ac:dyDescent="0.25">
      <c r="B64" s="80"/>
      <c r="C64" s="45"/>
      <c r="D64" s="45"/>
      <c r="E64" s="45"/>
      <c r="F64" s="45"/>
      <c r="G64" s="45"/>
      <c r="H64" s="45"/>
      <c r="I64" s="45"/>
      <c r="J64" s="45"/>
      <c r="K64" s="79"/>
    </row>
    <row r="65" spans="2:11" ht="15" customHeight="1" x14ac:dyDescent="0.25">
      <c r="B65" s="52" t="str">
        <f>IF(C145=1,"","Sylwebaeth ar y rhagdybiaethau a ddewiswyd ar gyfer y rhaniad 4 deiliadaeth")</f>
        <v/>
      </c>
      <c r="C65" s="306"/>
      <c r="D65" s="45"/>
      <c r="E65" s="45"/>
      <c r="F65" s="45"/>
      <c r="G65" s="45"/>
      <c r="H65" s="45"/>
      <c r="I65" s="45"/>
      <c r="J65" s="45"/>
      <c r="K65" s="79"/>
    </row>
    <row r="66" spans="2:11" ht="15" customHeight="1" x14ac:dyDescent="0.25">
      <c r="B66" s="495" t="str">
        <f>B192</f>
        <v>Ni fydd amcangyfrifon wedi'u rhannu'n 4 deiliadaeth yn ymddangos hyd nes bod y tabl uchod wedi'i gwblhau.</v>
      </c>
      <c r="C66" s="495"/>
      <c r="D66" s="495"/>
      <c r="E66" s="495"/>
      <c r="F66" s="495"/>
      <c r="G66" s="495"/>
      <c r="H66" s="495"/>
      <c r="I66" s="495"/>
      <c r="J66" s="495"/>
      <c r="K66" s="79"/>
    </row>
    <row r="67" spans="2:11" ht="15" customHeight="1" x14ac:dyDescent="0.25">
      <c r="B67" s="495"/>
      <c r="C67" s="495"/>
      <c r="D67" s="495"/>
      <c r="E67" s="495"/>
      <c r="F67" s="495"/>
      <c r="G67" s="495"/>
      <c r="H67" s="495"/>
      <c r="I67" s="495"/>
      <c r="J67" s="495"/>
      <c r="K67" s="79"/>
    </row>
    <row r="68" spans="2:11" ht="15" customHeight="1" x14ac:dyDescent="0.25">
      <c r="B68" s="495"/>
      <c r="C68" s="495"/>
      <c r="D68" s="495"/>
      <c r="E68" s="495"/>
      <c r="F68" s="495"/>
      <c r="G68" s="495"/>
      <c r="H68" s="495"/>
      <c r="I68" s="495"/>
      <c r="J68" s="495"/>
      <c r="K68" s="79"/>
    </row>
    <row r="69" spans="2:11" ht="15" customHeight="1" x14ac:dyDescent="0.25">
      <c r="B69" s="495"/>
      <c r="C69" s="495"/>
      <c r="D69" s="495"/>
      <c r="E69" s="495"/>
      <c r="F69" s="495"/>
      <c r="G69" s="495"/>
      <c r="H69" s="495"/>
      <c r="I69" s="495"/>
      <c r="J69" s="495"/>
      <c r="K69" s="79"/>
    </row>
    <row r="70" spans="2:11" ht="15" customHeight="1" x14ac:dyDescent="0.25">
      <c r="C70" s="49"/>
      <c r="D70" s="53"/>
      <c r="F70" s="54"/>
      <c r="G70" s="55"/>
    </row>
    <row r="71" spans="2:11" ht="15" customHeight="1" x14ac:dyDescent="0.25">
      <c r="C71" s="49"/>
      <c r="D71" s="53"/>
      <c r="E71" s="55"/>
      <c r="F71" s="54"/>
      <c r="G71" s="55"/>
    </row>
    <row r="72" spans="2:11" ht="15" customHeight="1" x14ac:dyDescent="0.25">
      <c r="C72" s="49"/>
      <c r="D72" s="53"/>
      <c r="E72" s="55"/>
      <c r="F72" s="54"/>
      <c r="G72" s="55"/>
    </row>
    <row r="73" spans="2:11" ht="15" customHeight="1" x14ac:dyDescent="0.25">
      <c r="C73" s="49"/>
      <c r="D73" s="53"/>
      <c r="E73" s="55"/>
      <c r="F73" s="54"/>
      <c r="G73" s="55"/>
    </row>
    <row r="74" spans="2:11" ht="15" customHeight="1" x14ac:dyDescent="0.25">
      <c r="C74" s="49"/>
      <c r="D74" s="53"/>
      <c r="E74" s="55"/>
      <c r="F74" s="54"/>
      <c r="G74" s="55"/>
    </row>
    <row r="75" spans="2:11" ht="15" customHeight="1" x14ac:dyDescent="0.25">
      <c r="C75" s="49"/>
      <c r="D75" s="53"/>
      <c r="E75" s="55"/>
      <c r="F75" s="54"/>
      <c r="G75" s="55"/>
    </row>
    <row r="76" spans="2:11" ht="15" customHeight="1" x14ac:dyDescent="0.25">
      <c r="C76" s="49"/>
      <c r="D76" s="53"/>
      <c r="E76" s="55"/>
      <c r="F76" s="54"/>
      <c r="G76" s="55"/>
    </row>
    <row r="77" spans="2:11" ht="15" customHeight="1" x14ac:dyDescent="0.25">
      <c r="C77" s="49"/>
      <c r="D77" s="53"/>
      <c r="E77" s="55"/>
      <c r="F77" s="54"/>
      <c r="G77" s="55"/>
    </row>
    <row r="78" spans="2:11" ht="15" customHeight="1" x14ac:dyDescent="0.25">
      <c r="C78" s="49"/>
      <c r="D78" s="53"/>
      <c r="E78" s="55"/>
      <c r="F78" s="54"/>
      <c r="G78" s="55"/>
    </row>
    <row r="79" spans="2:11" ht="15" customHeight="1" x14ac:dyDescent="0.25">
      <c r="C79" s="49"/>
      <c r="D79" s="53"/>
      <c r="E79" s="55"/>
      <c r="F79" s="54"/>
      <c r="G79" s="55"/>
    </row>
    <row r="80" spans="2:11" ht="15" customHeight="1" x14ac:dyDescent="0.25">
      <c r="C80" s="49"/>
      <c r="D80" s="53"/>
      <c r="E80" s="55"/>
      <c r="F80" s="54"/>
      <c r="G80" s="55"/>
    </row>
    <row r="81" spans="2:8" ht="15" customHeight="1" x14ac:dyDescent="0.25">
      <c r="C81" s="49"/>
      <c r="D81" s="53"/>
      <c r="E81" s="55"/>
      <c r="F81" s="54"/>
      <c r="G81" s="55"/>
    </row>
    <row r="82" spans="2:8" ht="15" customHeight="1" x14ac:dyDescent="0.25">
      <c r="C82" s="49"/>
      <c r="D82" s="53"/>
      <c r="E82" s="55"/>
      <c r="F82" s="54"/>
      <c r="G82" s="55"/>
    </row>
    <row r="83" spans="2:8" ht="15" customHeight="1" x14ac:dyDescent="0.25">
      <c r="C83" s="49"/>
      <c r="D83" s="53"/>
      <c r="E83" s="55"/>
      <c r="F83" s="54"/>
      <c r="G83" s="55"/>
    </row>
    <row r="84" spans="2:8" ht="15" customHeight="1" x14ac:dyDescent="0.25">
      <c r="C84" s="49"/>
      <c r="D84" s="53"/>
      <c r="E84" s="55"/>
      <c r="F84" s="54"/>
      <c r="G84" s="55"/>
    </row>
    <row r="85" spans="2:8" ht="15" customHeight="1" x14ac:dyDescent="0.25">
      <c r="C85" s="49"/>
      <c r="D85" s="53"/>
      <c r="E85" s="55"/>
      <c r="F85" s="54"/>
      <c r="G85" s="55"/>
    </row>
    <row r="86" spans="2:8" ht="15" customHeight="1" x14ac:dyDescent="0.25">
      <c r="C86" s="49"/>
      <c r="D86" s="53"/>
      <c r="E86" s="55"/>
      <c r="F86" s="54"/>
      <c r="G86" s="55"/>
    </row>
    <row r="87" spans="2:8" ht="15" customHeight="1" x14ac:dyDescent="0.25">
      <c r="C87" s="49"/>
      <c r="D87" s="53"/>
      <c r="E87" s="55"/>
      <c r="F87" s="54"/>
      <c r="G87" s="55"/>
    </row>
    <row r="88" spans="2:8" ht="15" customHeight="1" x14ac:dyDescent="0.25">
      <c r="C88" s="49"/>
      <c r="D88" s="53"/>
      <c r="E88" s="55"/>
      <c r="F88" s="54"/>
      <c r="G88" s="55"/>
    </row>
    <row r="89" spans="2:8" ht="15" customHeight="1" x14ac:dyDescent="0.25">
      <c r="C89" s="49"/>
      <c r="D89" s="53"/>
      <c r="E89" s="55"/>
      <c r="F89" s="54"/>
      <c r="G89" s="55"/>
    </row>
    <row r="90" spans="2:8" ht="15" customHeight="1" x14ac:dyDescent="0.3">
      <c r="B90" s="56" t="s">
        <v>299</v>
      </c>
      <c r="C90" s="57"/>
      <c r="D90" s="57"/>
      <c r="E90" s="57"/>
      <c r="F90" s="57"/>
      <c r="G90" s="57"/>
    </row>
    <row r="91" spans="2:8" ht="15" customHeight="1" x14ac:dyDescent="0.25">
      <c r="B91" s="118" t="str">
        <f>B157</f>
        <v>Cwblhewch y tabl i weld amcangyfrifon wedi'u rhannu'n 4 deiliadaeth.</v>
      </c>
      <c r="C91" s="82"/>
      <c r="D91" s="82"/>
      <c r="E91" s="82"/>
      <c r="F91" s="82"/>
      <c r="G91" s="82"/>
      <c r="H91" s="58"/>
    </row>
    <row r="92" spans="2:8" ht="15" customHeight="1" x14ac:dyDescent="0.3">
      <c r="B92" s="118"/>
      <c r="C92" s="113" t="str">
        <f t="shared" ref="C92:G96" si="4">C157</f>
        <v/>
      </c>
      <c r="D92" s="113" t="str">
        <f t="shared" si="4"/>
        <v/>
      </c>
      <c r="E92" s="113" t="str">
        <f t="shared" si="4"/>
        <v/>
      </c>
      <c r="F92" s="113" t="str">
        <f t="shared" si="4"/>
        <v/>
      </c>
      <c r="G92" s="113" t="str">
        <f t="shared" si="4"/>
        <v/>
      </c>
      <c r="H92" s="58"/>
    </row>
    <row r="93" spans="2:8" ht="15" customHeight="1" x14ac:dyDescent="0.25">
      <c r="B93" s="112" t="str">
        <f>B158</f>
        <v/>
      </c>
      <c r="C93" s="119" t="str">
        <f t="shared" si="4"/>
        <v/>
      </c>
      <c r="D93" s="114" t="str">
        <f t="shared" si="4"/>
        <v/>
      </c>
      <c r="E93" s="114" t="str">
        <f t="shared" si="4"/>
        <v/>
      </c>
      <c r="F93" s="114" t="str">
        <f t="shared" si="4"/>
        <v/>
      </c>
      <c r="G93" s="114" t="str">
        <f t="shared" si="4"/>
        <v/>
      </c>
      <c r="H93" s="58"/>
    </row>
    <row r="94" spans="2:8" ht="15" customHeight="1" x14ac:dyDescent="0.25">
      <c r="B94" s="112" t="str">
        <f>B159</f>
        <v/>
      </c>
      <c r="C94" s="114" t="str">
        <f t="shared" si="4"/>
        <v/>
      </c>
      <c r="D94" s="114" t="str">
        <f t="shared" si="4"/>
        <v/>
      </c>
      <c r="E94" s="114" t="str">
        <f t="shared" si="4"/>
        <v/>
      </c>
      <c r="F94" s="114" t="str">
        <f t="shared" si="4"/>
        <v/>
      </c>
      <c r="G94" s="114" t="str">
        <f t="shared" si="4"/>
        <v/>
      </c>
      <c r="H94" s="58"/>
    </row>
    <row r="95" spans="2:8" ht="15" customHeight="1" x14ac:dyDescent="0.25">
      <c r="B95" s="114" t="str">
        <f>B160</f>
        <v/>
      </c>
      <c r="C95" s="114" t="str">
        <f t="shared" si="4"/>
        <v/>
      </c>
      <c r="D95" s="114" t="str">
        <f t="shared" si="4"/>
        <v/>
      </c>
      <c r="E95" s="114" t="str">
        <f t="shared" si="4"/>
        <v/>
      </c>
      <c r="F95" s="114" t="str">
        <f t="shared" si="4"/>
        <v/>
      </c>
      <c r="G95" s="114" t="str">
        <f t="shared" si="4"/>
        <v/>
      </c>
      <c r="H95" s="58"/>
    </row>
    <row r="96" spans="2:8" ht="15" customHeight="1" x14ac:dyDescent="0.25">
      <c r="B96" s="114" t="str">
        <f>B161</f>
        <v/>
      </c>
      <c r="C96" s="114" t="str">
        <f t="shared" si="4"/>
        <v/>
      </c>
      <c r="D96" s="114" t="str">
        <f t="shared" si="4"/>
        <v/>
      </c>
      <c r="E96" s="114" t="str">
        <f t="shared" si="4"/>
        <v/>
      </c>
      <c r="F96" s="114" t="str">
        <f t="shared" si="4"/>
        <v/>
      </c>
      <c r="G96" s="114" t="str">
        <f t="shared" si="4"/>
        <v/>
      </c>
      <c r="H96" s="58"/>
    </row>
    <row r="97" spans="2:20" ht="15" customHeight="1" x14ac:dyDescent="0.25">
      <c r="H97" s="58"/>
    </row>
    <row r="98" spans="2:20" ht="15" customHeight="1" x14ac:dyDescent="0.3">
      <c r="B98" s="46" t="s">
        <v>302</v>
      </c>
      <c r="H98" s="58"/>
    </row>
    <row r="99" spans="2:20" ht="15" customHeight="1" x14ac:dyDescent="0.3">
      <c r="B99" s="82" t="str">
        <f>B162</f>
        <v>Cwblhewch y tabl i weld amcangyfrifon wedi'u rhannu'n 4 deiliadaeth.</v>
      </c>
      <c r="C99" s="82"/>
      <c r="D99" s="82"/>
      <c r="E99" s="82"/>
      <c r="F99" s="82"/>
      <c r="G99" s="82"/>
      <c r="H99" s="58"/>
      <c r="I99" s="518" t="str">
        <f>I162</f>
        <v/>
      </c>
      <c r="J99" s="518"/>
    </row>
    <row r="100" spans="2:20" ht="15" customHeight="1" x14ac:dyDescent="0.3">
      <c r="B100" s="82"/>
      <c r="C100" s="115" t="str">
        <f t="shared" ref="C100:G104" si="5">C162</f>
        <v/>
      </c>
      <c r="D100" s="115" t="str">
        <f t="shared" si="5"/>
        <v/>
      </c>
      <c r="E100" s="115" t="str">
        <f t="shared" si="5"/>
        <v/>
      </c>
      <c r="F100" s="115" t="str">
        <f t="shared" si="5"/>
        <v/>
      </c>
      <c r="G100" s="115" t="str">
        <f t="shared" si="5"/>
        <v/>
      </c>
      <c r="H100" s="58"/>
      <c r="I100" s="117"/>
      <c r="J100" s="117"/>
    </row>
    <row r="101" spans="2:20" ht="15" customHeight="1" x14ac:dyDescent="0.3">
      <c r="B101" s="82" t="str">
        <f>B163</f>
        <v/>
      </c>
      <c r="C101" s="116" t="str">
        <f t="shared" si="5"/>
        <v/>
      </c>
      <c r="D101" s="116" t="str">
        <f t="shared" si="5"/>
        <v/>
      </c>
      <c r="E101" s="116" t="str">
        <f t="shared" si="5"/>
        <v/>
      </c>
      <c r="F101" s="116" t="str">
        <f t="shared" si="5"/>
        <v/>
      </c>
      <c r="G101" s="116" t="str">
        <f t="shared" si="5"/>
        <v/>
      </c>
      <c r="H101" s="58"/>
      <c r="I101" s="507" t="str">
        <f>I163</f>
        <v/>
      </c>
      <c r="J101" s="507"/>
    </row>
    <row r="102" spans="2:20" ht="15" customHeight="1" x14ac:dyDescent="0.3">
      <c r="B102" s="82" t="str">
        <f>B164</f>
        <v/>
      </c>
      <c r="C102" s="116" t="str">
        <f t="shared" si="5"/>
        <v/>
      </c>
      <c r="D102" s="116" t="str">
        <f t="shared" si="5"/>
        <v/>
      </c>
      <c r="E102" s="116" t="str">
        <f t="shared" si="5"/>
        <v/>
      </c>
      <c r="F102" s="116" t="str">
        <f t="shared" si="5"/>
        <v/>
      </c>
      <c r="G102" s="116" t="str">
        <f t="shared" si="5"/>
        <v/>
      </c>
      <c r="H102" s="58"/>
      <c r="I102" s="507" t="str">
        <f>I164</f>
        <v/>
      </c>
      <c r="J102" s="507"/>
    </row>
    <row r="103" spans="2:20" ht="14.25" customHeight="1" x14ac:dyDescent="0.3">
      <c r="B103" s="82" t="str">
        <f>B165</f>
        <v/>
      </c>
      <c r="C103" s="116" t="str">
        <f t="shared" si="5"/>
        <v/>
      </c>
      <c r="D103" s="116" t="str">
        <f t="shared" si="5"/>
        <v/>
      </c>
      <c r="E103" s="116" t="str">
        <f t="shared" si="5"/>
        <v/>
      </c>
      <c r="F103" s="116" t="str">
        <f t="shared" si="5"/>
        <v/>
      </c>
      <c r="G103" s="116" t="str">
        <f t="shared" si="5"/>
        <v/>
      </c>
      <c r="H103" s="58"/>
      <c r="I103" s="507" t="str">
        <f>I165</f>
        <v/>
      </c>
      <c r="J103" s="507"/>
    </row>
    <row r="104" spans="2:20" ht="14.25" customHeight="1" x14ac:dyDescent="0.3">
      <c r="B104" s="82" t="str">
        <f>B166</f>
        <v/>
      </c>
      <c r="C104" s="116" t="str">
        <f t="shared" si="5"/>
        <v/>
      </c>
      <c r="D104" s="116" t="str">
        <f t="shared" si="5"/>
        <v/>
      </c>
      <c r="E104" s="116" t="str">
        <f t="shared" si="5"/>
        <v/>
      </c>
      <c r="F104" s="116" t="str">
        <f t="shared" si="5"/>
        <v/>
      </c>
      <c r="G104" s="116" t="str">
        <f t="shared" si="5"/>
        <v/>
      </c>
      <c r="H104" s="58"/>
      <c r="I104" s="507" t="str">
        <f>I166</f>
        <v/>
      </c>
      <c r="J104" s="507"/>
    </row>
    <row r="105" spans="2:20" ht="14.25" customHeight="1" x14ac:dyDescent="0.3">
      <c r="C105" s="46"/>
      <c r="H105" s="58"/>
      <c r="M105" s="58"/>
      <c r="N105" s="59"/>
      <c r="O105" s="59"/>
      <c r="P105" s="59"/>
      <c r="Q105" s="59"/>
      <c r="R105" s="59"/>
      <c r="S105" s="58"/>
      <c r="T105" s="60"/>
    </row>
    <row r="106" spans="2:20" ht="14.25" customHeight="1" x14ac:dyDescent="0.35">
      <c r="B106" s="44" t="s">
        <v>292</v>
      </c>
      <c r="M106" s="58"/>
      <c r="N106" s="59"/>
      <c r="O106" s="59"/>
      <c r="P106" s="59"/>
      <c r="Q106" s="59"/>
      <c r="R106" s="59"/>
      <c r="S106" s="58"/>
      <c r="T106" s="60"/>
    </row>
    <row r="107" spans="2:20" ht="14.25" customHeight="1" x14ac:dyDescent="0.3">
      <c r="B107" s="123"/>
      <c r="C107" s="124" t="str">
        <f>Year1</f>
        <v>2019/20</v>
      </c>
      <c r="D107" s="124" t="str">
        <f>Year2</f>
        <v>2020/21</v>
      </c>
      <c r="E107" s="124" t="str">
        <f>Year3</f>
        <v>2021/22</v>
      </c>
      <c r="F107" s="124" t="str">
        <f>Year4</f>
        <v>2022/23</v>
      </c>
      <c r="G107" s="125" t="str">
        <f>Year5</f>
        <v>2023/24</v>
      </c>
      <c r="M107" s="58"/>
      <c r="N107" s="59"/>
      <c r="O107" s="59"/>
      <c r="P107" s="59"/>
      <c r="Q107" s="59"/>
      <c r="R107" s="59"/>
      <c r="S107" s="58"/>
      <c r="T107" s="60"/>
    </row>
    <row r="108" spans="2:20" ht="25.5" x14ac:dyDescent="0.3">
      <c r="B108" s="126" t="s">
        <v>70</v>
      </c>
      <c r="C108" s="128">
        <f>'Rhaniad y Ddeiliadaeth (Cymru)'!C108</f>
        <v>0.3</v>
      </c>
      <c r="D108" s="128">
        <f>'Rhaniad y Ddeiliadaeth (Cymru)'!D108</f>
        <v>0.3</v>
      </c>
      <c r="E108" s="128">
        <f>'Rhaniad y Ddeiliadaeth (Cymru)'!E108</f>
        <v>0.3</v>
      </c>
      <c r="F108" s="128">
        <f>'Rhaniad y Ddeiliadaeth (Cymru)'!F108</f>
        <v>0.3</v>
      </c>
      <c r="G108" s="129">
        <f>'Rhaniad y Ddeiliadaeth (Cymru)'!G108</f>
        <v>0.3</v>
      </c>
      <c r="O108" s="59"/>
      <c r="P108" s="59"/>
      <c r="Q108" s="59"/>
      <c r="R108" s="59"/>
      <c r="S108" s="58"/>
      <c r="T108" s="60"/>
    </row>
    <row r="109" spans="2:20" ht="13" x14ac:dyDescent="0.3">
      <c r="B109" s="126" t="s">
        <v>284</v>
      </c>
      <c r="C109" s="128">
        <f>'Rhaniad y Ddeiliadaeth (Cymru)'!C109</f>
        <v>2.2446185800604201E-2</v>
      </c>
      <c r="D109" s="128">
        <f>'Rhaniad y Ddeiliadaeth (Cymru)'!D109</f>
        <v>3.4273974138698815E-2</v>
      </c>
      <c r="E109" s="128">
        <f>'Rhaniad y Ddeiliadaeth (Cymru)'!E109</f>
        <v>3.4178288789832534E-2</v>
      </c>
      <c r="F109" s="128">
        <f>'Rhaniad y Ddeiliadaeth (Cymru)'!F109</f>
        <v>3.468526742495337E-2</v>
      </c>
      <c r="G109" s="129">
        <f>'Rhaniad y Ddeiliadaeth (Cymru)'!G109</f>
        <v>3.4498109627313145E-2</v>
      </c>
      <c r="O109" s="59"/>
      <c r="P109" s="59"/>
      <c r="Q109" s="59"/>
      <c r="R109" s="59"/>
      <c r="S109" s="58"/>
      <c r="T109" s="60"/>
    </row>
    <row r="110" spans="2:20" ht="13" x14ac:dyDescent="0.3">
      <c r="B110" s="126" t="s">
        <v>285</v>
      </c>
      <c r="C110" s="128">
        <f>'Rhaniad y Ddeiliadaeth (Cymru)'!C110</f>
        <v>0.01</v>
      </c>
      <c r="D110" s="128">
        <f>'Rhaniad y Ddeiliadaeth (Cymru)'!D110</f>
        <v>0.01</v>
      </c>
      <c r="E110" s="128">
        <f>'Rhaniad y Ddeiliadaeth (Cymru)'!E110</f>
        <v>0.01</v>
      </c>
      <c r="F110" s="128">
        <f>'Rhaniad y Ddeiliadaeth (Cymru)'!F110</f>
        <v>0.01</v>
      </c>
      <c r="G110" s="129">
        <f>'Rhaniad y Ddeiliadaeth (Cymru)'!G110</f>
        <v>0.01</v>
      </c>
      <c r="O110" s="59"/>
      <c r="P110" s="59"/>
      <c r="Q110" s="59"/>
      <c r="R110" s="59"/>
      <c r="S110" s="58"/>
      <c r="T110" s="60"/>
    </row>
    <row r="111" spans="2:20" ht="13" x14ac:dyDescent="0.3">
      <c r="B111" s="126" t="s">
        <v>286</v>
      </c>
      <c r="C111" s="128">
        <f>'Rhaniad y Ddeiliadaeth (Cymru)'!C111</f>
        <v>2.95362389376672E-2</v>
      </c>
      <c r="D111" s="128">
        <f>'Rhaniad y Ddeiliadaeth (Cymru)'!D111</f>
        <v>3.06009237258206E-2</v>
      </c>
      <c r="E111" s="128">
        <f>'Rhaniad y Ddeiliadaeth (Cymru)'!E111</f>
        <v>3.1212408697362796E-2</v>
      </c>
      <c r="F111" s="128">
        <f>'Rhaniad y Ddeiliadaeth (Cymru)'!F111</f>
        <v>3.1716449662899202E-2</v>
      </c>
      <c r="G111" s="129">
        <f>'Rhaniad y Ddeiliadaeth (Cymru)'!G111</f>
        <v>3.2947319786085505E-2</v>
      </c>
      <c r="O111" s="59"/>
      <c r="P111" s="59"/>
      <c r="Q111" s="59"/>
      <c r="R111" s="59"/>
      <c r="S111" s="58"/>
      <c r="T111" s="60"/>
    </row>
    <row r="112" spans="2:20" ht="13" x14ac:dyDescent="0.3">
      <c r="B112" s="126" t="s">
        <v>287</v>
      </c>
      <c r="C112" s="130">
        <f>INDEX('Prisiau Rhenti'!$D$14:$D$15,MATCH('Rhaniad y Ddeiliadaeth (Gog)'!$D$9,'Prisiau Rhenti'!$B$14:$B$15,0))*(1+C111)</f>
        <v>6794.9391769886033</v>
      </c>
      <c r="D112" s="130">
        <f>C112*(1+D111)</f>
        <v>7002.8705924652222</v>
      </c>
      <c r="E112" s="130">
        <f>D112*(1+E111)</f>
        <v>7221.4470514519899</v>
      </c>
      <c r="F112" s="130">
        <f>E112*(1+F111)</f>
        <v>7450.4857133526584</v>
      </c>
      <c r="G112" s="131">
        <f>F112*(1+G111)</f>
        <v>7695.959248712149</v>
      </c>
      <c r="O112" s="59"/>
      <c r="P112" s="59"/>
      <c r="Q112" s="59"/>
      <c r="R112" s="59"/>
      <c r="S112" s="58"/>
      <c r="T112" s="60"/>
    </row>
    <row r="113" spans="2:20" ht="13" x14ac:dyDescent="0.3">
      <c r="B113" s="126" t="s">
        <v>288</v>
      </c>
      <c r="C113" s="130">
        <f>INDEX('Prisiau Rhenti'!$C$14:$C$15,MATCH('Rhaniad y Ddeiliadaeth (Gog)'!$D$9,'Prisiau Rhenti'!$B$14:$B$15,0))*(1+C111)</f>
        <v>6177.2174336260032</v>
      </c>
      <c r="D113" s="130">
        <f>C113*(1+D111)</f>
        <v>6366.2459931502026</v>
      </c>
      <c r="E113" s="130">
        <f>D113*(1+E111)</f>
        <v>6564.9518649563552</v>
      </c>
      <c r="F113" s="130">
        <f>E113*(1+F111)</f>
        <v>6773.1688303206001</v>
      </c>
      <c r="G113" s="131">
        <f>F113*(1+G111)</f>
        <v>6996.3265897383189</v>
      </c>
      <c r="O113" s="59"/>
      <c r="P113" s="59"/>
      <c r="Q113" s="59"/>
      <c r="R113" s="59"/>
      <c r="S113" s="58"/>
      <c r="T113" s="60"/>
    </row>
    <row r="114" spans="2:20" ht="25.5" x14ac:dyDescent="0.3">
      <c r="B114" s="122" t="s">
        <v>92</v>
      </c>
      <c r="C114" s="327">
        <f>'Rhaniad y Ddeiliadaeth (Cymru)'!C114</f>
        <v>4.03</v>
      </c>
      <c r="D114" s="327">
        <f>'Rhaniad y Ddeiliadaeth (Cymru)'!D114</f>
        <v>4.03</v>
      </c>
      <c r="E114" s="327">
        <f>'Rhaniad y Ddeiliadaeth (Cymru)'!E114</f>
        <v>4.03</v>
      </c>
      <c r="F114" s="327">
        <f>'Rhaniad y Ddeiliadaeth (Cymru)'!F114</f>
        <v>4.03</v>
      </c>
      <c r="G114" s="328">
        <f>'Rhaniad y Ddeiliadaeth (Cymru)'!G114</f>
        <v>4.03</v>
      </c>
      <c r="O114" s="59"/>
      <c r="P114" s="59"/>
      <c r="Q114" s="59"/>
      <c r="R114" s="59"/>
      <c r="S114" s="58"/>
      <c r="T114" s="60"/>
    </row>
    <row r="115" spans="2:20" ht="25.5" x14ac:dyDescent="0.3">
      <c r="B115" s="122" t="s">
        <v>93</v>
      </c>
      <c r="C115" s="132">
        <f>'Rhaniad y Ddeiliadaeth (Cymru)'!C115</f>
        <v>40</v>
      </c>
      <c r="D115" s="132">
        <f>'Rhaniad y Ddeiliadaeth (Cymru)'!D115</f>
        <v>40</v>
      </c>
      <c r="E115" s="132">
        <f>'Rhaniad y Ddeiliadaeth (Cymru)'!E115</f>
        <v>40</v>
      </c>
      <c r="F115" s="132">
        <f>'Rhaniad y Ddeiliadaeth (Cymru)'!F115</f>
        <v>40</v>
      </c>
      <c r="G115" s="133">
        <f>'Rhaniad y Ddeiliadaeth (Cymru)'!G115</f>
        <v>40</v>
      </c>
      <c r="O115" s="59"/>
      <c r="P115" s="59"/>
      <c r="Q115" s="59"/>
      <c r="R115" s="59"/>
      <c r="S115" s="58"/>
      <c r="T115" s="60"/>
    </row>
    <row r="116" spans="2:20" ht="25.5" x14ac:dyDescent="0.3">
      <c r="B116" s="122" t="s">
        <v>289</v>
      </c>
      <c r="C116" s="134" t="str">
        <f>'Rhaniad y Ddeiliadaeth (Cymru)'!C116</f>
        <v>-</v>
      </c>
      <c r="D116" s="134" t="str">
        <f>'Rhaniad y Ddeiliadaeth (Cymru)'!D116</f>
        <v>-</v>
      </c>
      <c r="E116" s="134" t="str">
        <f>'Rhaniad y Ddeiliadaeth (Cymru)'!E116</f>
        <v>-</v>
      </c>
      <c r="F116" s="134" t="str">
        <f>'Rhaniad y Ddeiliadaeth (Cymru)'!F116</f>
        <v>-</v>
      </c>
      <c r="G116" s="135" t="str">
        <f>'Rhaniad y Ddeiliadaeth (Cymru)'!G116</f>
        <v>-</v>
      </c>
      <c r="O116" s="59"/>
      <c r="P116" s="59"/>
      <c r="Q116" s="59"/>
      <c r="R116" s="59"/>
      <c r="S116" s="58"/>
      <c r="T116" s="60"/>
    </row>
    <row r="117" spans="2:20" ht="25.5" x14ac:dyDescent="0.3">
      <c r="B117" s="122" t="s">
        <v>95</v>
      </c>
      <c r="C117" s="134">
        <f>'Rhaniad y Ddeiliadaeth (Cymru)'!C117</f>
        <v>0.35</v>
      </c>
      <c r="D117" s="134">
        <f>'Rhaniad y Ddeiliadaeth (Cymru)'!D117</f>
        <v>0.35</v>
      </c>
      <c r="E117" s="134">
        <f>'Rhaniad y Ddeiliadaeth (Cymru)'!E117</f>
        <v>0.35</v>
      </c>
      <c r="F117" s="134">
        <f>'Rhaniad y Ddeiliadaeth (Cymru)'!F117</f>
        <v>0.35</v>
      </c>
      <c r="G117" s="135">
        <f>'Rhaniad y Ddeiliadaeth (Cymru)'!G117</f>
        <v>0.35</v>
      </c>
      <c r="O117" s="59"/>
      <c r="P117" s="59"/>
      <c r="Q117" s="59"/>
      <c r="R117" s="59"/>
      <c r="S117" s="58"/>
      <c r="T117" s="60"/>
    </row>
    <row r="118" spans="2:20" ht="13" x14ac:dyDescent="0.3">
      <c r="B118" s="127" t="s">
        <v>290</v>
      </c>
      <c r="C118" s="136">
        <f>'Rhaniad y Ddeiliadaeth (Cymru)'!C118</f>
        <v>4.8000000000000001E-2</v>
      </c>
      <c r="D118" s="136">
        <f>'Rhaniad y Ddeiliadaeth (Cymru)'!D118</f>
        <v>5.8299999999999998E-2</v>
      </c>
      <c r="E118" s="136">
        <f>'Rhaniad y Ddeiliadaeth (Cymru)'!E118</f>
        <v>7.0636931849950499E-2</v>
      </c>
      <c r="F118" s="136">
        <f>'Rhaniad y Ddeiliadaeth (Cymru)'!F118</f>
        <v>5.44208712629837E-2</v>
      </c>
      <c r="G118" s="137">
        <f>'Rhaniad y Ddeiliadaeth (Cymru)'!G118</f>
        <v>4.2183728416054896E-2</v>
      </c>
      <c r="O118" s="59"/>
      <c r="P118" s="59"/>
      <c r="Q118" s="59"/>
      <c r="R118" s="59"/>
      <c r="S118" s="58"/>
      <c r="T118" s="60"/>
    </row>
    <row r="119" spans="2:20" ht="14.25" customHeight="1" x14ac:dyDescent="0.3">
      <c r="C119" s="46"/>
      <c r="M119" s="58"/>
      <c r="N119" s="59"/>
      <c r="O119" s="59"/>
      <c r="P119" s="59"/>
      <c r="Q119" s="59"/>
      <c r="R119" s="59"/>
      <c r="S119" s="58"/>
      <c r="T119" s="60"/>
    </row>
    <row r="120" spans="2:20" ht="14.25" customHeight="1" x14ac:dyDescent="0.3">
      <c r="B120" s="85" t="s">
        <v>312</v>
      </c>
      <c r="C120" s="86"/>
      <c r="L120" s="58"/>
      <c r="M120" s="59"/>
      <c r="N120" s="59"/>
      <c r="O120" s="59"/>
      <c r="P120" s="59"/>
      <c r="R120" s="59"/>
      <c r="S120" s="58"/>
      <c r="T120" s="60"/>
    </row>
    <row r="121" spans="2:20" ht="14.25" customHeight="1" x14ac:dyDescent="0.3">
      <c r="B121" s="85" t="s">
        <v>313</v>
      </c>
      <c r="C121" s="87" t="s">
        <v>311</v>
      </c>
      <c r="G121" s="58"/>
      <c r="L121" s="58"/>
      <c r="M121" s="58"/>
      <c r="N121" s="58"/>
      <c r="O121" s="58"/>
      <c r="P121" s="58"/>
      <c r="R121" s="58"/>
      <c r="S121" s="58"/>
      <c r="T121" s="58"/>
    </row>
    <row r="122" spans="2:20" ht="14.25" customHeight="1" x14ac:dyDescent="0.25">
      <c r="B122" s="86" t="s">
        <v>175</v>
      </c>
      <c r="C122" s="86">
        <f>IF(E6="Y",0,1)</f>
        <v>0</v>
      </c>
      <c r="G122" s="58"/>
    </row>
    <row r="123" spans="2:20" ht="14.25" customHeight="1" x14ac:dyDescent="0.25">
      <c r="B123" s="86" t="s">
        <v>165</v>
      </c>
      <c r="C123" s="86">
        <f>IF(E7="Y",0,1)</f>
        <v>0</v>
      </c>
      <c r="G123" s="58"/>
    </row>
    <row r="124" spans="2:20" ht="14.25" customHeight="1" x14ac:dyDescent="0.25">
      <c r="B124" s="86" t="s">
        <v>321</v>
      </c>
      <c r="C124" s="86">
        <f>IF(E8="Y",0,1)</f>
        <v>0</v>
      </c>
      <c r="G124" s="58"/>
    </row>
    <row r="125" spans="2:20" ht="14.25" customHeight="1" x14ac:dyDescent="0.25">
      <c r="B125" s="86" t="s">
        <v>55</v>
      </c>
      <c r="C125" s="86">
        <f>IF(E9="Y",0,1)</f>
        <v>0</v>
      </c>
      <c r="G125" s="58"/>
    </row>
    <row r="126" spans="2:20" ht="14.25" customHeight="1" x14ac:dyDescent="0.3">
      <c r="B126" s="85" t="s">
        <v>325</v>
      </c>
      <c r="C126" s="86"/>
      <c r="G126" s="58"/>
    </row>
    <row r="127" spans="2:20" ht="14.25" customHeight="1" x14ac:dyDescent="0.25">
      <c r="B127" s="86" t="s">
        <v>355</v>
      </c>
      <c r="C127" s="86">
        <f>IF(E11="Y",0,1)</f>
        <v>0</v>
      </c>
      <c r="G127" s="58"/>
    </row>
    <row r="128" spans="2:20" ht="14.25" customHeight="1" x14ac:dyDescent="0.25">
      <c r="B128" s="86" t="s">
        <v>327</v>
      </c>
      <c r="C128" s="86">
        <f>IF(E12="Y",0,1)</f>
        <v>0</v>
      </c>
      <c r="G128" s="58"/>
    </row>
    <row r="129" spans="2:7" ht="14.25" customHeight="1" x14ac:dyDescent="0.3">
      <c r="B129" s="85" t="s">
        <v>323</v>
      </c>
      <c r="C129" s="86"/>
      <c r="G129" s="58"/>
    </row>
    <row r="130" spans="2:7" ht="14.25" customHeight="1" x14ac:dyDescent="0.25">
      <c r="B130" s="86" t="s">
        <v>80</v>
      </c>
      <c r="C130" s="86">
        <f>IF(E14="Y",0,1)</f>
        <v>0</v>
      </c>
      <c r="G130" s="58"/>
    </row>
    <row r="131" spans="2:7" ht="14.25" customHeight="1" x14ac:dyDescent="0.25">
      <c r="B131" s="86" t="s">
        <v>86</v>
      </c>
      <c r="C131" s="86">
        <f>IF(E15="Y",0,1)</f>
        <v>0</v>
      </c>
      <c r="G131" s="58"/>
    </row>
    <row r="132" spans="2:7" ht="14.25" customHeight="1" x14ac:dyDescent="0.25">
      <c r="B132" s="86" t="s">
        <v>117</v>
      </c>
      <c r="C132" s="86">
        <f>IF(E16="Y",0,1)</f>
        <v>0</v>
      </c>
      <c r="G132" s="58"/>
    </row>
    <row r="133" spans="2:7" ht="14.25" customHeight="1" x14ac:dyDescent="0.25">
      <c r="B133" s="86" t="s">
        <v>7</v>
      </c>
      <c r="C133" s="86">
        <f>IF(SUM(C122:C132)&gt;0,1,0)</f>
        <v>0</v>
      </c>
      <c r="G133" s="58"/>
    </row>
    <row r="134" spans="2:7" ht="14.25" customHeight="1" x14ac:dyDescent="0.25">
      <c r="G134" s="58"/>
    </row>
    <row r="135" spans="2:7" ht="14.25" customHeight="1" x14ac:dyDescent="0.3">
      <c r="B135" s="81" t="s">
        <v>319</v>
      </c>
      <c r="C135" s="82"/>
      <c r="G135" s="58"/>
    </row>
    <row r="136" spans="2:7" ht="14.25" customHeight="1" x14ac:dyDescent="0.3">
      <c r="B136" s="81" t="s">
        <v>313</v>
      </c>
      <c r="C136" s="82"/>
      <c r="G136" s="58"/>
    </row>
    <row r="137" spans="2:7" ht="14.25" customHeight="1" x14ac:dyDescent="0.25">
      <c r="B137" s="82" t="s">
        <v>88</v>
      </c>
      <c r="C137" s="82">
        <f>IF(E18="Y",0,1)</f>
        <v>0</v>
      </c>
      <c r="G137" s="58"/>
    </row>
    <row r="138" spans="2:7" ht="14.25" customHeight="1" x14ac:dyDescent="0.3">
      <c r="B138" s="81" t="s">
        <v>325</v>
      </c>
      <c r="C138" s="82"/>
      <c r="G138" s="58"/>
    </row>
    <row r="139" spans="2:7" ht="14.25" customHeight="1" x14ac:dyDescent="0.25">
      <c r="B139" s="82" t="s">
        <v>315</v>
      </c>
      <c r="C139" s="82">
        <f>IF(E20="Y",0,1)</f>
        <v>0</v>
      </c>
      <c r="G139" s="58"/>
    </row>
    <row r="140" spans="2:7" ht="18.75" customHeight="1" x14ac:dyDescent="0.25">
      <c r="B140" s="82" t="s">
        <v>316</v>
      </c>
      <c r="C140" s="82">
        <f>IF(E21="Y",0,1)</f>
        <v>0</v>
      </c>
      <c r="G140" s="58"/>
    </row>
    <row r="141" spans="2:7" ht="18.75" customHeight="1" x14ac:dyDescent="0.25">
      <c r="B141" s="82" t="s">
        <v>322</v>
      </c>
      <c r="C141" s="82">
        <f>IF(E22="Y",0,1)</f>
        <v>1</v>
      </c>
      <c r="G141" s="58"/>
    </row>
    <row r="142" spans="2:7" x14ac:dyDescent="0.25">
      <c r="B142" s="82" t="s">
        <v>326</v>
      </c>
      <c r="C142" s="82">
        <f>IF(E23="Y",0,1)</f>
        <v>0</v>
      </c>
    </row>
    <row r="143" spans="2:7" ht="13" x14ac:dyDescent="0.3">
      <c r="B143" s="81" t="s">
        <v>323</v>
      </c>
      <c r="C143" s="82"/>
    </row>
    <row r="144" spans="2:7" x14ac:dyDescent="0.25">
      <c r="B144" s="82" t="s">
        <v>320</v>
      </c>
      <c r="C144" s="82">
        <f>IF(E25="Y",0,1)</f>
        <v>0</v>
      </c>
    </row>
    <row r="145" spans="2:11" x14ac:dyDescent="0.25">
      <c r="B145" s="82" t="s">
        <v>314</v>
      </c>
      <c r="C145" s="82">
        <f>IF(SUM(C133,C137:C144)=0,0,1)</f>
        <v>1</v>
      </c>
    </row>
    <row r="146" spans="2:11" x14ac:dyDescent="0.25">
      <c r="C146" s="61"/>
      <c r="D146" s="61"/>
      <c r="E146" s="61"/>
      <c r="F146" s="61"/>
      <c r="G146" s="61"/>
      <c r="I146" s="61"/>
    </row>
    <row r="147" spans="2:11" ht="13" x14ac:dyDescent="0.3">
      <c r="B147" s="85" t="s">
        <v>309</v>
      </c>
      <c r="C147" s="86"/>
      <c r="D147" s="86"/>
      <c r="E147" s="86"/>
      <c r="F147" s="86"/>
      <c r="G147" s="86"/>
      <c r="H147" s="86"/>
      <c r="I147" s="86"/>
      <c r="J147" s="86"/>
      <c r="K147" s="58"/>
    </row>
    <row r="148" spans="2:11" x14ac:dyDescent="0.25">
      <c r="B148" s="86" t="str">
        <f>IF(C133=1,"Please complete table to view figures.","")</f>
        <v/>
      </c>
      <c r="C148" s="86" t="str">
        <f>IF($C$133=0,Year1,"")</f>
        <v>2019/20</v>
      </c>
      <c r="D148" s="86" t="str">
        <f>IF($C$133=0, Year2,"")</f>
        <v>2020/21</v>
      </c>
      <c r="E148" s="86" t="str">
        <f>IF($C$133=0,Year3,"")</f>
        <v>2021/22</v>
      </c>
      <c r="F148" s="86" t="str">
        <f>IF($C$133=0,Year4,"")</f>
        <v>2022/23</v>
      </c>
      <c r="G148" s="86" t="str">
        <f>IF($C$133=0,Year5,"")</f>
        <v>2023/24</v>
      </c>
      <c r="H148" s="86"/>
      <c r="I148" s="86"/>
      <c r="J148" s="86"/>
      <c r="K148" s="58"/>
    </row>
    <row r="149" spans="2:11" x14ac:dyDescent="0.25">
      <c r="B149" s="86" t="str">
        <f>IF($C$133=0,"Tai'r Farchnad","")</f>
        <v>Tai'r Farchnad</v>
      </c>
      <c r="C149" s="88">
        <f>IF($C$133=0,'Cyfrifiadau - Gogledd'!C29,"")</f>
        <v>539.63915710449214</v>
      </c>
      <c r="D149" s="88">
        <f>IF($C$133=0,'Cyfrifiadau - Gogledd'!D29,"")</f>
        <v>566.18781120300287</v>
      </c>
      <c r="E149" s="88">
        <f>IF($C$133=0,'Cyfrifiadau - Gogledd'!E29,"")</f>
        <v>621.7059460449218</v>
      </c>
      <c r="F149" s="88">
        <f>IF($C$133=0,'Cyfrifiadau - Gogledd'!F29,"")</f>
        <v>579.1342491912842</v>
      </c>
      <c r="G149" s="88">
        <f>IF($C$133=0,'Cyfrifiadau - Gogledd'!G29,"")</f>
        <v>568.00398147583007</v>
      </c>
      <c r="H149" s="86"/>
      <c r="I149" s="86"/>
      <c r="J149" s="86"/>
      <c r="K149" s="58"/>
    </row>
    <row r="150" spans="2:11" x14ac:dyDescent="0.25">
      <c r="B150" s="86" t="str">
        <f>IF($C$133=0,"Tai fforddiadwy","")</f>
        <v>Tai fforddiadwy</v>
      </c>
      <c r="C150" s="88">
        <f>IF($C$133=0,'Cyfrifiadau - Gogledd'!C30,"")</f>
        <v>631.80348205566406</v>
      </c>
      <c r="D150" s="88">
        <f>IF($C$133=0,'Cyfrifiadau - Gogledd'!D30,"")</f>
        <v>650.25254676818849</v>
      </c>
      <c r="E150" s="88">
        <f>IF($C$133=0,'Cyfrifiadau - Gogledd'!E30,"")</f>
        <v>688.83294555664065</v>
      </c>
      <c r="F150" s="88">
        <f>IF($C$133=0,'Cyfrifiadau - Gogledd'!F30,"")</f>
        <v>659.24922401428216</v>
      </c>
      <c r="G150" s="88">
        <f>IF($C$133=0,'Cyfrifiadau - Gogledd'!G30,"")</f>
        <v>651.51463119506832</v>
      </c>
      <c r="H150" s="86"/>
      <c r="I150" s="86"/>
      <c r="J150" s="86"/>
      <c r="K150" s="58"/>
    </row>
    <row r="151" spans="2:11" x14ac:dyDescent="0.25">
      <c r="B151" s="86" t="str">
        <f>IF(C133=1,"Please complete table to view figures.","")</f>
        <v/>
      </c>
      <c r="C151" s="86" t="str">
        <f>IF($C$133=0,Year1,"")</f>
        <v>2019/20</v>
      </c>
      <c r="D151" s="86" t="str">
        <f>IF($C$133=0, Year2,"")</f>
        <v>2020/21</v>
      </c>
      <c r="E151" s="86" t="str">
        <f>IF($C$133=0,Year3,"")</f>
        <v>2021/22</v>
      </c>
      <c r="F151" s="86" t="str">
        <f>IF($C$133=0,Year4,"")</f>
        <v>2022/23</v>
      </c>
      <c r="G151" s="86" t="str">
        <f>IF($C$133=0,Year5,"")</f>
        <v>2023/24</v>
      </c>
      <c r="H151" s="86"/>
      <c r="I151" s="86" t="str">
        <f>IF(C133=1,"","Rhaniad 5 mlynedd")</f>
        <v>Rhaniad 5 mlynedd</v>
      </c>
      <c r="J151" s="86"/>
      <c r="K151" s="58"/>
    </row>
    <row r="152" spans="2:11" x14ac:dyDescent="0.25">
      <c r="B152" s="86" t="str">
        <f>IF($C$133=0,"Tai'r Farchnad","")</f>
        <v>Tai'r Farchnad</v>
      </c>
      <c r="C152" s="89">
        <f>IF($C$133=1,"",C149/SUM(C$149:C$150))</f>
        <v>0.46066204102949188</v>
      </c>
      <c r="D152" s="89">
        <f t="shared" ref="D152:G153" si="6">IF($C$133=1,"",D149/SUM(D$149:D$150))</f>
        <v>0.46544642118525614</v>
      </c>
      <c r="E152" s="89">
        <f t="shared" si="6"/>
        <v>0.47438954313302167</v>
      </c>
      <c r="F152" s="89">
        <f t="shared" si="6"/>
        <v>0.46765340601016758</v>
      </c>
      <c r="G152" s="89">
        <f t="shared" si="6"/>
        <v>0.46576081379506812</v>
      </c>
      <c r="H152" s="86"/>
      <c r="I152" s="89">
        <f>IF($C$133=1,"",SUM(C149:G149)/SUM($C$149:$G$150))</f>
        <v>0.46694604716639071</v>
      </c>
      <c r="J152" s="86"/>
      <c r="K152" s="58"/>
    </row>
    <row r="153" spans="2:11" x14ac:dyDescent="0.25">
      <c r="B153" s="86" t="str">
        <f>IF($C$133=0,"Tai fforddiadwy","")</f>
        <v>Tai fforddiadwy</v>
      </c>
      <c r="C153" s="89">
        <f>IF($C$133=1,"",C150/SUM(C$149:C$150))</f>
        <v>0.53933795897050807</v>
      </c>
      <c r="D153" s="89">
        <f t="shared" si="6"/>
        <v>0.53455357881474386</v>
      </c>
      <c r="E153" s="89">
        <f t="shared" si="6"/>
        <v>0.52561045686697838</v>
      </c>
      <c r="F153" s="89">
        <f t="shared" si="6"/>
        <v>0.53234659398983242</v>
      </c>
      <c r="G153" s="89">
        <f t="shared" si="6"/>
        <v>0.53423918620493194</v>
      </c>
      <c r="H153" s="86"/>
      <c r="I153" s="89">
        <f>IF($C$133=1,"",SUM(C150:G150)/SUM($C$149:$G$150))</f>
        <v>0.53305395283360923</v>
      </c>
      <c r="J153" s="86"/>
      <c r="K153" s="58"/>
    </row>
    <row r="154" spans="2:11" x14ac:dyDescent="0.25">
      <c r="C154" s="61"/>
      <c r="D154" s="61"/>
      <c r="E154" s="61"/>
      <c r="F154" s="61"/>
      <c r="G154" s="61"/>
      <c r="I154" s="61"/>
      <c r="K154" s="58"/>
    </row>
    <row r="155" spans="2:11" x14ac:dyDescent="0.25">
      <c r="C155" s="61"/>
      <c r="D155" s="61"/>
      <c r="E155" s="61"/>
      <c r="F155" s="61"/>
      <c r="G155" s="61"/>
      <c r="I155" s="61"/>
      <c r="K155" s="58"/>
    </row>
    <row r="156" spans="2:11" ht="13" x14ac:dyDescent="0.3">
      <c r="B156" s="81" t="s">
        <v>310</v>
      </c>
      <c r="C156" s="82"/>
      <c r="D156" s="82"/>
      <c r="E156" s="82"/>
      <c r="F156" s="82"/>
      <c r="G156" s="82"/>
      <c r="H156" s="82"/>
      <c r="I156" s="82"/>
      <c r="J156" s="82"/>
      <c r="K156" s="58"/>
    </row>
    <row r="157" spans="2:11" x14ac:dyDescent="0.25">
      <c r="B157" s="82" t="str">
        <f>IF(C145=1,"Cwblhewch y tabl i weld amcangyfrifon wedi'u rhannu'n 4 deiliadaeth.","")</f>
        <v>Cwblhewch y tabl i weld amcangyfrifon wedi'u rhannu'n 4 deiliadaeth.</v>
      </c>
      <c r="C157" s="83" t="str">
        <f>IF($C$145=0,Year1,"")</f>
        <v/>
      </c>
      <c r="D157" s="83" t="str">
        <f>IF($C$145=0,Year2,"")</f>
        <v/>
      </c>
      <c r="E157" s="83" t="str">
        <f>IF($C$145=0,Year3,"")</f>
        <v/>
      </c>
      <c r="F157" s="83" t="str">
        <f>IF($C$145=0,Year4,"")</f>
        <v/>
      </c>
      <c r="G157" s="83" t="str">
        <f>IF($C$145=0,Year5,"")</f>
        <v/>
      </c>
      <c r="H157" s="82"/>
      <c r="I157" s="82"/>
      <c r="J157" s="82"/>
      <c r="K157" s="58"/>
    </row>
    <row r="158" spans="2:11" x14ac:dyDescent="0.25">
      <c r="B158" s="82" t="str">
        <f>IF($C$145=0,"Perchen-feddiannydd","")</f>
        <v/>
      </c>
      <c r="C158" s="83" t="str">
        <f>IF($C$145=0,'Cyfrifiadau - Gogledd'!C59,"")</f>
        <v/>
      </c>
      <c r="D158" s="83" t="str">
        <f>IF($C$145=0,'Cyfrifiadau - Gogledd'!D59,"")</f>
        <v/>
      </c>
      <c r="E158" s="83" t="str">
        <f>IF($C$145=0,'Cyfrifiadau - Gogledd'!E59,"")</f>
        <v/>
      </c>
      <c r="F158" s="83" t="str">
        <f>IF($C$145=0,'Cyfrifiadau - Gogledd'!F59,"")</f>
        <v/>
      </c>
      <c r="G158" s="83" t="str">
        <f>IF($C$145=0,'Cyfrifiadau - Gogledd'!G59,"")</f>
        <v/>
      </c>
      <c r="H158" s="82"/>
      <c r="I158" s="82"/>
      <c r="J158" s="82"/>
      <c r="K158" s="58"/>
    </row>
    <row r="159" spans="2:11" x14ac:dyDescent="0.25">
      <c r="B159" s="82" t="str">
        <f>IF($C$145=0,"Y Sector Rhenti Preifat","")</f>
        <v/>
      </c>
      <c r="C159" s="83" t="str">
        <f>IF($C$145=0,'Cyfrifiadau - Gogledd'!C60,"")</f>
        <v/>
      </c>
      <c r="D159" s="83" t="str">
        <f>IF($C$145=0,'Cyfrifiadau - Gogledd'!D60,"")</f>
        <v/>
      </c>
      <c r="E159" s="83" t="str">
        <f>IF($C$145=0,'Cyfrifiadau - Gogledd'!E60,"")</f>
        <v/>
      </c>
      <c r="F159" s="83" t="str">
        <f>IF($C$145=0,'Cyfrifiadau - Gogledd'!F60,"")</f>
        <v/>
      </c>
      <c r="G159" s="83" t="str">
        <f>IF($C$145=0,'Cyfrifiadau - Gogledd'!G60,"")</f>
        <v/>
      </c>
      <c r="H159" s="82"/>
      <c r="I159" s="82"/>
      <c r="J159" s="82"/>
      <c r="K159" s="58"/>
    </row>
    <row r="160" spans="2:11" x14ac:dyDescent="0.25">
      <c r="B160" s="82" t="str">
        <f>IF($C$145=0,"Rhent gymdeithasol","")</f>
        <v/>
      </c>
      <c r="C160" s="83" t="str">
        <f>IF($C$145=0,'Cyfrifiadau - Gogledd'!C61,"")</f>
        <v/>
      </c>
      <c r="D160" s="83" t="str">
        <f>IF($C$145=0,'Cyfrifiadau - Gogledd'!D61,"")</f>
        <v/>
      </c>
      <c r="E160" s="83" t="str">
        <f>IF($C$145=0,'Cyfrifiadau - Gogledd'!E61,"")</f>
        <v/>
      </c>
      <c r="F160" s="83" t="str">
        <f>IF($C$145=0,'Cyfrifiadau - Gogledd'!F61,"")</f>
        <v/>
      </c>
      <c r="G160" s="83" t="str">
        <f>IF($C$145=0,'Cyfrifiadau - Gogledd'!G61,"")</f>
        <v/>
      </c>
      <c r="H160" s="82"/>
      <c r="I160" s="82"/>
      <c r="J160" s="82"/>
      <c r="K160" s="58"/>
    </row>
    <row r="161" spans="2:24" x14ac:dyDescent="0.25">
      <c r="B161" s="82" t="str">
        <f>IF($C$145=0,"Rhent ganolradd","")</f>
        <v/>
      </c>
      <c r="C161" s="83" t="str">
        <f>IF($C$145=0,'Cyfrifiadau - Gogledd'!C62,"")</f>
        <v/>
      </c>
      <c r="D161" s="83" t="str">
        <f>IF($C$145=0,'Cyfrifiadau - Gogledd'!D62,"")</f>
        <v/>
      </c>
      <c r="E161" s="83" t="str">
        <f>IF($C$145=0,'Cyfrifiadau - Gogledd'!E62,"")</f>
        <v/>
      </c>
      <c r="F161" s="83" t="str">
        <f>IF($C$145=0,'Cyfrifiadau - Gogledd'!F62,"")</f>
        <v/>
      </c>
      <c r="G161" s="83" t="str">
        <f>IF($C$145=0,'Cyfrifiadau - Gogledd'!G62,"")</f>
        <v/>
      </c>
      <c r="H161" s="82"/>
      <c r="I161" s="82"/>
      <c r="J161" s="82"/>
      <c r="K161" s="58"/>
    </row>
    <row r="162" spans="2:24" x14ac:dyDescent="0.25">
      <c r="B162" s="82" t="str">
        <f>IF(C145=1,"Cwblhewch y tabl i weld amcangyfrifon wedi'u rhannu'n 4 deiliadaeth.","")</f>
        <v>Cwblhewch y tabl i weld amcangyfrifon wedi'u rhannu'n 4 deiliadaeth.</v>
      </c>
      <c r="C162" s="83" t="str">
        <f>IF($C$145=0,Year1,"")</f>
        <v/>
      </c>
      <c r="D162" s="83" t="str">
        <f>IF($C$145=0,Year2,"")</f>
        <v/>
      </c>
      <c r="E162" s="83" t="str">
        <f>IF($C$145=0,Year3,"")</f>
        <v/>
      </c>
      <c r="F162" s="83" t="str">
        <f>IF($C$145=0,Year4,"")</f>
        <v/>
      </c>
      <c r="G162" s="83" t="str">
        <f>IF($C$145=0,Year5,"")</f>
        <v/>
      </c>
      <c r="H162" s="82"/>
      <c r="I162" s="82" t="str">
        <f>IF(C145=1,"","Rhaniad 5 mlynedd")</f>
        <v/>
      </c>
      <c r="J162" s="82"/>
      <c r="K162" s="58"/>
    </row>
    <row r="163" spans="2:24" x14ac:dyDescent="0.25">
      <c r="B163" s="82" t="str">
        <f>IF($C$145=0,"Perchen-feddiannydd","")</f>
        <v/>
      </c>
      <c r="C163" s="84" t="str">
        <f>IF($C$145=1,"",C158/SUM(C$158:C$161))</f>
        <v/>
      </c>
      <c r="D163" s="84" t="str">
        <f t="shared" ref="D163:G163" si="7">IF($C$145=1,"",D158/SUM(D$158:D$161))</f>
        <v/>
      </c>
      <c r="E163" s="84" t="str">
        <f t="shared" si="7"/>
        <v/>
      </c>
      <c r="F163" s="84" t="str">
        <f t="shared" si="7"/>
        <v/>
      </c>
      <c r="G163" s="84" t="str">
        <f t="shared" si="7"/>
        <v/>
      </c>
      <c r="H163" s="82"/>
      <c r="I163" s="84" t="str">
        <f>IF($C$145=1,"",SUM(C158:G158)/SUM($C$158:$G$161))</f>
        <v/>
      </c>
      <c r="J163" s="82"/>
      <c r="K163" s="58"/>
    </row>
    <row r="164" spans="2:24" x14ac:dyDescent="0.25">
      <c r="B164" s="82" t="str">
        <f>IF($C$145=0,"Y Sector Rhenti Preifat","")</f>
        <v/>
      </c>
      <c r="C164" s="84" t="str">
        <f t="shared" ref="C164:G166" si="8">IF($C$145=1,"",C159/SUM(C$158:C$161))</f>
        <v/>
      </c>
      <c r="D164" s="84" t="str">
        <f t="shared" si="8"/>
        <v/>
      </c>
      <c r="E164" s="84" t="str">
        <f t="shared" si="8"/>
        <v/>
      </c>
      <c r="F164" s="84" t="str">
        <f t="shared" si="8"/>
        <v/>
      </c>
      <c r="G164" s="84" t="str">
        <f t="shared" si="8"/>
        <v/>
      </c>
      <c r="H164" s="82"/>
      <c r="I164" s="84" t="str">
        <f t="shared" ref="I164:I166" si="9">IF($C$145=1,"",SUM(C159:G159)/SUM($C$158:$G$161))</f>
        <v/>
      </c>
      <c r="J164" s="82"/>
      <c r="K164" s="58"/>
    </row>
    <row r="165" spans="2:24" x14ac:dyDescent="0.25">
      <c r="B165" s="82" t="str">
        <f>IF($C$145=0,"Rhent gymdeithasol","")</f>
        <v/>
      </c>
      <c r="C165" s="84" t="str">
        <f t="shared" si="8"/>
        <v/>
      </c>
      <c r="D165" s="84" t="str">
        <f t="shared" si="8"/>
        <v/>
      </c>
      <c r="E165" s="84" t="str">
        <f t="shared" si="8"/>
        <v/>
      </c>
      <c r="F165" s="84" t="str">
        <f t="shared" si="8"/>
        <v/>
      </c>
      <c r="G165" s="84" t="str">
        <f t="shared" si="8"/>
        <v/>
      </c>
      <c r="H165" s="82"/>
      <c r="I165" s="84" t="str">
        <f t="shared" si="9"/>
        <v/>
      </c>
      <c r="J165" s="82"/>
      <c r="K165" s="58"/>
    </row>
    <row r="166" spans="2:24" x14ac:dyDescent="0.25">
      <c r="B166" s="82" t="str">
        <f>IF($C$145=0,"Rhent ganolradd","")</f>
        <v/>
      </c>
      <c r="C166" s="84" t="str">
        <f>IF($C$145=1,"",C161/SUM(C$158:C$161))</f>
        <v/>
      </c>
      <c r="D166" s="84" t="str">
        <f t="shared" si="8"/>
        <v/>
      </c>
      <c r="E166" s="84" t="str">
        <f t="shared" si="8"/>
        <v/>
      </c>
      <c r="F166" s="84" t="str">
        <f t="shared" si="8"/>
        <v/>
      </c>
      <c r="G166" s="84" t="str">
        <f t="shared" si="8"/>
        <v/>
      </c>
      <c r="H166" s="82"/>
      <c r="I166" s="84" t="str">
        <f t="shared" si="9"/>
        <v/>
      </c>
      <c r="J166" s="82"/>
      <c r="K166" s="58"/>
    </row>
    <row r="167" spans="2:24" x14ac:dyDescent="0.25">
      <c r="C167" s="61"/>
      <c r="D167" s="61"/>
      <c r="E167" s="61"/>
      <c r="F167" s="61"/>
      <c r="G167" s="61"/>
      <c r="I167" s="61"/>
      <c r="K167" s="58"/>
    </row>
    <row r="168" spans="2:24" ht="13" hidden="1" x14ac:dyDescent="0.3">
      <c r="B168" s="46" t="s">
        <v>307</v>
      </c>
      <c r="C168" s="61"/>
      <c r="D168" s="61"/>
      <c r="E168" s="61"/>
      <c r="F168" s="61"/>
      <c r="G168" s="61"/>
      <c r="I168" s="61"/>
    </row>
    <row r="169" spans="2:24" hidden="1" x14ac:dyDescent="0.25">
      <c r="C169" s="61" t="s">
        <v>362</v>
      </c>
      <c r="D169" s="61" t="s">
        <v>356</v>
      </c>
      <c r="E169" s="61" t="s">
        <v>357</v>
      </c>
      <c r="F169" s="61" t="s">
        <v>358</v>
      </c>
      <c r="G169" s="61" t="s">
        <v>359</v>
      </c>
      <c r="H169" s="61" t="s">
        <v>360</v>
      </c>
      <c r="I169" s="61" t="s">
        <v>361</v>
      </c>
      <c r="J169" s="58" t="e">
        <f>". Mae gan brynwyr am y tro cyntaf gymhareb fforddiadwyedd o "&amp;C175&amp;" a gallant brynu eiddo am y tro cyntaf yn ôl  "&amp;C176&amp;" canradd dosbarthiad prisiau tai.. "&amp;C177</f>
        <v>#VALUE!</v>
      </c>
    </row>
    <row r="170" spans="2:24" hidden="1" x14ac:dyDescent="0.25">
      <c r="B170" s="47" t="s">
        <v>220</v>
      </c>
      <c r="C170" s="383" t="str">
        <f>IF(D6="Amcanestyniadau Defnyddwyr","amcanestyniadau'r aelwyd gan y defnyddiwr,",("amcanestyniadau aelwydydd gan Llywodraeth Cymru sy'n seiliedig ar 2018 "&amp;"("&amp;D6&amp;")"))</f>
        <v>amcanestyniadau aelwydydd gan Llywodraeth Cymru sy'n seiliedig ar 2018 (Prif Amcanestyniadau)</v>
      </c>
      <c r="D170" s="61"/>
      <c r="E170" s="61"/>
      <c r="F170" s="61"/>
      <c r="G170" s="61"/>
      <c r="I170" s="61"/>
    </row>
    <row r="171" spans="2:24" ht="15" hidden="1" customHeight="1" x14ac:dyDescent="0.25">
      <c r="B171" s="47" t="s">
        <v>165</v>
      </c>
      <c r="C171" s="384" t="str">
        <f>IF(D7="Amcangyfrifon LlC",'Angen Presennol Nas Diwallwyd'!C13,'Angen Presennol Nas Diwallwyd'!C24)&amp;" aelwydydd o ran angen presennol nas diwallwyd "</f>
        <v xml:space="preserve">5732 aelwydydd o ran angen presennol nas diwallwyd </v>
      </c>
      <c r="D171" s="61"/>
      <c r="E171" s="61"/>
      <c r="F171" s="61"/>
      <c r="G171" s="61"/>
      <c r="J171" s="62"/>
      <c r="K171" s="62"/>
      <c r="L171" s="62"/>
      <c r="M171" s="62"/>
      <c r="N171" s="62"/>
      <c r="O171" s="62"/>
      <c r="P171" s="62"/>
      <c r="R171" s="62"/>
      <c r="S171" s="62"/>
      <c r="T171" s="62"/>
      <c r="U171" s="62"/>
      <c r="V171" s="62"/>
      <c r="W171" s="62"/>
      <c r="X171" s="62"/>
    </row>
    <row r="172" spans="2:24" hidden="1" x14ac:dyDescent="0.25">
      <c r="B172" s="47" t="s">
        <v>321</v>
      </c>
      <c r="C172" s="61" t="str">
        <f>IF(D8="Arall", " amcangyfrifon defnyddwyr "," Ddata Llywodraeth Cymru ")</f>
        <v xml:space="preserve"> Ddata Llywodraeth Cymru </v>
      </c>
      <c r="D172" s="61"/>
      <c r="E172" s="61"/>
      <c r="F172" s="61"/>
      <c r="G172" s="61"/>
      <c r="I172" s="62"/>
      <c r="J172" s="62"/>
      <c r="K172" s="62"/>
      <c r="L172" s="62"/>
      <c r="M172" s="62"/>
      <c r="N172" s="62"/>
      <c r="O172" s="62"/>
      <c r="P172" s="62"/>
      <c r="R172" s="62"/>
      <c r="S172" s="62"/>
      <c r="T172" s="62"/>
      <c r="U172" s="62"/>
      <c r="V172" s="62"/>
      <c r="W172" s="62"/>
      <c r="X172" s="62"/>
    </row>
    <row r="173" spans="2:24" hidden="1" x14ac:dyDescent="0.25">
      <c r="B173" s="47" t="s">
        <v>88</v>
      </c>
      <c r="C173" s="61" t="str">
        <f>IF(D18="Arall", " amcangyfrifon defnyddwyr"," Ddata Cofrestrfa Tir")</f>
        <v xml:space="preserve"> Ddata Cofrestrfa Tir</v>
      </c>
      <c r="D173" s="61"/>
      <c r="E173" s="61"/>
      <c r="F173" s="61"/>
      <c r="G173" s="61"/>
      <c r="I173" s="62"/>
      <c r="J173" s="62"/>
      <c r="K173" s="62"/>
      <c r="L173" s="62"/>
      <c r="M173" s="62"/>
      <c r="N173" s="62"/>
      <c r="O173" s="62"/>
      <c r="P173" s="62"/>
      <c r="R173" s="62"/>
      <c r="S173" s="62"/>
      <c r="T173" s="62"/>
      <c r="U173" s="62"/>
      <c r="V173" s="62"/>
      <c r="W173" s="62"/>
      <c r="X173" s="62"/>
    </row>
    <row r="174" spans="2:24" hidden="1" x14ac:dyDescent="0.25">
      <c r="B174" s="47" t="s">
        <v>55</v>
      </c>
      <c r="C174" s="61" t="str">
        <f>IF(D9="Arall", " amcangyfrifon defnyddwyr"," Ddata Llywodraeth Cymru")</f>
        <v xml:space="preserve"> Ddata Llywodraeth Cymru</v>
      </c>
      <c r="D174" s="61"/>
      <c r="E174" s="61"/>
      <c r="F174" s="61"/>
      <c r="G174" s="61"/>
      <c r="I174" s="62"/>
      <c r="J174" s="62"/>
      <c r="K174" s="62"/>
      <c r="L174" s="62"/>
      <c r="M174" s="62"/>
      <c r="N174" s="62"/>
      <c r="O174" s="62"/>
      <c r="P174" s="62"/>
      <c r="R174" s="62"/>
      <c r="S174" s="62"/>
      <c r="T174" s="62"/>
      <c r="U174" s="62"/>
      <c r="V174" s="62"/>
      <c r="W174" s="62"/>
      <c r="X174" s="62"/>
    </row>
    <row r="175" spans="2:24" hidden="1" x14ac:dyDescent="0.25">
      <c r="B175" s="47" t="s">
        <v>315</v>
      </c>
      <c r="C175" s="385">
        <f>C114</f>
        <v>4.03</v>
      </c>
      <c r="D175" s="61"/>
      <c r="E175" s="61"/>
      <c r="F175" s="61"/>
      <c r="G175" s="61"/>
      <c r="I175" s="62"/>
      <c r="J175" s="62"/>
      <c r="K175" s="62"/>
      <c r="L175" s="62"/>
      <c r="M175" s="62"/>
      <c r="N175" s="62"/>
      <c r="O175" s="62"/>
      <c r="P175" s="62"/>
      <c r="R175" s="62"/>
      <c r="S175" s="62"/>
      <c r="T175" s="62"/>
      <c r="U175" s="62"/>
      <c r="V175" s="62"/>
      <c r="W175" s="62"/>
      <c r="X175" s="62"/>
    </row>
    <row r="176" spans="2:24" hidden="1" x14ac:dyDescent="0.25">
      <c r="B176" s="47" t="s">
        <v>316</v>
      </c>
      <c r="C176" s="385">
        <f>C115</f>
        <v>40</v>
      </c>
      <c r="D176" s="61"/>
      <c r="E176" s="61"/>
      <c r="F176" s="61"/>
      <c r="G176" s="61"/>
      <c r="I176" s="62"/>
      <c r="J176" s="62"/>
      <c r="K176" s="62"/>
      <c r="L176" s="62"/>
      <c r="M176" s="62"/>
      <c r="N176" s="62"/>
      <c r="O176" s="62"/>
      <c r="P176" s="62"/>
      <c r="R176" s="62"/>
      <c r="S176" s="62"/>
      <c r="T176" s="62"/>
      <c r="U176" s="62"/>
      <c r="V176" s="62"/>
      <c r="W176" s="62"/>
      <c r="X176" s="62"/>
    </row>
    <row r="177" spans="2:23" hidden="1" x14ac:dyDescent="0.25">
      <c r="B177" s="47" t="s">
        <v>322</v>
      </c>
      <c r="C177" s="383" t="e">
        <f>C116*100&amp;"% o brynwyr potensial am y tro cyntaf sy'n mynd ymlaen i brynu eiddo. "</f>
        <v>#VALUE!</v>
      </c>
      <c r="D177" s="61"/>
      <c r="E177" s="61"/>
      <c r="F177" s="61"/>
      <c r="G177" s="61"/>
      <c r="I177" s="62"/>
      <c r="J177" s="62"/>
      <c r="K177" s="62"/>
      <c r="L177" s="62"/>
      <c r="M177" s="62"/>
      <c r="N177" s="62"/>
      <c r="O177" s="62"/>
      <c r="P177" s="62"/>
      <c r="R177" s="62"/>
      <c r="S177" s="62"/>
      <c r="T177" s="62"/>
      <c r="U177" s="62"/>
      <c r="V177" s="62"/>
      <c r="W177" s="62"/>
    </row>
    <row r="178" spans="2:23" hidden="1" x14ac:dyDescent="0.25">
      <c r="B178" s="47" t="s">
        <v>355</v>
      </c>
      <c r="C178" s="61" t="str">
        <f>"Gall aelwydydd sy'n gwario "&amp;C108*100&amp;"% o incwm yr aelwyd ar rent preifat canolrifol fforddio rhent preifat,"</f>
        <v>Gall aelwydydd sy'n gwario 30% o incwm yr aelwyd ar rent preifat canolrifol fforddio rhent preifat,</v>
      </c>
      <c r="D178" s="61"/>
      <c r="E178" s="61"/>
      <c r="F178" s="61"/>
      <c r="G178" s="61"/>
      <c r="I178" s="61"/>
    </row>
    <row r="179" spans="2:23" hidden="1" x14ac:dyDescent="0.25">
      <c r="B179" s="47" t="s">
        <v>326</v>
      </c>
      <c r="C179" s="61" t="str">
        <f>"Mae aelwydydd sy'n gwario "&amp;C117*100&amp;"% o incwm yr aelwyd ar rent preifat 30 canradd yn addas ar gyfer dai cymdeithasol."</f>
        <v>Mae aelwydydd sy'n gwario 35% o incwm yr aelwyd ar rent preifat 30 canradd yn addas ar gyfer dai cymdeithasol.</v>
      </c>
      <c r="D179" s="61"/>
      <c r="E179" s="61"/>
      <c r="F179" s="61"/>
      <c r="G179" s="61"/>
      <c r="I179" s="61"/>
    </row>
    <row r="180" spans="2:23" hidden="1" x14ac:dyDescent="0.25">
      <c r="B180" s="47" t="s">
        <v>327</v>
      </c>
      <c r="C180" s="61" t="str">
        <f>" a fydd yn cymryd "&amp;'Angen Presennol Nas Diwallwyd'!C29&amp;" mlynedd i'w diwallu."</f>
        <v xml:space="preserve"> a fydd yn cymryd 5 mlynedd i'w diwallu.</v>
      </c>
      <c r="D180" s="61"/>
      <c r="E180" s="61"/>
      <c r="F180" s="61"/>
      <c r="G180" s="61"/>
      <c r="I180" s="61"/>
    </row>
    <row r="181" spans="2:23" hidden="1" x14ac:dyDescent="0.25">
      <c r="B181" s="47" t="s">
        <v>80</v>
      </c>
      <c r="C181" s="61" t="str">
        <f>". Mae'r newid blynyddol i incwm canolrifol yr aelwyd yn seiliedig ar "&amp;IF(D14="Arall","amcangyfrifon defnyddwyr","amcangyfrifon wedi'u rhagosod")</f>
        <v>. Mae'r newid blynyddol i incwm canolrifol yr aelwyd yn seiliedig ar amcangyfrifon wedi'u rhagosod</v>
      </c>
      <c r="D181" s="61"/>
      <c r="E181" s="61"/>
      <c r="F181" s="61"/>
      <c r="G181" s="61"/>
      <c r="I181" s="61"/>
    </row>
    <row r="182" spans="2:23" hidden="1" x14ac:dyDescent="0.25">
      <c r="B182" s="47" t="s">
        <v>86</v>
      </c>
      <c r="C182" s="61" t="str">
        <f>", mae'r newid blynyddol i ddosbarthiad incwm yr aelwyd yn seiliedig ar "&amp;IF(D15="Arall","amcangyfrifon defnyddwyr","amcangyfrifon wedi'u rhagosod")</f>
        <v>, mae'r newid blynyddol i ddosbarthiad incwm yr aelwyd yn seiliedig ar amcangyfrifon wedi'u rhagosod</v>
      </c>
      <c r="D182" s="61"/>
      <c r="E182" s="61"/>
      <c r="F182" s="61"/>
      <c r="G182" s="61"/>
      <c r="I182" s="61"/>
    </row>
    <row r="183" spans="2:23" hidden="1" x14ac:dyDescent="0.25">
      <c r="B183" s="47" t="s">
        <v>320</v>
      </c>
      <c r="C183" s="61" t="str">
        <f>", mae'r newid blynyddol i brisiau tai yn seiliedig ar "&amp;IF(D25="Arall","amcangyfrifon defnyddwyr","amcangyfrifon wedi'u rhagosod")</f>
        <v>, mae'r newid blynyddol i brisiau tai yn seiliedig ar amcangyfrifon wedi'u rhagosod</v>
      </c>
      <c r="D183" s="61"/>
      <c r="E183" s="61"/>
      <c r="F183" s="61"/>
      <c r="G183" s="61"/>
      <c r="I183" s="61"/>
    </row>
    <row r="184" spans="2:23" hidden="1" x14ac:dyDescent="0.25">
      <c r="B184" s="47" t="s">
        <v>117</v>
      </c>
      <c r="C184" s="61" t="str">
        <f>" ac mae'r newid blynyddol i brisiau rhenti yn seiliedig ar "&amp;IF(D16="Arall","amcangyfrifon y defnyddwyr","amcangyfrifon wedi'u rhagosod.")</f>
        <v xml:space="preserve"> ac mae'r newid blynyddol i brisiau rhenti yn seiliedig ar amcangyfrifon wedi'u rhagosod.</v>
      </c>
      <c r="D184" s="61"/>
      <c r="E184" s="61"/>
      <c r="F184" s="61"/>
      <c r="G184" s="61"/>
      <c r="I184" s="61"/>
    </row>
    <row r="185" spans="2:23" hidden="1" x14ac:dyDescent="0.25">
      <c r="C185" s="61"/>
      <c r="D185" s="61"/>
      <c r="E185" s="61"/>
      <c r="F185" s="61"/>
      <c r="G185" s="61"/>
      <c r="I185" s="61"/>
    </row>
    <row r="186" spans="2:23" s="58" customFormat="1" ht="13" hidden="1" x14ac:dyDescent="0.3">
      <c r="B186" s="387" t="s">
        <v>330</v>
      </c>
      <c r="C186" s="383"/>
      <c r="D186" s="383"/>
      <c r="E186" s="383"/>
      <c r="F186" s="383"/>
      <c r="G186" s="383"/>
      <c r="I186" s="383"/>
    </row>
    <row r="187" spans="2:23" s="58" customFormat="1" hidden="1" x14ac:dyDescent="0.25">
      <c r="B187" s="388" t="str">
        <f>C169&amp;E169&amp;C170&amp;F169&amp;C171&amp;C180&amp;H169&amp;C172&amp;I169&amp;C174&amp;C181&amp;C182&amp;C184</f>
        <v>Mae'r ffigurau isod yn rhannu yr amcangyfrifon o'r angen am dai yn 2 deiliadaeth ac maent yn seiliedig ar y rhagdybiaethau canlynol. Mae amcangyfrifon sylfaenol yr unedau tai ychwanegol wedi'u seilio ar  amcanestyniadau aelwydydd gan Llywodraeth Cymru sy'n seiliedig ar 2018 (Prif Amcanestyniadau), ac amcangyfrif o 5732 aelwydydd o ran angen presennol nas diwallwyd  a fydd yn cymryd 5 mlynedd i'w diwallu.Mae data ar incwm yn seiliedig ar  Ddata Llywodraeth Cymru ac mae data ar renti preifat yn seiliedig ar  Ddata Llywodraeth Cymru. Mae'r newid blynyddol i incwm canolrifol yr aelwyd yn seiliedig ar amcangyfrifon wedi'u rhagosod, mae'r newid blynyddol i ddosbarthiad incwm yr aelwyd yn seiliedig ar amcangyfrifon wedi'u rhagosod ac mae'r newid blynyddol i brisiau rhenti yn seiliedig ar amcangyfrifon wedi'u rhagosod.</v>
      </c>
      <c r="C187" s="383"/>
      <c r="D187" s="383"/>
      <c r="E187" s="383"/>
      <c r="F187" s="383"/>
      <c r="G187" s="383"/>
      <c r="I187" s="383"/>
    </row>
    <row r="188" spans="2:23" s="58" customFormat="1" ht="13" hidden="1" x14ac:dyDescent="0.3">
      <c r="B188" s="387" t="str">
        <f>IF(C133=1,"Estimates will not appear below until the above table is complete.",B187)</f>
        <v>Mae'r ffigurau isod yn rhannu yr amcangyfrifon o'r angen am dai yn 2 deiliadaeth ac maent yn seiliedig ar y rhagdybiaethau canlynol. Mae amcangyfrifon sylfaenol yr unedau tai ychwanegol wedi'u seilio ar  amcanestyniadau aelwydydd gan Llywodraeth Cymru sy'n seiliedig ar 2018 (Prif Amcanestyniadau), ac amcangyfrif o 5732 aelwydydd o ran angen presennol nas diwallwyd  a fydd yn cymryd 5 mlynedd i'w diwallu.Mae data ar incwm yn seiliedig ar  Ddata Llywodraeth Cymru ac mae data ar renti preifat yn seiliedig ar  Ddata Llywodraeth Cymru. Mae'r newid blynyddol i incwm canolrifol yr aelwyd yn seiliedig ar amcangyfrifon wedi'u rhagosod, mae'r newid blynyddol i ddosbarthiad incwm yr aelwyd yn seiliedig ar amcangyfrifon wedi'u rhagosod ac mae'r newid blynyddol i brisiau rhenti yn seiliedig ar amcangyfrifon wedi'u rhagosod.</v>
      </c>
      <c r="C188" s="383"/>
      <c r="D188" s="383"/>
      <c r="E188" s="383"/>
      <c r="F188" s="383"/>
      <c r="G188" s="383"/>
      <c r="I188" s="383"/>
    </row>
    <row r="189" spans="2:23" s="58" customFormat="1" ht="13" hidden="1" x14ac:dyDescent="0.3">
      <c r="B189" s="387"/>
      <c r="C189" s="383"/>
      <c r="D189" s="383"/>
      <c r="E189" s="383"/>
      <c r="F189" s="383"/>
      <c r="G189" s="383"/>
      <c r="I189" s="383"/>
    </row>
    <row r="190" spans="2:23" s="58" customFormat="1" ht="13" hidden="1" x14ac:dyDescent="0.3">
      <c r="B190" s="387" t="s">
        <v>317</v>
      </c>
      <c r="C190" s="383"/>
      <c r="D190" s="383"/>
      <c r="E190" s="383"/>
      <c r="F190" s="383"/>
      <c r="G190" s="383"/>
      <c r="I190" s="383"/>
    </row>
    <row r="191" spans="2:23" s="58" customFormat="1" hidden="1" x14ac:dyDescent="0.25">
      <c r="B191" s="58" t="e">
        <f>D169&amp;G169&amp;C173&amp;C183&amp;J169&amp;C179</f>
        <v>#VALUE!</v>
      </c>
      <c r="C191" s="383"/>
      <c r="D191" s="383"/>
      <c r="E191" s="383"/>
      <c r="F191" s="383"/>
      <c r="G191" s="383"/>
      <c r="I191" s="383"/>
    </row>
    <row r="192" spans="2:23" s="58" customFormat="1" ht="13" hidden="1" x14ac:dyDescent="0.3">
      <c r="B192" s="387" t="str">
        <f>IF(C145=1,"Ni fydd amcangyfrifon wedi'u rhannu'n 4 deiliadaeth yn ymddangos hyd nes bod y tabl uchod wedi'i gwblhau.",B191)</f>
        <v>Ni fydd amcangyfrifon wedi'u rhannu'n 4 deiliadaeth yn ymddangos hyd nes bod y tabl uchod wedi'i gwblhau.</v>
      </c>
      <c r="C192" s="383"/>
      <c r="D192" s="383"/>
      <c r="E192" s="383"/>
      <c r="F192" s="383"/>
      <c r="G192" s="383"/>
      <c r="I192" s="383"/>
    </row>
    <row r="193" spans="2:9" hidden="1" x14ac:dyDescent="0.25">
      <c r="C193" s="61"/>
      <c r="D193" s="61"/>
      <c r="E193" s="61"/>
      <c r="F193" s="61"/>
      <c r="G193" s="61"/>
      <c r="I193" s="61"/>
    </row>
    <row r="194" spans="2:9" hidden="1" x14ac:dyDescent="0.25">
      <c r="B194" s="47" t="s">
        <v>329</v>
      </c>
      <c r="I194" s="61"/>
    </row>
    <row r="195" spans="2:9" hidden="1" x14ac:dyDescent="0.25">
      <c r="B195" s="47" t="s">
        <v>331</v>
      </c>
      <c r="I195" s="61"/>
    </row>
    <row r="196" spans="2:9" hidden="1" x14ac:dyDescent="0.25">
      <c r="B196" s="47" t="s">
        <v>391</v>
      </c>
      <c r="I196" s="61"/>
    </row>
    <row r="197" spans="2:9" hidden="1" x14ac:dyDescent="0.25">
      <c r="B197" s="47" t="s">
        <v>332</v>
      </c>
      <c r="I197" s="61"/>
    </row>
    <row r="198" spans="2:9" hidden="1" x14ac:dyDescent="0.25">
      <c r="B198" s="386" t="str">
        <f>"'Amcanestyniadau Aelwydydd'"</f>
        <v>'Amcanestyniadau Aelwydydd'</v>
      </c>
      <c r="I198" s="61"/>
    </row>
    <row r="199" spans="2:9" hidden="1" x14ac:dyDescent="0.25">
      <c r="B199" s="58" t="str">
        <f>"'Angen Presennol Nas Diwallwyd'"</f>
        <v>'Angen Presennol Nas Diwallwyd'</v>
      </c>
      <c r="I199" s="61"/>
    </row>
    <row r="200" spans="2:9" hidden="1" x14ac:dyDescent="0.25">
      <c r="B200" s="58" t="str">
        <f>"'Incwm (Cymru)'"</f>
        <v>'Incwm (Cymru)'</v>
      </c>
      <c r="I200" s="61"/>
    </row>
    <row r="201" spans="2:9" hidden="1" x14ac:dyDescent="0.25">
      <c r="B201" s="58" t="str">
        <f>"'Prisiau Tai (Cymru)'"</f>
        <v>'Prisiau Tai (Cymru)'</v>
      </c>
      <c r="I201" s="61"/>
    </row>
    <row r="202" spans="2:9" hidden="1" x14ac:dyDescent="0.25">
      <c r="B202" s="58" t="str">
        <f>"'Prisiau Rhenti'"</f>
        <v>'Prisiau Rhenti'</v>
      </c>
      <c r="I202" s="61"/>
    </row>
    <row r="203" spans="2:9" hidden="1" x14ac:dyDescent="0.25">
      <c r="B203" s="58" t="str">
        <f>"'Rhagdybiaeth Blynyddol'"</f>
        <v>'Rhagdybiaeth Blynyddol'</v>
      </c>
      <c r="I203" s="61"/>
    </row>
    <row r="204" spans="2:9" hidden="1" x14ac:dyDescent="0.25">
      <c r="B204" s="58" t="str">
        <f>"'Rhagolygon y Dyfodol'"</f>
        <v>'Rhagolygon y Dyfodol'</v>
      </c>
      <c r="I204" s="61"/>
    </row>
    <row r="205" spans="2:9" x14ac:dyDescent="0.25">
      <c r="I205" s="61"/>
    </row>
    <row r="206" spans="2:9" x14ac:dyDescent="0.25">
      <c r="I206" s="61"/>
    </row>
    <row r="207" spans="2:9" x14ac:dyDescent="0.25">
      <c r="I207" s="61"/>
    </row>
  </sheetData>
  <mergeCells count="33">
    <mergeCell ref="F4:I4"/>
    <mergeCell ref="B2:I2"/>
    <mergeCell ref="B1:C1"/>
    <mergeCell ref="I103:J103"/>
    <mergeCell ref="F15:I15"/>
    <mergeCell ref="F16:I16"/>
    <mergeCell ref="B17:B25"/>
    <mergeCell ref="F17:I17"/>
    <mergeCell ref="F18:I18"/>
    <mergeCell ref="B5:B16"/>
    <mergeCell ref="F5:I5"/>
    <mergeCell ref="F6:I6"/>
    <mergeCell ref="F7:I7"/>
    <mergeCell ref="F8:I8"/>
    <mergeCell ref="F9:I9"/>
    <mergeCell ref="F23:I23"/>
    <mergeCell ref="I104:J104"/>
    <mergeCell ref="B28:J32"/>
    <mergeCell ref="I62:J62"/>
    <mergeCell ref="I63:J63"/>
    <mergeCell ref="B66:J69"/>
    <mergeCell ref="I101:J101"/>
    <mergeCell ref="I102:J102"/>
    <mergeCell ref="I61:J61"/>
    <mergeCell ref="I99:J99"/>
    <mergeCell ref="B52:J53"/>
    <mergeCell ref="F25:I25"/>
    <mergeCell ref="F11:I11"/>
    <mergeCell ref="F12:I12"/>
    <mergeCell ref="F14:I14"/>
    <mergeCell ref="F21:I21"/>
    <mergeCell ref="F22:I22"/>
    <mergeCell ref="F20:I20"/>
  </mergeCells>
  <conditionalFormatting sqref="E26:E27">
    <cfRule type="expression" dxfId="23" priority="8">
      <formula>E26="Y"</formula>
    </cfRule>
  </conditionalFormatting>
  <conditionalFormatting sqref="E26:E27">
    <cfRule type="expression" dxfId="22" priority="7">
      <formula>E26="N"</formula>
    </cfRule>
  </conditionalFormatting>
  <conditionalFormatting sqref="E6:E9 E11:E12 E14:E16 E25 E18 E20:E23">
    <cfRule type="expression" dxfId="21" priority="4">
      <formula>E6="Y"</formula>
    </cfRule>
  </conditionalFormatting>
  <conditionalFormatting sqref="E6:E12 E14:E16 E18 E20:E25">
    <cfRule type="expression" dxfId="20" priority="3">
      <formula>E6="N"</formula>
    </cfRule>
  </conditionalFormatting>
  <conditionalFormatting sqref="E13">
    <cfRule type="expression" dxfId="19" priority="2">
      <formula>E13="N"</formula>
    </cfRule>
  </conditionalFormatting>
  <conditionalFormatting sqref="E19">
    <cfRule type="expression" dxfId="18" priority="1">
      <formula>E19="N"</formula>
    </cfRule>
  </conditionalFormatting>
  <pageMargins left="0.7" right="0.7" top="0.75" bottom="0.75" header="0.3" footer="0.3"/>
  <pageSetup paperSize="9" orientation="portrait" horizontalDpi="300" verticalDpi="300" r:id="rId1"/>
  <ignoredErrors>
    <ignoredError sqref="D14:D16 D11:D12 D6:D9 D18 D20:D23 D25"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sheetPr>
  <dimension ref="A1:X207"/>
  <sheetViews>
    <sheetView showGridLines="0" zoomScale="64" zoomScaleNormal="64" workbookViewId="0"/>
  </sheetViews>
  <sheetFormatPr defaultColWidth="9.1796875" defaultRowHeight="12.5" x14ac:dyDescent="0.25"/>
  <cols>
    <col min="1" max="1" width="4.54296875" style="47" customWidth="1"/>
    <col min="2" max="2" width="18.453125" style="47" customWidth="1"/>
    <col min="3" max="3" width="46.08984375" style="47" customWidth="1"/>
    <col min="4" max="4" width="20.54296875" style="47" customWidth="1"/>
    <col min="5" max="5" width="18.453125" style="47" customWidth="1"/>
    <col min="6" max="6" width="15.54296875" style="47" customWidth="1"/>
    <col min="7" max="7" width="12.81640625" style="47" customWidth="1"/>
    <col min="8" max="14" width="13" style="47" customWidth="1"/>
    <col min="15" max="16384" width="9.1796875" style="47"/>
  </cols>
  <sheetData>
    <row r="1" spans="1:11" ht="26.25" customHeight="1" x14ac:dyDescent="0.25">
      <c r="B1" s="492" t="s">
        <v>108</v>
      </c>
      <c r="C1" s="492"/>
      <c r="D1" s="73" t="str">
        <f>'Cyfrifiadau - Canolbarth'!B1</f>
        <v>Canolbarth Cymru</v>
      </c>
    </row>
    <row r="2" spans="1:11" ht="27" customHeight="1" x14ac:dyDescent="0.25">
      <c r="B2" s="519" t="s">
        <v>261</v>
      </c>
      <c r="C2" s="520"/>
      <c r="D2" s="520"/>
      <c r="E2" s="520"/>
      <c r="F2" s="520"/>
      <c r="G2" s="520"/>
      <c r="H2" s="520"/>
      <c r="I2" s="521"/>
    </row>
    <row r="4" spans="1:11" ht="30.75" customHeight="1" x14ac:dyDescent="0.35">
      <c r="C4" s="63" t="s">
        <v>44</v>
      </c>
      <c r="D4" s="72" t="s">
        <v>109</v>
      </c>
      <c r="E4" s="239" t="s">
        <v>110</v>
      </c>
      <c r="F4" s="502" t="s">
        <v>208</v>
      </c>
      <c r="G4" s="502"/>
      <c r="H4" s="502"/>
      <c r="I4" s="503"/>
      <c r="K4" s="44" t="s">
        <v>271</v>
      </c>
    </row>
    <row r="5" spans="1:11" ht="24.75" customHeight="1" x14ac:dyDescent="0.25">
      <c r="B5" s="508" t="s">
        <v>348</v>
      </c>
      <c r="C5" s="96" t="s">
        <v>50</v>
      </c>
      <c r="D5" s="97"/>
      <c r="E5" s="98"/>
      <c r="F5" s="504"/>
      <c r="G5" s="504"/>
      <c r="H5" s="504"/>
      <c r="I5" s="505"/>
    </row>
    <row r="6" spans="1:11" ht="15" customHeight="1" x14ac:dyDescent="0.25">
      <c r="A6" s="76"/>
      <c r="B6" s="509"/>
      <c r="C6" s="99" t="s">
        <v>112</v>
      </c>
      <c r="D6" s="187" t="str">
        <f>'Rhaniad y Ddeiliadaeth (Cymru)'!D6</f>
        <v>Prif Amcanestyniadau</v>
      </c>
      <c r="E6" s="100" t="str">
        <f>IF(OR(F6=$B$195,F6=$B$196),"Y","N")</f>
        <v>Y</v>
      </c>
      <c r="F6" s="506" t="str">
        <f>IF(D6="",B194,IF(D6="Other",IF('Amcanestyniadau Aelwydydd'!J19=0,B197&amp;B198,B196),B195))</f>
        <v>Data rhagosodedig a ddefnyddiwyd</v>
      </c>
      <c r="G6" s="506"/>
      <c r="H6" s="506"/>
      <c r="I6" s="496"/>
    </row>
    <row r="7" spans="1:11" ht="15" customHeight="1" x14ac:dyDescent="0.25">
      <c r="A7" s="76"/>
      <c r="B7" s="509"/>
      <c r="C7" s="99" t="s">
        <v>114</v>
      </c>
      <c r="D7" s="187" t="str">
        <f>'Rhaniad y Ddeiliadaeth (Cymru)'!D7</f>
        <v>Amcangyfrifon LlC</v>
      </c>
      <c r="E7" s="100" t="str">
        <f>IF(OR(F7=$B$195,F7=$B$196),"Y","N")</f>
        <v>Y</v>
      </c>
      <c r="F7" s="496" t="str">
        <f>IF(D7="",B194,IF(D7="Other",IF(ISBLANK('Angen Presennol Nas Diwallwyd'!C21),B197&amp;B199,B196),B195))</f>
        <v>Data rhagosodedig a ddefnyddiwyd</v>
      </c>
      <c r="G7" s="496"/>
      <c r="H7" s="496"/>
      <c r="I7" s="496"/>
    </row>
    <row r="8" spans="1:11" ht="15" customHeight="1" x14ac:dyDescent="0.25">
      <c r="A8" s="76"/>
      <c r="B8" s="509"/>
      <c r="C8" s="99" t="s">
        <v>53</v>
      </c>
      <c r="D8" s="187" t="str">
        <f>'Rhaniad y Ddeiliadaeth (Cymru)'!D8</f>
        <v>Amcangyfrifon LlC</v>
      </c>
      <c r="E8" s="100" t="str">
        <f>IF(OR(F8=$B$195,F8=$B$196),"Y","N")</f>
        <v>Y</v>
      </c>
      <c r="F8" s="496" t="str">
        <f>IF(D8="",B194,IF(D8="Arall",IF('Incwm (Gogledd)'!O85=0,B196,B197&amp;B200),B195))</f>
        <v>Data rhagosodedig a ddefnyddiwyd</v>
      </c>
      <c r="G8" s="496"/>
      <c r="H8" s="496"/>
      <c r="I8" s="496"/>
    </row>
    <row r="9" spans="1:11" ht="15" customHeight="1" x14ac:dyDescent="0.25">
      <c r="A9" s="76"/>
      <c r="B9" s="509"/>
      <c r="C9" s="99" t="s">
        <v>54</v>
      </c>
      <c r="D9" s="187" t="str">
        <f>'Rhaniad y Ddeiliadaeth (Cymru)'!D9</f>
        <v>Prisiau Rhenti</v>
      </c>
      <c r="E9" s="100" t="str">
        <f>IF(OR(F9=$B$195,F9=$B$196),"Y","N")</f>
        <v>Y</v>
      </c>
      <c r="F9" s="506" t="str">
        <f>IF(D9="",B194,IF(D9="Other",IF(OR(ISBLANK('Prisiau Rhenti'!C20),ISBLANK('Prisiau Rhenti'!D20)),B197&amp;B202,B196),B195))</f>
        <v>Data rhagosodedig a ddefnyddiwyd</v>
      </c>
      <c r="G9" s="506"/>
      <c r="H9" s="506"/>
      <c r="I9" s="496"/>
    </row>
    <row r="10" spans="1:11" ht="24.75" customHeight="1" x14ac:dyDescent="0.25">
      <c r="A10" s="76"/>
      <c r="B10" s="509"/>
      <c r="C10" s="96" t="s">
        <v>74</v>
      </c>
      <c r="D10" s="97"/>
      <c r="E10" s="101"/>
      <c r="F10" s="97"/>
      <c r="G10" s="102"/>
      <c r="H10" s="97"/>
      <c r="I10" s="103"/>
    </row>
    <row r="11" spans="1:11" ht="13.5" customHeight="1" x14ac:dyDescent="0.25">
      <c r="A11" s="76"/>
      <c r="B11" s="509"/>
      <c r="C11" s="104" t="s">
        <v>70</v>
      </c>
      <c r="D11" s="188" t="str">
        <f>'Rhaniad y Ddeiliadaeth (Cymru)'!D11</f>
        <v>Wedi'i ragosod</v>
      </c>
      <c r="E11" s="100" t="str">
        <f>IF(OR(F11=$B$195,F11=$B$196),"Y","N")</f>
        <v>Y</v>
      </c>
      <c r="F11" s="496" t="str">
        <f>'Rhaniad y Ddeiliadaeth (Cymru)'!F11:I11</f>
        <v>Data rhagosodedig a ddefnyddiwyd</v>
      </c>
      <c r="G11" s="496"/>
      <c r="H11" s="496"/>
      <c r="I11" s="496"/>
    </row>
    <row r="12" spans="1:11" ht="15" customHeight="1" x14ac:dyDescent="0.25">
      <c r="A12" s="76"/>
      <c r="B12" s="509"/>
      <c r="C12" s="104" t="s">
        <v>115</v>
      </c>
      <c r="D12" s="188" t="str">
        <f>'Rhaniad y Ddeiliadaeth (Cymru)'!D12</f>
        <v>Wedi'i ragosod</v>
      </c>
      <c r="E12" s="100" t="str">
        <f>IF(OR(F12=$B$195,F12=$B$196),"Y","N")</f>
        <v>Y</v>
      </c>
      <c r="F12" s="506" t="str">
        <f>'Rhaniad y Ddeiliadaeth (Cymru)'!F12:I12</f>
        <v>Data rhagosodedig a ddefnyddiwyd</v>
      </c>
      <c r="G12" s="506"/>
      <c r="H12" s="506"/>
      <c r="I12" s="496"/>
    </row>
    <row r="13" spans="1:11" ht="24.75" customHeight="1" x14ac:dyDescent="0.25">
      <c r="A13" s="76"/>
      <c r="B13" s="509"/>
      <c r="C13" s="96" t="s">
        <v>118</v>
      </c>
      <c r="D13" s="97"/>
      <c r="E13" s="101"/>
      <c r="F13" s="97"/>
      <c r="G13" s="102"/>
      <c r="H13" s="97"/>
      <c r="I13" s="103"/>
    </row>
    <row r="14" spans="1:11" ht="29.25" customHeight="1" x14ac:dyDescent="0.25">
      <c r="A14" s="76"/>
      <c r="B14" s="509"/>
      <c r="C14" s="105" t="s">
        <v>80</v>
      </c>
      <c r="D14" s="188" t="str">
        <f>'Rhaniad y Ddeiliadaeth (Cymru)'!D14</f>
        <v>Wedi'i ragosod</v>
      </c>
      <c r="E14" s="100" t="str">
        <f>IF(OR(F14=$B$195,F14=$B$196),"Y","N")</f>
        <v>Y</v>
      </c>
      <c r="F14" s="506" t="str">
        <f>'Rhaniad y Ddeiliadaeth (Cymru)'!F14:I14</f>
        <v>Data rhagosodedig a ddefnyddiwyd</v>
      </c>
      <c r="G14" s="506"/>
      <c r="H14" s="506"/>
      <c r="I14" s="496"/>
    </row>
    <row r="15" spans="1:11" ht="29.25" customHeight="1" x14ac:dyDescent="0.25">
      <c r="A15" s="76"/>
      <c r="B15" s="509"/>
      <c r="C15" s="105" t="s">
        <v>116</v>
      </c>
      <c r="D15" s="188" t="str">
        <f>'Rhaniad y Ddeiliadaeth (Cymru)'!D15</f>
        <v>Mwy o Anghydraddoldeb</v>
      </c>
      <c r="E15" s="100" t="str">
        <f>IF(OR(F15=$B$195,F15=$B$196),"Y","N")</f>
        <v>Y</v>
      </c>
      <c r="F15" s="506" t="str">
        <f>'Rhaniad y Ddeiliadaeth (Cymru)'!F15:I15</f>
        <v>Data rhagosodedig a ddefnyddiwyd</v>
      </c>
      <c r="G15" s="506"/>
      <c r="H15" s="506"/>
      <c r="I15" s="496"/>
    </row>
    <row r="16" spans="1:11" ht="17.25" customHeight="1" x14ac:dyDescent="0.25">
      <c r="A16" s="76"/>
      <c r="B16" s="510"/>
      <c r="C16" s="106" t="s">
        <v>117</v>
      </c>
      <c r="D16" s="188" t="str">
        <f>'Rhaniad y Ddeiliadaeth (Cymru)'!D16</f>
        <v>Wedi'i ragosod</v>
      </c>
      <c r="E16" s="107" t="str">
        <f>IF(OR(F16=$B$195,F16=$B$196),"Y","N")</f>
        <v>Y</v>
      </c>
      <c r="F16" s="506" t="str">
        <f>'Rhaniad y Ddeiliadaeth (Cymru)'!F16:I16</f>
        <v>Data rhagosodedig a ddefnyddiwyd</v>
      </c>
      <c r="G16" s="506"/>
      <c r="H16" s="506"/>
      <c r="I16" s="496"/>
    </row>
    <row r="17" spans="1:11" ht="24.75" customHeight="1" x14ac:dyDescent="0.25">
      <c r="A17" s="76"/>
      <c r="B17" s="511" t="s">
        <v>349</v>
      </c>
      <c r="C17" s="77" t="s">
        <v>87</v>
      </c>
      <c r="D17" s="322"/>
      <c r="E17" s="92"/>
      <c r="F17" s="514"/>
      <c r="G17" s="514"/>
      <c r="H17" s="514"/>
      <c r="I17" s="515"/>
    </row>
    <row r="18" spans="1:11" ht="31.5" customHeight="1" x14ac:dyDescent="0.25">
      <c r="A18" s="76"/>
      <c r="B18" s="512"/>
      <c r="C18" s="65" t="s">
        <v>88</v>
      </c>
      <c r="D18" s="188" t="str">
        <f>'Rhaniad y Ddeiliadaeth (Cymru)'!D18</f>
        <v>Data Cofrestrfa Tir</v>
      </c>
      <c r="E18" s="91" t="str">
        <f>IF(OR(F18=$B$195,F18=$B$196),"Y","N")</f>
        <v>Y</v>
      </c>
      <c r="F18" s="499" t="str">
        <f>IF(D18="",B194,IF(D18="Other",IF('Prisiau Tai (Canolbarth)'!O85=1,B197&amp;B201,B196),B195))</f>
        <v>Data rhagosodedig a ddefnyddiwyd</v>
      </c>
      <c r="G18" s="499"/>
      <c r="H18" s="499"/>
      <c r="I18" s="499"/>
    </row>
    <row r="19" spans="1:11" ht="24.75" customHeight="1" x14ac:dyDescent="0.25">
      <c r="A19" s="76"/>
      <c r="B19" s="512"/>
      <c r="C19" s="64" t="s">
        <v>91</v>
      </c>
      <c r="D19" s="68"/>
      <c r="E19" s="93"/>
      <c r="F19" s="68"/>
      <c r="G19" s="69"/>
      <c r="H19" s="68"/>
      <c r="I19" s="70"/>
    </row>
    <row r="20" spans="1:11" ht="13.5" customHeight="1" x14ac:dyDescent="0.25">
      <c r="A20" s="76"/>
      <c r="B20" s="512"/>
      <c r="C20" s="66" t="s">
        <v>92</v>
      </c>
      <c r="D20" s="188" t="str">
        <f>'Rhaniad y Ddeiliadaeth (Cymru)'!D20</f>
        <v>Wedi'i ragosod</v>
      </c>
      <c r="E20" s="91" t="str">
        <f>IF(OR(F20=$B$195,F20=$B$196),"Y","N")</f>
        <v>Y</v>
      </c>
      <c r="F20" s="499" t="str">
        <f>'Rhaniad y Ddeiliadaeth (Cymru)'!F20:I20</f>
        <v>Data rhagosodedig a ddefnyddiwyd</v>
      </c>
      <c r="G20" s="499"/>
      <c r="H20" s="499"/>
      <c r="I20" s="499"/>
    </row>
    <row r="21" spans="1:11" ht="31.5" customHeight="1" x14ac:dyDescent="0.25">
      <c r="A21" s="76"/>
      <c r="B21" s="512"/>
      <c r="C21" s="90" t="s">
        <v>346</v>
      </c>
      <c r="D21" s="188">
        <f>'Rhaniad y Ddeiliadaeth (Cymru)'!D21</f>
        <v>40</v>
      </c>
      <c r="E21" s="91" t="str">
        <f>IF(OR(F21=$B$195,F21=$B$196),"Y","N")</f>
        <v>Y</v>
      </c>
      <c r="F21" s="499" t="str">
        <f>'Rhaniad y Ddeiliadaeth (Cymru)'!F21:I21</f>
        <v>Data rhagosodedig a ddefnyddiwyd</v>
      </c>
      <c r="G21" s="499"/>
      <c r="H21" s="499"/>
      <c r="I21" s="499"/>
    </row>
    <row r="22" spans="1:11" ht="28.5" customHeight="1" x14ac:dyDescent="0.25">
      <c r="A22" s="76"/>
      <c r="B22" s="512"/>
      <c r="C22" s="90" t="s">
        <v>94</v>
      </c>
      <c r="D22" s="188" t="str">
        <f>'Rhaniad y Ddeiliadaeth (Cymru)'!D22</f>
        <v>Gwerth defnyddiwr (nid oes gwerth wedi'i ragosod)</v>
      </c>
      <c r="E22" s="91" t="str">
        <f>IF(OR(F22=$B$195,F22=$B$196),"Y","N")</f>
        <v>N</v>
      </c>
      <c r="F22" s="499" t="str">
        <f>'Rhaniad y Ddeiliadaeth (Cymru)'!F22:I22</f>
        <v>Cofnodwch ddata defnyddwyr ar y daflen:'Rhagdybiaeth Blynyddol'</v>
      </c>
      <c r="G22" s="499"/>
      <c r="H22" s="499"/>
      <c r="I22" s="499"/>
    </row>
    <row r="23" spans="1:11" ht="15" customHeight="1" x14ac:dyDescent="0.25">
      <c r="A23" s="76"/>
      <c r="B23" s="512"/>
      <c r="C23" s="66" t="s">
        <v>95</v>
      </c>
      <c r="D23" s="188" t="str">
        <f>'Rhaniad y Ddeiliadaeth (Cymru)'!D23</f>
        <v>Wedi'i ragosod</v>
      </c>
      <c r="E23" s="91" t="str">
        <f>IF(OR(F23=$B$195,F23=$B$196),"Y","N")</f>
        <v>Y</v>
      </c>
      <c r="F23" s="499" t="str">
        <f>'Rhaniad y Ddeiliadaeth (Cymru)'!F23:I23</f>
        <v>Data rhagosodedig a ddefnyddiwyd</v>
      </c>
      <c r="G23" s="499"/>
      <c r="H23" s="499"/>
      <c r="I23" s="499"/>
    </row>
    <row r="24" spans="1:11" ht="24.75" customHeight="1" x14ac:dyDescent="0.25">
      <c r="A24" s="76"/>
      <c r="B24" s="512"/>
      <c r="C24" s="64" t="s">
        <v>107</v>
      </c>
      <c r="D24" s="68"/>
      <c r="E24" s="93"/>
      <c r="F24" s="68"/>
      <c r="G24" s="69"/>
      <c r="H24" s="68"/>
      <c r="I24" s="70"/>
    </row>
    <row r="25" spans="1:11" ht="43.5" customHeight="1" x14ac:dyDescent="0.25">
      <c r="A25" s="76"/>
      <c r="B25" s="513"/>
      <c r="C25" s="67" t="s">
        <v>119</v>
      </c>
      <c r="D25" s="189" t="str">
        <f>'Rhaniad y Ddeiliadaeth (Cymru)'!D25</f>
        <v>Wedi'i ragosod</v>
      </c>
      <c r="E25" s="94" t="str">
        <f>IF(OR(F25=$B$195,F25=$B$196),"Y","N")</f>
        <v>Y</v>
      </c>
      <c r="F25" s="494" t="str">
        <f>'Rhaniad y Ddeiliadaeth (Cymru)'!F25:I25</f>
        <v>Data rhagosodedig a ddefnyddiwyd</v>
      </c>
      <c r="G25" s="494"/>
      <c r="H25" s="494"/>
      <c r="I25" s="494"/>
    </row>
    <row r="26" spans="1:11" ht="15" customHeight="1" x14ac:dyDescent="0.25">
      <c r="C26" s="49"/>
      <c r="D26" s="50"/>
      <c r="E26" s="48"/>
      <c r="F26" s="51"/>
      <c r="G26" s="51"/>
      <c r="H26" s="51"/>
      <c r="I26" s="51"/>
    </row>
    <row r="27" spans="1:11" s="58" customFormat="1" ht="15" customHeight="1" x14ac:dyDescent="0.25">
      <c r="B27" s="52" t="str">
        <f>IF(C133=1,"","Sylwadau ar y rhagdybiaethau a ddewiswyd ar gyfer rhaniad o ddwy ddeiliadaeth: "&amp;D1)</f>
        <v>Sylwadau ar y rhagdybiaethau a ddewiswyd ar gyfer rhaniad o ddwy ddeiliadaeth: Canolbarth Cymru</v>
      </c>
      <c r="D27" s="50"/>
      <c r="E27" s="368"/>
      <c r="F27" s="51"/>
      <c r="G27" s="51"/>
      <c r="H27" s="51"/>
      <c r="I27" s="51"/>
    </row>
    <row r="28" spans="1:11" s="58" customFormat="1" ht="15" customHeight="1" x14ac:dyDescent="0.25">
      <c r="B28" s="495" t="str">
        <f>B188</f>
        <v>Mae'r ffigurau isod yn rhannu yr amcangyfrifon o'r angen am dai yn 2 deiliadaeth ac maent yn seiliedig ar y rhagdybiaethau canlynol. Mae amcangyfrifon sylfaenol yr unedau tai ychwanegol wedi'u seilio ar  amcanestyniadau aelwydydd gan Llywodraeth Cymru sy'n seiliedig ar 2018 (Prif Amcanestyniadau), ac amcangyfrif o 5732 aelwydydd o ran angen presennol nas diwallwyd  a fydd yn cymryd 5 mlynedd i'w diwallu. Mae data ar incwm yn seiliedig ar  Ddata Llywodraeth Cymru ac mae data ar renti preifat yn seiliedig ar  Ddata Llywodraeth Cymru. Mae'r newid blynyddol i incwm canolrifol yr aelwyd yn seiliedig ar amcangyfrifon wedi'u rhagosod, mae'r newid blynyddol i ddosbarthiad incwm yr aelwyd yn seiliedig ar amcangyfrifon wedi'u rhagosod ac mae'r newid blynyddol i brisiau rhenti yn seiliedig ar amcangyfrifon wedi'u rhagosod.</v>
      </c>
      <c r="C28" s="495"/>
      <c r="D28" s="495"/>
      <c r="E28" s="495"/>
      <c r="F28" s="495"/>
      <c r="G28" s="495"/>
      <c r="H28" s="495"/>
      <c r="I28" s="495"/>
      <c r="J28" s="495"/>
      <c r="K28" s="79"/>
    </row>
    <row r="29" spans="1:11" s="58" customFormat="1" ht="15" customHeight="1" x14ac:dyDescent="0.25">
      <c r="B29" s="495"/>
      <c r="C29" s="495"/>
      <c r="D29" s="495"/>
      <c r="E29" s="495"/>
      <c r="F29" s="495"/>
      <c r="G29" s="495"/>
      <c r="H29" s="495"/>
      <c r="I29" s="495"/>
      <c r="J29" s="495"/>
      <c r="K29" s="79"/>
    </row>
    <row r="30" spans="1:11" s="58" customFormat="1" ht="15" customHeight="1" x14ac:dyDescent="0.25">
      <c r="B30" s="495"/>
      <c r="C30" s="495"/>
      <c r="D30" s="495"/>
      <c r="E30" s="495"/>
      <c r="F30" s="495"/>
      <c r="G30" s="495"/>
      <c r="H30" s="495"/>
      <c r="I30" s="495"/>
      <c r="J30" s="495"/>
      <c r="K30" s="79"/>
    </row>
    <row r="31" spans="1:11" s="58" customFormat="1" ht="15" customHeight="1" x14ac:dyDescent="0.25">
      <c r="B31" s="495"/>
      <c r="C31" s="495"/>
      <c r="D31" s="495"/>
      <c r="E31" s="495"/>
      <c r="F31" s="495"/>
      <c r="G31" s="495"/>
      <c r="H31" s="495"/>
      <c r="I31" s="495"/>
      <c r="J31" s="495"/>
      <c r="K31" s="79"/>
    </row>
    <row r="32" spans="1:11" s="58" customFormat="1" ht="15" customHeight="1" x14ac:dyDescent="0.25">
      <c r="B32" s="495"/>
      <c r="C32" s="495"/>
      <c r="D32" s="495"/>
      <c r="E32" s="495"/>
      <c r="F32" s="495"/>
      <c r="G32" s="495"/>
      <c r="H32" s="495"/>
      <c r="I32" s="495"/>
      <c r="J32" s="495"/>
      <c r="K32" s="79"/>
    </row>
    <row r="33" spans="2:11" ht="15" customHeight="1" x14ac:dyDescent="0.25">
      <c r="B33" s="80"/>
      <c r="C33" s="238"/>
      <c r="D33" s="238"/>
      <c r="E33" s="238"/>
      <c r="F33" s="238"/>
      <c r="G33" s="238"/>
      <c r="H33" s="238"/>
      <c r="I33" s="238"/>
      <c r="J33" s="238"/>
      <c r="K33" s="79"/>
    </row>
    <row r="34" spans="2:11" ht="15" customHeight="1" x14ac:dyDescent="0.25">
      <c r="B34" s="80"/>
      <c r="C34" s="238"/>
      <c r="D34" s="238"/>
      <c r="E34" s="238"/>
      <c r="F34" s="238"/>
      <c r="G34" s="238"/>
      <c r="H34" s="238"/>
      <c r="I34" s="238"/>
      <c r="J34" s="238"/>
      <c r="K34" s="79"/>
    </row>
    <row r="35" spans="2:11" ht="15" customHeight="1" x14ac:dyDescent="0.25">
      <c r="B35" s="80"/>
      <c r="C35" s="238"/>
      <c r="D35" s="238"/>
      <c r="E35" s="238"/>
      <c r="F35" s="238"/>
      <c r="G35" s="238"/>
      <c r="H35" s="238"/>
      <c r="I35" s="238"/>
      <c r="J35" s="238"/>
      <c r="K35" s="79"/>
    </row>
    <row r="36" spans="2:11" ht="15" customHeight="1" x14ac:dyDescent="0.25">
      <c r="B36" s="80"/>
      <c r="C36" s="238"/>
      <c r="D36" s="238"/>
      <c r="E36" s="238"/>
      <c r="F36" s="238"/>
      <c r="G36" s="238"/>
      <c r="H36" s="238"/>
      <c r="I36" s="238"/>
      <c r="J36" s="238"/>
      <c r="K36" s="79"/>
    </row>
    <row r="37" spans="2:11" ht="15" customHeight="1" x14ac:dyDescent="0.25">
      <c r="B37" s="80"/>
      <c r="C37" s="238"/>
      <c r="D37" s="238"/>
      <c r="E37" s="238"/>
      <c r="F37" s="238"/>
      <c r="G37" s="238"/>
      <c r="H37" s="238"/>
      <c r="I37" s="238"/>
      <c r="J37" s="238"/>
      <c r="K37" s="79"/>
    </row>
    <row r="38" spans="2:11" ht="15" customHeight="1" x14ac:dyDescent="0.25">
      <c r="B38" s="238"/>
      <c r="C38" s="238"/>
      <c r="D38" s="238"/>
      <c r="E38" s="238"/>
      <c r="F38" s="238"/>
      <c r="G38" s="238"/>
      <c r="H38" s="238"/>
      <c r="I38" s="238"/>
      <c r="J38" s="238"/>
      <c r="K38" s="79"/>
    </row>
    <row r="39" spans="2:11" ht="15" customHeight="1" x14ac:dyDescent="0.25">
      <c r="B39" s="238"/>
      <c r="C39" s="238"/>
      <c r="D39" s="238"/>
      <c r="E39" s="238"/>
      <c r="F39" s="238"/>
      <c r="G39" s="238"/>
      <c r="H39" s="238"/>
      <c r="I39" s="238"/>
      <c r="J39" s="238"/>
      <c r="K39" s="79"/>
    </row>
    <row r="40" spans="2:11" ht="15" customHeight="1" x14ac:dyDescent="0.25">
      <c r="B40" s="238"/>
      <c r="C40" s="238"/>
      <c r="D40" s="238"/>
      <c r="E40" s="238"/>
      <c r="F40" s="238"/>
      <c r="G40" s="238"/>
      <c r="H40" s="238"/>
      <c r="I40" s="238"/>
      <c r="J40" s="238"/>
      <c r="K40" s="79"/>
    </row>
    <row r="41" spans="2:11" ht="15" customHeight="1" x14ac:dyDescent="0.25">
      <c r="B41" s="238"/>
      <c r="C41" s="238"/>
      <c r="D41" s="238"/>
      <c r="E41" s="238"/>
      <c r="F41" s="238"/>
      <c r="G41" s="238"/>
      <c r="H41" s="238"/>
      <c r="I41" s="238"/>
      <c r="J41" s="238"/>
      <c r="K41" s="79"/>
    </row>
    <row r="42" spans="2:11" ht="15" customHeight="1" x14ac:dyDescent="0.25">
      <c r="B42" s="238"/>
      <c r="C42" s="238"/>
      <c r="D42" s="238"/>
      <c r="E42" s="238"/>
      <c r="F42" s="238"/>
      <c r="G42" s="238"/>
      <c r="H42" s="238"/>
      <c r="I42" s="238"/>
      <c r="J42" s="238"/>
      <c r="K42" s="79"/>
    </row>
    <row r="43" spans="2:11" ht="15" customHeight="1" x14ac:dyDescent="0.25">
      <c r="B43" s="238"/>
      <c r="C43" s="238"/>
      <c r="D43" s="238"/>
      <c r="E43" s="238"/>
      <c r="F43" s="238"/>
      <c r="G43" s="238"/>
      <c r="H43" s="238"/>
      <c r="I43" s="238"/>
      <c r="J43" s="238"/>
      <c r="K43" s="79"/>
    </row>
    <row r="44" spans="2:11" ht="15" customHeight="1" x14ac:dyDescent="0.25">
      <c r="B44" s="238"/>
      <c r="C44" s="238"/>
      <c r="D44" s="238"/>
      <c r="E44" s="238"/>
      <c r="F44" s="238"/>
      <c r="G44" s="238"/>
      <c r="H44" s="238"/>
      <c r="I44" s="238"/>
      <c r="J44" s="238"/>
      <c r="K44" s="79"/>
    </row>
    <row r="45" spans="2:11" ht="15" customHeight="1" x14ac:dyDescent="0.25">
      <c r="B45" s="238"/>
      <c r="C45" s="238"/>
      <c r="D45" s="238"/>
      <c r="E45" s="238"/>
      <c r="F45" s="238"/>
      <c r="G45" s="238"/>
      <c r="H45" s="238"/>
      <c r="I45" s="238"/>
      <c r="J45" s="238"/>
      <c r="K45" s="79"/>
    </row>
    <row r="46" spans="2:11" ht="15" customHeight="1" x14ac:dyDescent="0.25">
      <c r="B46" s="238"/>
      <c r="C46" s="238"/>
      <c r="D46" s="238"/>
      <c r="E46" s="238"/>
      <c r="F46" s="238"/>
      <c r="G46" s="238"/>
      <c r="H46" s="238"/>
      <c r="I46" s="238"/>
      <c r="J46" s="238"/>
      <c r="K46" s="79"/>
    </row>
    <row r="47" spans="2:11" ht="15" customHeight="1" x14ac:dyDescent="0.25">
      <c r="B47" s="238"/>
      <c r="C47" s="238"/>
      <c r="D47" s="238"/>
      <c r="E47" s="238"/>
      <c r="F47" s="238"/>
      <c r="G47" s="238"/>
      <c r="H47" s="238"/>
      <c r="I47" s="238"/>
      <c r="J47" s="238"/>
      <c r="K47" s="79"/>
    </row>
    <row r="48" spans="2:11" ht="15" customHeight="1" x14ac:dyDescent="0.25">
      <c r="B48" s="238"/>
      <c r="C48" s="238"/>
      <c r="D48" s="238"/>
      <c r="E48" s="238"/>
      <c r="F48" s="238"/>
      <c r="G48" s="238"/>
      <c r="H48" s="238"/>
      <c r="I48" s="238"/>
      <c r="J48" s="238"/>
      <c r="K48" s="79"/>
    </row>
    <row r="49" spans="2:11" ht="15" customHeight="1" x14ac:dyDescent="0.25">
      <c r="B49" s="238"/>
      <c r="C49" s="238"/>
      <c r="D49" s="238"/>
      <c r="E49" s="238"/>
      <c r="F49" s="238"/>
      <c r="G49" s="238"/>
      <c r="H49" s="238"/>
      <c r="I49" s="238"/>
      <c r="J49" s="238"/>
      <c r="K49" s="79"/>
    </row>
    <row r="50" spans="2:11" ht="15" customHeight="1" x14ac:dyDescent="0.25">
      <c r="B50" s="238"/>
      <c r="C50" s="238"/>
      <c r="D50" s="238"/>
      <c r="E50" s="238"/>
      <c r="F50" s="238"/>
      <c r="G50" s="238"/>
      <c r="H50" s="238"/>
      <c r="I50" s="238"/>
      <c r="J50" s="238"/>
      <c r="K50" s="79"/>
    </row>
    <row r="51" spans="2:11" ht="15" customHeight="1" x14ac:dyDescent="0.25">
      <c r="B51" s="238"/>
      <c r="C51" s="238"/>
      <c r="D51" s="238"/>
      <c r="E51" s="238"/>
      <c r="F51" s="238"/>
      <c r="G51" s="238"/>
      <c r="H51" s="238"/>
      <c r="I51" s="238"/>
      <c r="J51" s="238"/>
      <c r="K51" s="79"/>
    </row>
    <row r="52" spans="2:11" ht="15" customHeight="1" x14ac:dyDescent="0.25">
      <c r="B52" s="451" t="s">
        <v>354</v>
      </c>
      <c r="C52" s="452"/>
      <c r="D52" s="452"/>
      <c r="E52" s="452"/>
      <c r="F52" s="452"/>
      <c r="G52" s="452"/>
      <c r="H52" s="452"/>
      <c r="I52" s="452"/>
      <c r="J52" s="453"/>
      <c r="K52" s="79"/>
    </row>
    <row r="53" spans="2:11" ht="33.5" customHeight="1" x14ac:dyDescent="0.25">
      <c r="B53" s="454"/>
      <c r="C53" s="455"/>
      <c r="D53" s="455"/>
      <c r="E53" s="455"/>
      <c r="F53" s="455"/>
      <c r="G53" s="455"/>
      <c r="H53" s="455"/>
      <c r="I53" s="455"/>
      <c r="J53" s="456"/>
      <c r="K53" s="79"/>
    </row>
    <row r="54" spans="2:11" ht="15" customHeight="1" x14ac:dyDescent="0.25">
      <c r="B54" s="205"/>
      <c r="C54" s="205"/>
      <c r="D54" s="205"/>
      <c r="E54" s="205"/>
      <c r="F54" s="205"/>
      <c r="G54" s="205"/>
      <c r="H54" s="205"/>
      <c r="I54" s="205"/>
      <c r="J54" s="205"/>
      <c r="K54" s="79"/>
    </row>
    <row r="55" spans="2:11" ht="15" customHeight="1" x14ac:dyDescent="0.3">
      <c r="B55" s="56" t="s">
        <v>276</v>
      </c>
      <c r="C55" s="57"/>
      <c r="D55" s="57"/>
      <c r="E55" s="57"/>
      <c r="F55" s="57"/>
      <c r="G55" s="57"/>
      <c r="K55" s="79"/>
    </row>
    <row r="56" spans="2:11" ht="15" customHeight="1" x14ac:dyDescent="0.3">
      <c r="B56" s="112" t="str">
        <f>B148</f>
        <v/>
      </c>
      <c r="C56" s="113" t="str">
        <f t="shared" ref="C56:G56" si="0">C148</f>
        <v>2019/20</v>
      </c>
      <c r="D56" s="113" t="str">
        <f t="shared" si="0"/>
        <v>2020/21</v>
      </c>
      <c r="E56" s="113" t="str">
        <f t="shared" si="0"/>
        <v>2021/22</v>
      </c>
      <c r="F56" s="113" t="str">
        <f t="shared" si="0"/>
        <v>2022/23</v>
      </c>
      <c r="G56" s="113" t="str">
        <f t="shared" si="0"/>
        <v>2023/24</v>
      </c>
      <c r="K56" s="79"/>
    </row>
    <row r="57" spans="2:11" ht="15" customHeight="1" x14ac:dyDescent="0.25">
      <c r="B57" s="112" t="str">
        <f t="shared" ref="B57:G58" si="1">B149</f>
        <v>Tai'r Farchnad</v>
      </c>
      <c r="C57" s="114">
        <f t="shared" si="1"/>
        <v>15.576831054687501</v>
      </c>
      <c r="D57" s="114">
        <f t="shared" si="1"/>
        <v>35.113793945312501</v>
      </c>
      <c r="E57" s="114">
        <f t="shared" si="1"/>
        <v>54.46799217224121</v>
      </c>
      <c r="F57" s="114">
        <f t="shared" si="1"/>
        <v>67.388065452575688</v>
      </c>
      <c r="G57" s="114">
        <f t="shared" si="1"/>
        <v>89.515528507232673</v>
      </c>
      <c r="K57" s="79"/>
    </row>
    <row r="58" spans="2:11" ht="15" customHeight="1" x14ac:dyDescent="0.25">
      <c r="B58" s="112" t="str">
        <f t="shared" si="1"/>
        <v>Tai fforddiadwy</v>
      </c>
      <c r="C58" s="114">
        <f>C150</f>
        <v>58.961967468261719</v>
      </c>
      <c r="D58" s="114">
        <f t="shared" si="1"/>
        <v>69.951509094238276</v>
      </c>
      <c r="E58" s="114">
        <f t="shared" si="1"/>
        <v>82.189138259887685</v>
      </c>
      <c r="F58" s="114">
        <f t="shared" si="1"/>
        <v>89.777117805480941</v>
      </c>
      <c r="G58" s="114">
        <f t="shared" si="1"/>
        <v>102.77261198043821</v>
      </c>
      <c r="K58" s="79"/>
    </row>
    <row r="59" spans="2:11" ht="15" customHeight="1" x14ac:dyDescent="0.25">
      <c r="K59" s="79"/>
    </row>
    <row r="60" spans="2:11" ht="15" customHeight="1" x14ac:dyDescent="0.3">
      <c r="B60" s="46" t="s">
        <v>282</v>
      </c>
      <c r="K60" s="79"/>
    </row>
    <row r="61" spans="2:11" ht="15" customHeight="1" x14ac:dyDescent="0.3">
      <c r="B61" s="82" t="str">
        <f>B151</f>
        <v/>
      </c>
      <c r="C61" s="240" t="str">
        <f t="shared" ref="C61:G63" si="2">C151</f>
        <v>2019/20</v>
      </c>
      <c r="D61" s="240" t="str">
        <f t="shared" si="2"/>
        <v>2020/21</v>
      </c>
      <c r="E61" s="240" t="str">
        <f t="shared" si="2"/>
        <v>2021/22</v>
      </c>
      <c r="F61" s="240" t="str">
        <f t="shared" si="2"/>
        <v>2022/23</v>
      </c>
      <c r="G61" s="240" t="str">
        <f t="shared" si="2"/>
        <v>2023/24</v>
      </c>
      <c r="I61" s="518" t="str">
        <f>I151</f>
        <v>Rhaniad 5 mlynedd</v>
      </c>
      <c r="J61" s="518"/>
      <c r="K61" s="79"/>
    </row>
    <row r="62" spans="2:11" ht="15" customHeight="1" x14ac:dyDescent="0.3">
      <c r="B62" s="82" t="str">
        <f>B152</f>
        <v>Tai'r Farchnad</v>
      </c>
      <c r="C62" s="116">
        <f>C152</f>
        <v>0.20897614884269514</v>
      </c>
      <c r="D62" s="116">
        <f t="shared" si="2"/>
        <v>0.33420922920761259</v>
      </c>
      <c r="E62" s="116">
        <f t="shared" si="2"/>
        <v>0.39857409562169077</v>
      </c>
      <c r="F62" s="116">
        <f t="shared" si="2"/>
        <v>0.42877222585569841</v>
      </c>
      <c r="G62" s="116">
        <f t="shared" si="2"/>
        <v>0.46552807822785214</v>
      </c>
      <c r="I62" s="507">
        <f>I152</f>
        <v>0.39365552228402784</v>
      </c>
      <c r="J62" s="507"/>
      <c r="K62" s="79"/>
    </row>
    <row r="63" spans="2:11" ht="15" customHeight="1" x14ac:dyDescent="0.3">
      <c r="B63" s="82" t="str">
        <f t="shared" ref="B63" si="3">B153</f>
        <v>Tai fforddiadwy</v>
      </c>
      <c r="C63" s="116">
        <f>C153</f>
        <v>0.79102385115730489</v>
      </c>
      <c r="D63" s="116">
        <f t="shared" si="2"/>
        <v>0.66579077079238747</v>
      </c>
      <c r="E63" s="116">
        <f t="shared" si="2"/>
        <v>0.60142590437830923</v>
      </c>
      <c r="F63" s="116">
        <f t="shared" si="2"/>
        <v>0.57122777414430159</v>
      </c>
      <c r="G63" s="116">
        <f t="shared" si="2"/>
        <v>0.53447192177214786</v>
      </c>
      <c r="I63" s="507">
        <f>I153</f>
        <v>0.60634447771597211</v>
      </c>
      <c r="J63" s="507"/>
      <c r="K63" s="79"/>
    </row>
    <row r="64" spans="2:11" ht="15" customHeight="1" x14ac:dyDescent="0.25">
      <c r="B64" s="80"/>
      <c r="C64" s="238"/>
      <c r="D64" s="238"/>
      <c r="E64" s="238"/>
      <c r="F64" s="238"/>
      <c r="G64" s="238"/>
      <c r="H64" s="238"/>
      <c r="I64" s="238"/>
      <c r="J64" s="238"/>
      <c r="K64" s="79"/>
    </row>
    <row r="65" spans="2:11" ht="15" customHeight="1" x14ac:dyDescent="0.25">
      <c r="B65" s="52" t="str">
        <f>IF(C145=1,"","Sylwebaeth ar y rhagdybiaethau a ddewiswyd ar gyfer y rhaniad 4 deiliadaeth")</f>
        <v/>
      </c>
      <c r="C65" s="238"/>
      <c r="D65" s="238"/>
      <c r="E65" s="238"/>
      <c r="F65" s="238"/>
      <c r="G65" s="238"/>
      <c r="H65" s="238"/>
      <c r="I65" s="238"/>
      <c r="J65" s="238"/>
      <c r="K65" s="79"/>
    </row>
    <row r="66" spans="2:11" s="58" customFormat="1" ht="15" customHeight="1" x14ac:dyDescent="0.25">
      <c r="B66" s="495" t="str">
        <f>B192</f>
        <v>Ni fydd amcangyfrifon wedi'u rhannu'n 4 deiliadaeth yn ymddangos hyd nes bod y tabl uchod wedi'i gwblhau.</v>
      </c>
      <c r="C66" s="495"/>
      <c r="D66" s="495"/>
      <c r="E66" s="495"/>
      <c r="F66" s="495"/>
      <c r="G66" s="495"/>
      <c r="H66" s="495"/>
      <c r="I66" s="495"/>
      <c r="J66" s="495"/>
      <c r="K66" s="79"/>
    </row>
    <row r="67" spans="2:11" s="58" customFormat="1" ht="15" customHeight="1" x14ac:dyDescent="0.25">
      <c r="B67" s="495"/>
      <c r="C67" s="495"/>
      <c r="D67" s="495"/>
      <c r="E67" s="495"/>
      <c r="F67" s="495"/>
      <c r="G67" s="495"/>
      <c r="H67" s="495"/>
      <c r="I67" s="495"/>
      <c r="J67" s="495"/>
      <c r="K67" s="79"/>
    </row>
    <row r="68" spans="2:11" s="58" customFormat="1" ht="15" customHeight="1" x14ac:dyDescent="0.25">
      <c r="B68" s="495"/>
      <c r="C68" s="495"/>
      <c r="D68" s="495"/>
      <c r="E68" s="495"/>
      <c r="F68" s="495"/>
      <c r="G68" s="495"/>
      <c r="H68" s="495"/>
      <c r="I68" s="495"/>
      <c r="J68" s="495"/>
      <c r="K68" s="79"/>
    </row>
    <row r="69" spans="2:11" s="58" customFormat="1" ht="15" customHeight="1" x14ac:dyDescent="0.25">
      <c r="B69" s="495"/>
      <c r="C69" s="495"/>
      <c r="D69" s="495"/>
      <c r="E69" s="495"/>
      <c r="F69" s="495"/>
      <c r="G69" s="495"/>
      <c r="H69" s="495"/>
      <c r="I69" s="495"/>
      <c r="J69" s="495"/>
      <c r="K69" s="79"/>
    </row>
    <row r="70" spans="2:11" ht="15" customHeight="1" x14ac:dyDescent="0.25">
      <c r="C70" s="49"/>
      <c r="D70" s="53"/>
      <c r="F70" s="54"/>
      <c r="G70" s="55"/>
    </row>
    <row r="71" spans="2:11" ht="15" customHeight="1" x14ac:dyDescent="0.25">
      <c r="C71" s="49"/>
      <c r="D71" s="53"/>
      <c r="E71" s="55"/>
      <c r="F71" s="54"/>
      <c r="G71" s="55"/>
    </row>
    <row r="72" spans="2:11" ht="15" customHeight="1" x14ac:dyDescent="0.25">
      <c r="C72" s="49"/>
      <c r="D72" s="53"/>
      <c r="E72" s="55"/>
      <c r="F72" s="54"/>
      <c r="G72" s="55"/>
    </row>
    <row r="73" spans="2:11" ht="15" customHeight="1" x14ac:dyDescent="0.25">
      <c r="C73" s="49"/>
      <c r="D73" s="53"/>
      <c r="E73" s="55"/>
      <c r="F73" s="54"/>
      <c r="G73" s="55"/>
    </row>
    <row r="74" spans="2:11" ht="15" customHeight="1" x14ac:dyDescent="0.25">
      <c r="C74" s="49"/>
      <c r="D74" s="53"/>
      <c r="E74" s="55"/>
      <c r="F74" s="54"/>
      <c r="G74" s="55"/>
    </row>
    <row r="75" spans="2:11" ht="15" customHeight="1" x14ac:dyDescent="0.25">
      <c r="C75" s="49"/>
      <c r="D75" s="53"/>
      <c r="E75" s="55"/>
      <c r="F75" s="54"/>
      <c r="G75" s="55"/>
    </row>
    <row r="76" spans="2:11" ht="15" customHeight="1" x14ac:dyDescent="0.25">
      <c r="C76" s="49"/>
      <c r="D76" s="53"/>
      <c r="E76" s="55"/>
      <c r="F76" s="54"/>
      <c r="G76" s="55"/>
    </row>
    <row r="77" spans="2:11" ht="15" customHeight="1" x14ac:dyDescent="0.25">
      <c r="C77" s="49"/>
      <c r="D77" s="53"/>
      <c r="E77" s="55"/>
      <c r="F77" s="54"/>
      <c r="G77" s="55"/>
    </row>
    <row r="78" spans="2:11" ht="15" customHeight="1" x14ac:dyDescent="0.25">
      <c r="C78" s="49"/>
      <c r="D78" s="53"/>
      <c r="E78" s="55"/>
      <c r="F78" s="54"/>
      <c r="G78" s="55"/>
    </row>
    <row r="79" spans="2:11" ht="15" customHeight="1" x14ac:dyDescent="0.25">
      <c r="C79" s="49"/>
      <c r="D79" s="53"/>
      <c r="E79" s="55"/>
      <c r="F79" s="54"/>
      <c r="G79" s="55"/>
    </row>
    <row r="80" spans="2:11" ht="15" customHeight="1" x14ac:dyDescent="0.25">
      <c r="C80" s="49"/>
      <c r="D80" s="53"/>
      <c r="E80" s="55"/>
      <c r="F80" s="54"/>
      <c r="G80" s="55"/>
    </row>
    <row r="81" spans="2:8" ht="15" customHeight="1" x14ac:dyDescent="0.25">
      <c r="C81" s="49"/>
      <c r="D81" s="53"/>
      <c r="E81" s="55"/>
      <c r="F81" s="54"/>
      <c r="G81" s="55"/>
    </row>
    <row r="82" spans="2:8" ht="15" customHeight="1" x14ac:dyDescent="0.25">
      <c r="C82" s="49"/>
      <c r="D82" s="53"/>
      <c r="E82" s="55"/>
      <c r="F82" s="54"/>
      <c r="G82" s="55"/>
    </row>
    <row r="83" spans="2:8" ht="15" customHeight="1" x14ac:dyDescent="0.25">
      <c r="C83" s="49"/>
      <c r="D83" s="53"/>
      <c r="E83" s="55"/>
      <c r="F83" s="54"/>
      <c r="G83" s="55"/>
    </row>
    <row r="84" spans="2:8" ht="15" customHeight="1" x14ac:dyDescent="0.25">
      <c r="C84" s="49"/>
      <c r="D84" s="53"/>
      <c r="E84" s="55"/>
      <c r="F84" s="54"/>
      <c r="G84" s="55"/>
    </row>
    <row r="85" spans="2:8" ht="15" customHeight="1" x14ac:dyDescent="0.25">
      <c r="C85" s="49"/>
      <c r="D85" s="53"/>
      <c r="E85" s="55"/>
      <c r="F85" s="54"/>
      <c r="G85" s="55"/>
    </row>
    <row r="86" spans="2:8" ht="15" customHeight="1" x14ac:dyDescent="0.25">
      <c r="C86" s="49"/>
      <c r="D86" s="53"/>
      <c r="E86" s="55"/>
      <c r="F86" s="54"/>
      <c r="G86" s="55"/>
    </row>
    <row r="87" spans="2:8" ht="15" customHeight="1" x14ac:dyDescent="0.25">
      <c r="C87" s="49"/>
      <c r="D87" s="53"/>
      <c r="E87" s="55"/>
      <c r="F87" s="54"/>
      <c r="G87" s="55"/>
    </row>
    <row r="88" spans="2:8" ht="15" customHeight="1" x14ac:dyDescent="0.25">
      <c r="C88" s="49"/>
      <c r="D88" s="53"/>
      <c r="E88" s="55"/>
      <c r="F88" s="54"/>
      <c r="G88" s="55"/>
    </row>
    <row r="89" spans="2:8" ht="15" customHeight="1" x14ac:dyDescent="0.25">
      <c r="C89" s="49"/>
      <c r="D89" s="53"/>
      <c r="E89" s="55"/>
      <c r="F89" s="54"/>
      <c r="G89" s="55"/>
    </row>
    <row r="90" spans="2:8" ht="15" customHeight="1" x14ac:dyDescent="0.3">
      <c r="B90" s="56" t="s">
        <v>298</v>
      </c>
      <c r="C90" s="57"/>
      <c r="D90" s="57"/>
      <c r="E90" s="57"/>
      <c r="F90" s="57"/>
      <c r="G90" s="57"/>
    </row>
    <row r="91" spans="2:8" ht="15" customHeight="1" x14ac:dyDescent="0.25">
      <c r="B91" s="118" t="str">
        <f>B157</f>
        <v>Cwblhewch y tabl i weld amcangyfrifon wedi'u rhannu'n 4 deiliadaeth.</v>
      </c>
      <c r="C91" s="82"/>
      <c r="D91" s="82"/>
      <c r="E91" s="82"/>
      <c r="F91" s="82"/>
      <c r="G91" s="82"/>
      <c r="H91" s="58"/>
    </row>
    <row r="92" spans="2:8" ht="15" customHeight="1" x14ac:dyDescent="0.3">
      <c r="B92" s="118"/>
      <c r="C92" s="113" t="str">
        <f t="shared" ref="C92:G96" si="4">C157</f>
        <v/>
      </c>
      <c r="D92" s="113" t="str">
        <f t="shared" si="4"/>
        <v/>
      </c>
      <c r="E92" s="113" t="str">
        <f t="shared" si="4"/>
        <v/>
      </c>
      <c r="F92" s="113" t="str">
        <f t="shared" si="4"/>
        <v/>
      </c>
      <c r="G92" s="113" t="str">
        <f t="shared" si="4"/>
        <v/>
      </c>
      <c r="H92" s="58"/>
    </row>
    <row r="93" spans="2:8" ht="15" customHeight="1" x14ac:dyDescent="0.25">
      <c r="B93" s="112" t="str">
        <f>B158</f>
        <v/>
      </c>
      <c r="C93" s="119" t="str">
        <f t="shared" si="4"/>
        <v/>
      </c>
      <c r="D93" s="114" t="str">
        <f t="shared" si="4"/>
        <v/>
      </c>
      <c r="E93" s="114" t="str">
        <f t="shared" si="4"/>
        <v/>
      </c>
      <c r="F93" s="114" t="str">
        <f t="shared" si="4"/>
        <v/>
      </c>
      <c r="G93" s="114" t="str">
        <f t="shared" si="4"/>
        <v/>
      </c>
      <c r="H93" s="58"/>
    </row>
    <row r="94" spans="2:8" ht="15" customHeight="1" x14ac:dyDescent="0.25">
      <c r="B94" s="112" t="str">
        <f>B159</f>
        <v/>
      </c>
      <c r="C94" s="114" t="str">
        <f t="shared" si="4"/>
        <v/>
      </c>
      <c r="D94" s="114" t="str">
        <f t="shared" si="4"/>
        <v/>
      </c>
      <c r="E94" s="114" t="str">
        <f t="shared" si="4"/>
        <v/>
      </c>
      <c r="F94" s="114" t="str">
        <f t="shared" si="4"/>
        <v/>
      </c>
      <c r="G94" s="114" t="str">
        <f t="shared" si="4"/>
        <v/>
      </c>
      <c r="H94" s="58"/>
    </row>
    <row r="95" spans="2:8" ht="15" customHeight="1" x14ac:dyDescent="0.25">
      <c r="B95" s="114" t="str">
        <f>B160</f>
        <v/>
      </c>
      <c r="C95" s="114" t="str">
        <f t="shared" si="4"/>
        <v/>
      </c>
      <c r="D95" s="114" t="str">
        <f t="shared" si="4"/>
        <v/>
      </c>
      <c r="E95" s="114" t="str">
        <f t="shared" si="4"/>
        <v/>
      </c>
      <c r="F95" s="114" t="str">
        <f t="shared" si="4"/>
        <v/>
      </c>
      <c r="G95" s="114" t="str">
        <f t="shared" si="4"/>
        <v/>
      </c>
      <c r="H95" s="58"/>
    </row>
    <row r="96" spans="2:8" ht="15" customHeight="1" x14ac:dyDescent="0.25">
      <c r="B96" s="114" t="str">
        <f>B161</f>
        <v/>
      </c>
      <c r="C96" s="114" t="str">
        <f t="shared" si="4"/>
        <v/>
      </c>
      <c r="D96" s="114" t="str">
        <f t="shared" si="4"/>
        <v/>
      </c>
      <c r="E96" s="114" t="str">
        <f t="shared" si="4"/>
        <v/>
      </c>
      <c r="F96" s="114" t="str">
        <f t="shared" si="4"/>
        <v/>
      </c>
      <c r="G96" s="114" t="str">
        <f t="shared" si="4"/>
        <v/>
      </c>
      <c r="H96" s="58"/>
    </row>
    <row r="97" spans="2:20" ht="15" customHeight="1" x14ac:dyDescent="0.25">
      <c r="H97" s="58"/>
    </row>
    <row r="98" spans="2:20" ht="15" customHeight="1" x14ac:dyDescent="0.3">
      <c r="B98" s="46" t="s">
        <v>303</v>
      </c>
      <c r="H98" s="58"/>
    </row>
    <row r="99" spans="2:20" ht="15" customHeight="1" x14ac:dyDescent="0.3">
      <c r="B99" s="82" t="str">
        <f>B162</f>
        <v>Cwblhewch y tabl i weld amcangyfrifon wedi'u rhannu'n 4 deiliadaeth.</v>
      </c>
      <c r="C99" s="82"/>
      <c r="D99" s="82"/>
      <c r="E99" s="82"/>
      <c r="F99" s="82"/>
      <c r="G99" s="82"/>
      <c r="H99" s="58"/>
      <c r="I99" s="518" t="str">
        <f>I162</f>
        <v/>
      </c>
      <c r="J99" s="518"/>
    </row>
    <row r="100" spans="2:20" ht="15" customHeight="1" x14ac:dyDescent="0.3">
      <c r="B100" s="82"/>
      <c r="C100" s="240" t="str">
        <f t="shared" ref="C100:G104" si="5">C162</f>
        <v/>
      </c>
      <c r="D100" s="240" t="str">
        <f t="shared" si="5"/>
        <v/>
      </c>
      <c r="E100" s="240" t="str">
        <f t="shared" si="5"/>
        <v/>
      </c>
      <c r="F100" s="240" t="str">
        <f t="shared" si="5"/>
        <v/>
      </c>
      <c r="G100" s="240" t="str">
        <f t="shared" si="5"/>
        <v/>
      </c>
      <c r="H100" s="58"/>
      <c r="I100" s="117"/>
      <c r="J100" s="117"/>
    </row>
    <row r="101" spans="2:20" ht="15" customHeight="1" x14ac:dyDescent="0.3">
      <c r="B101" s="82" t="str">
        <f>B163</f>
        <v/>
      </c>
      <c r="C101" s="116" t="str">
        <f t="shared" si="5"/>
        <v/>
      </c>
      <c r="D101" s="116" t="str">
        <f t="shared" si="5"/>
        <v/>
      </c>
      <c r="E101" s="116" t="str">
        <f t="shared" si="5"/>
        <v/>
      </c>
      <c r="F101" s="116" t="str">
        <f t="shared" si="5"/>
        <v/>
      </c>
      <c r="G101" s="116" t="str">
        <f t="shared" si="5"/>
        <v/>
      </c>
      <c r="H101" s="58"/>
      <c r="I101" s="507" t="str">
        <f>I163</f>
        <v/>
      </c>
      <c r="J101" s="507"/>
    </row>
    <row r="102" spans="2:20" ht="15" customHeight="1" x14ac:dyDescent="0.3">
      <c r="B102" s="82" t="str">
        <f>B164</f>
        <v/>
      </c>
      <c r="C102" s="116" t="str">
        <f t="shared" si="5"/>
        <v/>
      </c>
      <c r="D102" s="116" t="str">
        <f t="shared" si="5"/>
        <v/>
      </c>
      <c r="E102" s="116" t="str">
        <f t="shared" si="5"/>
        <v/>
      </c>
      <c r="F102" s="116" t="str">
        <f t="shared" si="5"/>
        <v/>
      </c>
      <c r="G102" s="116" t="str">
        <f t="shared" si="5"/>
        <v/>
      </c>
      <c r="H102" s="58"/>
      <c r="I102" s="507" t="str">
        <f>I164</f>
        <v/>
      </c>
      <c r="J102" s="507"/>
    </row>
    <row r="103" spans="2:20" ht="14.25" customHeight="1" x14ac:dyDescent="0.3">
      <c r="B103" s="82" t="str">
        <f>B165</f>
        <v/>
      </c>
      <c r="C103" s="116" t="str">
        <f t="shared" si="5"/>
        <v/>
      </c>
      <c r="D103" s="116" t="str">
        <f t="shared" si="5"/>
        <v/>
      </c>
      <c r="E103" s="116" t="str">
        <f t="shared" si="5"/>
        <v/>
      </c>
      <c r="F103" s="116" t="str">
        <f t="shared" si="5"/>
        <v/>
      </c>
      <c r="G103" s="116" t="str">
        <f t="shared" si="5"/>
        <v/>
      </c>
      <c r="H103" s="58"/>
      <c r="I103" s="507" t="str">
        <f>I165</f>
        <v/>
      </c>
      <c r="J103" s="507"/>
    </row>
    <row r="104" spans="2:20" ht="14.25" customHeight="1" x14ac:dyDescent="0.3">
      <c r="B104" s="82" t="str">
        <f>B166</f>
        <v/>
      </c>
      <c r="C104" s="116" t="str">
        <f t="shared" si="5"/>
        <v/>
      </c>
      <c r="D104" s="116" t="str">
        <f t="shared" si="5"/>
        <v/>
      </c>
      <c r="E104" s="116" t="str">
        <f t="shared" si="5"/>
        <v/>
      </c>
      <c r="F104" s="116" t="str">
        <f t="shared" si="5"/>
        <v/>
      </c>
      <c r="G104" s="116" t="str">
        <f t="shared" si="5"/>
        <v/>
      </c>
      <c r="H104" s="58"/>
      <c r="I104" s="507" t="str">
        <f>I166</f>
        <v/>
      </c>
      <c r="J104" s="507"/>
    </row>
    <row r="105" spans="2:20" ht="14.25" customHeight="1" x14ac:dyDescent="0.3">
      <c r="C105" s="46"/>
      <c r="M105" s="58"/>
      <c r="N105" s="59"/>
      <c r="O105" s="59"/>
      <c r="P105" s="59"/>
      <c r="Q105" s="59"/>
      <c r="R105" s="59"/>
      <c r="S105" s="58"/>
      <c r="T105" s="60"/>
    </row>
    <row r="106" spans="2:20" ht="14.25" customHeight="1" x14ac:dyDescent="0.35">
      <c r="B106" s="44" t="s">
        <v>293</v>
      </c>
      <c r="M106" s="58"/>
      <c r="N106" s="59"/>
      <c r="O106" s="59"/>
      <c r="P106" s="59"/>
      <c r="Q106" s="59"/>
      <c r="R106" s="59"/>
      <c r="S106" s="58"/>
      <c r="T106" s="60"/>
    </row>
    <row r="107" spans="2:20" ht="14.25" customHeight="1" x14ac:dyDescent="0.3">
      <c r="B107" s="123"/>
      <c r="C107" s="124" t="str">
        <f>Year1</f>
        <v>2019/20</v>
      </c>
      <c r="D107" s="124" t="str">
        <f>Year2</f>
        <v>2020/21</v>
      </c>
      <c r="E107" s="124" t="str">
        <f>Year3</f>
        <v>2021/22</v>
      </c>
      <c r="F107" s="124" t="str">
        <f>Year4</f>
        <v>2022/23</v>
      </c>
      <c r="G107" s="125" t="str">
        <f>Year5</f>
        <v>2023/24</v>
      </c>
      <c r="M107" s="58"/>
      <c r="N107" s="59"/>
      <c r="O107" s="59"/>
      <c r="P107" s="59"/>
      <c r="Q107" s="59"/>
      <c r="R107" s="59"/>
      <c r="S107" s="58"/>
      <c r="T107" s="60"/>
    </row>
    <row r="108" spans="2:20" ht="38" x14ac:dyDescent="0.3">
      <c r="B108" s="126" t="s">
        <v>70</v>
      </c>
      <c r="C108" s="128">
        <f>'Rhaniad y Ddeiliadaeth (Cymru)'!C108</f>
        <v>0.3</v>
      </c>
      <c r="D108" s="128">
        <f>'Rhaniad y Ddeiliadaeth (Cymru)'!D108</f>
        <v>0.3</v>
      </c>
      <c r="E108" s="128">
        <f>'Rhaniad y Ddeiliadaeth (Cymru)'!E108</f>
        <v>0.3</v>
      </c>
      <c r="F108" s="128">
        <f>'Rhaniad y Ddeiliadaeth (Cymru)'!F108</f>
        <v>0.3</v>
      </c>
      <c r="G108" s="129">
        <f>'Rhaniad y Ddeiliadaeth (Cymru)'!G108</f>
        <v>0.3</v>
      </c>
      <c r="O108" s="59"/>
      <c r="P108" s="59"/>
      <c r="Q108" s="59"/>
      <c r="R108" s="59"/>
      <c r="S108" s="58"/>
      <c r="T108" s="60"/>
    </row>
    <row r="109" spans="2:20" ht="25.5" x14ac:dyDescent="0.3">
      <c r="B109" s="126" t="s">
        <v>284</v>
      </c>
      <c r="C109" s="128">
        <f>'Rhaniad y Ddeiliadaeth (Cymru)'!C109</f>
        <v>2.2446185800604201E-2</v>
      </c>
      <c r="D109" s="128">
        <f>'Rhaniad y Ddeiliadaeth (Cymru)'!D109</f>
        <v>3.4273974138698815E-2</v>
      </c>
      <c r="E109" s="128">
        <f>'Rhaniad y Ddeiliadaeth (Cymru)'!E109</f>
        <v>3.4178288789832534E-2</v>
      </c>
      <c r="F109" s="128">
        <f>'Rhaniad y Ddeiliadaeth (Cymru)'!F109</f>
        <v>3.468526742495337E-2</v>
      </c>
      <c r="G109" s="129">
        <f>'Rhaniad y Ddeiliadaeth (Cymru)'!G109</f>
        <v>3.4498109627313145E-2</v>
      </c>
      <c r="O109" s="59"/>
      <c r="P109" s="59"/>
      <c r="Q109" s="59"/>
      <c r="R109" s="59"/>
      <c r="S109" s="58"/>
      <c r="T109" s="60"/>
    </row>
    <row r="110" spans="2:20" ht="25.5" x14ac:dyDescent="0.3">
      <c r="B110" s="126" t="s">
        <v>285</v>
      </c>
      <c r="C110" s="128">
        <f>'Rhaniad y Ddeiliadaeth (Cymru)'!C110</f>
        <v>0.01</v>
      </c>
      <c r="D110" s="128">
        <f>'Rhaniad y Ddeiliadaeth (Cymru)'!D110</f>
        <v>0.01</v>
      </c>
      <c r="E110" s="128">
        <f>'Rhaniad y Ddeiliadaeth (Cymru)'!E110</f>
        <v>0.01</v>
      </c>
      <c r="F110" s="128">
        <f>'Rhaniad y Ddeiliadaeth (Cymru)'!F110</f>
        <v>0.01</v>
      </c>
      <c r="G110" s="129">
        <f>'Rhaniad y Ddeiliadaeth (Cymru)'!G110</f>
        <v>0.01</v>
      </c>
      <c r="O110" s="59"/>
      <c r="P110" s="59"/>
      <c r="Q110" s="59"/>
      <c r="R110" s="59"/>
      <c r="S110" s="58"/>
      <c r="T110" s="60"/>
    </row>
    <row r="111" spans="2:20" ht="25.5" x14ac:dyDescent="0.3">
      <c r="B111" s="126" t="s">
        <v>286</v>
      </c>
      <c r="C111" s="128">
        <f>'Rhaniad y Ddeiliadaeth (Cymru)'!C111</f>
        <v>2.95362389376672E-2</v>
      </c>
      <c r="D111" s="128">
        <f>'Rhaniad y Ddeiliadaeth (Cymru)'!D111</f>
        <v>3.06009237258206E-2</v>
      </c>
      <c r="E111" s="128">
        <f>'Rhaniad y Ddeiliadaeth (Cymru)'!E111</f>
        <v>3.1212408697362796E-2</v>
      </c>
      <c r="F111" s="128">
        <f>'Rhaniad y Ddeiliadaeth (Cymru)'!F111</f>
        <v>3.1716449662899202E-2</v>
      </c>
      <c r="G111" s="129">
        <f>'Rhaniad y Ddeiliadaeth (Cymru)'!G111</f>
        <v>3.2947319786085505E-2</v>
      </c>
      <c r="O111" s="59"/>
      <c r="P111" s="59"/>
      <c r="Q111" s="59"/>
      <c r="R111" s="59"/>
      <c r="S111" s="58"/>
      <c r="T111" s="60"/>
    </row>
    <row r="112" spans="2:20" ht="25.5" x14ac:dyDescent="0.3">
      <c r="B112" s="126" t="s">
        <v>287</v>
      </c>
      <c r="C112" s="130">
        <f>INDEX('Prisiau Rhenti'!$D$19:$D$20,MATCH('Rhaniad y Ddeiliadaeth (Canol)'!$D$9,'Prisiau Rhenti'!$B$19:$B$20,0))*(1+C111)</f>
        <v>6424.3061309710438</v>
      </c>
      <c r="D112" s="130">
        <f>C112*(1+D111)</f>
        <v>6620.895832876211</v>
      </c>
      <c r="E112" s="130">
        <f t="shared" ref="E112:G112" si="6">D112*(1+E111)</f>
        <v>6827.5499395546103</v>
      </c>
      <c r="F112" s="130">
        <f t="shared" si="6"/>
        <v>7044.0955835334244</v>
      </c>
      <c r="G112" s="131">
        <f t="shared" si="6"/>
        <v>7276.1796533278521</v>
      </c>
      <c r="O112" s="59"/>
      <c r="P112" s="59"/>
      <c r="Q112" s="59"/>
      <c r="R112" s="59"/>
      <c r="S112" s="58"/>
      <c r="T112" s="60"/>
    </row>
    <row r="113" spans="2:20" ht="25.5" x14ac:dyDescent="0.3">
      <c r="B113" s="126" t="s">
        <v>288</v>
      </c>
      <c r="C113" s="130">
        <f>INDEX('Prisiau Rhenti'!$C$19:$C$20,MATCH('Rhaniad y Ddeiliadaeth (Canol)'!$D$9,'Prisiau Rhenti'!$B$19:$B$20,0))*(1+C111)</f>
        <v>5559.495690263403</v>
      </c>
      <c r="D113" s="130">
        <f>C113*(1+D111)</f>
        <v>5729.6213938351821</v>
      </c>
      <c r="E113" s="130">
        <f t="shared" ref="E113:G113" si="7">D113*(1+E111)</f>
        <v>5908.4566784607196</v>
      </c>
      <c r="F113" s="130">
        <f t="shared" si="7"/>
        <v>6095.85194728854</v>
      </c>
      <c r="G113" s="131">
        <f t="shared" si="7"/>
        <v>6296.693930764487</v>
      </c>
      <c r="O113" s="59"/>
      <c r="P113" s="59"/>
      <c r="Q113" s="59"/>
      <c r="R113" s="59"/>
      <c r="S113" s="58"/>
      <c r="T113" s="60"/>
    </row>
    <row r="114" spans="2:20" ht="38" x14ac:dyDescent="0.3">
      <c r="B114" s="122" t="s">
        <v>92</v>
      </c>
      <c r="C114" s="327">
        <f>'Rhaniad y Ddeiliadaeth (Cymru)'!C114</f>
        <v>4.03</v>
      </c>
      <c r="D114" s="327">
        <f>'Rhaniad y Ddeiliadaeth (Cymru)'!D114</f>
        <v>4.03</v>
      </c>
      <c r="E114" s="327">
        <f>'Rhaniad y Ddeiliadaeth (Cymru)'!E114</f>
        <v>4.03</v>
      </c>
      <c r="F114" s="327">
        <f>'Rhaniad y Ddeiliadaeth (Cymru)'!F114</f>
        <v>4.03</v>
      </c>
      <c r="G114" s="328">
        <f>'Rhaniad y Ddeiliadaeth (Cymru)'!G114</f>
        <v>4.03</v>
      </c>
      <c r="O114" s="59"/>
      <c r="P114" s="59"/>
      <c r="Q114" s="59"/>
      <c r="R114" s="59"/>
      <c r="S114" s="58"/>
      <c r="T114" s="60"/>
    </row>
    <row r="115" spans="2:20" ht="38" x14ac:dyDescent="0.3">
      <c r="B115" s="122" t="s">
        <v>93</v>
      </c>
      <c r="C115" s="132">
        <f>'Rhaniad y Ddeiliadaeth (Cymru)'!C115</f>
        <v>40</v>
      </c>
      <c r="D115" s="132">
        <f>'Rhaniad y Ddeiliadaeth (Cymru)'!D115</f>
        <v>40</v>
      </c>
      <c r="E115" s="132">
        <f>'Rhaniad y Ddeiliadaeth (Cymru)'!E115</f>
        <v>40</v>
      </c>
      <c r="F115" s="132">
        <f>'Rhaniad y Ddeiliadaeth (Cymru)'!F115</f>
        <v>40</v>
      </c>
      <c r="G115" s="133">
        <f>'Rhaniad y Ddeiliadaeth (Cymru)'!G115</f>
        <v>40</v>
      </c>
      <c r="O115" s="59"/>
      <c r="P115" s="59"/>
      <c r="Q115" s="59"/>
      <c r="R115" s="59"/>
      <c r="S115" s="58"/>
      <c r="T115" s="60"/>
    </row>
    <row r="116" spans="2:20" ht="38" x14ac:dyDescent="0.3">
      <c r="B116" s="122" t="s">
        <v>289</v>
      </c>
      <c r="C116" s="134" t="str">
        <f>'Rhaniad y Ddeiliadaeth (Cymru)'!C116</f>
        <v>-</v>
      </c>
      <c r="D116" s="134" t="str">
        <f>'Rhaniad y Ddeiliadaeth (Cymru)'!D116</f>
        <v>-</v>
      </c>
      <c r="E116" s="134" t="str">
        <f>'Rhaniad y Ddeiliadaeth (Cymru)'!E116</f>
        <v>-</v>
      </c>
      <c r="F116" s="134" t="str">
        <f>'Rhaniad y Ddeiliadaeth (Cymru)'!F116</f>
        <v>-</v>
      </c>
      <c r="G116" s="135" t="str">
        <f>'Rhaniad y Ddeiliadaeth (Cymru)'!G116</f>
        <v>-</v>
      </c>
      <c r="O116" s="59"/>
      <c r="P116" s="59"/>
      <c r="Q116" s="59"/>
      <c r="R116" s="59"/>
      <c r="S116" s="58"/>
      <c r="T116" s="60"/>
    </row>
    <row r="117" spans="2:20" ht="38" x14ac:dyDescent="0.3">
      <c r="B117" s="122" t="s">
        <v>95</v>
      </c>
      <c r="C117" s="134">
        <f>'Rhaniad y Ddeiliadaeth (Cymru)'!C117</f>
        <v>0.35</v>
      </c>
      <c r="D117" s="134">
        <f>'Rhaniad y Ddeiliadaeth (Cymru)'!D117</f>
        <v>0.35</v>
      </c>
      <c r="E117" s="134">
        <f>'Rhaniad y Ddeiliadaeth (Cymru)'!E117</f>
        <v>0.35</v>
      </c>
      <c r="F117" s="134">
        <f>'Rhaniad y Ddeiliadaeth (Cymru)'!F117</f>
        <v>0.35</v>
      </c>
      <c r="G117" s="135">
        <f>'Rhaniad y Ddeiliadaeth (Cymru)'!G117</f>
        <v>0.35</v>
      </c>
      <c r="O117" s="59"/>
      <c r="P117" s="59"/>
      <c r="Q117" s="59"/>
      <c r="R117" s="59"/>
      <c r="S117" s="58"/>
      <c r="T117" s="60"/>
    </row>
    <row r="118" spans="2:20" ht="25.5" x14ac:dyDescent="0.3">
      <c r="B118" s="127" t="s">
        <v>290</v>
      </c>
      <c r="C118" s="136">
        <f>'Rhaniad y Ddeiliadaeth (Cymru)'!C118</f>
        <v>4.8000000000000001E-2</v>
      </c>
      <c r="D118" s="136">
        <f>'Rhaniad y Ddeiliadaeth (Cymru)'!D118</f>
        <v>5.8299999999999998E-2</v>
      </c>
      <c r="E118" s="136">
        <f>'Rhaniad y Ddeiliadaeth (Cymru)'!E118</f>
        <v>7.0636931849950499E-2</v>
      </c>
      <c r="F118" s="136">
        <f>'Rhaniad y Ddeiliadaeth (Cymru)'!F118</f>
        <v>5.44208712629837E-2</v>
      </c>
      <c r="G118" s="137">
        <f>'Rhaniad y Ddeiliadaeth (Cymru)'!G118</f>
        <v>4.2183728416054896E-2</v>
      </c>
      <c r="O118" s="59"/>
      <c r="P118" s="59"/>
      <c r="Q118" s="59"/>
      <c r="R118" s="59"/>
      <c r="S118" s="58"/>
      <c r="T118" s="60"/>
    </row>
    <row r="119" spans="2:20" ht="14.25" customHeight="1" x14ac:dyDescent="0.3">
      <c r="C119" s="46"/>
      <c r="M119" s="58"/>
      <c r="N119" s="59"/>
      <c r="O119" s="59"/>
      <c r="P119" s="59"/>
      <c r="Q119" s="59"/>
      <c r="R119" s="59"/>
      <c r="S119" s="58"/>
      <c r="T119" s="60"/>
    </row>
    <row r="120" spans="2:20" ht="14.25" customHeight="1" x14ac:dyDescent="0.3">
      <c r="B120" s="85" t="s">
        <v>312</v>
      </c>
      <c r="C120" s="86"/>
      <c r="L120" s="58"/>
      <c r="M120" s="59"/>
      <c r="N120" s="59"/>
      <c r="O120" s="59"/>
      <c r="P120" s="59"/>
      <c r="R120" s="59"/>
      <c r="S120" s="58"/>
      <c r="T120" s="60"/>
    </row>
    <row r="121" spans="2:20" ht="14.25" customHeight="1" x14ac:dyDescent="0.3">
      <c r="B121" s="85" t="s">
        <v>313</v>
      </c>
      <c r="C121" s="87" t="s">
        <v>311</v>
      </c>
      <c r="G121" s="58"/>
      <c r="L121" s="58"/>
      <c r="M121" s="58"/>
      <c r="N121" s="58"/>
      <c r="O121" s="58"/>
      <c r="P121" s="58"/>
      <c r="R121" s="58"/>
      <c r="S121" s="58"/>
      <c r="T121" s="58"/>
    </row>
    <row r="122" spans="2:20" ht="14.25" customHeight="1" x14ac:dyDescent="0.25">
      <c r="B122" s="86" t="s">
        <v>175</v>
      </c>
      <c r="C122" s="86">
        <f>IF(E6="Y",0,1)</f>
        <v>0</v>
      </c>
      <c r="G122" s="58"/>
    </row>
    <row r="123" spans="2:20" ht="14.25" customHeight="1" x14ac:dyDescent="0.25">
      <c r="B123" s="86" t="s">
        <v>165</v>
      </c>
      <c r="C123" s="86">
        <f>IF(E7="Y",0,1)</f>
        <v>0</v>
      </c>
      <c r="G123" s="58"/>
    </row>
    <row r="124" spans="2:20" ht="14.25" customHeight="1" x14ac:dyDescent="0.25">
      <c r="B124" s="86" t="s">
        <v>321</v>
      </c>
      <c r="C124" s="86">
        <f>IF(E8="Y",0,1)</f>
        <v>0</v>
      </c>
      <c r="G124" s="58"/>
    </row>
    <row r="125" spans="2:20" ht="14.25" customHeight="1" x14ac:dyDescent="0.25">
      <c r="B125" s="86" t="s">
        <v>55</v>
      </c>
      <c r="C125" s="86">
        <f>IF(E9="Y",0,1)</f>
        <v>0</v>
      </c>
      <c r="G125" s="58"/>
    </row>
    <row r="126" spans="2:20" ht="14.25" customHeight="1" x14ac:dyDescent="0.3">
      <c r="B126" s="85" t="s">
        <v>325</v>
      </c>
      <c r="C126" s="86"/>
      <c r="G126" s="58"/>
    </row>
    <row r="127" spans="2:20" ht="14.25" customHeight="1" x14ac:dyDescent="0.25">
      <c r="B127" s="86" t="s">
        <v>355</v>
      </c>
      <c r="C127" s="86">
        <f>IF(E11="Y",0,1)</f>
        <v>0</v>
      </c>
      <c r="G127" s="58"/>
    </row>
    <row r="128" spans="2:20" ht="14.25" customHeight="1" x14ac:dyDescent="0.25">
      <c r="B128" s="86" t="s">
        <v>327</v>
      </c>
      <c r="C128" s="86">
        <f>IF(E12="Y",0,1)</f>
        <v>0</v>
      </c>
      <c r="G128" s="58"/>
    </row>
    <row r="129" spans="2:7" ht="14.25" customHeight="1" x14ac:dyDescent="0.3">
      <c r="B129" s="85" t="s">
        <v>323</v>
      </c>
      <c r="C129" s="86"/>
      <c r="G129" s="58"/>
    </row>
    <row r="130" spans="2:7" ht="14.25" customHeight="1" x14ac:dyDescent="0.25">
      <c r="B130" s="86" t="s">
        <v>80</v>
      </c>
      <c r="C130" s="86">
        <f>IF(E14="Y",0,1)</f>
        <v>0</v>
      </c>
      <c r="G130" s="58"/>
    </row>
    <row r="131" spans="2:7" ht="14.25" customHeight="1" x14ac:dyDescent="0.25">
      <c r="B131" s="86" t="s">
        <v>86</v>
      </c>
      <c r="C131" s="86">
        <f>IF(E15="Y",0,1)</f>
        <v>0</v>
      </c>
      <c r="G131" s="58"/>
    </row>
    <row r="132" spans="2:7" ht="14.25" customHeight="1" x14ac:dyDescent="0.25">
      <c r="B132" s="86" t="s">
        <v>117</v>
      </c>
      <c r="C132" s="86">
        <f>IF(E16="Y",0,1)</f>
        <v>0</v>
      </c>
      <c r="G132" s="58"/>
    </row>
    <row r="133" spans="2:7" ht="14.25" customHeight="1" x14ac:dyDescent="0.25">
      <c r="B133" s="86" t="s">
        <v>7</v>
      </c>
      <c r="C133" s="86">
        <f>IF(SUM(C122:C132)&gt;0,1,0)</f>
        <v>0</v>
      </c>
      <c r="G133" s="58"/>
    </row>
    <row r="134" spans="2:7" ht="14.25" customHeight="1" x14ac:dyDescent="0.25">
      <c r="G134" s="58"/>
    </row>
    <row r="135" spans="2:7" ht="14.25" customHeight="1" x14ac:dyDescent="0.3">
      <c r="B135" s="81" t="s">
        <v>319</v>
      </c>
      <c r="C135" s="82"/>
      <c r="G135" s="58"/>
    </row>
    <row r="136" spans="2:7" ht="14.25" customHeight="1" x14ac:dyDescent="0.3">
      <c r="B136" s="81" t="s">
        <v>313</v>
      </c>
      <c r="C136" s="82"/>
      <c r="G136" s="58"/>
    </row>
    <row r="137" spans="2:7" ht="14.25" customHeight="1" x14ac:dyDescent="0.25">
      <c r="B137" s="82" t="s">
        <v>88</v>
      </c>
      <c r="C137" s="82">
        <f>IF(E18="Y",0,1)</f>
        <v>0</v>
      </c>
      <c r="G137" s="58"/>
    </row>
    <row r="138" spans="2:7" ht="14.25" customHeight="1" x14ac:dyDescent="0.3">
      <c r="B138" s="81" t="s">
        <v>325</v>
      </c>
      <c r="C138" s="82"/>
      <c r="G138" s="58"/>
    </row>
    <row r="139" spans="2:7" ht="14.25" customHeight="1" x14ac:dyDescent="0.25">
      <c r="B139" s="82" t="s">
        <v>315</v>
      </c>
      <c r="C139" s="82">
        <f>IF(E20="Y",0,1)</f>
        <v>0</v>
      </c>
      <c r="G139" s="58"/>
    </row>
    <row r="140" spans="2:7" ht="18.75" customHeight="1" x14ac:dyDescent="0.25">
      <c r="B140" s="82" t="s">
        <v>316</v>
      </c>
      <c r="C140" s="82">
        <f>IF(E21="Y",0,1)</f>
        <v>0</v>
      </c>
      <c r="G140" s="58"/>
    </row>
    <row r="141" spans="2:7" ht="18.75" customHeight="1" x14ac:dyDescent="0.25">
      <c r="B141" s="82" t="s">
        <v>322</v>
      </c>
      <c r="C141" s="82">
        <f>IF(E22="Y",0,1)</f>
        <v>1</v>
      </c>
      <c r="G141" s="58"/>
    </row>
    <row r="142" spans="2:7" x14ac:dyDescent="0.25">
      <c r="B142" s="82" t="s">
        <v>326</v>
      </c>
      <c r="C142" s="82">
        <f>IF(E23="Y",0,1)</f>
        <v>0</v>
      </c>
    </row>
    <row r="143" spans="2:7" ht="13" x14ac:dyDescent="0.3">
      <c r="B143" s="81" t="s">
        <v>323</v>
      </c>
      <c r="C143" s="82"/>
    </row>
    <row r="144" spans="2:7" x14ac:dyDescent="0.25">
      <c r="B144" s="82" t="s">
        <v>320</v>
      </c>
      <c r="C144" s="82">
        <f>IF(E25="Y",0,1)</f>
        <v>0</v>
      </c>
    </row>
    <row r="145" spans="2:11" x14ac:dyDescent="0.25">
      <c r="B145" s="82" t="s">
        <v>314</v>
      </c>
      <c r="C145" s="82">
        <f>IF(SUM(C133,C137:C144)=0,0,1)</f>
        <v>1</v>
      </c>
    </row>
    <row r="146" spans="2:11" x14ac:dyDescent="0.25">
      <c r="C146" s="61"/>
      <c r="D146" s="61"/>
      <c r="E146" s="61"/>
      <c r="F146" s="61"/>
      <c r="G146" s="61"/>
      <c r="I146" s="61"/>
    </row>
    <row r="147" spans="2:11" ht="13" x14ac:dyDescent="0.3">
      <c r="B147" s="85" t="s">
        <v>309</v>
      </c>
      <c r="C147" s="86"/>
      <c r="D147" s="86"/>
      <c r="E147" s="86"/>
      <c r="F147" s="86"/>
      <c r="G147" s="86"/>
      <c r="H147" s="86"/>
      <c r="I147" s="86"/>
      <c r="J147" s="86"/>
      <c r="K147" s="58"/>
    </row>
    <row r="148" spans="2:11" x14ac:dyDescent="0.25">
      <c r="B148" s="86" t="str">
        <f>IF(C133=1,"Please complete table to view figures.","")</f>
        <v/>
      </c>
      <c r="C148" s="86" t="str">
        <f>IF($C$133=0,Year1,"")</f>
        <v>2019/20</v>
      </c>
      <c r="D148" s="86" t="str">
        <f>IF($C$133=0, Year2,"")</f>
        <v>2020/21</v>
      </c>
      <c r="E148" s="86" t="str">
        <f>IF($C$133=0,Year3,"")</f>
        <v>2021/22</v>
      </c>
      <c r="F148" s="86" t="str">
        <f>IF($C$133=0,Year4,"")</f>
        <v>2022/23</v>
      </c>
      <c r="G148" s="86" t="str">
        <f>IF($C$133=0,Year5,"")</f>
        <v>2023/24</v>
      </c>
      <c r="H148" s="86"/>
      <c r="I148" s="86"/>
      <c r="J148" s="86"/>
      <c r="K148" s="58"/>
    </row>
    <row r="149" spans="2:11" x14ac:dyDescent="0.25">
      <c r="B149" s="86" t="str">
        <f>IF($C$133=0,"Tai'r Farchnad","")</f>
        <v>Tai'r Farchnad</v>
      </c>
      <c r="C149" s="88">
        <f>IF($C$133=0,'Cyfrifiadau - Canolbarth'!C29,"")</f>
        <v>15.576831054687501</v>
      </c>
      <c r="D149" s="88">
        <f>IF($C$133=0,'Cyfrifiadau - Canolbarth'!D29,"")</f>
        <v>35.113793945312501</v>
      </c>
      <c r="E149" s="88">
        <f>IF($C$133=0,'Cyfrifiadau - Canolbarth'!E29,"")</f>
        <v>54.46799217224121</v>
      </c>
      <c r="F149" s="88">
        <f>IF($C$133=0,'Cyfrifiadau - Canolbarth'!F29,"")</f>
        <v>67.388065452575688</v>
      </c>
      <c r="G149" s="88">
        <f>IF($C$133=0,'Cyfrifiadau - Canolbarth'!G29,"")</f>
        <v>89.515528507232673</v>
      </c>
      <c r="H149" s="86"/>
      <c r="I149" s="86"/>
      <c r="J149" s="86"/>
      <c r="K149" s="58"/>
    </row>
    <row r="150" spans="2:11" x14ac:dyDescent="0.25">
      <c r="B150" s="86" t="str">
        <f>IF($C$133=0,"Tai fforddiadwy","")</f>
        <v>Tai fforddiadwy</v>
      </c>
      <c r="C150" s="88">
        <f>IF($C$133=0,'Cyfrifiadau - Canolbarth'!C30,"")</f>
        <v>58.961967468261719</v>
      </c>
      <c r="D150" s="88">
        <f>IF($C$133=0,'Cyfrifiadau - Canolbarth'!D30,"")</f>
        <v>69.951509094238276</v>
      </c>
      <c r="E150" s="88">
        <f>IF($C$133=0,'Cyfrifiadau - Canolbarth'!E30,"")</f>
        <v>82.189138259887685</v>
      </c>
      <c r="F150" s="88">
        <f>IF($C$133=0,'Cyfrifiadau - Canolbarth'!F30,"")</f>
        <v>89.777117805480941</v>
      </c>
      <c r="G150" s="88">
        <f>IF($C$133=0,'Cyfrifiadau - Canolbarth'!G30,"")</f>
        <v>102.77261198043821</v>
      </c>
      <c r="H150" s="86"/>
      <c r="I150" s="86"/>
      <c r="J150" s="86"/>
      <c r="K150" s="58"/>
    </row>
    <row r="151" spans="2:11" x14ac:dyDescent="0.25">
      <c r="B151" s="86" t="str">
        <f>IF(C133=1,"Please complete table to view figures.","")</f>
        <v/>
      </c>
      <c r="C151" s="86" t="str">
        <f>IF($C$133=0,Year1,"")</f>
        <v>2019/20</v>
      </c>
      <c r="D151" s="86" t="str">
        <f>IF($C$133=0, Year2,"")</f>
        <v>2020/21</v>
      </c>
      <c r="E151" s="86" t="str">
        <f>IF($C$133=0,Year3,"")</f>
        <v>2021/22</v>
      </c>
      <c r="F151" s="86" t="str">
        <f>IF($C$133=0,Year4,"")</f>
        <v>2022/23</v>
      </c>
      <c r="G151" s="86" t="str">
        <f>IF($C$133=0,Year5,"")</f>
        <v>2023/24</v>
      </c>
      <c r="H151" s="86"/>
      <c r="I151" s="86" t="str">
        <f>IF($C$133=1,"","Rhaniad 5 mlynedd")</f>
        <v>Rhaniad 5 mlynedd</v>
      </c>
      <c r="J151" s="86"/>
      <c r="K151" s="58"/>
    </row>
    <row r="152" spans="2:11" x14ac:dyDescent="0.25">
      <c r="B152" s="86" t="str">
        <f>IF($C$133=0,"Tai'r Farchnad","")</f>
        <v>Tai'r Farchnad</v>
      </c>
      <c r="C152" s="304">
        <f>IF($C$133=1,"",C149/SUM(C$149:C$150))</f>
        <v>0.20897614884269514</v>
      </c>
      <c r="D152" s="304">
        <f t="shared" ref="D152:G153" si="8">IF($C$133=1,"",D149/SUM(D$149:D$150))</f>
        <v>0.33420922920761259</v>
      </c>
      <c r="E152" s="304">
        <f t="shared" si="8"/>
        <v>0.39857409562169077</v>
      </c>
      <c r="F152" s="304">
        <f t="shared" si="8"/>
        <v>0.42877222585569841</v>
      </c>
      <c r="G152" s="304">
        <f t="shared" si="8"/>
        <v>0.46552807822785214</v>
      </c>
      <c r="H152" s="304"/>
      <c r="I152" s="304">
        <f>IF($C$133=1,"",SUM(C149:G149)/SUM($C$149:$G$150))</f>
        <v>0.39365552228402784</v>
      </c>
      <c r="J152" s="304"/>
      <c r="K152" s="58"/>
    </row>
    <row r="153" spans="2:11" x14ac:dyDescent="0.25">
      <c r="B153" s="86" t="str">
        <f>IF($C$133=0,"Tai fforddiadwy","")</f>
        <v>Tai fforddiadwy</v>
      </c>
      <c r="C153" s="304">
        <f>IF($C$133=1,"",C150/SUM(C$149:C$150))</f>
        <v>0.79102385115730489</v>
      </c>
      <c r="D153" s="304">
        <f t="shared" si="8"/>
        <v>0.66579077079238747</v>
      </c>
      <c r="E153" s="304">
        <f t="shared" si="8"/>
        <v>0.60142590437830923</v>
      </c>
      <c r="F153" s="304">
        <f t="shared" si="8"/>
        <v>0.57122777414430159</v>
      </c>
      <c r="G153" s="304">
        <f t="shared" si="8"/>
        <v>0.53447192177214786</v>
      </c>
      <c r="H153" s="304"/>
      <c r="I153" s="304">
        <f>IF($C$133=1,"",SUM(C150:G150)/SUM($C$149:$G$150))</f>
        <v>0.60634447771597211</v>
      </c>
      <c r="J153" s="304"/>
      <c r="K153" s="58"/>
    </row>
    <row r="154" spans="2:11" x14ac:dyDescent="0.25">
      <c r="C154" s="61"/>
      <c r="D154" s="61"/>
      <c r="E154" s="61"/>
      <c r="F154" s="61"/>
      <c r="G154" s="61"/>
      <c r="I154" s="61"/>
      <c r="K154" s="58"/>
    </row>
    <row r="155" spans="2:11" x14ac:dyDescent="0.25">
      <c r="C155" s="61"/>
      <c r="D155" s="61"/>
      <c r="E155" s="61"/>
      <c r="F155" s="61"/>
      <c r="G155" s="61"/>
      <c r="I155" s="61"/>
      <c r="K155" s="58"/>
    </row>
    <row r="156" spans="2:11" ht="13" x14ac:dyDescent="0.3">
      <c r="B156" s="81" t="s">
        <v>310</v>
      </c>
      <c r="C156" s="82"/>
      <c r="D156" s="82"/>
      <c r="E156" s="82"/>
      <c r="F156" s="82"/>
      <c r="G156" s="82"/>
      <c r="H156" s="82"/>
      <c r="I156" s="82"/>
      <c r="J156" s="82"/>
      <c r="K156" s="58"/>
    </row>
    <row r="157" spans="2:11" x14ac:dyDescent="0.25">
      <c r="B157" s="82" t="str">
        <f>IF(C145=1,"Cwblhewch y tabl i weld amcangyfrifon wedi'u rhannu'n 4 deiliadaeth.","")</f>
        <v>Cwblhewch y tabl i weld amcangyfrifon wedi'u rhannu'n 4 deiliadaeth.</v>
      </c>
      <c r="C157" s="83" t="str">
        <f>IF($C$145=0,Year1,"")</f>
        <v/>
      </c>
      <c r="D157" s="83" t="str">
        <f>IF($C$145=0,Year2,"")</f>
        <v/>
      </c>
      <c r="E157" s="83" t="str">
        <f>IF($C$145=0,Year3,"")</f>
        <v/>
      </c>
      <c r="F157" s="83" t="str">
        <f>IF($C$145=0,Year4,"")</f>
        <v/>
      </c>
      <c r="G157" s="83" t="str">
        <f>IF($C$145=0,Year5,"")</f>
        <v/>
      </c>
      <c r="H157" s="82"/>
      <c r="I157" s="82"/>
      <c r="J157" s="82"/>
      <c r="K157" s="58"/>
    </row>
    <row r="158" spans="2:11" x14ac:dyDescent="0.25">
      <c r="B158" s="82" t="str">
        <f>IF($C$145=0,"Perchen-feddiannydd","")</f>
        <v/>
      </c>
      <c r="C158" s="83" t="str">
        <f>IF($C$145=0,'Cyfrifiadau - Canolbarth'!C59,"")</f>
        <v/>
      </c>
      <c r="D158" s="83" t="str">
        <f>IF($C$145=0,'Cyfrifiadau - Canolbarth'!D59,"")</f>
        <v/>
      </c>
      <c r="E158" s="83" t="str">
        <f>IF($C$145=0,'Cyfrifiadau - Canolbarth'!E59,"")</f>
        <v/>
      </c>
      <c r="F158" s="83" t="str">
        <f>IF($C$145=0,'Cyfrifiadau - Canolbarth'!F59,"")</f>
        <v/>
      </c>
      <c r="G158" s="83" t="str">
        <f>IF($C$145=0,'Cyfrifiadau - Canolbarth'!G59,"")</f>
        <v/>
      </c>
      <c r="H158" s="82"/>
      <c r="I158" s="82"/>
      <c r="J158" s="82"/>
      <c r="K158" s="58"/>
    </row>
    <row r="159" spans="2:11" x14ac:dyDescent="0.25">
      <c r="B159" s="82" t="str">
        <f>IF($C$145=0,"Y Sector Rhenti Preifat","")</f>
        <v/>
      </c>
      <c r="C159" s="83" t="str">
        <f>IF($C$145=0,'Cyfrifiadau - Canolbarth'!C60,"")</f>
        <v/>
      </c>
      <c r="D159" s="83" t="str">
        <f>IF($C$145=0,'Cyfrifiadau - Canolbarth'!D60,"")</f>
        <v/>
      </c>
      <c r="E159" s="83" t="str">
        <f>IF($C$145=0,'Cyfrifiadau - Canolbarth'!E60,"")</f>
        <v/>
      </c>
      <c r="F159" s="83" t="str">
        <f>IF($C$145=0,'Cyfrifiadau - Canolbarth'!F60,"")</f>
        <v/>
      </c>
      <c r="G159" s="83" t="str">
        <f>IF($C$145=0,'Cyfrifiadau - Canolbarth'!G60,"")</f>
        <v/>
      </c>
      <c r="H159" s="82"/>
      <c r="I159" s="82"/>
      <c r="J159" s="82"/>
      <c r="K159" s="58"/>
    </row>
    <row r="160" spans="2:11" x14ac:dyDescent="0.25">
      <c r="B160" s="82" t="str">
        <f>IF($C$145=0,"Rhent gymdeithasol","")</f>
        <v/>
      </c>
      <c r="C160" s="83" t="str">
        <f>IF($C$145=0,'Cyfrifiadau - Canolbarth'!C61,"")</f>
        <v/>
      </c>
      <c r="D160" s="83" t="str">
        <f>IF($C$145=0,'Cyfrifiadau - Canolbarth'!D61,"")</f>
        <v/>
      </c>
      <c r="E160" s="83" t="str">
        <f>IF($C$145=0,'Cyfrifiadau - Canolbarth'!E61,"")</f>
        <v/>
      </c>
      <c r="F160" s="83" t="str">
        <f>IF($C$145=0,'Cyfrifiadau - Canolbarth'!F61,"")</f>
        <v/>
      </c>
      <c r="G160" s="83" t="str">
        <f>IF($C$145=0,'Cyfrifiadau - Canolbarth'!G61,"")</f>
        <v/>
      </c>
      <c r="H160" s="82"/>
      <c r="I160" s="82"/>
      <c r="J160" s="82"/>
      <c r="K160" s="58"/>
    </row>
    <row r="161" spans="2:24" x14ac:dyDescent="0.25">
      <c r="B161" s="82" t="str">
        <f>IF($C$145=0,"Rhent ganolradd","")</f>
        <v/>
      </c>
      <c r="C161" s="83" t="str">
        <f>IF($C$145=0,'Cyfrifiadau - Canolbarth'!C62,"")</f>
        <v/>
      </c>
      <c r="D161" s="83" t="str">
        <f>IF($C$145=0,'Cyfrifiadau - Canolbarth'!D62,"")</f>
        <v/>
      </c>
      <c r="E161" s="83" t="str">
        <f>IF($C$145=0,'Cyfrifiadau - Canolbarth'!E62,"")</f>
        <v/>
      </c>
      <c r="F161" s="83" t="str">
        <f>IF($C$145=0,'Cyfrifiadau - Canolbarth'!F62,"")</f>
        <v/>
      </c>
      <c r="G161" s="83" t="str">
        <f>IF($C$145=0,'Cyfrifiadau - Canolbarth'!G62,"")</f>
        <v/>
      </c>
      <c r="H161" s="82"/>
      <c r="I161" s="82"/>
      <c r="J161" s="82"/>
      <c r="K161" s="58"/>
    </row>
    <row r="162" spans="2:24" x14ac:dyDescent="0.25">
      <c r="B162" s="82" t="str">
        <f>IF(C145=1,"Cwblhewch y tabl i weld amcangyfrifon wedi'u rhannu'n 4 deiliadaeth.","")</f>
        <v>Cwblhewch y tabl i weld amcangyfrifon wedi'u rhannu'n 4 deiliadaeth.</v>
      </c>
      <c r="C162" s="83" t="str">
        <f>IF($C$145=0,Year1,"")</f>
        <v/>
      </c>
      <c r="D162" s="83" t="str">
        <f>IF($C$145=0,Year2,"")</f>
        <v/>
      </c>
      <c r="E162" s="83" t="str">
        <f>IF($C$145=0,Year3,"")</f>
        <v/>
      </c>
      <c r="F162" s="83" t="str">
        <f>IF($C$145=0,Year4,"")</f>
        <v/>
      </c>
      <c r="G162" s="83" t="str">
        <f>IF($C$145=0,Year5,"")</f>
        <v/>
      </c>
      <c r="H162" s="82"/>
      <c r="I162" s="522" t="str">
        <f>IF(C145=1,"","Rhaniad 5 mlynedd")</f>
        <v/>
      </c>
      <c r="J162" s="522"/>
      <c r="K162" s="58"/>
    </row>
    <row r="163" spans="2:24" x14ac:dyDescent="0.25">
      <c r="B163" s="82" t="str">
        <f>IF($C$145=0,"Perchen-feddiannydd","")</f>
        <v/>
      </c>
      <c r="C163" s="84" t="str">
        <f>IF($C$145=1,"",C158/SUM(C$158:C$161))</f>
        <v/>
      </c>
      <c r="D163" s="84" t="str">
        <f t="shared" ref="D163:G163" si="9">IF($C$145=1,"",D158/SUM(D$158:D$161))</f>
        <v/>
      </c>
      <c r="E163" s="84" t="str">
        <f t="shared" si="9"/>
        <v/>
      </c>
      <c r="F163" s="84" t="str">
        <f t="shared" si="9"/>
        <v/>
      </c>
      <c r="G163" s="84" t="str">
        <f t="shared" si="9"/>
        <v/>
      </c>
      <c r="H163" s="82"/>
      <c r="I163" s="84" t="str">
        <f>IF($C$145=1,"",SUM(C158:G158)/SUM($C$158:$G$161))</f>
        <v/>
      </c>
      <c r="J163" s="82"/>
      <c r="K163" s="58"/>
    </row>
    <row r="164" spans="2:24" x14ac:dyDescent="0.25">
      <c r="B164" s="82" t="str">
        <f>IF($C$145=0,"Y Sector Rhenti Preifat","")</f>
        <v/>
      </c>
      <c r="C164" s="84" t="str">
        <f t="shared" ref="C164:G166" si="10">IF($C$145=1,"",C159/SUM(C$158:C$161))</f>
        <v/>
      </c>
      <c r="D164" s="84" t="str">
        <f t="shared" si="10"/>
        <v/>
      </c>
      <c r="E164" s="84" t="str">
        <f t="shared" si="10"/>
        <v/>
      </c>
      <c r="F164" s="84" t="str">
        <f t="shared" si="10"/>
        <v/>
      </c>
      <c r="G164" s="84" t="str">
        <f t="shared" si="10"/>
        <v/>
      </c>
      <c r="H164" s="82"/>
      <c r="I164" s="84" t="str">
        <f t="shared" ref="I164:I166" si="11">IF($C$145=1,"",SUM(C159:G159)/SUM($C$158:$G$161))</f>
        <v/>
      </c>
      <c r="J164" s="82"/>
      <c r="K164" s="58"/>
    </row>
    <row r="165" spans="2:24" x14ac:dyDescent="0.25">
      <c r="B165" s="82" t="str">
        <f>IF($C$145=0,"Rhent gymdeithasol","")</f>
        <v/>
      </c>
      <c r="C165" s="84" t="str">
        <f t="shared" si="10"/>
        <v/>
      </c>
      <c r="D165" s="84" t="str">
        <f t="shared" si="10"/>
        <v/>
      </c>
      <c r="E165" s="84" t="str">
        <f t="shared" si="10"/>
        <v/>
      </c>
      <c r="F165" s="84" t="str">
        <f t="shared" si="10"/>
        <v/>
      </c>
      <c r="G165" s="84" t="str">
        <f t="shared" si="10"/>
        <v/>
      </c>
      <c r="H165" s="82"/>
      <c r="I165" s="84" t="str">
        <f t="shared" si="11"/>
        <v/>
      </c>
      <c r="J165" s="82"/>
      <c r="K165" s="58"/>
    </row>
    <row r="166" spans="2:24" x14ac:dyDescent="0.25">
      <c r="B166" s="82" t="str">
        <f>IF($C$145=0,"Rhent ganolradd","")</f>
        <v/>
      </c>
      <c r="C166" s="84" t="str">
        <f>IF($C$145=1,"",C161/SUM(C$158:C$161))</f>
        <v/>
      </c>
      <c r="D166" s="84" t="str">
        <f t="shared" si="10"/>
        <v/>
      </c>
      <c r="E166" s="84" t="str">
        <f t="shared" si="10"/>
        <v/>
      </c>
      <c r="F166" s="84" t="str">
        <f t="shared" si="10"/>
        <v/>
      </c>
      <c r="G166" s="84" t="str">
        <f t="shared" si="10"/>
        <v/>
      </c>
      <c r="H166" s="82"/>
      <c r="I166" s="84" t="str">
        <f t="shared" si="11"/>
        <v/>
      </c>
      <c r="J166" s="82"/>
      <c r="K166" s="58"/>
    </row>
    <row r="167" spans="2:24" x14ac:dyDescent="0.25">
      <c r="C167" s="61"/>
      <c r="D167" s="61"/>
      <c r="E167" s="61"/>
      <c r="F167" s="61"/>
      <c r="G167" s="61"/>
      <c r="I167" s="61"/>
    </row>
    <row r="168" spans="2:24" ht="13" hidden="1" x14ac:dyDescent="0.3">
      <c r="B168" s="46" t="s">
        <v>307</v>
      </c>
      <c r="C168" s="61"/>
      <c r="D168" s="61"/>
      <c r="E168" s="61"/>
      <c r="F168" s="61"/>
      <c r="G168" s="61"/>
      <c r="I168" s="61"/>
    </row>
    <row r="169" spans="2:24" hidden="1" x14ac:dyDescent="0.25">
      <c r="C169" s="61" t="s">
        <v>362</v>
      </c>
      <c r="D169" s="61" t="s">
        <v>356</v>
      </c>
      <c r="E169" s="61" t="s">
        <v>357</v>
      </c>
      <c r="F169" s="61" t="s">
        <v>358</v>
      </c>
      <c r="G169" s="61" t="s">
        <v>359</v>
      </c>
      <c r="H169" s="61" t="s">
        <v>360</v>
      </c>
      <c r="I169" s="61" t="s">
        <v>361</v>
      </c>
      <c r="J169" s="58" t="e">
        <f>". Mae gan brynwyr am y tro cyntaf gymhareb fforddiadwyedd o "&amp;C175&amp;" a gallant brynu eiddo am y tro cyntaf yn ôl  "&amp;C176&amp;" canradd dosbarthiad prisiau tai.. "&amp;C177</f>
        <v>#VALUE!</v>
      </c>
    </row>
    <row r="170" spans="2:24" hidden="1" x14ac:dyDescent="0.25">
      <c r="B170" s="47" t="s">
        <v>220</v>
      </c>
      <c r="C170" s="383" t="str">
        <f>IF(D6="Amcanestyniadau Defnyddwyr","amcanestyniadau'r aelwyd gan y defnyddiwr,",("amcanestyniadau aelwydydd gan Llywodraeth Cymru sy'n seiliedig ar 2018 "&amp;"("&amp;D6&amp;")"))</f>
        <v>amcanestyniadau aelwydydd gan Llywodraeth Cymru sy'n seiliedig ar 2018 (Prif Amcanestyniadau)</v>
      </c>
      <c r="D170" s="61"/>
      <c r="E170" s="61"/>
      <c r="F170" s="61"/>
      <c r="G170" s="61"/>
      <c r="I170" s="61"/>
    </row>
    <row r="171" spans="2:24" ht="15" hidden="1" customHeight="1" x14ac:dyDescent="0.25">
      <c r="B171" s="47" t="s">
        <v>165</v>
      </c>
      <c r="C171" s="384" t="str">
        <f>IF(D7="Amcangyfrifon LlC",'Angen Presennol Nas Diwallwyd'!C13,'Angen Presennol Nas Diwallwyd'!C24)&amp;" aelwydydd o ran angen presennol nas diwallwyd "</f>
        <v xml:space="preserve">5732 aelwydydd o ran angen presennol nas diwallwyd </v>
      </c>
      <c r="D171" s="61"/>
      <c r="E171" s="61"/>
      <c r="F171" s="61"/>
      <c r="G171" s="61"/>
      <c r="J171" s="62"/>
      <c r="K171" s="62"/>
      <c r="L171" s="62"/>
      <c r="M171" s="62"/>
      <c r="N171" s="62"/>
      <c r="O171" s="62"/>
      <c r="P171" s="62"/>
      <c r="R171" s="62"/>
      <c r="S171" s="62"/>
      <c r="T171" s="62"/>
      <c r="U171" s="62"/>
      <c r="V171" s="62"/>
      <c r="W171" s="62"/>
      <c r="X171" s="62"/>
    </row>
    <row r="172" spans="2:24" hidden="1" x14ac:dyDescent="0.25">
      <c r="B172" s="47" t="s">
        <v>321</v>
      </c>
      <c r="C172" s="61" t="str">
        <f>IF(D8="Arall", " amcangyfrifon defnyddwyr "," Ddata Llywodraeth Cymru ")</f>
        <v xml:space="preserve"> Ddata Llywodraeth Cymru </v>
      </c>
      <c r="D172" s="61"/>
      <c r="E172" s="61"/>
      <c r="F172" s="61"/>
      <c r="G172" s="61"/>
      <c r="I172" s="62"/>
      <c r="J172" s="62"/>
      <c r="K172" s="62"/>
      <c r="L172" s="62"/>
      <c r="M172" s="62"/>
      <c r="N172" s="62"/>
      <c r="O172" s="62"/>
      <c r="P172" s="62"/>
      <c r="R172" s="62"/>
      <c r="S172" s="62"/>
      <c r="T172" s="62"/>
      <c r="U172" s="62"/>
      <c r="V172" s="62"/>
      <c r="W172" s="62"/>
      <c r="X172" s="62"/>
    </row>
    <row r="173" spans="2:24" hidden="1" x14ac:dyDescent="0.25">
      <c r="B173" s="47" t="s">
        <v>88</v>
      </c>
      <c r="C173" s="61" t="str">
        <f>IF(D18="Arall", " amcangyfrifon defnyddwyr"," Ddata Cofrestrfa Tir")</f>
        <v xml:space="preserve"> Ddata Cofrestrfa Tir</v>
      </c>
      <c r="D173" s="61"/>
      <c r="E173" s="61"/>
      <c r="F173" s="61"/>
      <c r="G173" s="61"/>
      <c r="I173" s="62"/>
      <c r="J173" s="62"/>
      <c r="K173" s="62"/>
      <c r="L173" s="62"/>
      <c r="M173" s="62"/>
      <c r="N173" s="62"/>
      <c r="O173" s="62"/>
      <c r="P173" s="62"/>
      <c r="R173" s="62"/>
      <c r="S173" s="62"/>
      <c r="T173" s="62"/>
      <c r="U173" s="62"/>
      <c r="V173" s="62"/>
      <c r="W173" s="62"/>
      <c r="X173" s="62"/>
    </row>
    <row r="174" spans="2:24" hidden="1" x14ac:dyDescent="0.25">
      <c r="B174" s="47" t="s">
        <v>55</v>
      </c>
      <c r="C174" s="61" t="str">
        <f>IF(D9="Arall", " amcangyfrifon defnyddwyr"," Ddata Llywodraeth Cymru")</f>
        <v xml:space="preserve"> Ddata Llywodraeth Cymru</v>
      </c>
      <c r="D174" s="61"/>
      <c r="E174" s="61"/>
      <c r="F174" s="61"/>
      <c r="G174" s="61"/>
      <c r="I174" s="62"/>
      <c r="J174" s="62"/>
      <c r="K174" s="62"/>
      <c r="L174" s="62"/>
      <c r="M174" s="62"/>
      <c r="N174" s="62"/>
      <c r="O174" s="62"/>
      <c r="P174" s="62"/>
      <c r="R174" s="62"/>
      <c r="S174" s="62"/>
      <c r="T174" s="62"/>
      <c r="U174" s="62"/>
      <c r="V174" s="62"/>
      <c r="W174" s="62"/>
      <c r="X174" s="62"/>
    </row>
    <row r="175" spans="2:24" hidden="1" x14ac:dyDescent="0.25">
      <c r="B175" s="47" t="s">
        <v>315</v>
      </c>
      <c r="C175" s="385">
        <f>C114</f>
        <v>4.03</v>
      </c>
      <c r="D175" s="61"/>
      <c r="E175" s="61"/>
      <c r="F175" s="61"/>
      <c r="G175" s="61"/>
      <c r="I175" s="62"/>
      <c r="J175" s="62"/>
      <c r="K175" s="62"/>
      <c r="L175" s="62"/>
      <c r="M175" s="62"/>
      <c r="N175" s="62"/>
      <c r="O175" s="62"/>
      <c r="P175" s="62"/>
      <c r="R175" s="62"/>
      <c r="S175" s="62"/>
      <c r="T175" s="62"/>
      <c r="U175" s="62"/>
      <c r="V175" s="62"/>
      <c r="W175" s="62"/>
      <c r="X175" s="62"/>
    </row>
    <row r="176" spans="2:24" hidden="1" x14ac:dyDescent="0.25">
      <c r="B176" s="47" t="s">
        <v>316</v>
      </c>
      <c r="C176" s="385">
        <f>C115</f>
        <v>40</v>
      </c>
      <c r="D176" s="61"/>
      <c r="E176" s="61"/>
      <c r="F176" s="61"/>
      <c r="G176" s="61"/>
      <c r="I176" s="62"/>
      <c r="J176" s="62"/>
      <c r="K176" s="62"/>
      <c r="L176" s="62"/>
      <c r="M176" s="62"/>
      <c r="N176" s="62"/>
      <c r="O176" s="62"/>
      <c r="P176" s="62"/>
      <c r="R176" s="62"/>
      <c r="S176" s="62"/>
      <c r="T176" s="62"/>
      <c r="U176" s="62"/>
      <c r="V176" s="62"/>
      <c r="W176" s="62"/>
      <c r="X176" s="62"/>
    </row>
    <row r="177" spans="2:23" hidden="1" x14ac:dyDescent="0.25">
      <c r="B177" s="47" t="s">
        <v>322</v>
      </c>
      <c r="C177" s="383" t="e">
        <f>C116*100&amp;"% o brynwyr potensial am y tro cyntaf sy'n mynd ymlaen i brynu eiddo. "</f>
        <v>#VALUE!</v>
      </c>
      <c r="D177" s="61"/>
      <c r="E177" s="61"/>
      <c r="F177" s="61"/>
      <c r="G177" s="61"/>
      <c r="I177" s="62"/>
      <c r="J177" s="62"/>
      <c r="K177" s="62"/>
      <c r="L177" s="62"/>
      <c r="M177" s="62"/>
      <c r="N177" s="62"/>
      <c r="O177" s="62"/>
      <c r="P177" s="62"/>
      <c r="R177" s="62"/>
      <c r="S177" s="62"/>
      <c r="T177" s="62"/>
      <c r="U177" s="62"/>
      <c r="V177" s="62"/>
      <c r="W177" s="62"/>
    </row>
    <row r="178" spans="2:23" hidden="1" x14ac:dyDescent="0.25">
      <c r="B178" s="47" t="s">
        <v>355</v>
      </c>
      <c r="C178" s="61" t="str">
        <f>"Gall aelwydydd sy'n gwario "&amp;C108*100&amp;"% o incwm yr aelwyd ar rent preifat canolrifol fforddio rhent preifat,"</f>
        <v>Gall aelwydydd sy'n gwario 30% o incwm yr aelwyd ar rent preifat canolrifol fforddio rhent preifat,</v>
      </c>
      <c r="D178" s="61"/>
      <c r="E178" s="61"/>
      <c r="F178" s="61"/>
      <c r="G178" s="61"/>
      <c r="I178" s="61"/>
    </row>
    <row r="179" spans="2:23" hidden="1" x14ac:dyDescent="0.25">
      <c r="B179" s="47" t="s">
        <v>326</v>
      </c>
      <c r="C179" s="61" t="str">
        <f>"Mae aelwydydd sy'n gwario "&amp;C117*100&amp;"% o incwm yr aelwyd ar rent preifat 30 canradd yn addas ar gyfer dai cymdeithasol."</f>
        <v>Mae aelwydydd sy'n gwario 35% o incwm yr aelwyd ar rent preifat 30 canradd yn addas ar gyfer dai cymdeithasol.</v>
      </c>
      <c r="D179" s="61"/>
      <c r="E179" s="61"/>
      <c r="F179" s="61"/>
      <c r="G179" s="61"/>
      <c r="I179" s="61"/>
    </row>
    <row r="180" spans="2:23" hidden="1" x14ac:dyDescent="0.25">
      <c r="B180" s="47" t="s">
        <v>327</v>
      </c>
      <c r="C180" s="61" t="str">
        <f>" a fydd yn cymryd "&amp;'Angen Presennol Nas Diwallwyd'!C29&amp;" mlynedd i'w diwallu. "</f>
        <v xml:space="preserve"> a fydd yn cymryd 5 mlynedd i'w diwallu. </v>
      </c>
      <c r="D180" s="61"/>
      <c r="E180" s="61"/>
      <c r="F180" s="61"/>
      <c r="G180" s="61"/>
      <c r="I180" s="61"/>
    </row>
    <row r="181" spans="2:23" hidden="1" x14ac:dyDescent="0.25">
      <c r="B181" s="47" t="s">
        <v>80</v>
      </c>
      <c r="C181" s="61" t="str">
        <f>". Mae'r newid blynyddol i incwm canolrifol yr aelwyd yn seiliedig ar "&amp;IF(D14="Arall","amcangyfrifon defnyddwyr","amcangyfrifon wedi'u rhagosod")</f>
        <v>. Mae'r newid blynyddol i incwm canolrifol yr aelwyd yn seiliedig ar amcangyfrifon wedi'u rhagosod</v>
      </c>
      <c r="D181" s="61"/>
      <c r="E181" s="61"/>
      <c r="F181" s="61"/>
      <c r="G181" s="61"/>
      <c r="I181" s="61"/>
    </row>
    <row r="182" spans="2:23" hidden="1" x14ac:dyDescent="0.25">
      <c r="B182" s="47" t="s">
        <v>86</v>
      </c>
      <c r="C182" s="61" t="str">
        <f>", mae'r newid blynyddol i ddosbarthiad incwm yr aelwyd yn seiliedig ar "&amp;IF(D15="Arall","amcangyfrifon defnyddwyr","amcangyfrifon wedi'u rhagosod")</f>
        <v>, mae'r newid blynyddol i ddosbarthiad incwm yr aelwyd yn seiliedig ar amcangyfrifon wedi'u rhagosod</v>
      </c>
      <c r="D182" s="61"/>
      <c r="E182" s="61"/>
      <c r="F182" s="61"/>
      <c r="G182" s="61"/>
      <c r="I182" s="61"/>
    </row>
    <row r="183" spans="2:23" hidden="1" x14ac:dyDescent="0.25">
      <c r="B183" s="47" t="s">
        <v>320</v>
      </c>
      <c r="C183" s="61" t="str">
        <f>", mae'r newid blynyddol i brisiau tai yn seiliedig ar "&amp;IF(D25="Arall","amcangyfrifon defnyddwyr","amcangyfrifon wedi'u rhagosod")</f>
        <v>, mae'r newid blynyddol i brisiau tai yn seiliedig ar amcangyfrifon wedi'u rhagosod</v>
      </c>
      <c r="D183" s="61"/>
      <c r="E183" s="61"/>
      <c r="F183" s="61"/>
      <c r="G183" s="61"/>
      <c r="I183" s="61"/>
    </row>
    <row r="184" spans="2:23" hidden="1" x14ac:dyDescent="0.25">
      <c r="B184" s="47" t="s">
        <v>117</v>
      </c>
      <c r="C184" s="61" t="str">
        <f>" ac mae'r newid blynyddol i brisiau rhenti yn seiliedig ar "&amp;IF(D16="Arall","amcangyfrifon y defnyddwyr","amcangyfrifon wedi'u rhagosod.")</f>
        <v xml:space="preserve"> ac mae'r newid blynyddol i brisiau rhenti yn seiliedig ar amcangyfrifon wedi'u rhagosod.</v>
      </c>
      <c r="D184" s="61"/>
      <c r="E184" s="61"/>
      <c r="F184" s="61"/>
      <c r="G184" s="61"/>
      <c r="I184" s="61"/>
    </row>
    <row r="185" spans="2:23" hidden="1" x14ac:dyDescent="0.25">
      <c r="C185" s="61"/>
      <c r="D185" s="61"/>
      <c r="E185" s="61"/>
      <c r="F185" s="61"/>
      <c r="G185" s="61"/>
      <c r="I185" s="61"/>
    </row>
    <row r="186" spans="2:23" s="58" customFormat="1" ht="13" hidden="1" x14ac:dyDescent="0.3">
      <c r="B186" s="387" t="s">
        <v>308</v>
      </c>
      <c r="C186" s="383"/>
      <c r="D186" s="383"/>
      <c r="E186" s="383"/>
      <c r="F186" s="383"/>
      <c r="G186" s="383"/>
      <c r="I186" s="383"/>
    </row>
    <row r="187" spans="2:23" s="58" customFormat="1" hidden="1" x14ac:dyDescent="0.25">
      <c r="B187" s="388" t="str">
        <f>C169&amp;E169&amp;C170&amp;F169&amp;C171&amp;C180&amp;H169&amp;C172&amp;I169&amp;C174&amp;C181&amp;C182&amp;C184</f>
        <v>Mae'r ffigurau isod yn rhannu yr amcangyfrifon o'r angen am dai yn 2 deiliadaeth ac maent yn seiliedig ar y rhagdybiaethau canlynol. Mae amcangyfrifon sylfaenol yr unedau tai ychwanegol wedi'u seilio ar  amcanestyniadau aelwydydd gan Llywodraeth Cymru sy'n seiliedig ar 2018 (Prif Amcanestyniadau), ac amcangyfrif o 5732 aelwydydd o ran angen presennol nas diwallwyd  a fydd yn cymryd 5 mlynedd i'w diwallu. Mae data ar incwm yn seiliedig ar  Ddata Llywodraeth Cymru ac mae data ar renti preifat yn seiliedig ar  Ddata Llywodraeth Cymru. Mae'r newid blynyddol i incwm canolrifol yr aelwyd yn seiliedig ar amcangyfrifon wedi'u rhagosod, mae'r newid blynyddol i ddosbarthiad incwm yr aelwyd yn seiliedig ar amcangyfrifon wedi'u rhagosod ac mae'r newid blynyddol i brisiau rhenti yn seiliedig ar amcangyfrifon wedi'u rhagosod.</v>
      </c>
      <c r="C187" s="383"/>
      <c r="D187" s="383"/>
      <c r="E187" s="383"/>
      <c r="F187" s="383"/>
      <c r="G187" s="383"/>
      <c r="I187" s="383"/>
    </row>
    <row r="188" spans="2:23" s="58" customFormat="1" ht="13" hidden="1" x14ac:dyDescent="0.3">
      <c r="B188" s="387" t="str">
        <f>IF(C133=1,"Estimates will not appear below until the above table is complete.",B187)</f>
        <v>Mae'r ffigurau isod yn rhannu yr amcangyfrifon o'r angen am dai yn 2 deiliadaeth ac maent yn seiliedig ar y rhagdybiaethau canlynol. Mae amcangyfrifon sylfaenol yr unedau tai ychwanegol wedi'u seilio ar  amcanestyniadau aelwydydd gan Llywodraeth Cymru sy'n seiliedig ar 2018 (Prif Amcanestyniadau), ac amcangyfrif o 5732 aelwydydd o ran angen presennol nas diwallwyd  a fydd yn cymryd 5 mlynedd i'w diwallu. Mae data ar incwm yn seiliedig ar  Ddata Llywodraeth Cymru ac mae data ar renti preifat yn seiliedig ar  Ddata Llywodraeth Cymru. Mae'r newid blynyddol i incwm canolrifol yr aelwyd yn seiliedig ar amcangyfrifon wedi'u rhagosod, mae'r newid blynyddol i ddosbarthiad incwm yr aelwyd yn seiliedig ar amcangyfrifon wedi'u rhagosod ac mae'r newid blynyddol i brisiau rhenti yn seiliedig ar amcangyfrifon wedi'u rhagosod.</v>
      </c>
      <c r="C188" s="383"/>
      <c r="D188" s="383"/>
      <c r="E188" s="383"/>
      <c r="F188" s="383"/>
      <c r="G188" s="383"/>
      <c r="I188" s="383"/>
    </row>
    <row r="189" spans="2:23" s="58" customFormat="1" ht="13" hidden="1" x14ac:dyDescent="0.3">
      <c r="B189" s="387"/>
      <c r="C189" s="383"/>
      <c r="D189" s="383"/>
      <c r="E189" s="383"/>
      <c r="F189" s="383"/>
      <c r="G189" s="383"/>
      <c r="I189" s="383"/>
    </row>
    <row r="190" spans="2:23" s="58" customFormat="1" ht="13" hidden="1" x14ac:dyDescent="0.3">
      <c r="B190" s="387" t="s">
        <v>317</v>
      </c>
      <c r="C190" s="383"/>
      <c r="D190" s="383"/>
      <c r="E190" s="383"/>
      <c r="F190" s="383"/>
      <c r="G190" s="383"/>
      <c r="I190" s="383"/>
    </row>
    <row r="191" spans="2:23" s="58" customFormat="1" hidden="1" x14ac:dyDescent="0.25">
      <c r="B191" s="58" t="e">
        <f>D169&amp;G169&amp;C173&amp;C183&amp;J169&amp;C179</f>
        <v>#VALUE!</v>
      </c>
      <c r="C191" s="383"/>
      <c r="D191" s="383"/>
      <c r="E191" s="383"/>
      <c r="F191" s="383"/>
      <c r="G191" s="383"/>
      <c r="I191" s="383"/>
    </row>
    <row r="192" spans="2:23" s="58" customFormat="1" ht="13" hidden="1" x14ac:dyDescent="0.3">
      <c r="B192" s="387" t="str">
        <f>IF(C145=1,"Ni fydd amcangyfrifon wedi'u rhannu'n 4 deiliadaeth yn ymddangos hyd nes bod y tabl uchod wedi'i gwblhau.",B191)</f>
        <v>Ni fydd amcangyfrifon wedi'u rhannu'n 4 deiliadaeth yn ymddangos hyd nes bod y tabl uchod wedi'i gwblhau.</v>
      </c>
      <c r="C192" s="383"/>
      <c r="D192" s="383"/>
      <c r="E192" s="383"/>
      <c r="F192" s="383"/>
      <c r="G192" s="383"/>
      <c r="I192" s="383"/>
    </row>
    <row r="193" spans="2:9" s="58" customFormat="1" hidden="1" x14ac:dyDescent="0.25">
      <c r="C193" s="383"/>
      <c r="D193" s="383"/>
      <c r="E193" s="383"/>
      <c r="F193" s="383"/>
      <c r="G193" s="383"/>
      <c r="I193" s="383"/>
    </row>
    <row r="194" spans="2:9" hidden="1" x14ac:dyDescent="0.25">
      <c r="B194" s="47" t="s">
        <v>329</v>
      </c>
      <c r="I194" s="61"/>
    </row>
    <row r="195" spans="2:9" hidden="1" x14ac:dyDescent="0.25">
      <c r="B195" s="47" t="s">
        <v>331</v>
      </c>
      <c r="I195" s="61"/>
    </row>
    <row r="196" spans="2:9" hidden="1" x14ac:dyDescent="0.25">
      <c r="B196" s="47" t="s">
        <v>391</v>
      </c>
      <c r="I196" s="61"/>
    </row>
    <row r="197" spans="2:9" hidden="1" x14ac:dyDescent="0.25">
      <c r="B197" s="47" t="s">
        <v>332</v>
      </c>
      <c r="I197" s="61"/>
    </row>
    <row r="198" spans="2:9" hidden="1" x14ac:dyDescent="0.25">
      <c r="B198" s="386" t="str">
        <f>"'Amcanestyniadau Aelwydydd'"</f>
        <v>'Amcanestyniadau Aelwydydd'</v>
      </c>
      <c r="I198" s="61"/>
    </row>
    <row r="199" spans="2:9" hidden="1" x14ac:dyDescent="0.25">
      <c r="B199" s="58" t="str">
        <f>"'Angen Presennol Nas Diwallwyd'"</f>
        <v>'Angen Presennol Nas Diwallwyd'</v>
      </c>
      <c r="I199" s="61"/>
    </row>
    <row r="200" spans="2:9" hidden="1" x14ac:dyDescent="0.25">
      <c r="B200" s="58" t="str">
        <f>"'Incwm (Cymru)'"</f>
        <v>'Incwm (Cymru)'</v>
      </c>
      <c r="I200" s="61"/>
    </row>
    <row r="201" spans="2:9" hidden="1" x14ac:dyDescent="0.25">
      <c r="B201" s="58" t="str">
        <f>"'Prisiau Tai (Cymru)'"</f>
        <v>'Prisiau Tai (Cymru)'</v>
      </c>
      <c r="I201" s="61"/>
    </row>
    <row r="202" spans="2:9" hidden="1" x14ac:dyDescent="0.25">
      <c r="B202" s="58" t="str">
        <f>"'Prisiau Rhenti'"</f>
        <v>'Prisiau Rhenti'</v>
      </c>
      <c r="I202" s="61"/>
    </row>
    <row r="203" spans="2:9" hidden="1" x14ac:dyDescent="0.25">
      <c r="B203" s="58" t="str">
        <f>"'Rhagdybiaeth Blynyddol'"</f>
        <v>'Rhagdybiaeth Blynyddol'</v>
      </c>
      <c r="I203" s="61"/>
    </row>
    <row r="204" spans="2:9" hidden="1" x14ac:dyDescent="0.25">
      <c r="B204" s="58" t="str">
        <f>"'Rhagolygon y Dyfodol'"</f>
        <v>'Rhagolygon y Dyfodol'</v>
      </c>
      <c r="I204" s="61"/>
    </row>
    <row r="205" spans="2:9" x14ac:dyDescent="0.25">
      <c r="B205" s="58"/>
      <c r="I205" s="61"/>
    </row>
    <row r="206" spans="2:9" x14ac:dyDescent="0.25">
      <c r="I206" s="61"/>
    </row>
    <row r="207" spans="2:9" x14ac:dyDescent="0.25">
      <c r="I207" s="61"/>
    </row>
  </sheetData>
  <mergeCells count="34">
    <mergeCell ref="F17:I17"/>
    <mergeCell ref="F21:I21"/>
    <mergeCell ref="F20:I20"/>
    <mergeCell ref="F16:I16"/>
    <mergeCell ref="I103:J103"/>
    <mergeCell ref="F18:I18"/>
    <mergeCell ref="B1:C1"/>
    <mergeCell ref="F4:I4"/>
    <mergeCell ref="B5:B16"/>
    <mergeCell ref="F5:I5"/>
    <mergeCell ref="F6:I6"/>
    <mergeCell ref="F7:I7"/>
    <mergeCell ref="F8:I8"/>
    <mergeCell ref="F9:I9"/>
    <mergeCell ref="F11:I11"/>
    <mergeCell ref="F12:I12"/>
    <mergeCell ref="F14:I14"/>
    <mergeCell ref="F15:I15"/>
    <mergeCell ref="B17:B25"/>
    <mergeCell ref="B2:I2"/>
    <mergeCell ref="I162:J162"/>
    <mergeCell ref="I61:J61"/>
    <mergeCell ref="I99:J99"/>
    <mergeCell ref="B52:J53"/>
    <mergeCell ref="F22:I22"/>
    <mergeCell ref="I104:J104"/>
    <mergeCell ref="F23:I23"/>
    <mergeCell ref="F25:I25"/>
    <mergeCell ref="B28:J32"/>
    <mergeCell ref="I62:J62"/>
    <mergeCell ref="I63:J63"/>
    <mergeCell ref="B66:J69"/>
    <mergeCell ref="I101:J101"/>
    <mergeCell ref="I102:J102"/>
  </mergeCells>
  <conditionalFormatting sqref="E26:E27">
    <cfRule type="expression" dxfId="17" priority="10">
      <formula>E26="Y"</formula>
    </cfRule>
  </conditionalFormatting>
  <conditionalFormatting sqref="E26:E27">
    <cfRule type="expression" dxfId="16" priority="9">
      <formula>E26="N"</formula>
    </cfRule>
  </conditionalFormatting>
  <conditionalFormatting sqref="E6:E9 E11:E12 E14:E16 E25 E18 E20:E23">
    <cfRule type="expression" dxfId="15" priority="4">
      <formula>E6="Y"</formula>
    </cfRule>
  </conditionalFormatting>
  <conditionalFormatting sqref="E6:E12 E14:E16 E18 E20:E25">
    <cfRule type="expression" dxfId="14" priority="3">
      <formula>E6="N"</formula>
    </cfRule>
  </conditionalFormatting>
  <conditionalFormatting sqref="E13">
    <cfRule type="expression" dxfId="13" priority="2">
      <formula>E13="N"</formula>
    </cfRule>
  </conditionalFormatting>
  <conditionalFormatting sqref="E19">
    <cfRule type="expression" dxfId="12" priority="1">
      <formula>E19="N"</formula>
    </cfRule>
  </conditionalFormatting>
  <pageMargins left="0.7" right="0.7" top="0.75" bottom="0.75" header="0.3" footer="0.3"/>
  <pageSetup paperSize="9" orientation="portrait" horizontalDpi="300" verticalDpi="300" r:id="rId1"/>
  <ignoredErrors>
    <ignoredError sqref="D6:D25"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sheetPr>
  <dimension ref="A1:X207"/>
  <sheetViews>
    <sheetView showGridLines="0" zoomScale="50" zoomScaleNormal="50" workbookViewId="0"/>
  </sheetViews>
  <sheetFormatPr defaultColWidth="9.1796875" defaultRowHeight="12.5" x14ac:dyDescent="0.25"/>
  <cols>
    <col min="1" max="1" width="4.54296875" style="47" customWidth="1"/>
    <col min="2" max="2" width="30.453125" style="47" customWidth="1"/>
    <col min="3" max="3" width="46.81640625" style="47" customWidth="1"/>
    <col min="4" max="4" width="20.54296875" style="47" customWidth="1"/>
    <col min="5" max="5" width="18.453125" style="47" customWidth="1"/>
    <col min="6" max="6" width="15.54296875" style="47" customWidth="1"/>
    <col min="7" max="7" width="12.81640625" style="47" customWidth="1"/>
    <col min="8" max="9" width="13" style="47" customWidth="1"/>
    <col min="10" max="10" width="13" style="58" customWidth="1"/>
    <col min="11" max="14" width="13" style="47" customWidth="1"/>
    <col min="15" max="16384" width="9.1796875" style="47"/>
  </cols>
  <sheetData>
    <row r="1" spans="1:11" ht="26.25" customHeight="1" x14ac:dyDescent="0.25">
      <c r="B1" s="492" t="s">
        <v>108</v>
      </c>
      <c r="C1" s="492"/>
      <c r="D1" s="73" t="str">
        <f>'Cyfrifiadau - De-orllewin'!B1</f>
        <v>De-orllewin Cymru</v>
      </c>
    </row>
    <row r="2" spans="1:11" ht="27" customHeight="1" x14ac:dyDescent="0.25">
      <c r="B2" s="519" t="s">
        <v>261</v>
      </c>
      <c r="C2" s="520"/>
      <c r="D2" s="520"/>
      <c r="E2" s="520"/>
      <c r="F2" s="520"/>
      <c r="G2" s="520"/>
      <c r="H2" s="520"/>
      <c r="I2" s="521"/>
    </row>
    <row r="4" spans="1:11" ht="30.75" customHeight="1" x14ac:dyDescent="0.35">
      <c r="C4" s="63" t="s">
        <v>44</v>
      </c>
      <c r="D4" s="72" t="s">
        <v>109</v>
      </c>
      <c r="E4" s="239" t="s">
        <v>110</v>
      </c>
      <c r="F4" s="502" t="s">
        <v>208</v>
      </c>
      <c r="G4" s="502"/>
      <c r="H4" s="502"/>
      <c r="I4" s="503"/>
      <c r="K4" s="44" t="s">
        <v>271</v>
      </c>
    </row>
    <row r="5" spans="1:11" ht="24.75" customHeight="1" x14ac:dyDescent="0.25">
      <c r="A5" s="58"/>
      <c r="B5" s="508" t="s">
        <v>348</v>
      </c>
      <c r="C5" s="96" t="s">
        <v>50</v>
      </c>
      <c r="D5" s="97"/>
      <c r="E5" s="98"/>
      <c r="F5" s="504"/>
      <c r="G5" s="504"/>
      <c r="H5" s="504"/>
      <c r="I5" s="505"/>
    </row>
    <row r="6" spans="1:11" ht="15" customHeight="1" x14ac:dyDescent="0.25">
      <c r="A6" s="371"/>
      <c r="B6" s="509"/>
      <c r="C6" s="99" t="s">
        <v>112</v>
      </c>
      <c r="D6" s="187" t="str">
        <f>'Rhaniad y Ddeiliadaeth (Cymru)'!D6</f>
        <v>Prif Amcanestyniadau</v>
      </c>
      <c r="E6" s="100" t="str">
        <f>IF(OR(F6=$B$195,F6=$B$196),"Y","N")</f>
        <v>Y</v>
      </c>
      <c r="F6" s="506" t="str">
        <f>IF(D6="",B194,IF(D6="Other",IF('Amcanestyniadau Aelwydydd'!J19=0,B197&amp;B198,B196),B195))</f>
        <v>Data rhagosodedig a ddefnyddiwyd</v>
      </c>
      <c r="G6" s="506"/>
      <c r="H6" s="506"/>
      <c r="I6" s="496"/>
    </row>
    <row r="7" spans="1:11" ht="15" customHeight="1" x14ac:dyDescent="0.25">
      <c r="A7" s="371"/>
      <c r="B7" s="509"/>
      <c r="C7" s="99" t="s">
        <v>114</v>
      </c>
      <c r="D7" s="187" t="str">
        <f>'Rhaniad y Ddeiliadaeth (Cymru)'!D7</f>
        <v>Amcangyfrifon LlC</v>
      </c>
      <c r="E7" s="100" t="str">
        <f>IF(OR(F7=$B$195,F7=$B$196),"Y","N")</f>
        <v>Y</v>
      </c>
      <c r="F7" s="496" t="str">
        <f>IF(D7="",B194,IF(D7="Other",IF(ISBLANK('Angen Presennol Nas Diwallwyd'!C21),B197&amp;B199,B196),B195))</f>
        <v>Data rhagosodedig a ddefnyddiwyd</v>
      </c>
      <c r="G7" s="496"/>
      <c r="H7" s="496"/>
      <c r="I7" s="496"/>
    </row>
    <row r="8" spans="1:11" ht="15" customHeight="1" x14ac:dyDescent="0.25">
      <c r="A8" s="371"/>
      <c r="B8" s="509"/>
      <c r="C8" s="99" t="s">
        <v>53</v>
      </c>
      <c r="D8" s="187" t="str">
        <f>'Rhaniad y Ddeiliadaeth (Cymru)'!D8</f>
        <v>Amcangyfrifon LlC</v>
      </c>
      <c r="E8" s="100" t="str">
        <f>IF(OR(F8=$B$195,F8=$B$196),"Y","N")</f>
        <v>Y</v>
      </c>
      <c r="F8" s="496" t="str">
        <f>IF(D8="",B194,IF(D8="Arall",IF('Incwm (Gogledd)'!O85=0,B196,B197&amp;B200),B195))</f>
        <v>Data rhagosodedig a ddefnyddiwyd</v>
      </c>
      <c r="G8" s="496"/>
      <c r="H8" s="496"/>
      <c r="I8" s="496"/>
    </row>
    <row r="9" spans="1:11" ht="15" customHeight="1" x14ac:dyDescent="0.25">
      <c r="A9" s="371"/>
      <c r="B9" s="509"/>
      <c r="C9" s="99" t="s">
        <v>54</v>
      </c>
      <c r="D9" s="187" t="str">
        <f>'Rhaniad y Ddeiliadaeth (Cymru)'!D9</f>
        <v>Prisiau Rhenti</v>
      </c>
      <c r="E9" s="100" t="str">
        <f>IF(OR(F9=$B$195,F9=$B$196),"Y","N")</f>
        <v>Y</v>
      </c>
      <c r="F9" s="506" t="str">
        <f>IF(D9="",B194,IF(D9="Other",IF(OR(ISBLANK('Prisiau Rhenti'!C20),ISBLANK('Prisiau Rhenti'!D20)),B197&amp;B202,B196),B195))</f>
        <v>Data rhagosodedig a ddefnyddiwyd</v>
      </c>
      <c r="G9" s="506"/>
      <c r="H9" s="506"/>
      <c r="I9" s="496"/>
    </row>
    <row r="10" spans="1:11" ht="24.75" customHeight="1" x14ac:dyDescent="0.25">
      <c r="A10" s="371"/>
      <c r="B10" s="509"/>
      <c r="C10" s="96" t="s">
        <v>74</v>
      </c>
      <c r="D10" s="97"/>
      <c r="E10" s="101"/>
      <c r="F10" s="97"/>
      <c r="G10" s="102"/>
      <c r="H10" s="97"/>
      <c r="I10" s="103"/>
    </row>
    <row r="11" spans="1:11" ht="13.5" customHeight="1" x14ac:dyDescent="0.25">
      <c r="A11" s="371"/>
      <c r="B11" s="509"/>
      <c r="C11" s="104" t="s">
        <v>70</v>
      </c>
      <c r="D11" s="188" t="str">
        <f>'Rhaniad y Ddeiliadaeth (Cymru)'!D11</f>
        <v>Wedi'i ragosod</v>
      </c>
      <c r="E11" s="100" t="str">
        <f>IF(OR(F11=$B$195,F11=$B$196),"Y","N")</f>
        <v>Y</v>
      </c>
      <c r="F11" s="496" t="str">
        <f>'Rhaniad y Ddeiliadaeth (Cymru)'!F11:I11</f>
        <v>Data rhagosodedig a ddefnyddiwyd</v>
      </c>
      <c r="G11" s="496"/>
      <c r="H11" s="496"/>
      <c r="I11" s="496"/>
    </row>
    <row r="12" spans="1:11" ht="15" customHeight="1" x14ac:dyDescent="0.25">
      <c r="A12" s="371"/>
      <c r="B12" s="509"/>
      <c r="C12" s="104" t="s">
        <v>115</v>
      </c>
      <c r="D12" s="188" t="str">
        <f>'Rhaniad y Ddeiliadaeth (Cymru)'!D12</f>
        <v>Wedi'i ragosod</v>
      </c>
      <c r="E12" s="100" t="str">
        <f>IF(OR(F12=$B$195,F12=$B$196),"Y","N")</f>
        <v>Y</v>
      </c>
      <c r="F12" s="506" t="str">
        <f>'Rhaniad y Ddeiliadaeth (Cymru)'!F12:I12</f>
        <v>Data rhagosodedig a ddefnyddiwyd</v>
      </c>
      <c r="G12" s="506"/>
      <c r="H12" s="506"/>
      <c r="I12" s="496"/>
    </row>
    <row r="13" spans="1:11" ht="24.75" customHeight="1" x14ac:dyDescent="0.25">
      <c r="A13" s="371"/>
      <c r="B13" s="509"/>
      <c r="C13" s="96" t="s">
        <v>118</v>
      </c>
      <c r="D13" s="97"/>
      <c r="E13" s="101"/>
      <c r="F13" s="97"/>
      <c r="G13" s="102"/>
      <c r="H13" s="97"/>
      <c r="I13" s="103"/>
    </row>
    <row r="14" spans="1:11" ht="29.25" customHeight="1" x14ac:dyDescent="0.25">
      <c r="A14" s="371"/>
      <c r="B14" s="509"/>
      <c r="C14" s="105" t="s">
        <v>80</v>
      </c>
      <c r="D14" s="188" t="str">
        <f>'Rhaniad y Ddeiliadaeth (Cymru)'!D14</f>
        <v>Wedi'i ragosod</v>
      </c>
      <c r="E14" s="100" t="str">
        <f>IF(OR(F14=$B$195,F14=$B$196),"Y","N")</f>
        <v>Y</v>
      </c>
      <c r="F14" s="506" t="str">
        <f>'Rhaniad y Ddeiliadaeth (Cymru)'!F14:I14</f>
        <v>Data rhagosodedig a ddefnyddiwyd</v>
      </c>
      <c r="G14" s="506"/>
      <c r="H14" s="506"/>
      <c r="I14" s="496"/>
    </row>
    <row r="15" spans="1:11" ht="29.25" customHeight="1" x14ac:dyDescent="0.25">
      <c r="A15" s="371"/>
      <c r="B15" s="509"/>
      <c r="C15" s="105" t="s">
        <v>116</v>
      </c>
      <c r="D15" s="188" t="str">
        <f>'Rhaniad y Ddeiliadaeth (Cymru)'!D15</f>
        <v>Mwy o Anghydraddoldeb</v>
      </c>
      <c r="E15" s="100" t="str">
        <f>IF(OR(F15=$B$195,F15=$B$196),"Y","N")</f>
        <v>Y</v>
      </c>
      <c r="F15" s="506" t="str">
        <f>'Rhaniad y Ddeiliadaeth (Cymru)'!F15:I15</f>
        <v>Data rhagosodedig a ddefnyddiwyd</v>
      </c>
      <c r="G15" s="506"/>
      <c r="H15" s="506"/>
      <c r="I15" s="496"/>
    </row>
    <row r="16" spans="1:11" ht="17.25" customHeight="1" x14ac:dyDescent="0.25">
      <c r="A16" s="371"/>
      <c r="B16" s="510"/>
      <c r="C16" s="106" t="s">
        <v>117</v>
      </c>
      <c r="D16" s="188" t="str">
        <f>'Rhaniad y Ddeiliadaeth (Cymru)'!D16</f>
        <v>Wedi'i ragosod</v>
      </c>
      <c r="E16" s="107" t="str">
        <f>IF(OR(F16=$B$195,F16=$B$196),"Y","N")</f>
        <v>Y</v>
      </c>
      <c r="F16" s="506" t="str">
        <f>'Rhaniad y Ddeiliadaeth (Cymru)'!F16:I16</f>
        <v>Data rhagosodedig a ddefnyddiwyd</v>
      </c>
      <c r="G16" s="506"/>
      <c r="H16" s="506"/>
      <c r="I16" s="496"/>
    </row>
    <row r="17" spans="1:11" ht="24.75" customHeight="1" x14ac:dyDescent="0.25">
      <c r="A17" s="371"/>
      <c r="B17" s="511" t="s">
        <v>349</v>
      </c>
      <c r="C17" s="77" t="s">
        <v>87</v>
      </c>
      <c r="D17" s="322"/>
      <c r="E17" s="92"/>
      <c r="F17" s="514"/>
      <c r="G17" s="514"/>
      <c r="H17" s="514"/>
      <c r="I17" s="515"/>
    </row>
    <row r="18" spans="1:11" ht="31.5" customHeight="1" x14ac:dyDescent="0.25">
      <c r="A18" s="371"/>
      <c r="B18" s="512"/>
      <c r="C18" s="65" t="s">
        <v>88</v>
      </c>
      <c r="D18" s="188" t="str">
        <f>'Rhaniad y Ddeiliadaeth (Cymru)'!D18</f>
        <v>Data Cofrestrfa Tir</v>
      </c>
      <c r="E18" s="91" t="str">
        <f>IF(OR(F18=$B$195,F18=$B$196),"Y","N")</f>
        <v>Y</v>
      </c>
      <c r="F18" s="499" t="str">
        <f>IF(D18="",B194,IF(D18="Other",IF('Prisiau Tai (De-orllewin)'!O85=1,B197&amp;B201,B196),B195))</f>
        <v>Data rhagosodedig a ddefnyddiwyd</v>
      </c>
      <c r="G18" s="499"/>
      <c r="H18" s="499"/>
      <c r="I18" s="499"/>
    </row>
    <row r="19" spans="1:11" ht="26" customHeight="1" x14ac:dyDescent="0.25">
      <c r="A19" s="371"/>
      <c r="B19" s="512"/>
      <c r="C19" s="64" t="s">
        <v>91</v>
      </c>
      <c r="D19" s="68"/>
      <c r="E19" s="93"/>
      <c r="F19" s="68"/>
      <c r="G19" s="69"/>
      <c r="H19" s="68"/>
      <c r="I19" s="70"/>
    </row>
    <row r="20" spans="1:11" ht="13.5" customHeight="1" x14ac:dyDescent="0.25">
      <c r="A20" s="371"/>
      <c r="B20" s="512"/>
      <c r="C20" s="66" t="s">
        <v>92</v>
      </c>
      <c r="D20" s="188" t="str">
        <f>'Rhaniad y Ddeiliadaeth (Cymru)'!D20</f>
        <v>Wedi'i ragosod</v>
      </c>
      <c r="E20" s="91" t="str">
        <f>IF(OR(F20=$B$195,F20=$B$196),"Y","N")</f>
        <v>Y</v>
      </c>
      <c r="F20" s="499" t="str">
        <f>'Rhaniad y Ddeiliadaeth (Cymru)'!F20:I20</f>
        <v>Data rhagosodedig a ddefnyddiwyd</v>
      </c>
      <c r="G20" s="499"/>
      <c r="H20" s="499"/>
      <c r="I20" s="499"/>
    </row>
    <row r="21" spans="1:11" ht="29" customHeight="1" x14ac:dyDescent="0.25">
      <c r="A21" s="371"/>
      <c r="B21" s="512"/>
      <c r="C21" s="90" t="s">
        <v>346</v>
      </c>
      <c r="D21" s="188">
        <f>'Rhaniad y Ddeiliadaeth (Cymru)'!D21</f>
        <v>40</v>
      </c>
      <c r="E21" s="91" t="str">
        <f>IF(OR(F21=$B$195,F21=$B$196),"Y","N")</f>
        <v>Y</v>
      </c>
      <c r="F21" s="499" t="str">
        <f>'Rhaniad y Ddeiliadaeth (Cymru)'!F21:I21</f>
        <v>Data rhagosodedig a ddefnyddiwyd</v>
      </c>
      <c r="G21" s="499"/>
      <c r="H21" s="499"/>
      <c r="I21" s="499"/>
    </row>
    <row r="22" spans="1:11" ht="28.5" customHeight="1" x14ac:dyDescent="0.25">
      <c r="A22" s="371"/>
      <c r="B22" s="512"/>
      <c r="C22" s="90" t="s">
        <v>94</v>
      </c>
      <c r="D22" s="188" t="str">
        <f>'Rhaniad y Ddeiliadaeth (Cymru)'!D22</f>
        <v>Gwerth defnyddiwr (nid oes gwerth wedi'i ragosod)</v>
      </c>
      <c r="E22" s="91" t="str">
        <f>IF(OR(F22=$B$195,F22=$B$196),"Y","N")</f>
        <v>N</v>
      </c>
      <c r="F22" s="499" t="str">
        <f>'Rhaniad y Ddeiliadaeth (Cymru)'!F22:I22</f>
        <v>Cofnodwch ddata defnyddwyr ar y daflen:'Rhagdybiaeth Blynyddol'</v>
      </c>
      <c r="G22" s="499"/>
      <c r="H22" s="499"/>
      <c r="I22" s="499"/>
    </row>
    <row r="23" spans="1:11" ht="15" customHeight="1" x14ac:dyDescent="0.25">
      <c r="A23" s="371"/>
      <c r="B23" s="512"/>
      <c r="C23" s="66" t="s">
        <v>95</v>
      </c>
      <c r="D23" s="188" t="str">
        <f>'Rhaniad y Ddeiliadaeth (Cymru)'!D23</f>
        <v>Wedi'i ragosod</v>
      </c>
      <c r="E23" s="91" t="str">
        <f>IF(OR(F23=$B$195,F23=$B$196),"Y","N")</f>
        <v>Y</v>
      </c>
      <c r="F23" s="499" t="str">
        <f>'Rhaniad y Ddeiliadaeth (Cymru)'!F23:I23</f>
        <v>Data rhagosodedig a ddefnyddiwyd</v>
      </c>
      <c r="G23" s="499"/>
      <c r="H23" s="499"/>
      <c r="I23" s="499"/>
    </row>
    <row r="24" spans="1:11" ht="30" customHeight="1" x14ac:dyDescent="0.25">
      <c r="A24" s="371"/>
      <c r="B24" s="512"/>
      <c r="C24" s="64" t="s">
        <v>107</v>
      </c>
      <c r="D24" s="68"/>
      <c r="E24" s="93"/>
      <c r="F24" s="68"/>
      <c r="G24" s="69"/>
      <c r="H24" s="68"/>
      <c r="I24" s="70"/>
    </row>
    <row r="25" spans="1:11" ht="50" customHeight="1" x14ac:dyDescent="0.25">
      <c r="A25" s="371"/>
      <c r="B25" s="513"/>
      <c r="C25" s="67" t="s">
        <v>119</v>
      </c>
      <c r="D25" s="189" t="str">
        <f>'Rhaniad y Ddeiliadaeth (Cymru)'!D25</f>
        <v>Wedi'i ragosod</v>
      </c>
      <c r="E25" s="94" t="str">
        <f>IF(OR(F25=$B$195,F25=$B$196),"Y","N")</f>
        <v>Y</v>
      </c>
      <c r="F25" s="494" t="str">
        <f>'Rhaniad y Ddeiliadaeth (Cymru)'!F25:I25</f>
        <v>Data rhagosodedig a ddefnyddiwyd</v>
      </c>
      <c r="G25" s="494"/>
      <c r="H25" s="494"/>
      <c r="I25" s="494"/>
    </row>
    <row r="26" spans="1:11" ht="15" customHeight="1" x14ac:dyDescent="0.25">
      <c r="C26" s="49"/>
      <c r="D26" s="50"/>
      <c r="E26" s="48"/>
      <c r="F26" s="51"/>
      <c r="G26" s="51"/>
      <c r="H26" s="51"/>
      <c r="I26" s="51"/>
    </row>
    <row r="27" spans="1:11" s="58" customFormat="1" ht="15" customHeight="1" x14ac:dyDescent="0.25">
      <c r="B27" s="52" t="str">
        <f>IF(C133=1,"","Sylwadau ar y rhagdybiaethau a ddewiswyd ar gyfer rhaniad o ddwy ddeiliadaeth: "&amp;D1)</f>
        <v>Sylwadau ar y rhagdybiaethau a ddewiswyd ar gyfer rhaniad o ddwy ddeiliadaeth: De-orllewin Cymru</v>
      </c>
      <c r="D27" s="50"/>
      <c r="E27" s="368"/>
      <c r="F27" s="51"/>
      <c r="G27" s="51"/>
      <c r="H27" s="51"/>
      <c r="I27" s="51"/>
    </row>
    <row r="28" spans="1:11" s="58" customFormat="1" ht="15" customHeight="1" x14ac:dyDescent="0.25">
      <c r="B28" s="495" t="str">
        <f>B188</f>
        <v>Mae'r ffigurau isod yn rhannu yr amcangyfrifon o'r angen am dai yn 2 deiliadaeth ac maent yn seiliedig ar y rhagdybiaethau canlynol. Mae amcangyfrifon sylfaenol yr unedau tai ychwanegol wedi'u seilio ar  amcanestyniadau aelwydydd gan Llywodraeth Cymru sy'n seiliedig ar 2018 (Prif Amcanestyniadau), ac amcangyfrif o 5732 aelwydydd o ran angen presennol nas diwallwyd  a fydd yn cymryd 5 mlynedd i'w diwallu.Mae data ar incwm yn seiliedig ar  Ddata Llywodraeth Cymru ac mae data ar renti preifat yn seiliedig ar  Ddata Llywodraeth Cymru. Mae'r newid blynyddol i incwm canolrifol yr aelwyd yn seiliedig ar amcangyfrifon wedi'u rhagosod, mae'r newid blynyddol i ddosbarthiad incwm yr aelwyd yn seiliedig ar amcangyfrifon wedi'u rhagosod ac mae'r newid blynyddol i brisiau rhenti yn seiliedig ar amcangyfrifon wedi'u rhagosod.</v>
      </c>
      <c r="C28" s="495"/>
      <c r="D28" s="495"/>
      <c r="E28" s="495"/>
      <c r="F28" s="495"/>
      <c r="G28" s="495"/>
      <c r="H28" s="495"/>
      <c r="I28" s="495"/>
      <c r="J28" s="495"/>
      <c r="K28" s="79"/>
    </row>
    <row r="29" spans="1:11" s="58" customFormat="1" ht="15" customHeight="1" x14ac:dyDescent="0.25">
      <c r="B29" s="495"/>
      <c r="C29" s="495"/>
      <c r="D29" s="495"/>
      <c r="E29" s="495"/>
      <c r="F29" s="495"/>
      <c r="G29" s="495"/>
      <c r="H29" s="495"/>
      <c r="I29" s="495"/>
      <c r="J29" s="495"/>
      <c r="K29" s="79"/>
    </row>
    <row r="30" spans="1:11" s="58" customFormat="1" ht="15" customHeight="1" x14ac:dyDescent="0.25">
      <c r="B30" s="495"/>
      <c r="C30" s="495"/>
      <c r="D30" s="495"/>
      <c r="E30" s="495"/>
      <c r="F30" s="495"/>
      <c r="G30" s="495"/>
      <c r="H30" s="495"/>
      <c r="I30" s="495"/>
      <c r="J30" s="495"/>
      <c r="K30" s="79"/>
    </row>
    <row r="31" spans="1:11" s="58" customFormat="1" ht="15" customHeight="1" x14ac:dyDescent="0.25">
      <c r="B31" s="495"/>
      <c r="C31" s="495"/>
      <c r="D31" s="495"/>
      <c r="E31" s="495"/>
      <c r="F31" s="495"/>
      <c r="G31" s="495"/>
      <c r="H31" s="495"/>
      <c r="I31" s="495"/>
      <c r="J31" s="495"/>
      <c r="K31" s="79"/>
    </row>
    <row r="32" spans="1:11" s="58" customFormat="1" ht="15" customHeight="1" x14ac:dyDescent="0.25">
      <c r="B32" s="495"/>
      <c r="C32" s="495"/>
      <c r="D32" s="495"/>
      <c r="E32" s="495"/>
      <c r="F32" s="495"/>
      <c r="G32" s="495"/>
      <c r="H32" s="495"/>
      <c r="I32" s="495"/>
      <c r="J32" s="495"/>
      <c r="K32" s="79"/>
    </row>
    <row r="33" spans="2:11" s="58" customFormat="1" ht="15" customHeight="1" x14ac:dyDescent="0.25">
      <c r="B33" s="80"/>
      <c r="C33" s="238"/>
      <c r="D33" s="238"/>
      <c r="E33" s="238"/>
      <c r="F33" s="238"/>
      <c r="G33" s="238"/>
      <c r="H33" s="238"/>
      <c r="I33" s="238"/>
      <c r="J33" s="238"/>
      <c r="K33" s="79"/>
    </row>
    <row r="34" spans="2:11" ht="15" customHeight="1" x14ac:dyDescent="0.25">
      <c r="B34" s="80"/>
      <c r="C34" s="238"/>
      <c r="D34" s="238"/>
      <c r="E34" s="238"/>
      <c r="F34" s="238"/>
      <c r="G34" s="238"/>
      <c r="H34" s="238"/>
      <c r="I34" s="238"/>
      <c r="J34" s="238"/>
      <c r="K34" s="79"/>
    </row>
    <row r="35" spans="2:11" ht="15" customHeight="1" x14ac:dyDescent="0.25">
      <c r="B35" s="80"/>
      <c r="C35" s="238"/>
      <c r="D35" s="238"/>
      <c r="E35" s="238"/>
      <c r="F35" s="238"/>
      <c r="G35" s="238"/>
      <c r="H35" s="238"/>
      <c r="I35" s="238"/>
      <c r="J35" s="238"/>
      <c r="K35" s="79"/>
    </row>
    <row r="36" spans="2:11" ht="15" customHeight="1" x14ac:dyDescent="0.25">
      <c r="B36" s="80"/>
      <c r="C36" s="238"/>
      <c r="D36" s="238"/>
      <c r="E36" s="238"/>
      <c r="F36" s="238"/>
      <c r="G36" s="238"/>
      <c r="H36" s="238"/>
      <c r="I36" s="238"/>
      <c r="J36" s="238"/>
      <c r="K36" s="79"/>
    </row>
    <row r="37" spans="2:11" ht="15" customHeight="1" x14ac:dyDescent="0.25">
      <c r="B37" s="80"/>
      <c r="C37" s="238"/>
      <c r="D37" s="238"/>
      <c r="E37" s="238"/>
      <c r="F37" s="238"/>
      <c r="G37" s="238"/>
      <c r="H37" s="238"/>
      <c r="I37" s="238"/>
      <c r="J37" s="238"/>
      <c r="K37" s="79"/>
    </row>
    <row r="38" spans="2:11" ht="15" customHeight="1" x14ac:dyDescent="0.25">
      <c r="B38" s="238"/>
      <c r="C38" s="238"/>
      <c r="D38" s="238"/>
      <c r="E38" s="238"/>
      <c r="F38" s="238"/>
      <c r="G38" s="238"/>
      <c r="H38" s="238"/>
      <c r="I38" s="238"/>
      <c r="J38" s="238"/>
      <c r="K38" s="79"/>
    </row>
    <row r="39" spans="2:11" ht="15" customHeight="1" x14ac:dyDescent="0.25">
      <c r="B39" s="238"/>
      <c r="C39" s="238"/>
      <c r="D39" s="238"/>
      <c r="E39" s="238"/>
      <c r="F39" s="238"/>
      <c r="G39" s="238"/>
      <c r="H39" s="238"/>
      <c r="I39" s="238"/>
      <c r="J39" s="238"/>
      <c r="K39" s="79"/>
    </row>
    <row r="40" spans="2:11" ht="15" customHeight="1" x14ac:dyDescent="0.25">
      <c r="B40" s="238"/>
      <c r="C40" s="238"/>
      <c r="D40" s="238"/>
      <c r="E40" s="238"/>
      <c r="F40" s="238"/>
      <c r="G40" s="238"/>
      <c r="H40" s="238"/>
      <c r="I40" s="238"/>
      <c r="J40" s="238"/>
      <c r="K40" s="79"/>
    </row>
    <row r="41" spans="2:11" ht="15" customHeight="1" x14ac:dyDescent="0.25">
      <c r="B41" s="238"/>
      <c r="C41" s="238"/>
      <c r="D41" s="238"/>
      <c r="E41" s="238"/>
      <c r="F41" s="238"/>
      <c r="G41" s="238"/>
      <c r="H41" s="238"/>
      <c r="I41" s="238"/>
      <c r="J41" s="238"/>
      <c r="K41" s="79"/>
    </row>
    <row r="42" spans="2:11" ht="15" customHeight="1" x14ac:dyDescent="0.25">
      <c r="B42" s="238"/>
      <c r="C42" s="238"/>
      <c r="D42" s="238"/>
      <c r="E42" s="238"/>
      <c r="F42" s="238"/>
      <c r="G42" s="238"/>
      <c r="H42" s="238"/>
      <c r="I42" s="238"/>
      <c r="J42" s="238"/>
      <c r="K42" s="79"/>
    </row>
    <row r="43" spans="2:11" ht="15" customHeight="1" x14ac:dyDescent="0.25">
      <c r="B43" s="238"/>
      <c r="C43" s="238"/>
      <c r="D43" s="238"/>
      <c r="E43" s="238"/>
      <c r="F43" s="238"/>
      <c r="G43" s="238"/>
      <c r="H43" s="238"/>
      <c r="I43" s="238"/>
      <c r="J43" s="238"/>
      <c r="K43" s="79"/>
    </row>
    <row r="44" spans="2:11" ht="15" customHeight="1" x14ac:dyDescent="0.25">
      <c r="B44" s="238"/>
      <c r="C44" s="238"/>
      <c r="D44" s="238"/>
      <c r="E44" s="238"/>
      <c r="F44" s="238"/>
      <c r="G44" s="238"/>
      <c r="H44" s="238"/>
      <c r="I44" s="238"/>
      <c r="J44" s="238"/>
      <c r="K44" s="79"/>
    </row>
    <row r="45" spans="2:11" ht="15" customHeight="1" x14ac:dyDescent="0.25">
      <c r="B45" s="238"/>
      <c r="C45" s="238"/>
      <c r="D45" s="238"/>
      <c r="E45" s="238"/>
      <c r="F45" s="238"/>
      <c r="G45" s="238"/>
      <c r="H45" s="238"/>
      <c r="I45" s="238"/>
      <c r="J45" s="238"/>
      <c r="K45" s="79"/>
    </row>
    <row r="46" spans="2:11" ht="15" customHeight="1" x14ac:dyDescent="0.25">
      <c r="B46" s="238"/>
      <c r="C46" s="238"/>
      <c r="D46" s="238"/>
      <c r="E46" s="238"/>
      <c r="F46" s="238"/>
      <c r="G46" s="238"/>
      <c r="H46" s="238"/>
      <c r="I46" s="238"/>
      <c r="J46" s="238"/>
      <c r="K46" s="79"/>
    </row>
    <row r="47" spans="2:11" ht="15" customHeight="1" x14ac:dyDescent="0.25">
      <c r="B47" s="238"/>
      <c r="C47" s="238"/>
      <c r="D47" s="238"/>
      <c r="E47" s="238"/>
      <c r="F47" s="238"/>
      <c r="G47" s="238"/>
      <c r="H47" s="238"/>
      <c r="I47" s="238"/>
      <c r="J47" s="238"/>
      <c r="K47" s="79"/>
    </row>
    <row r="48" spans="2:11" ht="15" customHeight="1" x14ac:dyDescent="0.25">
      <c r="B48" s="238"/>
      <c r="C48" s="238"/>
      <c r="D48" s="238"/>
      <c r="E48" s="238"/>
      <c r="F48" s="238"/>
      <c r="G48" s="238"/>
      <c r="H48" s="238"/>
      <c r="I48" s="238"/>
      <c r="J48" s="238"/>
      <c r="K48" s="79"/>
    </row>
    <row r="49" spans="2:11" ht="15" customHeight="1" x14ac:dyDescent="0.25">
      <c r="B49" s="238"/>
      <c r="C49" s="238"/>
      <c r="D49" s="238"/>
      <c r="E49" s="238"/>
      <c r="F49" s="238"/>
      <c r="G49" s="238"/>
      <c r="H49" s="238"/>
      <c r="I49" s="238"/>
      <c r="J49" s="238"/>
      <c r="K49" s="79"/>
    </row>
    <row r="50" spans="2:11" ht="15" customHeight="1" x14ac:dyDescent="0.25">
      <c r="B50" s="238"/>
      <c r="C50" s="238"/>
      <c r="D50" s="238"/>
      <c r="E50" s="238"/>
      <c r="F50" s="238"/>
      <c r="G50" s="238"/>
      <c r="H50" s="238"/>
      <c r="I50" s="238"/>
      <c r="J50" s="238"/>
      <c r="K50" s="79"/>
    </row>
    <row r="51" spans="2:11" ht="15" customHeight="1" x14ac:dyDescent="0.25">
      <c r="B51" s="238"/>
      <c r="C51" s="238"/>
      <c r="D51" s="238"/>
      <c r="E51" s="238"/>
      <c r="F51" s="238"/>
      <c r="G51" s="238"/>
      <c r="H51" s="238"/>
      <c r="I51" s="238"/>
      <c r="J51" s="238"/>
      <c r="K51" s="79"/>
    </row>
    <row r="52" spans="2:11" ht="15" customHeight="1" x14ac:dyDescent="0.25">
      <c r="B52" s="451" t="s">
        <v>354</v>
      </c>
      <c r="C52" s="452"/>
      <c r="D52" s="452"/>
      <c r="E52" s="452"/>
      <c r="F52" s="452"/>
      <c r="G52" s="452"/>
      <c r="H52" s="452"/>
      <c r="I52" s="452"/>
      <c r="J52" s="453"/>
      <c r="K52" s="79"/>
    </row>
    <row r="53" spans="2:11" ht="36.5" customHeight="1" x14ac:dyDescent="0.25">
      <c r="B53" s="454"/>
      <c r="C53" s="455"/>
      <c r="D53" s="455"/>
      <c r="E53" s="455"/>
      <c r="F53" s="455"/>
      <c r="G53" s="455"/>
      <c r="H53" s="455"/>
      <c r="I53" s="455"/>
      <c r="J53" s="456"/>
      <c r="K53" s="79"/>
    </row>
    <row r="54" spans="2:11" ht="15" customHeight="1" x14ac:dyDescent="0.25">
      <c r="B54" s="205"/>
      <c r="C54" s="205"/>
      <c r="D54" s="205"/>
      <c r="E54" s="205"/>
      <c r="F54" s="205"/>
      <c r="G54" s="205"/>
      <c r="H54" s="205"/>
      <c r="I54" s="205"/>
      <c r="J54" s="205"/>
      <c r="K54" s="79"/>
    </row>
    <row r="55" spans="2:11" ht="15" customHeight="1" x14ac:dyDescent="0.3">
      <c r="B55" s="56" t="s">
        <v>277</v>
      </c>
      <c r="C55" s="57"/>
      <c r="D55" s="57"/>
      <c r="E55" s="57"/>
      <c r="F55" s="57"/>
      <c r="G55" s="57"/>
      <c r="K55" s="79"/>
    </row>
    <row r="56" spans="2:11" ht="15" customHeight="1" x14ac:dyDescent="0.3">
      <c r="B56" s="112" t="str">
        <f>B148</f>
        <v/>
      </c>
      <c r="C56" s="113" t="str">
        <f t="shared" ref="C56:G56" si="0">C148</f>
        <v>2019/20</v>
      </c>
      <c r="D56" s="113" t="str">
        <f t="shared" si="0"/>
        <v>2020/21</v>
      </c>
      <c r="E56" s="113" t="str">
        <f t="shared" si="0"/>
        <v>2021/22</v>
      </c>
      <c r="F56" s="113" t="str">
        <f t="shared" si="0"/>
        <v>2022/23</v>
      </c>
      <c r="G56" s="113" t="str">
        <f t="shared" si="0"/>
        <v>2023/24</v>
      </c>
      <c r="H56" s="58"/>
      <c r="K56" s="79"/>
    </row>
    <row r="57" spans="2:11" ht="15" customHeight="1" x14ac:dyDescent="0.25">
      <c r="B57" s="112" t="str">
        <f t="shared" ref="B57:G58" si="1">B149</f>
        <v>Tai'r Farchnad</v>
      </c>
      <c r="C57" s="114">
        <f t="shared" si="1"/>
        <v>859.44671905517578</v>
      </c>
      <c r="D57" s="114">
        <f t="shared" si="1"/>
        <v>895.26459732055662</v>
      </c>
      <c r="E57" s="114">
        <f t="shared" si="1"/>
        <v>970.95359481811522</v>
      </c>
      <c r="F57" s="114">
        <f t="shared" si="1"/>
        <v>950.31790328979491</v>
      </c>
      <c r="G57" s="114">
        <f t="shared" si="1"/>
        <v>892.5205004882813</v>
      </c>
      <c r="H57" s="58"/>
      <c r="K57" s="79"/>
    </row>
    <row r="58" spans="2:11" ht="15" customHeight="1" x14ac:dyDescent="0.25">
      <c r="B58" s="112" t="str">
        <f t="shared" si="1"/>
        <v>Tai fforddiadwy</v>
      </c>
      <c r="C58" s="114">
        <f>C150</f>
        <v>692.35442230224601</v>
      </c>
      <c r="D58" s="114">
        <f t="shared" si="1"/>
        <v>713.39031906127923</v>
      </c>
      <c r="E58" s="114">
        <f t="shared" si="1"/>
        <v>757.84258743286125</v>
      </c>
      <c r="F58" s="114">
        <f t="shared" si="1"/>
        <v>745.72321304321281</v>
      </c>
      <c r="G58" s="114">
        <f t="shared" si="1"/>
        <v>734.62869384765611</v>
      </c>
      <c r="H58" s="58"/>
      <c r="K58" s="79"/>
    </row>
    <row r="59" spans="2:11" ht="15" customHeight="1" x14ac:dyDescent="0.25">
      <c r="H59" s="58"/>
      <c r="K59" s="79"/>
    </row>
    <row r="60" spans="2:11" ht="15" customHeight="1" x14ac:dyDescent="0.3">
      <c r="B60" s="46" t="s">
        <v>281</v>
      </c>
      <c r="H60" s="58"/>
      <c r="K60" s="79"/>
    </row>
    <row r="61" spans="2:11" ht="15" customHeight="1" x14ac:dyDescent="0.3">
      <c r="B61" s="82" t="str">
        <f>B151</f>
        <v/>
      </c>
      <c r="C61" s="240" t="str">
        <f t="shared" ref="C61:G63" si="2">C151</f>
        <v>2019/20</v>
      </c>
      <c r="D61" s="240" t="str">
        <f t="shared" si="2"/>
        <v>2020/21</v>
      </c>
      <c r="E61" s="240" t="str">
        <f t="shared" si="2"/>
        <v>2021/22</v>
      </c>
      <c r="F61" s="240" t="str">
        <f t="shared" si="2"/>
        <v>2022/23</v>
      </c>
      <c r="G61" s="240" t="str">
        <f t="shared" si="2"/>
        <v>2023/24</v>
      </c>
      <c r="H61" s="58"/>
      <c r="I61" s="518" t="str">
        <f>I151</f>
        <v>Rhaniad 5 mlynedd</v>
      </c>
      <c r="J61" s="518"/>
      <c r="K61" s="79"/>
    </row>
    <row r="62" spans="2:11" ht="15" customHeight="1" x14ac:dyDescent="0.3">
      <c r="B62" s="82" t="str">
        <f>B152</f>
        <v>Tai'r Farchnad</v>
      </c>
      <c r="C62" s="116">
        <f>C152</f>
        <v>0.55383817948695657</v>
      </c>
      <c r="D62" s="116">
        <f t="shared" si="2"/>
        <v>0.55652992335619955</v>
      </c>
      <c r="E62" s="116">
        <f t="shared" si="2"/>
        <v>0.56163566578096358</v>
      </c>
      <c r="F62" s="116">
        <f t="shared" si="2"/>
        <v>0.56031536861822495</v>
      </c>
      <c r="G62" s="116">
        <f t="shared" si="2"/>
        <v>0.54851792545829303</v>
      </c>
      <c r="H62" s="58"/>
      <c r="I62" s="507">
        <f>I152</f>
        <v>0.55629044426073071</v>
      </c>
      <c r="J62" s="507"/>
      <c r="K62" s="79"/>
    </row>
    <row r="63" spans="2:11" ht="15" customHeight="1" x14ac:dyDescent="0.3">
      <c r="B63" s="82" t="str">
        <f t="shared" ref="B63" si="3">B153</f>
        <v>Tai fforddiadwy</v>
      </c>
      <c r="C63" s="116">
        <f>C153</f>
        <v>0.44616182051304348</v>
      </c>
      <c r="D63" s="116">
        <f t="shared" si="2"/>
        <v>0.4434700766438005</v>
      </c>
      <c r="E63" s="116">
        <f t="shared" si="2"/>
        <v>0.43836433421903642</v>
      </c>
      <c r="F63" s="116">
        <f t="shared" si="2"/>
        <v>0.4396846313817751</v>
      </c>
      <c r="G63" s="116">
        <f t="shared" si="2"/>
        <v>0.45148207454170697</v>
      </c>
      <c r="H63" s="58"/>
      <c r="I63" s="507">
        <f>I153</f>
        <v>0.44370955573926912</v>
      </c>
      <c r="J63" s="507"/>
      <c r="K63" s="79"/>
    </row>
    <row r="64" spans="2:11" ht="15" customHeight="1" x14ac:dyDescent="0.25">
      <c r="B64" s="80"/>
      <c r="C64" s="238"/>
      <c r="D64" s="238"/>
      <c r="E64" s="238"/>
      <c r="F64" s="238"/>
      <c r="G64" s="238"/>
      <c r="H64" s="238"/>
      <c r="I64" s="238"/>
      <c r="J64" s="238"/>
      <c r="K64" s="79"/>
    </row>
    <row r="65" spans="2:11" ht="15" customHeight="1" x14ac:dyDescent="0.25">
      <c r="B65" s="52" t="str">
        <f>IF(C145=1,"","Sylwebaeth ar y rhagdybiaethau a ddewiswyd ar gyfer y rhaniad 4 deiliadaeth")</f>
        <v/>
      </c>
      <c r="C65" s="238"/>
      <c r="D65" s="238"/>
      <c r="E65" s="238"/>
      <c r="F65" s="238"/>
      <c r="G65" s="238"/>
      <c r="H65" s="238"/>
      <c r="I65" s="238"/>
      <c r="J65" s="238"/>
      <c r="K65" s="79"/>
    </row>
    <row r="66" spans="2:11" s="58" customFormat="1" ht="15" customHeight="1" x14ac:dyDescent="0.25">
      <c r="B66" s="495" t="str">
        <f>B192</f>
        <v>Ni fydd amcangyfrifon wedi'u rhannu'n 4 deiliadaeth yn ymddangos hyd nes bod y tabl uchod wedi'i gwblhau.</v>
      </c>
      <c r="C66" s="495"/>
      <c r="D66" s="495"/>
      <c r="E66" s="495"/>
      <c r="F66" s="495"/>
      <c r="G66" s="495"/>
      <c r="H66" s="495"/>
      <c r="I66" s="495"/>
      <c r="J66" s="495"/>
      <c r="K66" s="79"/>
    </row>
    <row r="67" spans="2:11" s="58" customFormat="1" ht="15" customHeight="1" x14ac:dyDescent="0.25">
      <c r="B67" s="495"/>
      <c r="C67" s="495"/>
      <c r="D67" s="495"/>
      <c r="E67" s="495"/>
      <c r="F67" s="495"/>
      <c r="G67" s="495"/>
      <c r="H67" s="495"/>
      <c r="I67" s="495"/>
      <c r="J67" s="495"/>
      <c r="K67" s="79"/>
    </row>
    <row r="68" spans="2:11" s="58" customFormat="1" ht="15" customHeight="1" x14ac:dyDescent="0.25">
      <c r="B68" s="495"/>
      <c r="C68" s="495"/>
      <c r="D68" s="495"/>
      <c r="E68" s="495"/>
      <c r="F68" s="495"/>
      <c r="G68" s="495"/>
      <c r="H68" s="495"/>
      <c r="I68" s="495"/>
      <c r="J68" s="495"/>
      <c r="K68" s="79"/>
    </row>
    <row r="69" spans="2:11" s="58" customFormat="1" ht="15" customHeight="1" x14ac:dyDescent="0.25">
      <c r="B69" s="495"/>
      <c r="C69" s="495"/>
      <c r="D69" s="495"/>
      <c r="E69" s="495"/>
      <c r="F69" s="495"/>
      <c r="G69" s="495"/>
      <c r="H69" s="495"/>
      <c r="I69" s="495"/>
      <c r="J69" s="495"/>
      <c r="K69" s="79"/>
    </row>
    <row r="70" spans="2:11" ht="15" customHeight="1" x14ac:dyDescent="0.25">
      <c r="C70" s="49"/>
      <c r="D70" s="53"/>
      <c r="F70" s="54"/>
      <c r="G70" s="55"/>
    </row>
    <row r="71" spans="2:11" ht="15" customHeight="1" x14ac:dyDescent="0.25">
      <c r="C71" s="49"/>
      <c r="D71" s="53"/>
      <c r="E71" s="55"/>
      <c r="F71" s="54"/>
      <c r="G71" s="55"/>
    </row>
    <row r="72" spans="2:11" ht="15" customHeight="1" x14ac:dyDescent="0.25">
      <c r="C72" s="49"/>
      <c r="D72" s="53"/>
      <c r="E72" s="55"/>
      <c r="F72" s="54"/>
      <c r="G72" s="55"/>
    </row>
    <row r="73" spans="2:11" ht="15" customHeight="1" x14ac:dyDescent="0.25">
      <c r="C73" s="49"/>
      <c r="D73" s="53"/>
      <c r="E73" s="55"/>
      <c r="F73" s="54"/>
      <c r="G73" s="55"/>
    </row>
    <row r="74" spans="2:11" ht="15" customHeight="1" x14ac:dyDescent="0.25">
      <c r="C74" s="49"/>
      <c r="D74" s="53"/>
      <c r="E74" s="55"/>
      <c r="F74" s="54"/>
      <c r="G74" s="55"/>
    </row>
    <row r="75" spans="2:11" ht="15" customHeight="1" x14ac:dyDescent="0.25">
      <c r="C75" s="49"/>
      <c r="D75" s="53"/>
      <c r="E75" s="55"/>
      <c r="F75" s="54"/>
      <c r="G75" s="55"/>
    </row>
    <row r="76" spans="2:11" ht="15" customHeight="1" x14ac:dyDescent="0.25">
      <c r="C76" s="49"/>
      <c r="D76" s="53"/>
      <c r="E76" s="55"/>
      <c r="F76" s="54"/>
      <c r="G76" s="55"/>
    </row>
    <row r="77" spans="2:11" ht="15" customHeight="1" x14ac:dyDescent="0.25">
      <c r="C77" s="49"/>
      <c r="D77" s="53"/>
      <c r="E77" s="55"/>
      <c r="F77" s="54"/>
      <c r="G77" s="55"/>
    </row>
    <row r="78" spans="2:11" ht="15" customHeight="1" x14ac:dyDescent="0.25">
      <c r="C78" s="49"/>
      <c r="D78" s="53"/>
      <c r="E78" s="55"/>
      <c r="F78" s="54"/>
      <c r="G78" s="55"/>
    </row>
    <row r="79" spans="2:11" ht="15" customHeight="1" x14ac:dyDescent="0.25">
      <c r="C79" s="49"/>
      <c r="D79" s="53"/>
      <c r="E79" s="55"/>
      <c r="F79" s="54"/>
      <c r="G79" s="55"/>
    </row>
    <row r="80" spans="2:11" ht="15" customHeight="1" x14ac:dyDescent="0.25">
      <c r="C80" s="49"/>
      <c r="D80" s="53"/>
      <c r="E80" s="55"/>
      <c r="F80" s="54"/>
      <c r="G80" s="55"/>
    </row>
    <row r="81" spans="2:8" ht="15" customHeight="1" x14ac:dyDescent="0.25">
      <c r="C81" s="49"/>
      <c r="D81" s="53"/>
      <c r="E81" s="55"/>
      <c r="F81" s="54"/>
      <c r="G81" s="55"/>
    </row>
    <row r="82" spans="2:8" ht="15" customHeight="1" x14ac:dyDescent="0.25">
      <c r="C82" s="49"/>
      <c r="D82" s="53"/>
      <c r="E82" s="55"/>
      <c r="F82" s="54"/>
      <c r="G82" s="55"/>
    </row>
    <row r="83" spans="2:8" ht="15" customHeight="1" x14ac:dyDescent="0.25">
      <c r="C83" s="49"/>
      <c r="D83" s="53"/>
      <c r="E83" s="55"/>
      <c r="F83" s="54"/>
      <c r="G83" s="55"/>
    </row>
    <row r="84" spans="2:8" ht="15" customHeight="1" x14ac:dyDescent="0.25">
      <c r="C84" s="49"/>
      <c r="D84" s="53"/>
      <c r="E84" s="55"/>
      <c r="F84" s="54"/>
      <c r="G84" s="55"/>
    </row>
    <row r="85" spans="2:8" ht="15" customHeight="1" x14ac:dyDescent="0.25">
      <c r="C85" s="49"/>
      <c r="D85" s="53"/>
      <c r="E85" s="55"/>
      <c r="F85" s="54"/>
      <c r="G85" s="55"/>
    </row>
    <row r="86" spans="2:8" ht="15" customHeight="1" x14ac:dyDescent="0.25">
      <c r="C86" s="49"/>
      <c r="D86" s="53"/>
      <c r="E86" s="55"/>
      <c r="F86" s="54"/>
      <c r="G86" s="55"/>
    </row>
    <row r="87" spans="2:8" ht="15" customHeight="1" x14ac:dyDescent="0.25">
      <c r="C87" s="49"/>
      <c r="D87" s="53"/>
      <c r="E87" s="55"/>
      <c r="F87" s="54"/>
      <c r="G87" s="55"/>
    </row>
    <row r="88" spans="2:8" ht="15" customHeight="1" x14ac:dyDescent="0.25">
      <c r="C88" s="49"/>
      <c r="D88" s="53"/>
      <c r="E88" s="55"/>
      <c r="F88" s="54"/>
      <c r="G88" s="55"/>
    </row>
    <row r="89" spans="2:8" ht="15" customHeight="1" x14ac:dyDescent="0.25">
      <c r="C89" s="49"/>
      <c r="D89" s="53"/>
      <c r="E89" s="55"/>
      <c r="F89" s="54"/>
      <c r="G89" s="55"/>
    </row>
    <row r="90" spans="2:8" ht="15" customHeight="1" x14ac:dyDescent="0.3">
      <c r="B90" s="56" t="s">
        <v>297</v>
      </c>
      <c r="C90" s="57"/>
      <c r="D90" s="57"/>
      <c r="E90" s="57"/>
      <c r="F90" s="57"/>
      <c r="G90" s="57"/>
    </row>
    <row r="91" spans="2:8" ht="15" customHeight="1" x14ac:dyDescent="0.25">
      <c r="B91" s="118" t="str">
        <f>B157</f>
        <v>Cwblhewch y tabl i weld amcangyfrifon wedi'u rhannu'n 4 deiliadaeth.</v>
      </c>
      <c r="C91" s="82"/>
      <c r="D91" s="82"/>
      <c r="E91" s="82"/>
      <c r="F91" s="82"/>
      <c r="G91" s="82"/>
      <c r="H91" s="58"/>
    </row>
    <row r="92" spans="2:8" ht="15" customHeight="1" x14ac:dyDescent="0.3">
      <c r="B92" s="118"/>
      <c r="C92" s="113" t="str">
        <f t="shared" ref="C92:G96" si="4">C157</f>
        <v/>
      </c>
      <c r="D92" s="113" t="str">
        <f t="shared" si="4"/>
        <v/>
      </c>
      <c r="E92" s="113" t="str">
        <f t="shared" si="4"/>
        <v/>
      </c>
      <c r="F92" s="113" t="str">
        <f t="shared" si="4"/>
        <v/>
      </c>
      <c r="G92" s="113" t="str">
        <f t="shared" si="4"/>
        <v/>
      </c>
      <c r="H92" s="58"/>
    </row>
    <row r="93" spans="2:8" ht="15" customHeight="1" x14ac:dyDescent="0.25">
      <c r="B93" s="112" t="str">
        <f>B158</f>
        <v/>
      </c>
      <c r="C93" s="119" t="str">
        <f t="shared" si="4"/>
        <v/>
      </c>
      <c r="D93" s="114" t="str">
        <f t="shared" si="4"/>
        <v/>
      </c>
      <c r="E93" s="114" t="str">
        <f t="shared" si="4"/>
        <v/>
      </c>
      <c r="F93" s="114" t="str">
        <f t="shared" si="4"/>
        <v/>
      </c>
      <c r="G93" s="114" t="str">
        <f t="shared" si="4"/>
        <v/>
      </c>
      <c r="H93" s="58"/>
    </row>
    <row r="94" spans="2:8" ht="15" customHeight="1" x14ac:dyDescent="0.25">
      <c r="B94" s="112" t="str">
        <f>B159</f>
        <v/>
      </c>
      <c r="C94" s="114" t="str">
        <f t="shared" si="4"/>
        <v/>
      </c>
      <c r="D94" s="114" t="str">
        <f t="shared" si="4"/>
        <v/>
      </c>
      <c r="E94" s="114" t="str">
        <f t="shared" si="4"/>
        <v/>
      </c>
      <c r="F94" s="114" t="str">
        <f t="shared" si="4"/>
        <v/>
      </c>
      <c r="G94" s="114" t="str">
        <f t="shared" si="4"/>
        <v/>
      </c>
      <c r="H94" s="58"/>
    </row>
    <row r="95" spans="2:8" ht="15" customHeight="1" x14ac:dyDescent="0.25">
      <c r="B95" s="114" t="str">
        <f>B160</f>
        <v/>
      </c>
      <c r="C95" s="114" t="str">
        <f t="shared" si="4"/>
        <v/>
      </c>
      <c r="D95" s="114" t="str">
        <f t="shared" si="4"/>
        <v/>
      </c>
      <c r="E95" s="114" t="str">
        <f t="shared" si="4"/>
        <v/>
      </c>
      <c r="F95" s="114" t="str">
        <f t="shared" si="4"/>
        <v/>
      </c>
      <c r="G95" s="114" t="str">
        <f t="shared" si="4"/>
        <v/>
      </c>
      <c r="H95" s="58"/>
    </row>
    <row r="96" spans="2:8" ht="15" customHeight="1" x14ac:dyDescent="0.25">
      <c r="B96" s="114" t="str">
        <f>B161</f>
        <v/>
      </c>
      <c r="C96" s="114" t="str">
        <f t="shared" si="4"/>
        <v/>
      </c>
      <c r="D96" s="114" t="str">
        <f t="shared" si="4"/>
        <v/>
      </c>
      <c r="E96" s="114" t="str">
        <f t="shared" si="4"/>
        <v/>
      </c>
      <c r="F96" s="114" t="str">
        <f t="shared" si="4"/>
        <v/>
      </c>
      <c r="G96" s="114" t="str">
        <f t="shared" si="4"/>
        <v/>
      </c>
      <c r="H96" s="58"/>
    </row>
    <row r="97" spans="2:20" ht="15" customHeight="1" x14ac:dyDescent="0.25">
      <c r="H97" s="58"/>
    </row>
    <row r="98" spans="2:20" ht="15" customHeight="1" x14ac:dyDescent="0.3">
      <c r="B98" s="46" t="s">
        <v>304</v>
      </c>
      <c r="H98" s="58"/>
    </row>
    <row r="99" spans="2:20" ht="15" customHeight="1" x14ac:dyDescent="0.3">
      <c r="B99" s="82" t="str">
        <f>B162</f>
        <v>Cwblhewch y tabl i weld amcangyfrifon wedi'u rhannu'n 4 deiliadaeth.</v>
      </c>
      <c r="C99" s="82"/>
      <c r="D99" s="82"/>
      <c r="E99" s="82"/>
      <c r="F99" s="82"/>
      <c r="G99" s="82"/>
      <c r="H99" s="58"/>
      <c r="I99" s="518" t="str">
        <f>I162</f>
        <v/>
      </c>
      <c r="J99" s="518"/>
    </row>
    <row r="100" spans="2:20" ht="15" customHeight="1" x14ac:dyDescent="0.3">
      <c r="B100" s="82"/>
      <c r="C100" s="240" t="str">
        <f t="shared" ref="C100:G104" si="5">C162</f>
        <v/>
      </c>
      <c r="D100" s="240" t="str">
        <f t="shared" si="5"/>
        <v/>
      </c>
      <c r="E100" s="240" t="str">
        <f t="shared" si="5"/>
        <v/>
      </c>
      <c r="F100" s="240" t="str">
        <f t="shared" si="5"/>
        <v/>
      </c>
      <c r="G100" s="240" t="str">
        <f t="shared" si="5"/>
        <v/>
      </c>
      <c r="H100" s="58"/>
      <c r="I100" s="117"/>
      <c r="J100" s="389"/>
    </row>
    <row r="101" spans="2:20" ht="15" customHeight="1" x14ac:dyDescent="0.3">
      <c r="B101" s="82" t="str">
        <f>B163</f>
        <v/>
      </c>
      <c r="C101" s="116" t="str">
        <f t="shared" si="5"/>
        <v/>
      </c>
      <c r="D101" s="116" t="str">
        <f t="shared" si="5"/>
        <v/>
      </c>
      <c r="E101" s="116" t="str">
        <f t="shared" si="5"/>
        <v/>
      </c>
      <c r="F101" s="116" t="str">
        <f t="shared" si="5"/>
        <v/>
      </c>
      <c r="G101" s="116" t="str">
        <f t="shared" si="5"/>
        <v/>
      </c>
      <c r="H101" s="58"/>
      <c r="I101" s="507" t="str">
        <f>I163</f>
        <v/>
      </c>
      <c r="J101" s="507"/>
    </row>
    <row r="102" spans="2:20" ht="15" customHeight="1" x14ac:dyDescent="0.3">
      <c r="B102" s="82" t="str">
        <f>B164</f>
        <v/>
      </c>
      <c r="C102" s="116" t="str">
        <f t="shared" si="5"/>
        <v/>
      </c>
      <c r="D102" s="116" t="str">
        <f t="shared" si="5"/>
        <v/>
      </c>
      <c r="E102" s="116" t="str">
        <f t="shared" si="5"/>
        <v/>
      </c>
      <c r="F102" s="116" t="str">
        <f t="shared" si="5"/>
        <v/>
      </c>
      <c r="G102" s="116" t="str">
        <f t="shared" si="5"/>
        <v/>
      </c>
      <c r="H102" s="58"/>
      <c r="I102" s="507" t="str">
        <f>I164</f>
        <v/>
      </c>
      <c r="J102" s="507"/>
    </row>
    <row r="103" spans="2:20" ht="14.25" customHeight="1" x14ac:dyDescent="0.3">
      <c r="B103" s="82" t="str">
        <f>B165</f>
        <v/>
      </c>
      <c r="C103" s="116" t="str">
        <f t="shared" si="5"/>
        <v/>
      </c>
      <c r="D103" s="116" t="str">
        <f t="shared" si="5"/>
        <v/>
      </c>
      <c r="E103" s="116" t="str">
        <f t="shared" si="5"/>
        <v/>
      </c>
      <c r="F103" s="116" t="str">
        <f t="shared" si="5"/>
        <v/>
      </c>
      <c r="G103" s="116" t="str">
        <f t="shared" si="5"/>
        <v/>
      </c>
      <c r="H103" s="58"/>
      <c r="I103" s="507" t="str">
        <f>I165</f>
        <v/>
      </c>
      <c r="J103" s="507"/>
    </row>
    <row r="104" spans="2:20" ht="14.25" customHeight="1" x14ac:dyDescent="0.3">
      <c r="B104" s="82" t="str">
        <f>B166</f>
        <v/>
      </c>
      <c r="C104" s="116" t="str">
        <f t="shared" si="5"/>
        <v/>
      </c>
      <c r="D104" s="116" t="str">
        <f t="shared" si="5"/>
        <v/>
      </c>
      <c r="E104" s="116" t="str">
        <f t="shared" si="5"/>
        <v/>
      </c>
      <c r="F104" s="116" t="str">
        <f t="shared" si="5"/>
        <v/>
      </c>
      <c r="G104" s="116" t="str">
        <f t="shared" si="5"/>
        <v/>
      </c>
      <c r="H104" s="58"/>
      <c r="I104" s="507" t="str">
        <f>I166</f>
        <v/>
      </c>
      <c r="J104" s="507"/>
    </row>
    <row r="105" spans="2:20" ht="14.25" customHeight="1" x14ac:dyDescent="0.3">
      <c r="C105" s="46"/>
      <c r="M105" s="58"/>
      <c r="N105" s="59"/>
      <c r="O105" s="59"/>
      <c r="P105" s="59"/>
      <c r="Q105" s="59"/>
      <c r="R105" s="59"/>
      <c r="S105" s="58"/>
      <c r="T105" s="60"/>
    </row>
    <row r="106" spans="2:20" ht="14.25" customHeight="1" x14ac:dyDescent="0.35">
      <c r="B106" s="44" t="s">
        <v>294</v>
      </c>
      <c r="M106" s="58"/>
      <c r="N106" s="59"/>
      <c r="O106" s="59"/>
      <c r="P106" s="59"/>
      <c r="Q106" s="59"/>
      <c r="R106" s="59"/>
      <c r="S106" s="58"/>
      <c r="T106" s="60"/>
    </row>
    <row r="107" spans="2:20" ht="14.25" customHeight="1" x14ac:dyDescent="0.3">
      <c r="B107" s="123"/>
      <c r="C107" s="124" t="str">
        <f>Year1</f>
        <v>2019/20</v>
      </c>
      <c r="D107" s="124" t="str">
        <f>Year2</f>
        <v>2020/21</v>
      </c>
      <c r="E107" s="124" t="str">
        <f>Year3</f>
        <v>2021/22</v>
      </c>
      <c r="F107" s="124" t="str">
        <f>Year4</f>
        <v>2022/23</v>
      </c>
      <c r="G107" s="125" t="str">
        <f>Year5</f>
        <v>2023/24</v>
      </c>
      <c r="M107" s="58"/>
      <c r="N107" s="59"/>
      <c r="O107" s="59"/>
      <c r="P107" s="59"/>
      <c r="Q107" s="59"/>
      <c r="R107" s="59"/>
      <c r="S107" s="58"/>
      <c r="T107" s="60"/>
    </row>
    <row r="108" spans="2:20" ht="25.5" x14ac:dyDescent="0.3">
      <c r="B108" s="126" t="s">
        <v>70</v>
      </c>
      <c r="C108" s="128">
        <f>'Rhaniad y Ddeiliadaeth (Cymru)'!C108</f>
        <v>0.3</v>
      </c>
      <c r="D108" s="128">
        <f>'Rhaniad y Ddeiliadaeth (Cymru)'!D108</f>
        <v>0.3</v>
      </c>
      <c r="E108" s="128">
        <f>'Rhaniad y Ddeiliadaeth (Cymru)'!E108</f>
        <v>0.3</v>
      </c>
      <c r="F108" s="128">
        <f>'Rhaniad y Ddeiliadaeth (Cymru)'!F108</f>
        <v>0.3</v>
      </c>
      <c r="G108" s="129">
        <f>'Rhaniad y Ddeiliadaeth (Cymru)'!G108</f>
        <v>0.3</v>
      </c>
      <c r="O108" s="59"/>
      <c r="P108" s="59"/>
      <c r="Q108" s="59"/>
      <c r="R108" s="59"/>
      <c r="S108" s="58"/>
      <c r="T108" s="60"/>
    </row>
    <row r="109" spans="2:20" ht="13" x14ac:dyDescent="0.3">
      <c r="B109" s="126" t="s">
        <v>284</v>
      </c>
      <c r="C109" s="128">
        <f>'Rhaniad y Ddeiliadaeth (Cymru)'!C109</f>
        <v>2.2446185800604201E-2</v>
      </c>
      <c r="D109" s="128">
        <f>'Rhaniad y Ddeiliadaeth (Cymru)'!D109</f>
        <v>3.4273974138698815E-2</v>
      </c>
      <c r="E109" s="128">
        <f>'Rhaniad y Ddeiliadaeth (Cymru)'!E109</f>
        <v>3.4178288789832534E-2</v>
      </c>
      <c r="F109" s="128">
        <f>'Rhaniad y Ddeiliadaeth (Cymru)'!F109</f>
        <v>3.468526742495337E-2</v>
      </c>
      <c r="G109" s="129">
        <f>'Rhaniad y Ddeiliadaeth (Cymru)'!G109</f>
        <v>3.4498109627313145E-2</v>
      </c>
      <c r="O109" s="59"/>
      <c r="P109" s="59"/>
      <c r="Q109" s="59"/>
      <c r="R109" s="59"/>
      <c r="S109" s="58"/>
      <c r="T109" s="60"/>
    </row>
    <row r="110" spans="2:20" ht="13" x14ac:dyDescent="0.3">
      <c r="B110" s="126" t="s">
        <v>285</v>
      </c>
      <c r="C110" s="128">
        <f>'Rhaniad y Ddeiliadaeth (Cymru)'!C110</f>
        <v>0.01</v>
      </c>
      <c r="D110" s="128">
        <f>'Rhaniad y Ddeiliadaeth (Cymru)'!D110</f>
        <v>0.01</v>
      </c>
      <c r="E110" s="128">
        <f>'Rhaniad y Ddeiliadaeth (Cymru)'!E110</f>
        <v>0.01</v>
      </c>
      <c r="F110" s="128">
        <f>'Rhaniad y Ddeiliadaeth (Cymru)'!F110</f>
        <v>0.01</v>
      </c>
      <c r="G110" s="129">
        <f>'Rhaniad y Ddeiliadaeth (Cymru)'!G110</f>
        <v>0.01</v>
      </c>
      <c r="O110" s="59"/>
      <c r="P110" s="59"/>
      <c r="Q110" s="59"/>
      <c r="R110" s="59"/>
      <c r="S110" s="58"/>
      <c r="T110" s="60"/>
    </row>
    <row r="111" spans="2:20" ht="13" x14ac:dyDescent="0.3">
      <c r="B111" s="126" t="s">
        <v>286</v>
      </c>
      <c r="C111" s="128">
        <f>'Rhaniad y Ddeiliadaeth (Cymru)'!C111</f>
        <v>2.95362389376672E-2</v>
      </c>
      <c r="D111" s="128">
        <f>'Rhaniad y Ddeiliadaeth (Cymru)'!D111</f>
        <v>3.06009237258206E-2</v>
      </c>
      <c r="E111" s="128">
        <f>'Rhaniad y Ddeiliadaeth (Cymru)'!E111</f>
        <v>3.1212408697362796E-2</v>
      </c>
      <c r="F111" s="128">
        <f>'Rhaniad y Ddeiliadaeth (Cymru)'!F111</f>
        <v>3.1716449662899202E-2</v>
      </c>
      <c r="G111" s="129">
        <f>'Rhaniad y Ddeiliadaeth (Cymru)'!G111</f>
        <v>3.2947319786085505E-2</v>
      </c>
      <c r="O111" s="59"/>
      <c r="P111" s="59"/>
      <c r="Q111" s="59"/>
      <c r="R111" s="59"/>
      <c r="S111" s="58"/>
      <c r="T111" s="60"/>
    </row>
    <row r="112" spans="2:20" ht="13" x14ac:dyDescent="0.3">
      <c r="B112" s="126" t="s">
        <v>287</v>
      </c>
      <c r="C112" s="130">
        <f>INDEX('Prisiau Rhenti'!$D$24:$D$25,MATCH('Rhaniad y Ddeiliadaeth (De-o)'!$D$9,'Prisiau Rhenti'!$B$24:$B$25,0))*(1+C111)</f>
        <v>6177.2174336260032</v>
      </c>
      <c r="D112" s="130">
        <f>C112*(1+D111)</f>
        <v>6366.2459931502026</v>
      </c>
      <c r="E112" s="130">
        <f t="shared" ref="E112:G112" si="6">D112*(1+E111)</f>
        <v>6564.9518649563552</v>
      </c>
      <c r="F112" s="130">
        <f t="shared" si="6"/>
        <v>6773.1688303206001</v>
      </c>
      <c r="G112" s="131">
        <f t="shared" si="6"/>
        <v>6996.3265897383189</v>
      </c>
      <c r="O112" s="59"/>
      <c r="P112" s="59"/>
      <c r="Q112" s="59"/>
      <c r="R112" s="59"/>
      <c r="S112" s="58"/>
      <c r="T112" s="60"/>
    </row>
    <row r="113" spans="2:20" ht="13" x14ac:dyDescent="0.3">
      <c r="B113" s="126" t="s">
        <v>288</v>
      </c>
      <c r="C113" s="130">
        <f>INDEX('Prisiau Rhenti'!$C$24:$C$25,MATCH('Rhaniad y Ddeiliadaeth (De-o)'!$D$9,'Prisiau Rhenti'!$B$24:$B$25,0))*(1+C111)</f>
        <v>5559.495690263403</v>
      </c>
      <c r="D113" s="130">
        <f>C113*(1+D111)</f>
        <v>5729.6213938351821</v>
      </c>
      <c r="E113" s="130">
        <f t="shared" ref="E113:G113" si="7">D113*(1+E111)</f>
        <v>5908.4566784607196</v>
      </c>
      <c r="F113" s="130">
        <f t="shared" si="7"/>
        <v>6095.85194728854</v>
      </c>
      <c r="G113" s="131">
        <f t="shared" si="7"/>
        <v>6296.693930764487</v>
      </c>
      <c r="O113" s="59"/>
      <c r="P113" s="59"/>
      <c r="Q113" s="59"/>
      <c r="R113" s="59"/>
      <c r="S113" s="58"/>
      <c r="T113" s="60"/>
    </row>
    <row r="114" spans="2:20" ht="25.5" x14ac:dyDescent="0.3">
      <c r="B114" s="122" t="s">
        <v>92</v>
      </c>
      <c r="C114" s="327">
        <f>'Rhaniad y Ddeiliadaeth (Cymru)'!C114</f>
        <v>4.03</v>
      </c>
      <c r="D114" s="327">
        <f>'Rhaniad y Ddeiliadaeth (Cymru)'!D114</f>
        <v>4.03</v>
      </c>
      <c r="E114" s="327">
        <f>'Rhaniad y Ddeiliadaeth (Cymru)'!E114</f>
        <v>4.03</v>
      </c>
      <c r="F114" s="327">
        <f>'Rhaniad y Ddeiliadaeth (Cymru)'!F114</f>
        <v>4.03</v>
      </c>
      <c r="G114" s="328">
        <f>'Rhaniad y Ddeiliadaeth (Cymru)'!G114</f>
        <v>4.03</v>
      </c>
      <c r="O114" s="59"/>
      <c r="P114" s="59"/>
      <c r="Q114" s="59"/>
      <c r="R114" s="59"/>
      <c r="S114" s="58"/>
      <c r="T114" s="60"/>
    </row>
    <row r="115" spans="2:20" ht="25.5" x14ac:dyDescent="0.3">
      <c r="B115" s="122" t="s">
        <v>93</v>
      </c>
      <c r="C115" s="132">
        <f>'Rhaniad y Ddeiliadaeth (Cymru)'!C115</f>
        <v>40</v>
      </c>
      <c r="D115" s="132">
        <f>'Rhaniad y Ddeiliadaeth (Cymru)'!D115</f>
        <v>40</v>
      </c>
      <c r="E115" s="132">
        <f>'Rhaniad y Ddeiliadaeth (Cymru)'!E115</f>
        <v>40</v>
      </c>
      <c r="F115" s="132">
        <f>'Rhaniad y Ddeiliadaeth (Cymru)'!F115</f>
        <v>40</v>
      </c>
      <c r="G115" s="133">
        <f>'Rhaniad y Ddeiliadaeth (Cymru)'!G115</f>
        <v>40</v>
      </c>
      <c r="O115" s="59"/>
      <c r="P115" s="59"/>
      <c r="Q115" s="59"/>
      <c r="R115" s="59"/>
      <c r="S115" s="58"/>
      <c r="T115" s="60"/>
    </row>
    <row r="116" spans="2:20" ht="25.5" x14ac:dyDescent="0.3">
      <c r="B116" s="122" t="s">
        <v>289</v>
      </c>
      <c r="C116" s="134" t="str">
        <f>'Rhaniad y Ddeiliadaeth (Cymru)'!C116</f>
        <v>-</v>
      </c>
      <c r="D116" s="134" t="str">
        <f>'Rhaniad y Ddeiliadaeth (Cymru)'!D116</f>
        <v>-</v>
      </c>
      <c r="E116" s="134" t="str">
        <f>'Rhaniad y Ddeiliadaeth (Cymru)'!E116</f>
        <v>-</v>
      </c>
      <c r="F116" s="134" t="str">
        <f>'Rhaniad y Ddeiliadaeth (Cymru)'!F116</f>
        <v>-</v>
      </c>
      <c r="G116" s="135" t="str">
        <f>'Rhaniad y Ddeiliadaeth (Cymru)'!G116</f>
        <v>-</v>
      </c>
      <c r="O116" s="59"/>
      <c r="P116" s="59"/>
      <c r="Q116" s="59"/>
      <c r="R116" s="59"/>
      <c r="S116" s="58"/>
      <c r="T116" s="60"/>
    </row>
    <row r="117" spans="2:20" ht="25.5" x14ac:dyDescent="0.3">
      <c r="B117" s="122" t="s">
        <v>95</v>
      </c>
      <c r="C117" s="134">
        <f>'Rhaniad y Ddeiliadaeth (Cymru)'!C117</f>
        <v>0.35</v>
      </c>
      <c r="D117" s="134">
        <f>'Rhaniad y Ddeiliadaeth (Cymru)'!D117</f>
        <v>0.35</v>
      </c>
      <c r="E117" s="134">
        <f>'Rhaniad y Ddeiliadaeth (Cymru)'!E117</f>
        <v>0.35</v>
      </c>
      <c r="F117" s="134">
        <f>'Rhaniad y Ddeiliadaeth (Cymru)'!F117</f>
        <v>0.35</v>
      </c>
      <c r="G117" s="135">
        <f>'Rhaniad y Ddeiliadaeth (Cymru)'!G117</f>
        <v>0.35</v>
      </c>
      <c r="O117" s="59"/>
      <c r="P117" s="59"/>
      <c r="Q117" s="59"/>
      <c r="R117" s="59"/>
      <c r="S117" s="58"/>
      <c r="T117" s="60"/>
    </row>
    <row r="118" spans="2:20" ht="13" x14ac:dyDescent="0.3">
      <c r="B118" s="127" t="s">
        <v>290</v>
      </c>
      <c r="C118" s="136">
        <f>'Rhaniad y Ddeiliadaeth (Cymru)'!C118</f>
        <v>4.8000000000000001E-2</v>
      </c>
      <c r="D118" s="136">
        <f>'Rhaniad y Ddeiliadaeth (Cymru)'!D118</f>
        <v>5.8299999999999998E-2</v>
      </c>
      <c r="E118" s="136">
        <f>'Rhaniad y Ddeiliadaeth (Cymru)'!E118</f>
        <v>7.0636931849950499E-2</v>
      </c>
      <c r="F118" s="136">
        <f>'Rhaniad y Ddeiliadaeth (Cymru)'!F118</f>
        <v>5.44208712629837E-2</v>
      </c>
      <c r="G118" s="137">
        <f>'Rhaniad y Ddeiliadaeth (Cymru)'!G118</f>
        <v>4.2183728416054896E-2</v>
      </c>
      <c r="O118" s="59"/>
      <c r="P118" s="59"/>
      <c r="Q118" s="59"/>
      <c r="R118" s="59"/>
      <c r="S118" s="58"/>
      <c r="T118" s="60"/>
    </row>
    <row r="119" spans="2:20" ht="14.25" customHeight="1" x14ac:dyDescent="0.3">
      <c r="C119" s="46"/>
      <c r="M119" s="58"/>
      <c r="N119" s="59"/>
      <c r="O119" s="59"/>
      <c r="P119" s="59"/>
      <c r="Q119" s="59"/>
      <c r="R119" s="59"/>
      <c r="S119" s="58"/>
      <c r="T119" s="60"/>
    </row>
    <row r="120" spans="2:20" ht="14.25" customHeight="1" x14ac:dyDescent="0.3">
      <c r="B120" s="85" t="s">
        <v>312</v>
      </c>
      <c r="C120" s="86"/>
      <c r="L120" s="58"/>
      <c r="M120" s="59"/>
      <c r="N120" s="59"/>
      <c r="O120" s="59"/>
      <c r="P120" s="59"/>
      <c r="R120" s="59"/>
      <c r="S120" s="58"/>
      <c r="T120" s="60"/>
    </row>
    <row r="121" spans="2:20" ht="14.25" customHeight="1" x14ac:dyDescent="0.3">
      <c r="B121" s="85" t="s">
        <v>313</v>
      </c>
      <c r="C121" s="87" t="s">
        <v>311</v>
      </c>
      <c r="G121" s="58"/>
      <c r="L121" s="58"/>
      <c r="M121" s="58"/>
      <c r="N121" s="58"/>
      <c r="O121" s="58"/>
      <c r="P121" s="58"/>
      <c r="R121" s="58"/>
      <c r="S121" s="58"/>
      <c r="T121" s="58"/>
    </row>
    <row r="122" spans="2:20" ht="14.25" customHeight="1" x14ac:dyDescent="0.25">
      <c r="B122" s="86" t="s">
        <v>175</v>
      </c>
      <c r="C122" s="86">
        <f>IF(E6="Y",0,1)</f>
        <v>0</v>
      </c>
      <c r="G122" s="58"/>
    </row>
    <row r="123" spans="2:20" ht="14.25" customHeight="1" x14ac:dyDescent="0.25">
      <c r="B123" s="86" t="s">
        <v>165</v>
      </c>
      <c r="C123" s="86">
        <f>IF(E7="Y",0,1)</f>
        <v>0</v>
      </c>
      <c r="G123" s="58"/>
    </row>
    <row r="124" spans="2:20" ht="14.25" customHeight="1" x14ac:dyDescent="0.25">
      <c r="B124" s="86" t="s">
        <v>321</v>
      </c>
      <c r="C124" s="86">
        <f>IF(E8="Y",0,1)</f>
        <v>0</v>
      </c>
      <c r="G124" s="58"/>
    </row>
    <row r="125" spans="2:20" ht="14.25" customHeight="1" x14ac:dyDescent="0.25">
      <c r="B125" s="86" t="s">
        <v>55</v>
      </c>
      <c r="C125" s="86">
        <f>IF(E9="Y",0,1)</f>
        <v>0</v>
      </c>
      <c r="G125" s="58"/>
    </row>
    <row r="126" spans="2:20" ht="14.25" customHeight="1" x14ac:dyDescent="0.3">
      <c r="B126" s="85" t="s">
        <v>325</v>
      </c>
      <c r="C126" s="86"/>
      <c r="G126" s="58"/>
    </row>
    <row r="127" spans="2:20" ht="14.25" customHeight="1" x14ac:dyDescent="0.25">
      <c r="B127" s="86" t="s">
        <v>355</v>
      </c>
      <c r="C127" s="86">
        <f>IF(E11="Y",0,1)</f>
        <v>0</v>
      </c>
      <c r="G127" s="58"/>
    </row>
    <row r="128" spans="2:20" ht="14.25" customHeight="1" x14ac:dyDescent="0.25">
      <c r="B128" s="86" t="s">
        <v>327</v>
      </c>
      <c r="C128" s="86">
        <f>IF(E12="Y",0,1)</f>
        <v>0</v>
      </c>
      <c r="G128" s="58"/>
    </row>
    <row r="129" spans="2:7" ht="14.25" customHeight="1" x14ac:dyDescent="0.3">
      <c r="B129" s="85" t="s">
        <v>323</v>
      </c>
      <c r="C129" s="86"/>
      <c r="G129" s="58"/>
    </row>
    <row r="130" spans="2:7" ht="14.25" customHeight="1" x14ac:dyDescent="0.25">
      <c r="B130" s="86" t="s">
        <v>80</v>
      </c>
      <c r="C130" s="86">
        <f>IF(E14="Y",0,1)</f>
        <v>0</v>
      </c>
      <c r="G130" s="58"/>
    </row>
    <row r="131" spans="2:7" ht="14.25" customHeight="1" x14ac:dyDescent="0.25">
      <c r="B131" s="86" t="s">
        <v>86</v>
      </c>
      <c r="C131" s="86">
        <f>IF(E15="Y",0,1)</f>
        <v>0</v>
      </c>
      <c r="G131" s="58"/>
    </row>
    <row r="132" spans="2:7" ht="14.25" customHeight="1" x14ac:dyDescent="0.25">
      <c r="B132" s="86" t="s">
        <v>117</v>
      </c>
      <c r="C132" s="86">
        <f>IF(E16="Y",0,1)</f>
        <v>0</v>
      </c>
      <c r="G132" s="58"/>
    </row>
    <row r="133" spans="2:7" ht="14.25" customHeight="1" x14ac:dyDescent="0.25">
      <c r="B133" s="86" t="s">
        <v>7</v>
      </c>
      <c r="C133" s="86">
        <f>IF(SUM(C122:C132)&gt;0,1,0)</f>
        <v>0</v>
      </c>
      <c r="G133" s="58"/>
    </row>
    <row r="134" spans="2:7" ht="14.25" customHeight="1" x14ac:dyDescent="0.25">
      <c r="G134" s="58"/>
    </row>
    <row r="135" spans="2:7" ht="14.25" customHeight="1" x14ac:dyDescent="0.3">
      <c r="B135" s="81" t="s">
        <v>319</v>
      </c>
      <c r="C135" s="82"/>
      <c r="G135" s="58"/>
    </row>
    <row r="136" spans="2:7" ht="14.25" customHeight="1" x14ac:dyDescent="0.3">
      <c r="B136" s="81" t="s">
        <v>313</v>
      </c>
      <c r="C136" s="82"/>
      <c r="G136" s="58"/>
    </row>
    <row r="137" spans="2:7" ht="14.25" customHeight="1" x14ac:dyDescent="0.25">
      <c r="B137" s="82" t="s">
        <v>88</v>
      </c>
      <c r="C137" s="82">
        <f>IF(E18="Y",0,1)</f>
        <v>0</v>
      </c>
      <c r="G137" s="58"/>
    </row>
    <row r="138" spans="2:7" ht="14.25" customHeight="1" x14ac:dyDescent="0.3">
      <c r="B138" s="81" t="s">
        <v>325</v>
      </c>
      <c r="C138" s="82"/>
      <c r="G138" s="58"/>
    </row>
    <row r="139" spans="2:7" ht="14.25" customHeight="1" x14ac:dyDescent="0.25">
      <c r="B139" s="82" t="s">
        <v>315</v>
      </c>
      <c r="C139" s="82">
        <f>IF(E20="Y",0,1)</f>
        <v>0</v>
      </c>
      <c r="G139" s="58"/>
    </row>
    <row r="140" spans="2:7" ht="18.75" customHeight="1" x14ac:dyDescent="0.25">
      <c r="B140" s="82" t="s">
        <v>316</v>
      </c>
      <c r="C140" s="82">
        <f>IF(E21="Y",0,1)</f>
        <v>0</v>
      </c>
      <c r="G140" s="58"/>
    </row>
    <row r="141" spans="2:7" ht="18.75" customHeight="1" x14ac:dyDescent="0.25">
      <c r="B141" s="82" t="s">
        <v>322</v>
      </c>
      <c r="C141" s="82">
        <f>IF(E22="Y",0,1)</f>
        <v>1</v>
      </c>
      <c r="G141" s="58"/>
    </row>
    <row r="142" spans="2:7" x14ac:dyDescent="0.25">
      <c r="B142" s="82" t="s">
        <v>326</v>
      </c>
      <c r="C142" s="82">
        <f>IF(E23="Y",0,1)</f>
        <v>0</v>
      </c>
    </row>
    <row r="143" spans="2:7" ht="13" x14ac:dyDescent="0.3">
      <c r="B143" s="81" t="s">
        <v>323</v>
      </c>
      <c r="C143" s="82"/>
    </row>
    <row r="144" spans="2:7" x14ac:dyDescent="0.25">
      <c r="B144" s="82" t="s">
        <v>320</v>
      </c>
      <c r="C144" s="82">
        <f>IF(E25="Y",0,1)</f>
        <v>0</v>
      </c>
    </row>
    <row r="145" spans="2:11" x14ac:dyDescent="0.25">
      <c r="B145" s="82" t="s">
        <v>314</v>
      </c>
      <c r="C145" s="82">
        <f>IF(SUM(C133,C137:C144)=0,0,1)</f>
        <v>1</v>
      </c>
    </row>
    <row r="146" spans="2:11" x14ac:dyDescent="0.25">
      <c r="C146" s="61"/>
      <c r="D146" s="61"/>
      <c r="E146" s="61"/>
      <c r="F146" s="61"/>
      <c r="G146" s="61"/>
      <c r="I146" s="61"/>
    </row>
    <row r="147" spans="2:11" ht="13" x14ac:dyDescent="0.3">
      <c r="B147" s="85" t="s">
        <v>309</v>
      </c>
      <c r="C147" s="86"/>
      <c r="D147" s="86"/>
      <c r="E147" s="86"/>
      <c r="F147" s="86"/>
      <c r="G147" s="86"/>
      <c r="H147" s="86"/>
      <c r="I147" s="86"/>
      <c r="K147" s="58"/>
    </row>
    <row r="148" spans="2:11" x14ac:dyDescent="0.25">
      <c r="B148" s="86" t="str">
        <f>IF(C133=1,"Please complete table to view figures.","")</f>
        <v/>
      </c>
      <c r="C148" s="86" t="str">
        <f>IF($C$133=0,Year1,"")</f>
        <v>2019/20</v>
      </c>
      <c r="D148" s="86" t="str">
        <f>IF($C$133=0, Year2,"")</f>
        <v>2020/21</v>
      </c>
      <c r="E148" s="86" t="str">
        <f>IF($C$133=0,Year3,"")</f>
        <v>2021/22</v>
      </c>
      <c r="F148" s="86" t="str">
        <f>IF($C$133=0,Year4,"")</f>
        <v>2022/23</v>
      </c>
      <c r="G148" s="86" t="str">
        <f>IF($C$133=0,Year5,"")</f>
        <v>2023/24</v>
      </c>
      <c r="H148" s="86"/>
      <c r="I148" s="86"/>
      <c r="K148" s="58"/>
    </row>
    <row r="149" spans="2:11" x14ac:dyDescent="0.25">
      <c r="B149" s="86" t="str">
        <f>IF($C$133=0,"Tai'r Farchnad","")</f>
        <v>Tai'r Farchnad</v>
      </c>
      <c r="C149" s="88">
        <f>IF($C$133=0,'Cyfrifiadau - De-orllewin'!C29,"")</f>
        <v>859.44671905517578</v>
      </c>
      <c r="D149" s="88">
        <f>IF($C$133=0,'Cyfrifiadau - De-orllewin'!D29,"")</f>
        <v>895.26459732055662</v>
      </c>
      <c r="E149" s="88">
        <f>IF($C$133=0,'Cyfrifiadau - De-orllewin'!E29,"")</f>
        <v>970.95359481811522</v>
      </c>
      <c r="F149" s="88">
        <f>IF($C$133=0,'Cyfrifiadau - De-orllewin'!F29,"")</f>
        <v>950.31790328979491</v>
      </c>
      <c r="G149" s="88">
        <f>IF($C$133=0,'Cyfrifiadau - De-orllewin'!G29,"")</f>
        <v>892.5205004882813</v>
      </c>
      <c r="H149" s="86"/>
      <c r="I149" s="86"/>
      <c r="K149" s="58"/>
    </row>
    <row r="150" spans="2:11" x14ac:dyDescent="0.25">
      <c r="B150" s="86" t="str">
        <f>IF($C$133=0,"Tai fforddiadwy","")</f>
        <v>Tai fforddiadwy</v>
      </c>
      <c r="C150" s="88">
        <f>IF($C$133=0,'Cyfrifiadau - De-orllewin'!C30,"")</f>
        <v>692.35442230224601</v>
      </c>
      <c r="D150" s="88">
        <f>IF($C$133=0,'Cyfrifiadau - De-orllewin'!D30,"")</f>
        <v>713.39031906127923</v>
      </c>
      <c r="E150" s="88">
        <f>IF($C$133=0,'Cyfrifiadau - De-orllewin'!E30,"")</f>
        <v>757.84258743286125</v>
      </c>
      <c r="F150" s="88">
        <f>IF($C$133=0,'Cyfrifiadau - De-orllewin'!F30,"")</f>
        <v>745.72321304321281</v>
      </c>
      <c r="G150" s="88">
        <f>IF($C$133=0,'Cyfrifiadau - De-orllewin'!G30,"")</f>
        <v>734.62869384765611</v>
      </c>
      <c r="H150" s="86"/>
      <c r="I150" s="86"/>
      <c r="K150" s="58"/>
    </row>
    <row r="151" spans="2:11" x14ac:dyDescent="0.25">
      <c r="B151" s="86" t="str">
        <f>IF(C133=1,"Please complete table to view figures.","")</f>
        <v/>
      </c>
      <c r="C151" s="86" t="str">
        <f>IF($C$133=0,Year1,"")</f>
        <v>2019/20</v>
      </c>
      <c r="D151" s="86" t="str">
        <f>IF($C$133=0, Year2,"")</f>
        <v>2020/21</v>
      </c>
      <c r="E151" s="86" t="str">
        <f>IF($C$133=0,Year3,"")</f>
        <v>2021/22</v>
      </c>
      <c r="F151" s="86" t="str">
        <f>IF($C$133=0,Year4,"")</f>
        <v>2022/23</v>
      </c>
      <c r="G151" s="86" t="str">
        <f>IF($C$133=0,Year5,"")</f>
        <v>2023/24</v>
      </c>
      <c r="H151" s="86"/>
      <c r="I151" s="86" t="str">
        <f>IF($C$133=1,"","Rhaniad 5 mlynedd")</f>
        <v>Rhaniad 5 mlynedd</v>
      </c>
      <c r="K151" s="58"/>
    </row>
    <row r="152" spans="2:11" x14ac:dyDescent="0.25">
      <c r="B152" s="86" t="str">
        <f>IF($C$133=0,"Tai'r Farchnad","")</f>
        <v>Tai'r Farchnad</v>
      </c>
      <c r="C152" s="89">
        <f>IF($C$133=1,"",C149/SUM(C$149:C$150))</f>
        <v>0.55383817948695657</v>
      </c>
      <c r="D152" s="89">
        <f t="shared" ref="D152:G153" si="8">IF($C$133=1,"",D149/SUM(D$149:D$150))</f>
        <v>0.55652992335619955</v>
      </c>
      <c r="E152" s="89">
        <f t="shared" si="8"/>
        <v>0.56163566578096358</v>
      </c>
      <c r="F152" s="89">
        <f t="shared" si="8"/>
        <v>0.56031536861822495</v>
      </c>
      <c r="G152" s="89">
        <f t="shared" si="8"/>
        <v>0.54851792545829303</v>
      </c>
      <c r="H152" s="86"/>
      <c r="I152" s="89">
        <f>IF($C$133=1,"",SUM(C149:G149)/SUM($C$149:$G$150))</f>
        <v>0.55629044426073071</v>
      </c>
      <c r="K152" s="58"/>
    </row>
    <row r="153" spans="2:11" x14ac:dyDescent="0.25">
      <c r="B153" s="86" t="str">
        <f>IF($C$133=0,"Tai fforddiadwy","")</f>
        <v>Tai fforddiadwy</v>
      </c>
      <c r="C153" s="89">
        <f>IF($C$133=1,"",C150/SUM(C$149:C$150))</f>
        <v>0.44616182051304348</v>
      </c>
      <c r="D153" s="89">
        <f t="shared" si="8"/>
        <v>0.4434700766438005</v>
      </c>
      <c r="E153" s="89">
        <f t="shared" si="8"/>
        <v>0.43836433421903642</v>
      </c>
      <c r="F153" s="89">
        <f t="shared" si="8"/>
        <v>0.4396846313817751</v>
      </c>
      <c r="G153" s="89">
        <f t="shared" si="8"/>
        <v>0.45148207454170697</v>
      </c>
      <c r="H153" s="86"/>
      <c r="I153" s="89">
        <f>IF($C$133=1,"",SUM(C150:G150)/SUM($C$149:$G$150))</f>
        <v>0.44370955573926912</v>
      </c>
      <c r="K153" s="58"/>
    </row>
    <row r="154" spans="2:11" x14ac:dyDescent="0.25">
      <c r="C154" s="61"/>
      <c r="D154" s="61"/>
      <c r="E154" s="61"/>
      <c r="F154" s="61"/>
      <c r="G154" s="61"/>
      <c r="I154" s="61"/>
      <c r="K154" s="58"/>
    </row>
    <row r="155" spans="2:11" x14ac:dyDescent="0.25">
      <c r="C155" s="61"/>
      <c r="D155" s="61"/>
      <c r="E155" s="61"/>
      <c r="F155" s="61"/>
      <c r="G155" s="61"/>
      <c r="I155" s="61"/>
      <c r="K155" s="58"/>
    </row>
    <row r="156" spans="2:11" ht="13" x14ac:dyDescent="0.3">
      <c r="B156" s="81" t="s">
        <v>310</v>
      </c>
      <c r="C156" s="82"/>
      <c r="D156" s="82"/>
      <c r="E156" s="82"/>
      <c r="F156" s="82"/>
      <c r="G156" s="82"/>
      <c r="H156" s="82"/>
      <c r="I156" s="82"/>
      <c r="K156" s="58"/>
    </row>
    <row r="157" spans="2:11" x14ac:dyDescent="0.25">
      <c r="B157" s="82" t="str">
        <f>IF(C145=1,"Cwblhewch y tabl i weld amcangyfrifon wedi'u rhannu'n 4 deiliadaeth.","")</f>
        <v>Cwblhewch y tabl i weld amcangyfrifon wedi'u rhannu'n 4 deiliadaeth.</v>
      </c>
      <c r="C157" s="83" t="str">
        <f>IF($C$145=0,Year1,"")</f>
        <v/>
      </c>
      <c r="D157" s="83" t="str">
        <f>IF($C$145=0,Year2,"")</f>
        <v/>
      </c>
      <c r="E157" s="83" t="str">
        <f>IF($C$145=0,Year3,"")</f>
        <v/>
      </c>
      <c r="F157" s="83" t="str">
        <f>IF($C$145=0,Year4,"")</f>
        <v/>
      </c>
      <c r="G157" s="83" t="str">
        <f>IF($C$145=0,Year5,"")</f>
        <v/>
      </c>
      <c r="H157" s="82"/>
      <c r="I157" s="82"/>
      <c r="K157" s="58"/>
    </row>
    <row r="158" spans="2:11" x14ac:dyDescent="0.25">
      <c r="B158" s="82" t="str">
        <f>IF($C$145=0,"Perchen-feddiannydd","")</f>
        <v/>
      </c>
      <c r="C158" s="83" t="str">
        <f>IF($C$145=0,'Cyfrifiadau - De-orllewin'!C59,"")</f>
        <v/>
      </c>
      <c r="D158" s="83" t="str">
        <f>IF($C$145=0,'Cyfrifiadau - De-orllewin'!D59,"")</f>
        <v/>
      </c>
      <c r="E158" s="83" t="str">
        <f>IF($C$145=0,'Cyfrifiadau - De-orllewin'!E59,"")</f>
        <v/>
      </c>
      <c r="F158" s="83" t="str">
        <f>IF($C$145=0,'Cyfrifiadau - De-orllewin'!F59,"")</f>
        <v/>
      </c>
      <c r="G158" s="83" t="str">
        <f>IF($C$145=0,'Cyfrifiadau - De-orllewin'!G59,"")</f>
        <v/>
      </c>
      <c r="H158" s="82"/>
      <c r="I158" s="82"/>
      <c r="K158" s="58"/>
    </row>
    <row r="159" spans="2:11" x14ac:dyDescent="0.25">
      <c r="B159" s="82" t="str">
        <f>IF($C$145=0,"Y Sector Rhenti Preifat","")</f>
        <v/>
      </c>
      <c r="C159" s="83" t="str">
        <f>IF($C$145=0,'Cyfrifiadau - De-orllewin'!C60,"")</f>
        <v/>
      </c>
      <c r="D159" s="83" t="str">
        <f>IF($C$145=0,'Cyfrifiadau - De-orllewin'!D60,"")</f>
        <v/>
      </c>
      <c r="E159" s="83" t="str">
        <f>IF($C$145=0,'Cyfrifiadau - De-orllewin'!E60,"")</f>
        <v/>
      </c>
      <c r="F159" s="83" t="str">
        <f>IF($C$145=0,'Cyfrifiadau - De-orllewin'!F60,"")</f>
        <v/>
      </c>
      <c r="G159" s="83" t="str">
        <f>IF($C$145=0,'Cyfrifiadau - De-orllewin'!G60,"")</f>
        <v/>
      </c>
      <c r="H159" s="82"/>
      <c r="I159" s="82"/>
      <c r="K159" s="58"/>
    </row>
    <row r="160" spans="2:11" x14ac:dyDescent="0.25">
      <c r="B160" s="82" t="str">
        <f>IF($C$145=0,"Rhent gymdeithasol","")</f>
        <v/>
      </c>
      <c r="C160" s="83" t="str">
        <f>IF($C$145=0,'Cyfrifiadau - De-orllewin'!C61,"")</f>
        <v/>
      </c>
      <c r="D160" s="83" t="str">
        <f>IF($C$145=0,'Cyfrifiadau - De-orllewin'!D61,"")</f>
        <v/>
      </c>
      <c r="E160" s="83" t="str">
        <f>IF($C$145=0,'Cyfrifiadau - De-orllewin'!E61,"")</f>
        <v/>
      </c>
      <c r="F160" s="83" t="str">
        <f>IF($C$145=0,'Cyfrifiadau - De-orllewin'!F61,"")</f>
        <v/>
      </c>
      <c r="G160" s="83" t="str">
        <f>IF($C$145=0,'Cyfrifiadau - De-orllewin'!G61,"")</f>
        <v/>
      </c>
      <c r="H160" s="82"/>
      <c r="I160" s="82"/>
      <c r="K160" s="58"/>
    </row>
    <row r="161" spans="2:24" x14ac:dyDescent="0.25">
      <c r="B161" s="82" t="str">
        <f>IF($C$145=0,"Rhent ganolradd","")</f>
        <v/>
      </c>
      <c r="C161" s="83" t="str">
        <f>IF($C$145=0,'Cyfrifiadau - De-orllewin'!C62,"")</f>
        <v/>
      </c>
      <c r="D161" s="83" t="str">
        <f>IF($C$145=0,'Cyfrifiadau - De-orllewin'!D62,"")</f>
        <v/>
      </c>
      <c r="E161" s="83" t="str">
        <f>IF($C$145=0,'Cyfrifiadau - De-orllewin'!E62,"")</f>
        <v/>
      </c>
      <c r="F161" s="83" t="str">
        <f>IF($C$145=0,'Cyfrifiadau - De-orllewin'!F62,"")</f>
        <v/>
      </c>
      <c r="G161" s="83" t="str">
        <f>IF($C$145=0,'Cyfrifiadau - De-orllewin'!G62,"")</f>
        <v/>
      </c>
      <c r="H161" s="82"/>
      <c r="I161" s="82"/>
      <c r="K161" s="58"/>
    </row>
    <row r="162" spans="2:24" x14ac:dyDescent="0.25">
      <c r="B162" s="82" t="str">
        <f>IF(C145=1,"Cwblhewch y tabl i weld amcangyfrifon wedi'u rhannu'n 4 deiliadaeth.","")</f>
        <v>Cwblhewch y tabl i weld amcangyfrifon wedi'u rhannu'n 4 deiliadaeth.</v>
      </c>
      <c r="C162" s="83" t="str">
        <f>IF($C$145=0,Year1,"")</f>
        <v/>
      </c>
      <c r="D162" s="83" t="str">
        <f>IF($C$145=0,Year2,"")</f>
        <v/>
      </c>
      <c r="E162" s="83" t="str">
        <f>IF($C$145=0,Year3,"")</f>
        <v/>
      </c>
      <c r="F162" s="83" t="str">
        <f>IF($C$145=0,Year4,"")</f>
        <v/>
      </c>
      <c r="G162" s="83" t="str">
        <f>IF($C$145=0,Year5,"")</f>
        <v/>
      </c>
      <c r="H162" s="82"/>
      <c r="I162" s="522" t="str">
        <f>IF(C145=1,"","Rhaniad 5 mlynedd")</f>
        <v/>
      </c>
      <c r="J162" s="522"/>
      <c r="K162" s="58"/>
    </row>
    <row r="163" spans="2:24" x14ac:dyDescent="0.25">
      <c r="B163" s="82" t="str">
        <f>IF($C$145=0,"Perchen-feddiannydd","")</f>
        <v/>
      </c>
      <c r="C163" s="84" t="str">
        <f>IF($C$145=1,"",C158/SUM(C$158:C$161))</f>
        <v/>
      </c>
      <c r="D163" s="84" t="str">
        <f t="shared" ref="D163:G163" si="9">IF($C$145=1,"",D158/SUM(D$158:D$161))</f>
        <v/>
      </c>
      <c r="E163" s="84" t="str">
        <f t="shared" si="9"/>
        <v/>
      </c>
      <c r="F163" s="84" t="str">
        <f t="shared" si="9"/>
        <v/>
      </c>
      <c r="G163" s="84" t="str">
        <f t="shared" si="9"/>
        <v/>
      </c>
      <c r="H163" s="82"/>
      <c r="I163" s="84" t="str">
        <f>IF($C$145=1,"",SUM(C158:G158)/SUM($C$158:$G$161))</f>
        <v/>
      </c>
      <c r="K163" s="58"/>
    </row>
    <row r="164" spans="2:24" x14ac:dyDescent="0.25">
      <c r="B164" s="82" t="str">
        <f>IF($C$145=0,"Y Sector Rhenti Preifat","")</f>
        <v/>
      </c>
      <c r="C164" s="84" t="str">
        <f t="shared" ref="C164:G166" si="10">IF($C$145=1,"",C159/SUM(C$158:C$161))</f>
        <v/>
      </c>
      <c r="D164" s="84" t="str">
        <f t="shared" si="10"/>
        <v/>
      </c>
      <c r="E164" s="84" t="str">
        <f t="shared" si="10"/>
        <v/>
      </c>
      <c r="F164" s="84" t="str">
        <f t="shared" si="10"/>
        <v/>
      </c>
      <c r="G164" s="84" t="str">
        <f t="shared" si="10"/>
        <v/>
      </c>
      <c r="H164" s="82"/>
      <c r="I164" s="84" t="str">
        <f t="shared" ref="I164:I166" si="11">IF($C$145=1,"",SUM(C159:G159)/SUM($C$158:$G$161))</f>
        <v/>
      </c>
      <c r="K164" s="58"/>
    </row>
    <row r="165" spans="2:24" x14ac:dyDescent="0.25">
      <c r="B165" s="82" t="str">
        <f>IF($C$145=0,"Rhent gymdeithasol","")</f>
        <v/>
      </c>
      <c r="C165" s="84" t="str">
        <f t="shared" si="10"/>
        <v/>
      </c>
      <c r="D165" s="84" t="str">
        <f t="shared" si="10"/>
        <v/>
      </c>
      <c r="E165" s="84" t="str">
        <f t="shared" si="10"/>
        <v/>
      </c>
      <c r="F165" s="84" t="str">
        <f t="shared" si="10"/>
        <v/>
      </c>
      <c r="G165" s="84" t="str">
        <f t="shared" si="10"/>
        <v/>
      </c>
      <c r="H165" s="82"/>
      <c r="I165" s="84" t="str">
        <f t="shared" si="11"/>
        <v/>
      </c>
      <c r="K165" s="58"/>
    </row>
    <row r="166" spans="2:24" x14ac:dyDescent="0.25">
      <c r="B166" s="82" t="str">
        <f>IF($C$145=0,"Rhent ganolradd","")</f>
        <v/>
      </c>
      <c r="C166" s="84" t="str">
        <f>IF($C$145=1,"",C161/SUM(C$158:C$161))</f>
        <v/>
      </c>
      <c r="D166" s="84" t="str">
        <f t="shared" si="10"/>
        <v/>
      </c>
      <c r="E166" s="84" t="str">
        <f t="shared" si="10"/>
        <v/>
      </c>
      <c r="F166" s="84" t="str">
        <f t="shared" si="10"/>
        <v/>
      </c>
      <c r="G166" s="84" t="str">
        <f t="shared" si="10"/>
        <v/>
      </c>
      <c r="H166" s="82"/>
      <c r="I166" s="84" t="str">
        <f t="shared" si="11"/>
        <v/>
      </c>
      <c r="K166" s="58"/>
    </row>
    <row r="167" spans="2:24" x14ac:dyDescent="0.25">
      <c r="C167" s="61"/>
      <c r="D167" s="61"/>
      <c r="E167" s="61"/>
      <c r="F167" s="61"/>
      <c r="G167" s="61"/>
      <c r="I167" s="61"/>
      <c r="K167" s="58"/>
    </row>
    <row r="168" spans="2:24" ht="13" hidden="1" x14ac:dyDescent="0.3">
      <c r="B168" s="46" t="s">
        <v>307</v>
      </c>
      <c r="C168" s="61"/>
      <c r="D168" s="61"/>
      <c r="E168" s="61"/>
      <c r="F168" s="61"/>
      <c r="G168" s="61"/>
      <c r="I168" s="61"/>
    </row>
    <row r="169" spans="2:24" hidden="1" x14ac:dyDescent="0.25">
      <c r="C169" s="61" t="s">
        <v>362</v>
      </c>
      <c r="D169" s="61" t="s">
        <v>356</v>
      </c>
      <c r="E169" s="61" t="s">
        <v>357</v>
      </c>
      <c r="F169" s="61" t="s">
        <v>358</v>
      </c>
      <c r="G169" s="61" t="s">
        <v>359</v>
      </c>
      <c r="H169" s="61" t="s">
        <v>360</v>
      </c>
      <c r="I169" s="61" t="s">
        <v>361</v>
      </c>
      <c r="J169" s="58" t="e">
        <f>". Mae gan brynwyr am y tro cyntaf gymhareb fforddiadwyedd o "&amp;C175&amp;" a gallant brynu eiddo am y tro cyntaf yn ôl  "&amp;C176&amp;" canradd dosbarthiad prisiau tai.. "&amp;C177</f>
        <v>#VALUE!</v>
      </c>
    </row>
    <row r="170" spans="2:24" hidden="1" x14ac:dyDescent="0.25">
      <c r="B170" s="47" t="s">
        <v>220</v>
      </c>
      <c r="C170" s="383" t="str">
        <f>IF(D6="Amcanestyniadau Defnyddwyr","amcanestyniadau'r aelwyd gan y defnyddiwr,",("amcanestyniadau aelwydydd gan Llywodraeth Cymru sy'n seiliedig ar 2018 "&amp;"("&amp;D6&amp;")"))</f>
        <v>amcanestyniadau aelwydydd gan Llywodraeth Cymru sy'n seiliedig ar 2018 (Prif Amcanestyniadau)</v>
      </c>
      <c r="D170" s="61"/>
      <c r="E170" s="61"/>
      <c r="F170" s="61"/>
      <c r="G170" s="61"/>
      <c r="I170" s="61"/>
    </row>
    <row r="171" spans="2:24" ht="15" hidden="1" customHeight="1" x14ac:dyDescent="0.25">
      <c r="B171" s="47" t="s">
        <v>165</v>
      </c>
      <c r="C171" s="384" t="str">
        <f>IF(D7="Amcangyfrifon LlC",'Angen Presennol Nas Diwallwyd'!C13,'Angen Presennol Nas Diwallwyd'!C24)&amp;" aelwydydd o ran angen presennol nas diwallwyd "</f>
        <v xml:space="preserve">5732 aelwydydd o ran angen presennol nas diwallwyd </v>
      </c>
      <c r="D171" s="61"/>
      <c r="E171" s="61"/>
      <c r="F171" s="61"/>
      <c r="G171" s="61"/>
      <c r="J171" s="390"/>
      <c r="K171" s="62"/>
      <c r="L171" s="62"/>
      <c r="M171" s="62"/>
      <c r="N171" s="62"/>
      <c r="O171" s="62"/>
      <c r="P171" s="62"/>
      <c r="R171" s="62"/>
      <c r="S171" s="62"/>
      <c r="T171" s="62"/>
      <c r="U171" s="62"/>
      <c r="V171" s="62"/>
      <c r="W171" s="62"/>
      <c r="X171" s="62"/>
    </row>
    <row r="172" spans="2:24" hidden="1" x14ac:dyDescent="0.25">
      <c r="B172" s="47" t="s">
        <v>321</v>
      </c>
      <c r="C172" s="61" t="str">
        <f>IF(D8="Arall", " amcangyfrifon defnyddwyr "," Ddata Llywodraeth Cymru ")</f>
        <v xml:space="preserve"> Ddata Llywodraeth Cymru </v>
      </c>
      <c r="D172" s="61"/>
      <c r="E172" s="61"/>
      <c r="F172" s="61"/>
      <c r="G172" s="61"/>
      <c r="I172" s="62"/>
      <c r="J172" s="390"/>
      <c r="K172" s="62"/>
      <c r="L172" s="62"/>
      <c r="M172" s="62"/>
      <c r="N172" s="62"/>
      <c r="O172" s="62"/>
      <c r="P172" s="62"/>
      <c r="R172" s="62"/>
      <c r="S172" s="62"/>
      <c r="T172" s="62"/>
      <c r="U172" s="62"/>
      <c r="V172" s="62"/>
      <c r="W172" s="62"/>
      <c r="X172" s="62"/>
    </row>
    <row r="173" spans="2:24" hidden="1" x14ac:dyDescent="0.25">
      <c r="B173" s="47" t="s">
        <v>88</v>
      </c>
      <c r="C173" s="61" t="str">
        <f>IF(D18="Arall", " amcangyfrifon defnyddwyr"," Ddata Cofrestrfa Tir")</f>
        <v xml:space="preserve"> Ddata Cofrestrfa Tir</v>
      </c>
      <c r="D173" s="61"/>
      <c r="E173" s="61"/>
      <c r="F173" s="61"/>
      <c r="G173" s="61"/>
      <c r="I173" s="62"/>
      <c r="J173" s="390"/>
      <c r="K173" s="62"/>
      <c r="L173" s="62"/>
      <c r="M173" s="62"/>
      <c r="N173" s="62"/>
      <c r="O173" s="62"/>
      <c r="P173" s="62"/>
      <c r="R173" s="62"/>
      <c r="S173" s="62"/>
      <c r="T173" s="62"/>
      <c r="U173" s="62"/>
      <c r="V173" s="62"/>
      <c r="W173" s="62"/>
      <c r="X173" s="62"/>
    </row>
    <row r="174" spans="2:24" hidden="1" x14ac:dyDescent="0.25">
      <c r="B174" s="47" t="s">
        <v>55</v>
      </c>
      <c r="C174" s="61" t="str">
        <f>IF(D9="Arall", " amcangyfrifon defnyddwyr"," Ddata Llywodraeth Cymru")</f>
        <v xml:space="preserve"> Ddata Llywodraeth Cymru</v>
      </c>
      <c r="D174" s="61"/>
      <c r="E174" s="61"/>
      <c r="F174" s="61"/>
      <c r="G174" s="61"/>
      <c r="I174" s="62"/>
      <c r="J174" s="390"/>
      <c r="K174" s="62"/>
      <c r="L174" s="62"/>
      <c r="M174" s="62"/>
      <c r="N174" s="62"/>
      <c r="O174" s="62"/>
      <c r="P174" s="62"/>
      <c r="R174" s="62"/>
      <c r="S174" s="62"/>
      <c r="T174" s="62"/>
      <c r="U174" s="62"/>
      <c r="V174" s="62"/>
      <c r="W174" s="62"/>
      <c r="X174" s="62"/>
    </row>
    <row r="175" spans="2:24" hidden="1" x14ac:dyDescent="0.25">
      <c r="B175" s="47" t="s">
        <v>315</v>
      </c>
      <c r="C175" s="385">
        <f>C114</f>
        <v>4.03</v>
      </c>
      <c r="D175" s="61"/>
      <c r="E175" s="61"/>
      <c r="F175" s="61"/>
      <c r="G175" s="61"/>
      <c r="I175" s="62"/>
      <c r="J175" s="390"/>
      <c r="K175" s="62"/>
      <c r="L175" s="62"/>
      <c r="M175" s="62"/>
      <c r="N175" s="62"/>
      <c r="O175" s="62"/>
      <c r="P175" s="62"/>
      <c r="R175" s="62"/>
      <c r="S175" s="62"/>
      <c r="T175" s="62"/>
      <c r="U175" s="62"/>
      <c r="V175" s="62"/>
      <c r="W175" s="62"/>
      <c r="X175" s="62"/>
    </row>
    <row r="176" spans="2:24" hidden="1" x14ac:dyDescent="0.25">
      <c r="B176" s="47" t="s">
        <v>316</v>
      </c>
      <c r="C176" s="385">
        <f>C115</f>
        <v>40</v>
      </c>
      <c r="D176" s="61"/>
      <c r="E176" s="61"/>
      <c r="F176" s="61"/>
      <c r="G176" s="61"/>
      <c r="I176" s="62"/>
      <c r="J176" s="390"/>
      <c r="K176" s="62"/>
      <c r="L176" s="62"/>
      <c r="M176" s="62"/>
      <c r="N176" s="62"/>
      <c r="O176" s="62"/>
      <c r="P176" s="62"/>
      <c r="R176" s="62"/>
      <c r="S176" s="62"/>
      <c r="T176" s="62"/>
      <c r="U176" s="62"/>
      <c r="V176" s="62"/>
      <c r="W176" s="62"/>
      <c r="X176" s="62"/>
    </row>
    <row r="177" spans="2:23" hidden="1" x14ac:dyDescent="0.25">
      <c r="B177" s="47" t="s">
        <v>322</v>
      </c>
      <c r="C177" s="383" t="e">
        <f>C116*100&amp;"% o brynwyr potensial am y tro cyntaf sy'n mynd ymlaen i brynu eiddo. "</f>
        <v>#VALUE!</v>
      </c>
      <c r="D177" s="61"/>
      <c r="E177" s="61"/>
      <c r="F177" s="61"/>
      <c r="G177" s="61"/>
      <c r="I177" s="62"/>
      <c r="J177" s="390"/>
      <c r="K177" s="62"/>
      <c r="L177" s="62"/>
      <c r="M177" s="62"/>
      <c r="N177" s="62"/>
      <c r="O177" s="62"/>
      <c r="P177" s="62"/>
      <c r="R177" s="62"/>
      <c r="S177" s="62"/>
      <c r="T177" s="62"/>
      <c r="U177" s="62"/>
      <c r="V177" s="62"/>
      <c r="W177" s="62"/>
    </row>
    <row r="178" spans="2:23" hidden="1" x14ac:dyDescent="0.25">
      <c r="B178" s="47" t="s">
        <v>355</v>
      </c>
      <c r="C178" s="61" t="str">
        <f>"Gall aelwydydd sy'n gwario "&amp;C108*100&amp;"% o incwm yr aelwyd ar rent preifat canolrifol fforddio rhent preifat,"</f>
        <v>Gall aelwydydd sy'n gwario 30% o incwm yr aelwyd ar rent preifat canolrifol fforddio rhent preifat,</v>
      </c>
      <c r="D178" s="61"/>
      <c r="E178" s="61"/>
      <c r="F178" s="61"/>
      <c r="G178" s="61"/>
      <c r="I178" s="61"/>
    </row>
    <row r="179" spans="2:23" hidden="1" x14ac:dyDescent="0.25">
      <c r="B179" s="47" t="s">
        <v>326</v>
      </c>
      <c r="C179" s="61" t="str">
        <f>"Mae aelwydydd sy'n gwario "&amp;C117*100&amp;"% o incwm yr aelwyd ar rent preifat 30 canradd yn addas ar gyfer dai cymdeithasol."</f>
        <v>Mae aelwydydd sy'n gwario 35% o incwm yr aelwyd ar rent preifat 30 canradd yn addas ar gyfer dai cymdeithasol.</v>
      </c>
      <c r="D179" s="61"/>
      <c r="E179" s="61"/>
      <c r="F179" s="61"/>
      <c r="G179" s="61"/>
      <c r="I179" s="61"/>
    </row>
    <row r="180" spans="2:23" hidden="1" x14ac:dyDescent="0.25">
      <c r="B180" s="47" t="s">
        <v>327</v>
      </c>
      <c r="C180" s="61" t="str">
        <f>" a fydd yn cymryd "&amp;'Angen Presennol Nas Diwallwyd'!C29&amp;" mlynedd i'w diwallu."</f>
        <v xml:space="preserve"> a fydd yn cymryd 5 mlynedd i'w diwallu.</v>
      </c>
      <c r="D180" s="61"/>
      <c r="E180" s="61"/>
      <c r="F180" s="61"/>
      <c r="G180" s="61"/>
      <c r="I180" s="61"/>
    </row>
    <row r="181" spans="2:23" hidden="1" x14ac:dyDescent="0.25">
      <c r="B181" s="47" t="s">
        <v>80</v>
      </c>
      <c r="C181" s="61" t="str">
        <f>". Mae'r newid blynyddol i incwm canolrifol yr aelwyd yn seiliedig ar "&amp;IF(D14="Arall","amcangyfrifon defnyddwyr","amcangyfrifon wedi'u rhagosod")</f>
        <v>. Mae'r newid blynyddol i incwm canolrifol yr aelwyd yn seiliedig ar amcangyfrifon wedi'u rhagosod</v>
      </c>
      <c r="D181" s="61"/>
      <c r="E181" s="61"/>
      <c r="F181" s="61"/>
      <c r="G181" s="61"/>
      <c r="I181" s="61"/>
    </row>
    <row r="182" spans="2:23" hidden="1" x14ac:dyDescent="0.25">
      <c r="B182" s="47" t="s">
        <v>86</v>
      </c>
      <c r="C182" s="61" t="str">
        <f>", mae'r newid blynyddol i ddosbarthiad incwm yr aelwyd yn seiliedig ar "&amp;IF(D15="Arall","amcangyfrifon defnyddwyr","amcangyfrifon wedi'u rhagosod")</f>
        <v>, mae'r newid blynyddol i ddosbarthiad incwm yr aelwyd yn seiliedig ar amcangyfrifon wedi'u rhagosod</v>
      </c>
      <c r="D182" s="61"/>
      <c r="E182" s="61"/>
      <c r="F182" s="61"/>
      <c r="G182" s="61"/>
      <c r="I182" s="61"/>
    </row>
    <row r="183" spans="2:23" hidden="1" x14ac:dyDescent="0.25">
      <c r="B183" s="47" t="s">
        <v>320</v>
      </c>
      <c r="C183" s="61" t="str">
        <f>", mae'r newid blynyddol i brisiau tai yn seiliedig ar "&amp;IF(D25="Arall","amcangyfrifon defnyddwyr","amcangyfrifon wedi'u rhagosod")</f>
        <v>, mae'r newid blynyddol i brisiau tai yn seiliedig ar amcangyfrifon wedi'u rhagosod</v>
      </c>
      <c r="D183" s="61"/>
      <c r="E183" s="61"/>
      <c r="F183" s="61"/>
      <c r="G183" s="61"/>
      <c r="I183" s="61"/>
    </row>
    <row r="184" spans="2:23" hidden="1" x14ac:dyDescent="0.25">
      <c r="B184" s="47" t="s">
        <v>117</v>
      </c>
      <c r="C184" s="61" t="str">
        <f>" ac mae'r newid blynyddol i brisiau rhenti yn seiliedig ar "&amp;IF(D16="Arall","amcangyfrifon y defnyddwyr","amcangyfrifon wedi'u rhagosod.")</f>
        <v xml:space="preserve"> ac mae'r newid blynyddol i brisiau rhenti yn seiliedig ar amcangyfrifon wedi'u rhagosod.</v>
      </c>
      <c r="D184" s="61"/>
      <c r="E184" s="61"/>
      <c r="F184" s="61"/>
      <c r="G184" s="61"/>
      <c r="I184" s="61"/>
    </row>
    <row r="185" spans="2:23" hidden="1" x14ac:dyDescent="0.25">
      <c r="C185" s="61"/>
      <c r="D185" s="61"/>
      <c r="E185" s="61"/>
      <c r="F185" s="61"/>
      <c r="G185" s="61"/>
      <c r="I185" s="61"/>
    </row>
    <row r="186" spans="2:23" ht="13" hidden="1" x14ac:dyDescent="0.3">
      <c r="B186" s="387" t="s">
        <v>308</v>
      </c>
      <c r="C186" s="61"/>
      <c r="D186" s="61"/>
      <c r="E186" s="61"/>
      <c r="F186" s="61"/>
      <c r="G186" s="61"/>
      <c r="I186" s="61"/>
    </row>
    <row r="187" spans="2:23" hidden="1" x14ac:dyDescent="0.25">
      <c r="B187" s="388" t="str">
        <f>C169&amp;E169&amp;C170&amp;F169&amp;C171&amp;C180&amp;H169&amp;C172&amp;I169&amp;C174&amp;C181&amp;C182&amp;C184</f>
        <v>Mae'r ffigurau isod yn rhannu yr amcangyfrifon o'r angen am dai yn 2 deiliadaeth ac maent yn seiliedig ar y rhagdybiaethau canlynol. Mae amcangyfrifon sylfaenol yr unedau tai ychwanegol wedi'u seilio ar  amcanestyniadau aelwydydd gan Llywodraeth Cymru sy'n seiliedig ar 2018 (Prif Amcanestyniadau), ac amcangyfrif o 5732 aelwydydd o ran angen presennol nas diwallwyd  a fydd yn cymryd 5 mlynedd i'w diwallu.Mae data ar incwm yn seiliedig ar  Ddata Llywodraeth Cymru ac mae data ar renti preifat yn seiliedig ar  Ddata Llywodraeth Cymru. Mae'r newid blynyddol i incwm canolrifol yr aelwyd yn seiliedig ar amcangyfrifon wedi'u rhagosod, mae'r newid blynyddol i ddosbarthiad incwm yr aelwyd yn seiliedig ar amcangyfrifon wedi'u rhagosod ac mae'r newid blynyddol i brisiau rhenti yn seiliedig ar amcangyfrifon wedi'u rhagosod.</v>
      </c>
      <c r="C187" s="61"/>
      <c r="D187" s="61"/>
      <c r="E187" s="61"/>
      <c r="F187" s="61"/>
      <c r="G187" s="61"/>
      <c r="I187" s="61"/>
    </row>
    <row r="188" spans="2:23" ht="13" hidden="1" x14ac:dyDescent="0.3">
      <c r="B188" s="387" t="str">
        <f>IF(C133=1,"Estimates will not appear below until the above table is complete.",B187)</f>
        <v>Mae'r ffigurau isod yn rhannu yr amcangyfrifon o'r angen am dai yn 2 deiliadaeth ac maent yn seiliedig ar y rhagdybiaethau canlynol. Mae amcangyfrifon sylfaenol yr unedau tai ychwanegol wedi'u seilio ar  amcanestyniadau aelwydydd gan Llywodraeth Cymru sy'n seiliedig ar 2018 (Prif Amcanestyniadau), ac amcangyfrif o 5732 aelwydydd o ran angen presennol nas diwallwyd  a fydd yn cymryd 5 mlynedd i'w diwallu.Mae data ar incwm yn seiliedig ar  Ddata Llywodraeth Cymru ac mae data ar renti preifat yn seiliedig ar  Ddata Llywodraeth Cymru. Mae'r newid blynyddol i incwm canolrifol yr aelwyd yn seiliedig ar amcangyfrifon wedi'u rhagosod, mae'r newid blynyddol i ddosbarthiad incwm yr aelwyd yn seiliedig ar amcangyfrifon wedi'u rhagosod ac mae'r newid blynyddol i brisiau rhenti yn seiliedig ar amcangyfrifon wedi'u rhagosod.</v>
      </c>
      <c r="C188" s="61"/>
      <c r="D188" s="61"/>
      <c r="E188" s="61"/>
      <c r="F188" s="61"/>
      <c r="G188" s="61"/>
      <c r="I188" s="61"/>
    </row>
    <row r="189" spans="2:23" ht="13" hidden="1" x14ac:dyDescent="0.3">
      <c r="B189" s="387"/>
      <c r="C189" s="61"/>
      <c r="D189" s="61"/>
      <c r="E189" s="61"/>
      <c r="F189" s="61"/>
      <c r="G189" s="61"/>
      <c r="I189" s="61"/>
    </row>
    <row r="190" spans="2:23" ht="13" hidden="1" x14ac:dyDescent="0.3">
      <c r="B190" s="387" t="s">
        <v>328</v>
      </c>
      <c r="C190" s="61"/>
      <c r="D190" s="61"/>
      <c r="E190" s="61"/>
      <c r="F190" s="61"/>
      <c r="G190" s="61"/>
      <c r="I190" s="61"/>
    </row>
    <row r="191" spans="2:23" hidden="1" x14ac:dyDescent="0.25">
      <c r="B191" s="58" t="e">
        <f>D169&amp;G169&amp;C173&amp;C183&amp;J169&amp;C179</f>
        <v>#VALUE!</v>
      </c>
      <c r="C191" s="61"/>
      <c r="D191" s="61"/>
      <c r="E191" s="61"/>
      <c r="F191" s="61"/>
      <c r="G191" s="61"/>
      <c r="I191" s="61"/>
    </row>
    <row r="192" spans="2:23" ht="13" hidden="1" x14ac:dyDescent="0.3">
      <c r="B192" s="387" t="str">
        <f>IF(C145=1,"Ni fydd amcangyfrifon wedi'u rhannu'n 4 deiliadaeth yn ymddangos hyd nes bod y tabl uchod wedi'i gwblhau.",B191)</f>
        <v>Ni fydd amcangyfrifon wedi'u rhannu'n 4 deiliadaeth yn ymddangos hyd nes bod y tabl uchod wedi'i gwblhau.</v>
      </c>
      <c r="C192" s="61"/>
      <c r="D192" s="61"/>
      <c r="E192" s="61"/>
      <c r="F192" s="61"/>
      <c r="G192" s="61"/>
      <c r="I192" s="61"/>
    </row>
    <row r="193" spans="2:9" hidden="1" x14ac:dyDescent="0.25">
      <c r="C193" s="61"/>
      <c r="D193" s="61"/>
      <c r="E193" s="61"/>
      <c r="F193" s="61"/>
      <c r="G193" s="61"/>
      <c r="I193" s="61"/>
    </row>
    <row r="194" spans="2:9" hidden="1" x14ac:dyDescent="0.25">
      <c r="B194" s="47" t="s">
        <v>329</v>
      </c>
      <c r="I194" s="61"/>
    </row>
    <row r="195" spans="2:9" hidden="1" x14ac:dyDescent="0.25">
      <c r="B195" s="47" t="s">
        <v>331</v>
      </c>
      <c r="I195" s="61"/>
    </row>
    <row r="196" spans="2:9" hidden="1" x14ac:dyDescent="0.25">
      <c r="B196" s="47" t="s">
        <v>391</v>
      </c>
      <c r="I196" s="61"/>
    </row>
    <row r="197" spans="2:9" hidden="1" x14ac:dyDescent="0.25">
      <c r="B197" s="47" t="s">
        <v>332</v>
      </c>
      <c r="I197" s="61"/>
    </row>
    <row r="198" spans="2:9" hidden="1" x14ac:dyDescent="0.25">
      <c r="B198" s="386" t="str">
        <f>"'Amcanestyniadau Aelwydydd'"</f>
        <v>'Amcanestyniadau Aelwydydd'</v>
      </c>
      <c r="I198" s="61"/>
    </row>
    <row r="199" spans="2:9" hidden="1" x14ac:dyDescent="0.25">
      <c r="B199" s="58" t="str">
        <f>"'Angen Presennol Nas Diwallwyd'"</f>
        <v>'Angen Presennol Nas Diwallwyd'</v>
      </c>
      <c r="I199" s="61"/>
    </row>
    <row r="200" spans="2:9" hidden="1" x14ac:dyDescent="0.25">
      <c r="B200" s="58" t="str">
        <f>"'Incwm (Cymru)'"</f>
        <v>'Incwm (Cymru)'</v>
      </c>
      <c r="I200" s="61"/>
    </row>
    <row r="201" spans="2:9" hidden="1" x14ac:dyDescent="0.25">
      <c r="B201" s="58" t="str">
        <f>"'Prisiau Tai (Cymru)'"</f>
        <v>'Prisiau Tai (Cymru)'</v>
      </c>
      <c r="I201" s="61"/>
    </row>
    <row r="202" spans="2:9" hidden="1" x14ac:dyDescent="0.25">
      <c r="B202" s="58" t="str">
        <f>"'Prisiau Rhenti'"</f>
        <v>'Prisiau Rhenti'</v>
      </c>
      <c r="I202" s="61"/>
    </row>
    <row r="203" spans="2:9" hidden="1" x14ac:dyDescent="0.25">
      <c r="B203" s="58" t="str">
        <f>"'Rhagdybiaeth Blynyddol'"</f>
        <v>'Rhagdybiaeth Blynyddol'</v>
      </c>
      <c r="I203" s="61"/>
    </row>
    <row r="204" spans="2:9" hidden="1" x14ac:dyDescent="0.25">
      <c r="B204" s="58" t="str">
        <f>"'Rhagolygon y Dyfodol'"</f>
        <v>'Rhagolygon y Dyfodol'</v>
      </c>
      <c r="I204" s="61"/>
    </row>
    <row r="205" spans="2:9" x14ac:dyDescent="0.25">
      <c r="I205" s="61"/>
    </row>
    <row r="206" spans="2:9" x14ac:dyDescent="0.25">
      <c r="I206" s="61"/>
    </row>
    <row r="207" spans="2:9" x14ac:dyDescent="0.25">
      <c r="I207" s="61"/>
    </row>
  </sheetData>
  <mergeCells count="34">
    <mergeCell ref="I104:J104"/>
    <mergeCell ref="I63:J63"/>
    <mergeCell ref="B66:J69"/>
    <mergeCell ref="I99:J99"/>
    <mergeCell ref="I101:J101"/>
    <mergeCell ref="I102:J102"/>
    <mergeCell ref="I103:J103"/>
    <mergeCell ref="F23:I23"/>
    <mergeCell ref="F25:I25"/>
    <mergeCell ref="B28:J32"/>
    <mergeCell ref="B52:J53"/>
    <mergeCell ref="I61:J61"/>
    <mergeCell ref="B17:B25"/>
    <mergeCell ref="F17:I17"/>
    <mergeCell ref="F18:I18"/>
    <mergeCell ref="F20:I20"/>
    <mergeCell ref="F21:I21"/>
    <mergeCell ref="F22:I22"/>
    <mergeCell ref="I162:J162"/>
    <mergeCell ref="B1:C1"/>
    <mergeCell ref="B2:I2"/>
    <mergeCell ref="F4:I4"/>
    <mergeCell ref="B5:B16"/>
    <mergeCell ref="F5:I5"/>
    <mergeCell ref="F6:I6"/>
    <mergeCell ref="F7:I7"/>
    <mergeCell ref="F8:I8"/>
    <mergeCell ref="F9:I9"/>
    <mergeCell ref="F11:I11"/>
    <mergeCell ref="I62:J62"/>
    <mergeCell ref="F12:I12"/>
    <mergeCell ref="F14:I14"/>
    <mergeCell ref="F15:I15"/>
    <mergeCell ref="F16:I16"/>
  </mergeCells>
  <conditionalFormatting sqref="E26:E27">
    <cfRule type="expression" dxfId="11" priority="10">
      <formula>E26="Y"</formula>
    </cfRule>
  </conditionalFormatting>
  <conditionalFormatting sqref="E26:E27">
    <cfRule type="expression" dxfId="10" priority="9">
      <formula>E26="N"</formula>
    </cfRule>
  </conditionalFormatting>
  <conditionalFormatting sqref="E6:E9 E11:E12 E14:E16 E25 E18 E20:E23">
    <cfRule type="expression" dxfId="9" priority="4">
      <formula>E6="Y"</formula>
    </cfRule>
  </conditionalFormatting>
  <conditionalFormatting sqref="E6:E12 E14:E16 E18 E20:E25">
    <cfRule type="expression" dxfId="8" priority="3">
      <formula>E6="N"</formula>
    </cfRule>
  </conditionalFormatting>
  <conditionalFormatting sqref="E13">
    <cfRule type="expression" dxfId="7" priority="2">
      <formula>E13="N"</formula>
    </cfRule>
  </conditionalFormatting>
  <conditionalFormatting sqref="E19">
    <cfRule type="expression" dxfId="6" priority="1">
      <formula>E19="N"</formula>
    </cfRule>
  </conditionalFormatting>
  <pageMargins left="0.7" right="0.7" top="0.75" bottom="0.75" header="0.3" footer="0.3"/>
  <ignoredErrors>
    <ignoredError sqref="D6:D25" unlocked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sheetPr>
  <dimension ref="A1:X207"/>
  <sheetViews>
    <sheetView showGridLines="0" zoomScale="61" zoomScaleNormal="61" workbookViewId="0">
      <selection activeCell="A204" sqref="A168:XFD204"/>
    </sheetView>
  </sheetViews>
  <sheetFormatPr defaultColWidth="9.1796875" defaultRowHeight="12.5" x14ac:dyDescent="0.25"/>
  <cols>
    <col min="1" max="1" width="4.54296875" style="47" customWidth="1"/>
    <col min="2" max="2" width="29.90625" style="47" customWidth="1"/>
    <col min="3" max="3" width="43" style="47" customWidth="1"/>
    <col min="4" max="4" width="20.54296875" style="47" customWidth="1"/>
    <col min="5" max="5" width="18.453125" style="47" customWidth="1"/>
    <col min="6" max="6" width="15.54296875" style="47" customWidth="1"/>
    <col min="7" max="7" width="12.81640625" style="47" customWidth="1"/>
    <col min="8" max="14" width="13" style="47" customWidth="1"/>
    <col min="15" max="16384" width="9.1796875" style="47"/>
  </cols>
  <sheetData>
    <row r="1" spans="1:11" ht="26.25" customHeight="1" x14ac:dyDescent="0.25">
      <c r="B1" s="492" t="s">
        <v>108</v>
      </c>
      <c r="C1" s="492"/>
      <c r="D1" s="73" t="str">
        <f>'Cyfrifiadau De-ddwyrain'!B1</f>
        <v>De-ddwyrain Cymru</v>
      </c>
    </row>
    <row r="2" spans="1:11" ht="26.25" customHeight="1" x14ac:dyDescent="0.25">
      <c r="B2" s="519" t="s">
        <v>261</v>
      </c>
      <c r="C2" s="520"/>
      <c r="D2" s="520"/>
      <c r="E2" s="520"/>
      <c r="F2" s="520"/>
      <c r="G2" s="520"/>
      <c r="H2" s="520"/>
      <c r="I2" s="521"/>
    </row>
    <row r="4" spans="1:11" ht="30.75" customHeight="1" x14ac:dyDescent="0.35">
      <c r="C4" s="63" t="s">
        <v>44</v>
      </c>
      <c r="D4" s="72" t="s">
        <v>109</v>
      </c>
      <c r="E4" s="110" t="s">
        <v>110</v>
      </c>
      <c r="F4" s="502" t="s">
        <v>208</v>
      </c>
      <c r="G4" s="502"/>
      <c r="H4" s="502"/>
      <c r="I4" s="503"/>
      <c r="K4" s="44" t="s">
        <v>271</v>
      </c>
    </row>
    <row r="5" spans="1:11" ht="24.75" customHeight="1" x14ac:dyDescent="0.25">
      <c r="B5" s="508" t="s">
        <v>348</v>
      </c>
      <c r="C5" s="96" t="s">
        <v>50</v>
      </c>
      <c r="D5" s="97"/>
      <c r="E5" s="98"/>
      <c r="F5" s="504"/>
      <c r="G5" s="504"/>
      <c r="H5" s="504"/>
      <c r="I5" s="505"/>
    </row>
    <row r="6" spans="1:11" ht="15" customHeight="1" x14ac:dyDescent="0.25">
      <c r="A6" s="76"/>
      <c r="B6" s="509"/>
      <c r="C6" s="99" t="s">
        <v>112</v>
      </c>
      <c r="D6" s="187" t="str">
        <f>'Rhaniad y Ddeiliadaeth (Cymru)'!D6</f>
        <v>Prif Amcanestyniadau</v>
      </c>
      <c r="E6" s="100" t="str">
        <f>IF(OR(F6=$B$195,F6=$B$196),"Y","N")</f>
        <v>Y</v>
      </c>
      <c r="F6" s="506" t="str">
        <f>IF(D6="",B194,IF(D6="Other",IF('Amcanestyniadau Aelwydydd'!J21=0,B197&amp;B198,B196),B195))</f>
        <v>Data rhagosodedig a ddefnyddiwyd</v>
      </c>
      <c r="G6" s="506"/>
      <c r="H6" s="506"/>
      <c r="I6" s="496"/>
    </row>
    <row r="7" spans="1:11" ht="15" customHeight="1" x14ac:dyDescent="0.25">
      <c r="A7" s="76"/>
      <c r="B7" s="509"/>
      <c r="C7" s="99" t="s">
        <v>114</v>
      </c>
      <c r="D7" s="187" t="str">
        <f>'Rhaniad y Ddeiliadaeth (Cymru)'!D7</f>
        <v>Amcangyfrifon LlC</v>
      </c>
      <c r="E7" s="100" t="str">
        <f>IF(OR(F7=$B$195,F7=$B$196),"Y","N")</f>
        <v>Y</v>
      </c>
      <c r="F7" s="496" t="str">
        <f>IF(D7="",B194,IF(D7="Other",IF(ISBLANK('Angen Presennol Nas Diwallwyd'!C21),B197&amp;B199,B196),B195))</f>
        <v>Data rhagosodedig a ddefnyddiwyd</v>
      </c>
      <c r="G7" s="496"/>
      <c r="H7" s="496"/>
      <c r="I7" s="496"/>
    </row>
    <row r="8" spans="1:11" ht="15" customHeight="1" x14ac:dyDescent="0.25">
      <c r="A8" s="76"/>
      <c r="B8" s="509"/>
      <c r="C8" s="99" t="s">
        <v>53</v>
      </c>
      <c r="D8" s="187" t="str">
        <f>'Rhaniad y Ddeiliadaeth (Cymru)'!D8</f>
        <v>Amcangyfrifon LlC</v>
      </c>
      <c r="E8" s="100" t="str">
        <f>IF(OR(F8=$B$195,F8=$B$196),"Y","N")</f>
        <v>Y</v>
      </c>
      <c r="F8" s="496" t="str">
        <f>IF(D8="",B194,IF(D8="Arall",IF('Incwm (Gogledd)'!O85=0,B196,B197&amp;B200),B195))</f>
        <v>Data rhagosodedig a ddefnyddiwyd</v>
      </c>
      <c r="G8" s="496"/>
      <c r="H8" s="496"/>
      <c r="I8" s="496"/>
    </row>
    <row r="9" spans="1:11" ht="15" customHeight="1" x14ac:dyDescent="0.25">
      <c r="A9" s="76"/>
      <c r="B9" s="509"/>
      <c r="C9" s="99" t="s">
        <v>54</v>
      </c>
      <c r="D9" s="187" t="str">
        <f>'Rhaniad y Ddeiliadaeth (Cymru)'!D9</f>
        <v>Prisiau Rhenti</v>
      </c>
      <c r="E9" s="100" t="str">
        <f>IF(OR(F9=$B$195,F9=$B$196),"Y","N")</f>
        <v>Y</v>
      </c>
      <c r="F9" s="506" t="str">
        <f>IF(D9="",B194,IF(D9="Other",IF(OR(ISBLANK('Prisiau Rhenti'!C30),ISBLANK('Prisiau Rhenti'!D30)),B197&amp;B202,B196),B195))</f>
        <v>Data rhagosodedig a ddefnyddiwyd</v>
      </c>
      <c r="G9" s="506"/>
      <c r="H9" s="506"/>
      <c r="I9" s="496"/>
    </row>
    <row r="10" spans="1:11" ht="24.75" customHeight="1" x14ac:dyDescent="0.25">
      <c r="A10" s="76"/>
      <c r="B10" s="509"/>
      <c r="C10" s="96" t="s">
        <v>74</v>
      </c>
      <c r="D10" s="97"/>
      <c r="E10" s="101"/>
      <c r="F10" s="97"/>
      <c r="G10" s="102"/>
      <c r="H10" s="97"/>
      <c r="I10" s="103"/>
    </row>
    <row r="11" spans="1:11" ht="13.5" customHeight="1" x14ac:dyDescent="0.25">
      <c r="A11" s="76"/>
      <c r="B11" s="509"/>
      <c r="C11" s="104" t="s">
        <v>70</v>
      </c>
      <c r="D11" s="188" t="str">
        <f>'Rhaniad y Ddeiliadaeth (Cymru)'!D11</f>
        <v>Wedi'i ragosod</v>
      </c>
      <c r="E11" s="100" t="str">
        <f>IF(OR(F11=$B$195,F11=$B$196),"Y","N")</f>
        <v>Y</v>
      </c>
      <c r="F11" s="496" t="str">
        <f>'Rhaniad y Ddeiliadaeth (Cymru)'!F11:I11</f>
        <v>Data rhagosodedig a ddefnyddiwyd</v>
      </c>
      <c r="G11" s="496"/>
      <c r="H11" s="496"/>
      <c r="I11" s="496"/>
    </row>
    <row r="12" spans="1:11" ht="15" customHeight="1" x14ac:dyDescent="0.25">
      <c r="A12" s="76"/>
      <c r="B12" s="509"/>
      <c r="C12" s="104" t="s">
        <v>115</v>
      </c>
      <c r="D12" s="188" t="str">
        <f>'Rhaniad y Ddeiliadaeth (Cymru)'!D12</f>
        <v>Wedi'i ragosod</v>
      </c>
      <c r="E12" s="100" t="str">
        <f>IF(OR(F12=$B$195,F12=$B$196),"Y","N")</f>
        <v>Y</v>
      </c>
      <c r="F12" s="506" t="str">
        <f>'Rhaniad y Ddeiliadaeth (Cymru)'!F12:I12</f>
        <v>Data rhagosodedig a ddefnyddiwyd</v>
      </c>
      <c r="G12" s="506"/>
      <c r="H12" s="506"/>
      <c r="I12" s="496"/>
    </row>
    <row r="13" spans="1:11" ht="24.75" customHeight="1" x14ac:dyDescent="0.25">
      <c r="A13" s="76"/>
      <c r="B13" s="509"/>
      <c r="C13" s="96" t="s">
        <v>118</v>
      </c>
      <c r="D13" s="97"/>
      <c r="E13" s="101"/>
      <c r="F13" s="97"/>
      <c r="G13" s="102"/>
      <c r="H13" s="97"/>
      <c r="I13" s="103"/>
    </row>
    <row r="14" spans="1:11" ht="29.25" customHeight="1" x14ac:dyDescent="0.25">
      <c r="A14" s="76"/>
      <c r="B14" s="509"/>
      <c r="C14" s="105" t="s">
        <v>80</v>
      </c>
      <c r="D14" s="188" t="str">
        <f>'Rhaniad y Ddeiliadaeth (Cymru)'!D14</f>
        <v>Wedi'i ragosod</v>
      </c>
      <c r="E14" s="100" t="str">
        <f>IF(OR(F14=$B$195,F14=$B$196),"Y","N")</f>
        <v>Y</v>
      </c>
      <c r="F14" s="506" t="str">
        <f>'Rhaniad y Ddeiliadaeth (Cymru)'!F14:I14</f>
        <v>Data rhagosodedig a ddefnyddiwyd</v>
      </c>
      <c r="G14" s="506"/>
      <c r="H14" s="506"/>
      <c r="I14" s="496"/>
    </row>
    <row r="15" spans="1:11" ht="29.25" customHeight="1" x14ac:dyDescent="0.25">
      <c r="A15" s="76"/>
      <c r="B15" s="509"/>
      <c r="C15" s="105" t="s">
        <v>116</v>
      </c>
      <c r="D15" s="188" t="str">
        <f>'Rhaniad y Ddeiliadaeth (Cymru)'!D15</f>
        <v>Mwy o Anghydraddoldeb</v>
      </c>
      <c r="E15" s="100" t="str">
        <f>IF(OR(F15=$B$195,F15=$B$196),"Y","N")</f>
        <v>Y</v>
      </c>
      <c r="F15" s="506" t="str">
        <f>'Rhaniad y Ddeiliadaeth (Cymru)'!F15:I15</f>
        <v>Data rhagosodedig a ddefnyddiwyd</v>
      </c>
      <c r="G15" s="506"/>
      <c r="H15" s="506"/>
      <c r="I15" s="496"/>
    </row>
    <row r="16" spans="1:11" ht="17.25" customHeight="1" x14ac:dyDescent="0.25">
      <c r="A16" s="76"/>
      <c r="B16" s="510"/>
      <c r="C16" s="106" t="s">
        <v>117</v>
      </c>
      <c r="D16" s="188" t="str">
        <f>'Rhaniad y Ddeiliadaeth (Cymru)'!D16</f>
        <v>Wedi'i ragosod</v>
      </c>
      <c r="E16" s="107" t="str">
        <f>IF(OR(F16=$B$195,F16=$B$196),"Y","N")</f>
        <v>Y</v>
      </c>
      <c r="F16" s="506" t="str">
        <f>'Rhaniad y Ddeiliadaeth (Cymru)'!F16:I16</f>
        <v>Data rhagosodedig a ddefnyddiwyd</v>
      </c>
      <c r="G16" s="506"/>
      <c r="H16" s="506"/>
      <c r="I16" s="496"/>
    </row>
    <row r="17" spans="1:11" ht="24.75" customHeight="1" x14ac:dyDescent="0.25">
      <c r="A17" s="76"/>
      <c r="B17" s="511" t="s">
        <v>349</v>
      </c>
      <c r="C17" s="77" t="s">
        <v>87</v>
      </c>
      <c r="D17" s="322"/>
      <c r="E17" s="92"/>
      <c r="F17" s="514"/>
      <c r="G17" s="514"/>
      <c r="H17" s="514"/>
      <c r="I17" s="515"/>
    </row>
    <row r="18" spans="1:11" ht="31.5" customHeight="1" x14ac:dyDescent="0.25">
      <c r="A18" s="76"/>
      <c r="B18" s="512"/>
      <c r="C18" s="65" t="s">
        <v>88</v>
      </c>
      <c r="D18" s="188" t="str">
        <f>'Rhaniad y Ddeiliadaeth (Cymru)'!D18</f>
        <v>Data Cofrestrfa Tir</v>
      </c>
      <c r="E18" s="91" t="str">
        <f>IF(OR(F18=$B$195,F18=$B$196),"Y","N")</f>
        <v>Y</v>
      </c>
      <c r="F18" s="499" t="str">
        <f>IF(D18="",B194,IF(D18="Other",IF('Prisiau Tai (De-ddwyrain)'!O85=1,B197&amp;B201,B196),B195))</f>
        <v>Data rhagosodedig a ddefnyddiwyd</v>
      </c>
      <c r="G18" s="499"/>
      <c r="H18" s="499"/>
      <c r="I18" s="499"/>
    </row>
    <row r="19" spans="1:11" ht="24.75" customHeight="1" x14ac:dyDescent="0.25">
      <c r="A19" s="76"/>
      <c r="B19" s="512"/>
      <c r="C19" s="64" t="s">
        <v>91</v>
      </c>
      <c r="D19" s="68"/>
      <c r="E19" s="93"/>
      <c r="F19" s="68"/>
      <c r="G19" s="69"/>
      <c r="H19" s="68"/>
      <c r="I19" s="70"/>
    </row>
    <row r="20" spans="1:11" ht="13.5" customHeight="1" x14ac:dyDescent="0.25">
      <c r="A20" s="76"/>
      <c r="B20" s="512"/>
      <c r="C20" s="66" t="s">
        <v>92</v>
      </c>
      <c r="D20" s="188" t="str">
        <f>'Rhaniad y Ddeiliadaeth (Cymru)'!D20</f>
        <v>Wedi'i ragosod</v>
      </c>
      <c r="E20" s="91" t="str">
        <f>IF(OR(F20=$B$195,F20=$B$196),"Y","N")</f>
        <v>Y</v>
      </c>
      <c r="F20" s="499" t="str">
        <f>'Rhaniad y Ddeiliadaeth (Cymru)'!F20:I20</f>
        <v>Data rhagosodedig a ddefnyddiwyd</v>
      </c>
      <c r="G20" s="499"/>
      <c r="H20" s="499"/>
      <c r="I20" s="499"/>
    </row>
    <row r="21" spans="1:11" ht="32" customHeight="1" x14ac:dyDescent="0.25">
      <c r="A21" s="76"/>
      <c r="B21" s="512"/>
      <c r="C21" s="90" t="s">
        <v>346</v>
      </c>
      <c r="D21" s="188">
        <f>'Rhaniad y Ddeiliadaeth (Cymru)'!D21</f>
        <v>40</v>
      </c>
      <c r="E21" s="91" t="str">
        <f>IF(OR(F21=$B$195,F21=$B$196),"Y","N")</f>
        <v>Y</v>
      </c>
      <c r="F21" s="499" t="str">
        <f>'Rhaniad y Ddeiliadaeth (Cymru)'!F21:I21</f>
        <v>Data rhagosodedig a ddefnyddiwyd</v>
      </c>
      <c r="G21" s="499"/>
      <c r="H21" s="499"/>
      <c r="I21" s="499"/>
    </row>
    <row r="22" spans="1:11" ht="28.5" customHeight="1" x14ac:dyDescent="0.25">
      <c r="A22" s="76"/>
      <c r="B22" s="512"/>
      <c r="C22" s="90" t="s">
        <v>94</v>
      </c>
      <c r="D22" s="188" t="str">
        <f>'Rhaniad y Ddeiliadaeth (Cymru)'!D22</f>
        <v>Gwerth defnyddiwr (nid oes gwerth wedi'i ragosod)</v>
      </c>
      <c r="E22" s="91" t="str">
        <f>IF(OR(F22=$B$195,F22=$B$196),"Y","N")</f>
        <v>N</v>
      </c>
      <c r="F22" s="499" t="str">
        <f>'Rhaniad y Ddeiliadaeth (Cymru)'!F22:I22</f>
        <v>Cofnodwch ddata defnyddwyr ar y daflen:'Rhagdybiaeth Blynyddol'</v>
      </c>
      <c r="G22" s="499"/>
      <c r="H22" s="499"/>
      <c r="I22" s="499"/>
    </row>
    <row r="23" spans="1:11" ht="15" customHeight="1" x14ac:dyDescent="0.25">
      <c r="A23" s="76"/>
      <c r="B23" s="512"/>
      <c r="C23" s="66" t="s">
        <v>95</v>
      </c>
      <c r="D23" s="188" t="str">
        <f>'Rhaniad y Ddeiliadaeth (Cymru)'!D23</f>
        <v>Wedi'i ragosod</v>
      </c>
      <c r="E23" s="91" t="str">
        <f>IF(OR(F23=$B$195,F23=$B$196),"Y","N")</f>
        <v>Y</v>
      </c>
      <c r="F23" s="499" t="str">
        <f>'Rhaniad y Ddeiliadaeth (Cymru)'!F23:I23</f>
        <v>Data rhagosodedig a ddefnyddiwyd</v>
      </c>
      <c r="G23" s="499"/>
      <c r="H23" s="499"/>
      <c r="I23" s="499"/>
    </row>
    <row r="24" spans="1:11" ht="24.75" customHeight="1" x14ac:dyDescent="0.25">
      <c r="A24" s="76"/>
      <c r="B24" s="512"/>
      <c r="C24" s="64" t="s">
        <v>107</v>
      </c>
      <c r="D24" s="68"/>
      <c r="E24" s="93"/>
      <c r="F24" s="68"/>
      <c r="G24" s="69"/>
      <c r="H24" s="68"/>
      <c r="I24" s="70"/>
    </row>
    <row r="25" spans="1:11" ht="32.5" customHeight="1" x14ac:dyDescent="0.25">
      <c r="A25" s="76"/>
      <c r="B25" s="513"/>
      <c r="C25" s="67" t="s">
        <v>119</v>
      </c>
      <c r="D25" s="189" t="str">
        <f>'Rhaniad y Ddeiliadaeth (Cymru)'!D25</f>
        <v>Wedi'i ragosod</v>
      </c>
      <c r="E25" s="94" t="str">
        <f>IF(OR(F25=$B$195,F25=$B$196),"Y","N")</f>
        <v>Y</v>
      </c>
      <c r="F25" s="494" t="str">
        <f>'Rhaniad y Ddeiliadaeth (Cymru)'!F25:I25</f>
        <v>Data rhagosodedig a ddefnyddiwyd</v>
      </c>
      <c r="G25" s="494"/>
      <c r="H25" s="494"/>
      <c r="I25" s="494"/>
    </row>
    <row r="26" spans="1:11" ht="15" customHeight="1" x14ac:dyDescent="0.25">
      <c r="C26" s="49"/>
      <c r="D26" s="50"/>
      <c r="E26" s="48"/>
      <c r="F26" s="51"/>
      <c r="G26" s="51"/>
      <c r="H26" s="51"/>
      <c r="I26" s="51"/>
    </row>
    <row r="27" spans="1:11" s="58" customFormat="1" ht="15" customHeight="1" x14ac:dyDescent="0.25">
      <c r="B27" s="52" t="str">
        <f>IF(C133=1,"","Sylwadau ar y rhagdybiaethau a ddewiswyd ar gyfer rhaniad o ddwy ddeiliadaeth: "&amp;D1)</f>
        <v>Sylwadau ar y rhagdybiaethau a ddewiswyd ar gyfer rhaniad o ddwy ddeiliadaeth: De-ddwyrain Cymru</v>
      </c>
      <c r="D27" s="50"/>
      <c r="E27" s="368"/>
      <c r="F27" s="51"/>
      <c r="G27" s="51"/>
      <c r="H27" s="51"/>
      <c r="I27" s="51"/>
    </row>
    <row r="28" spans="1:11" s="58" customFormat="1" ht="15" customHeight="1" x14ac:dyDescent="0.25">
      <c r="B28" s="495" t="str">
        <f>B188</f>
        <v>Mae'r ffigurau isod yn rhannu yr amcangyfrifon o'r angen am dai yn 2 deiliadaeth ac maent yn seiliedig ar y rhagdybiaethau canlynol. Mae amcangyfrifon sylfaenol yr unedau tai ychwanegol wedi'u seilio ar  amcanestyniadau aelwydydd gan Llywodraeth Cymru sy'n seiliedig ar 2018 (Prif Amcanestyniadau), ac amcangyfrif o 5732 aelwydydd o ran angen presennol nas diwallwyd  a fydd yn cymryd 5 mlynedd i'w diwallu.Mae data ar incwm yn seiliedig ar  Ddata Llywodraeth Cymru ac mae data ar renti preifat yn seiliedig ar  Ddata Llywodraeth Cymru. Mae'r newid blynyddol i incwm canolrifol yr aelwyd yn seiliedig ar amcangyfrifon wedi'u rhagosod, mae'r newid blynyddol i ddosbarthiad incwm yr aelwyd yn seiliedig ar amcangyfrifon wedi'u rhagosod ac mae'r newid blynyddol i brisiau rhenti yn seiliedig ar amcangyfrifon wedi'u rhagosod.</v>
      </c>
      <c r="C28" s="495"/>
      <c r="D28" s="495"/>
      <c r="E28" s="495"/>
      <c r="F28" s="495"/>
      <c r="G28" s="495"/>
      <c r="H28" s="495"/>
      <c r="I28" s="495"/>
      <c r="J28" s="495"/>
      <c r="K28" s="79"/>
    </row>
    <row r="29" spans="1:11" s="58" customFormat="1" ht="15" customHeight="1" x14ac:dyDescent="0.25">
      <c r="B29" s="495"/>
      <c r="C29" s="495"/>
      <c r="D29" s="495"/>
      <c r="E29" s="495"/>
      <c r="F29" s="495"/>
      <c r="G29" s="495"/>
      <c r="H29" s="495"/>
      <c r="I29" s="495"/>
      <c r="J29" s="495"/>
      <c r="K29" s="79"/>
    </row>
    <row r="30" spans="1:11" s="58" customFormat="1" ht="15" customHeight="1" x14ac:dyDescent="0.25">
      <c r="B30" s="495"/>
      <c r="C30" s="495"/>
      <c r="D30" s="495"/>
      <c r="E30" s="495"/>
      <c r="F30" s="495"/>
      <c r="G30" s="495"/>
      <c r="H30" s="495"/>
      <c r="I30" s="495"/>
      <c r="J30" s="495"/>
      <c r="K30" s="79"/>
    </row>
    <row r="31" spans="1:11" s="58" customFormat="1" ht="15" customHeight="1" x14ac:dyDescent="0.25">
      <c r="B31" s="495"/>
      <c r="C31" s="495"/>
      <c r="D31" s="495"/>
      <c r="E31" s="495"/>
      <c r="F31" s="495"/>
      <c r="G31" s="495"/>
      <c r="H31" s="495"/>
      <c r="I31" s="495"/>
      <c r="J31" s="495"/>
      <c r="K31" s="79"/>
    </row>
    <row r="32" spans="1:11" s="58" customFormat="1" ht="15" customHeight="1" x14ac:dyDescent="0.25">
      <c r="B32" s="495"/>
      <c r="C32" s="495"/>
      <c r="D32" s="495"/>
      <c r="E32" s="495"/>
      <c r="F32" s="495"/>
      <c r="G32" s="495"/>
      <c r="H32" s="495"/>
      <c r="I32" s="495"/>
      <c r="J32" s="495"/>
      <c r="K32" s="79"/>
    </row>
    <row r="33" spans="2:11" ht="15" customHeight="1" x14ac:dyDescent="0.25">
      <c r="B33" s="80"/>
      <c r="C33" s="109"/>
      <c r="D33" s="109"/>
      <c r="E33" s="109"/>
      <c r="F33" s="109"/>
      <c r="G33" s="109"/>
      <c r="H33" s="109"/>
      <c r="I33" s="109"/>
      <c r="J33" s="109"/>
      <c r="K33" s="79"/>
    </row>
    <row r="34" spans="2:11" ht="15" customHeight="1" x14ac:dyDescent="0.25">
      <c r="B34" s="80"/>
      <c r="C34" s="109"/>
      <c r="D34" s="109"/>
      <c r="E34" s="109"/>
      <c r="F34" s="109"/>
      <c r="G34" s="109"/>
      <c r="H34" s="109"/>
      <c r="I34" s="109"/>
      <c r="J34" s="109"/>
      <c r="K34" s="79"/>
    </row>
    <row r="35" spans="2:11" ht="15" customHeight="1" x14ac:dyDescent="0.25">
      <c r="B35" s="80"/>
      <c r="C35" s="109"/>
      <c r="D35" s="109"/>
      <c r="E35" s="109"/>
      <c r="F35" s="109"/>
      <c r="G35" s="109"/>
      <c r="H35" s="109"/>
      <c r="I35" s="109"/>
      <c r="J35" s="109"/>
      <c r="K35" s="79"/>
    </row>
    <row r="36" spans="2:11" ht="15" customHeight="1" x14ac:dyDescent="0.25">
      <c r="B36" s="80"/>
      <c r="C36" s="109"/>
      <c r="D36" s="109"/>
      <c r="E36" s="109"/>
      <c r="F36" s="109"/>
      <c r="G36" s="109"/>
      <c r="H36" s="109"/>
      <c r="I36" s="109"/>
      <c r="J36" s="109"/>
      <c r="K36" s="79"/>
    </row>
    <row r="37" spans="2:11" ht="15" customHeight="1" x14ac:dyDescent="0.25">
      <c r="B37" s="80"/>
      <c r="C37" s="109"/>
      <c r="D37" s="109"/>
      <c r="E37" s="109"/>
      <c r="F37" s="109"/>
      <c r="G37" s="109"/>
      <c r="H37" s="109"/>
      <c r="I37" s="109"/>
      <c r="J37" s="109"/>
      <c r="K37" s="79"/>
    </row>
    <row r="38" spans="2:11" ht="15" customHeight="1" x14ac:dyDescent="0.25">
      <c r="B38" s="109"/>
      <c r="C38" s="109"/>
      <c r="D38" s="109"/>
      <c r="E38" s="109"/>
      <c r="F38" s="109"/>
      <c r="G38" s="109"/>
      <c r="H38" s="109"/>
      <c r="I38" s="109"/>
      <c r="J38" s="109"/>
      <c r="K38" s="79"/>
    </row>
    <row r="39" spans="2:11" ht="15" customHeight="1" x14ac:dyDescent="0.25">
      <c r="B39" s="109"/>
      <c r="C39" s="109"/>
      <c r="D39" s="109"/>
      <c r="E39" s="109"/>
      <c r="F39" s="109"/>
      <c r="G39" s="109"/>
      <c r="H39" s="109"/>
      <c r="I39" s="109"/>
      <c r="J39" s="109"/>
      <c r="K39" s="79"/>
    </row>
    <row r="40" spans="2:11" ht="15" customHeight="1" x14ac:dyDescent="0.25">
      <c r="B40" s="109"/>
      <c r="C40" s="109"/>
      <c r="D40" s="109"/>
      <c r="E40" s="109"/>
      <c r="F40" s="109"/>
      <c r="G40" s="109"/>
      <c r="H40" s="109"/>
      <c r="I40" s="109"/>
      <c r="J40" s="109"/>
      <c r="K40" s="79"/>
    </row>
    <row r="41" spans="2:11" ht="15" customHeight="1" x14ac:dyDescent="0.25">
      <c r="B41" s="109"/>
      <c r="C41" s="109"/>
      <c r="D41" s="109"/>
      <c r="E41" s="109"/>
      <c r="F41" s="109"/>
      <c r="G41" s="109"/>
      <c r="H41" s="109"/>
      <c r="I41" s="109"/>
      <c r="J41" s="109"/>
      <c r="K41" s="79"/>
    </row>
    <row r="42" spans="2:11" ht="15" customHeight="1" x14ac:dyDescent="0.25">
      <c r="B42" s="109"/>
      <c r="C42" s="109"/>
      <c r="D42" s="109"/>
      <c r="E42" s="109"/>
      <c r="F42" s="109"/>
      <c r="G42" s="109"/>
      <c r="H42" s="109"/>
      <c r="I42" s="109"/>
      <c r="J42" s="109"/>
      <c r="K42" s="79"/>
    </row>
    <row r="43" spans="2:11" ht="15" customHeight="1" x14ac:dyDescent="0.25">
      <c r="B43" s="109"/>
      <c r="C43" s="109"/>
      <c r="D43" s="109"/>
      <c r="E43" s="109"/>
      <c r="F43" s="109"/>
      <c r="G43" s="109"/>
      <c r="H43" s="109"/>
      <c r="I43" s="109"/>
      <c r="J43" s="109"/>
      <c r="K43" s="79"/>
    </row>
    <row r="44" spans="2:11" ht="15" customHeight="1" x14ac:dyDescent="0.25">
      <c r="B44" s="109"/>
      <c r="C44" s="109"/>
      <c r="D44" s="109"/>
      <c r="E44" s="109"/>
      <c r="F44" s="109"/>
      <c r="G44" s="109"/>
      <c r="H44" s="109"/>
      <c r="I44" s="109"/>
      <c r="J44" s="109"/>
      <c r="K44" s="79"/>
    </row>
    <row r="45" spans="2:11" ht="15" customHeight="1" x14ac:dyDescent="0.25">
      <c r="B45" s="109"/>
      <c r="C45" s="109"/>
      <c r="D45" s="109"/>
      <c r="E45" s="109"/>
      <c r="F45" s="109"/>
      <c r="G45" s="109"/>
      <c r="H45" s="109"/>
      <c r="I45" s="109"/>
      <c r="J45" s="109"/>
      <c r="K45" s="79"/>
    </row>
    <row r="46" spans="2:11" ht="15" customHeight="1" x14ac:dyDescent="0.25">
      <c r="B46" s="109"/>
      <c r="C46" s="109"/>
      <c r="D46" s="109"/>
      <c r="E46" s="109"/>
      <c r="F46" s="109"/>
      <c r="G46" s="109"/>
      <c r="H46" s="109"/>
      <c r="I46" s="109"/>
      <c r="J46" s="109"/>
      <c r="K46" s="79"/>
    </row>
    <row r="47" spans="2:11" ht="15" customHeight="1" x14ac:dyDescent="0.25">
      <c r="B47" s="109"/>
      <c r="C47" s="109"/>
      <c r="D47" s="109"/>
      <c r="E47" s="109"/>
      <c r="F47" s="109"/>
      <c r="G47" s="109"/>
      <c r="H47" s="109"/>
      <c r="I47" s="109"/>
      <c r="J47" s="109"/>
      <c r="K47" s="79"/>
    </row>
    <row r="48" spans="2:11" ht="15" customHeight="1" x14ac:dyDescent="0.25">
      <c r="B48" s="109"/>
      <c r="C48" s="109"/>
      <c r="D48" s="109"/>
      <c r="E48" s="109"/>
      <c r="F48" s="109"/>
      <c r="G48" s="109"/>
      <c r="H48" s="109"/>
      <c r="I48" s="109"/>
      <c r="J48" s="109"/>
      <c r="K48" s="79"/>
    </row>
    <row r="49" spans="2:11" ht="15" customHeight="1" x14ac:dyDescent="0.25">
      <c r="B49" s="109"/>
      <c r="C49" s="109"/>
      <c r="D49" s="109"/>
      <c r="E49" s="109"/>
      <c r="F49" s="109"/>
      <c r="G49" s="109"/>
      <c r="H49" s="109"/>
      <c r="I49" s="109"/>
      <c r="J49" s="109"/>
      <c r="K49" s="79"/>
    </row>
    <row r="50" spans="2:11" ht="15" customHeight="1" x14ac:dyDescent="0.25">
      <c r="B50" s="109"/>
      <c r="C50" s="109"/>
      <c r="D50" s="109"/>
      <c r="E50" s="109"/>
      <c r="F50" s="109"/>
      <c r="G50" s="109"/>
      <c r="H50" s="109"/>
      <c r="I50" s="109"/>
      <c r="J50" s="109"/>
      <c r="K50" s="79"/>
    </row>
    <row r="51" spans="2:11" ht="15" customHeight="1" x14ac:dyDescent="0.25">
      <c r="B51" s="109"/>
      <c r="C51" s="109"/>
      <c r="D51" s="109"/>
      <c r="E51" s="109"/>
      <c r="F51" s="109"/>
      <c r="G51" s="109"/>
      <c r="H51" s="109"/>
      <c r="I51" s="109"/>
      <c r="J51" s="109"/>
      <c r="K51" s="79"/>
    </row>
    <row r="52" spans="2:11" ht="15" customHeight="1" x14ac:dyDescent="0.25">
      <c r="B52" s="451" t="s">
        <v>354</v>
      </c>
      <c r="C52" s="452"/>
      <c r="D52" s="452"/>
      <c r="E52" s="452"/>
      <c r="F52" s="452"/>
      <c r="G52" s="452"/>
      <c r="H52" s="452"/>
      <c r="I52" s="452"/>
      <c r="J52" s="453"/>
      <c r="K52" s="79"/>
    </row>
    <row r="53" spans="2:11" ht="37" customHeight="1" x14ac:dyDescent="0.25">
      <c r="B53" s="454"/>
      <c r="C53" s="455"/>
      <c r="D53" s="455"/>
      <c r="E53" s="455"/>
      <c r="F53" s="455"/>
      <c r="G53" s="455"/>
      <c r="H53" s="455"/>
      <c r="I53" s="455"/>
      <c r="J53" s="456"/>
      <c r="K53" s="79"/>
    </row>
    <row r="54" spans="2:11" ht="15" customHeight="1" x14ac:dyDescent="0.25">
      <c r="B54" s="205"/>
      <c r="C54" s="205"/>
      <c r="D54" s="205"/>
      <c r="E54" s="205"/>
      <c r="F54" s="205"/>
      <c r="G54" s="205"/>
      <c r="H54" s="205"/>
      <c r="I54" s="205"/>
      <c r="J54" s="205"/>
      <c r="K54" s="79"/>
    </row>
    <row r="55" spans="2:11" ht="15" customHeight="1" x14ac:dyDescent="0.3">
      <c r="B55" s="56" t="s">
        <v>278</v>
      </c>
      <c r="C55" s="57"/>
      <c r="D55" s="57"/>
      <c r="E55" s="57"/>
      <c r="F55" s="57"/>
      <c r="G55" s="57"/>
      <c r="K55" s="79"/>
    </row>
    <row r="56" spans="2:11" ht="15" customHeight="1" x14ac:dyDescent="0.3">
      <c r="B56" s="112" t="str">
        <f>B148</f>
        <v/>
      </c>
      <c r="C56" s="113" t="str">
        <f t="shared" ref="C56:G56" si="0">C148</f>
        <v>2019/20</v>
      </c>
      <c r="D56" s="113" t="str">
        <f t="shared" si="0"/>
        <v>2020/21</v>
      </c>
      <c r="E56" s="113" t="str">
        <f t="shared" si="0"/>
        <v>2021/22</v>
      </c>
      <c r="F56" s="113" t="str">
        <f t="shared" si="0"/>
        <v>2022/23</v>
      </c>
      <c r="G56" s="113" t="str">
        <f t="shared" si="0"/>
        <v>2023/24</v>
      </c>
      <c r="K56" s="79"/>
    </row>
    <row r="57" spans="2:11" ht="15" customHeight="1" x14ac:dyDescent="0.25">
      <c r="B57" s="112" t="str">
        <f t="shared" ref="B57:G58" si="1">B149</f>
        <v>Tai'r Farchnad</v>
      </c>
      <c r="C57" s="114">
        <f t="shared" si="1"/>
        <v>2223.2632144927979</v>
      </c>
      <c r="D57" s="114">
        <f t="shared" si="1"/>
        <v>2223.257169036865</v>
      </c>
      <c r="E57" s="114">
        <f t="shared" si="1"/>
        <v>2368.4454856109619</v>
      </c>
      <c r="F57" s="114">
        <f t="shared" si="1"/>
        <v>2262.3266912460326</v>
      </c>
      <c r="G57" s="114">
        <f t="shared" si="1"/>
        <v>2231.0147990798951</v>
      </c>
      <c r="K57" s="79"/>
    </row>
    <row r="58" spans="2:11" ht="15" customHeight="1" x14ac:dyDescent="0.25">
      <c r="B58" s="112" t="str">
        <f t="shared" si="1"/>
        <v>Tai fforddiadwy</v>
      </c>
      <c r="C58" s="114">
        <f>C150</f>
        <v>2072.0305797576907</v>
      </c>
      <c r="D58" s="114">
        <f t="shared" si="1"/>
        <v>2072.0267146301276</v>
      </c>
      <c r="E58" s="114">
        <f t="shared" si="1"/>
        <v>2164.852031784058</v>
      </c>
      <c r="F58" s="114">
        <f t="shared" si="1"/>
        <v>2097.0055894851689</v>
      </c>
      <c r="G58" s="114">
        <f t="shared" si="1"/>
        <v>2076.9865108871463</v>
      </c>
      <c r="K58" s="79"/>
    </row>
    <row r="59" spans="2:11" ht="15" customHeight="1" x14ac:dyDescent="0.25">
      <c r="K59" s="79"/>
    </row>
    <row r="60" spans="2:11" ht="15" customHeight="1" x14ac:dyDescent="0.3">
      <c r="B60" s="46" t="s">
        <v>280</v>
      </c>
      <c r="K60" s="79"/>
    </row>
    <row r="61" spans="2:11" ht="15" customHeight="1" x14ac:dyDescent="0.3">
      <c r="B61" s="82" t="str">
        <f>B151</f>
        <v/>
      </c>
      <c r="C61" s="115" t="str">
        <f t="shared" ref="C61:G63" si="2">C151</f>
        <v>2019/20</v>
      </c>
      <c r="D61" s="115" t="str">
        <f t="shared" si="2"/>
        <v>2020/21</v>
      </c>
      <c r="E61" s="115" t="str">
        <f t="shared" si="2"/>
        <v>2021/22</v>
      </c>
      <c r="F61" s="115" t="str">
        <f t="shared" si="2"/>
        <v>2022/23</v>
      </c>
      <c r="G61" s="115" t="str">
        <f t="shared" si="2"/>
        <v>2023/24</v>
      </c>
      <c r="I61" s="518" t="str">
        <f>I151</f>
        <v>Rhaniad 5 mlynedd</v>
      </c>
      <c r="J61" s="518"/>
      <c r="K61" s="79"/>
    </row>
    <row r="62" spans="2:11" ht="15" customHeight="1" x14ac:dyDescent="0.3">
      <c r="B62" s="82" t="str">
        <f>B152</f>
        <v>Tai'r Farchnad</v>
      </c>
      <c r="C62" s="116">
        <f>C152</f>
        <v>0.51760445757372187</v>
      </c>
      <c r="D62" s="116">
        <f t="shared" si="2"/>
        <v>0.51760424438787367</v>
      </c>
      <c r="E62" s="116">
        <f t="shared" si="2"/>
        <v>0.52245533775862729</v>
      </c>
      <c r="F62" s="116">
        <f t="shared" si="2"/>
        <v>0.51896174587236721</v>
      </c>
      <c r="G62" s="116">
        <f t="shared" si="2"/>
        <v>0.51787700108590806</v>
      </c>
      <c r="I62" s="507">
        <f>I152</f>
        <v>0.51893896619108726</v>
      </c>
      <c r="J62" s="507"/>
      <c r="K62" s="79"/>
    </row>
    <row r="63" spans="2:11" ht="15" customHeight="1" x14ac:dyDescent="0.3">
      <c r="B63" s="82" t="str">
        <f t="shared" ref="B63" si="3">B153</f>
        <v>Tai fforddiadwy</v>
      </c>
      <c r="C63" s="116">
        <f>C153</f>
        <v>0.48239554242627813</v>
      </c>
      <c r="D63" s="116">
        <f t="shared" si="2"/>
        <v>0.48239575561212639</v>
      </c>
      <c r="E63" s="116">
        <f t="shared" si="2"/>
        <v>0.47754466224137265</v>
      </c>
      <c r="F63" s="116">
        <f t="shared" si="2"/>
        <v>0.48103825412763285</v>
      </c>
      <c r="G63" s="116">
        <f t="shared" si="2"/>
        <v>0.48212299891409188</v>
      </c>
      <c r="I63" s="507">
        <f>I153</f>
        <v>0.48106103380891269</v>
      </c>
      <c r="J63" s="507"/>
      <c r="K63" s="79"/>
    </row>
    <row r="64" spans="2:11" ht="15" customHeight="1" x14ac:dyDescent="0.25">
      <c r="B64" s="80"/>
      <c r="C64" s="109"/>
      <c r="D64" s="109"/>
      <c r="E64" s="109"/>
      <c r="F64" s="109"/>
      <c r="G64" s="109"/>
      <c r="H64" s="109"/>
      <c r="I64" s="109"/>
      <c r="J64" s="109"/>
      <c r="K64" s="79"/>
    </row>
    <row r="65" spans="2:11" ht="15" customHeight="1" x14ac:dyDescent="0.25">
      <c r="B65" s="52" t="str">
        <f>IF(C145=1,"","Sylwebaeth ar y rhagdybiaethau a ddewiswyd ar gyfer y rhaniad 4 deiliadaeth")</f>
        <v/>
      </c>
      <c r="C65" s="109"/>
      <c r="D65" s="109"/>
      <c r="E65" s="109"/>
      <c r="F65" s="109"/>
      <c r="G65" s="109"/>
      <c r="H65" s="109"/>
      <c r="I65" s="109"/>
      <c r="J65" s="109"/>
      <c r="K65" s="79"/>
    </row>
    <row r="66" spans="2:11" s="58" customFormat="1" ht="15" customHeight="1" x14ac:dyDescent="0.25">
      <c r="B66" s="495" t="str">
        <f>B192</f>
        <v>Ni fydd amcangyfrifon wedi'u rhannu'n 4 deiliadaeth yn ymddangos hyd nes bod y tabl uchod wedi'i gwblhau.</v>
      </c>
      <c r="C66" s="495"/>
      <c r="D66" s="495"/>
      <c r="E66" s="495"/>
      <c r="F66" s="495"/>
      <c r="G66" s="495"/>
      <c r="H66" s="495"/>
      <c r="I66" s="495"/>
      <c r="J66" s="495"/>
      <c r="K66" s="79"/>
    </row>
    <row r="67" spans="2:11" s="58" customFormat="1" ht="15" customHeight="1" x14ac:dyDescent="0.25">
      <c r="B67" s="495"/>
      <c r="C67" s="495"/>
      <c r="D67" s="495"/>
      <c r="E67" s="495"/>
      <c r="F67" s="495"/>
      <c r="G67" s="495"/>
      <c r="H67" s="495"/>
      <c r="I67" s="495"/>
      <c r="J67" s="495"/>
      <c r="K67" s="79"/>
    </row>
    <row r="68" spans="2:11" s="58" customFormat="1" ht="15" customHeight="1" x14ac:dyDescent="0.25">
      <c r="B68" s="495"/>
      <c r="C68" s="495"/>
      <c r="D68" s="495"/>
      <c r="E68" s="495"/>
      <c r="F68" s="495"/>
      <c r="G68" s="495"/>
      <c r="H68" s="495"/>
      <c r="I68" s="495"/>
      <c r="J68" s="495"/>
      <c r="K68" s="79"/>
    </row>
    <row r="69" spans="2:11" s="58" customFormat="1" ht="15" customHeight="1" x14ac:dyDescent="0.25">
      <c r="B69" s="495"/>
      <c r="C69" s="495"/>
      <c r="D69" s="495"/>
      <c r="E69" s="495"/>
      <c r="F69" s="495"/>
      <c r="G69" s="495"/>
      <c r="H69" s="495"/>
      <c r="I69" s="495"/>
      <c r="J69" s="495"/>
      <c r="K69" s="79"/>
    </row>
    <row r="70" spans="2:11" ht="15" customHeight="1" x14ac:dyDescent="0.25">
      <c r="C70" s="49"/>
      <c r="D70" s="53"/>
      <c r="F70" s="54"/>
      <c r="G70" s="55"/>
    </row>
    <row r="71" spans="2:11" ht="15" customHeight="1" x14ac:dyDescent="0.25">
      <c r="C71" s="49"/>
      <c r="D71" s="53"/>
      <c r="E71" s="55"/>
      <c r="F71" s="54"/>
      <c r="G71" s="55"/>
    </row>
    <row r="72" spans="2:11" ht="15" customHeight="1" x14ac:dyDescent="0.25">
      <c r="C72" s="49"/>
      <c r="D72" s="53"/>
      <c r="E72" s="55"/>
      <c r="F72" s="54"/>
      <c r="G72" s="55"/>
    </row>
    <row r="73" spans="2:11" ht="15" customHeight="1" x14ac:dyDescent="0.25">
      <c r="C73" s="49"/>
      <c r="D73" s="53"/>
      <c r="E73" s="55"/>
      <c r="F73" s="54"/>
      <c r="G73" s="55"/>
    </row>
    <row r="74" spans="2:11" ht="15" customHeight="1" x14ac:dyDescent="0.25">
      <c r="C74" s="49"/>
      <c r="D74" s="53"/>
      <c r="E74" s="55"/>
      <c r="F74" s="54"/>
      <c r="G74" s="55"/>
    </row>
    <row r="75" spans="2:11" ht="15" customHeight="1" x14ac:dyDescent="0.25">
      <c r="C75" s="49"/>
      <c r="D75" s="53"/>
      <c r="E75" s="55"/>
      <c r="F75" s="54"/>
      <c r="G75" s="55"/>
    </row>
    <row r="76" spans="2:11" ht="15" customHeight="1" x14ac:dyDescent="0.25">
      <c r="C76" s="49"/>
      <c r="D76" s="53"/>
      <c r="E76" s="55"/>
      <c r="F76" s="54"/>
      <c r="G76" s="55"/>
    </row>
    <row r="77" spans="2:11" ht="15" customHeight="1" x14ac:dyDescent="0.25">
      <c r="C77" s="49"/>
      <c r="D77" s="53"/>
      <c r="E77" s="55"/>
      <c r="F77" s="54"/>
      <c r="G77" s="55"/>
    </row>
    <row r="78" spans="2:11" ht="15" customHeight="1" x14ac:dyDescent="0.25">
      <c r="C78" s="49"/>
      <c r="D78" s="53"/>
      <c r="E78" s="55"/>
      <c r="F78" s="54"/>
      <c r="G78" s="55"/>
    </row>
    <row r="79" spans="2:11" ht="15" customHeight="1" x14ac:dyDescent="0.25">
      <c r="C79" s="49"/>
      <c r="D79" s="53"/>
      <c r="E79" s="55"/>
      <c r="F79" s="54"/>
      <c r="G79" s="55"/>
    </row>
    <row r="80" spans="2:11" ht="15" customHeight="1" x14ac:dyDescent="0.25">
      <c r="C80" s="49"/>
      <c r="D80" s="53"/>
      <c r="E80" s="55"/>
      <c r="F80" s="54"/>
      <c r="G80" s="55"/>
    </row>
    <row r="81" spans="2:8" ht="15" customHeight="1" x14ac:dyDescent="0.25">
      <c r="C81" s="49"/>
      <c r="D81" s="53"/>
      <c r="E81" s="55"/>
      <c r="F81" s="54"/>
      <c r="G81" s="55"/>
    </row>
    <row r="82" spans="2:8" ht="15" customHeight="1" x14ac:dyDescent="0.25">
      <c r="C82" s="49"/>
      <c r="D82" s="53"/>
      <c r="E82" s="55"/>
      <c r="F82" s="54"/>
      <c r="G82" s="55"/>
    </row>
    <row r="83" spans="2:8" ht="15" customHeight="1" x14ac:dyDescent="0.25">
      <c r="C83" s="49"/>
      <c r="D83" s="53"/>
      <c r="E83" s="55"/>
      <c r="F83" s="54"/>
      <c r="G83" s="55"/>
    </row>
    <row r="84" spans="2:8" ht="15" customHeight="1" x14ac:dyDescent="0.25">
      <c r="C84" s="49"/>
      <c r="D84" s="53"/>
      <c r="E84" s="55"/>
      <c r="F84" s="54"/>
      <c r="G84" s="55"/>
    </row>
    <row r="85" spans="2:8" ht="15" customHeight="1" x14ac:dyDescent="0.25">
      <c r="C85" s="49"/>
      <c r="D85" s="53"/>
      <c r="E85" s="55"/>
      <c r="F85" s="54"/>
      <c r="G85" s="55"/>
    </row>
    <row r="86" spans="2:8" ht="15" customHeight="1" x14ac:dyDescent="0.25">
      <c r="C86" s="49"/>
      <c r="D86" s="53"/>
      <c r="E86" s="55"/>
      <c r="F86" s="54"/>
      <c r="G86" s="55"/>
    </row>
    <row r="87" spans="2:8" ht="15" customHeight="1" x14ac:dyDescent="0.25">
      <c r="C87" s="49"/>
      <c r="D87" s="53"/>
      <c r="E87" s="55"/>
      <c r="F87" s="54"/>
      <c r="G87" s="55"/>
    </row>
    <row r="88" spans="2:8" ht="15" customHeight="1" x14ac:dyDescent="0.25">
      <c r="C88" s="49"/>
      <c r="D88" s="53"/>
      <c r="E88" s="55"/>
      <c r="F88" s="54"/>
      <c r="G88" s="55"/>
    </row>
    <row r="89" spans="2:8" ht="15" customHeight="1" x14ac:dyDescent="0.25">
      <c r="C89" s="49"/>
      <c r="D89" s="53"/>
      <c r="E89" s="55"/>
      <c r="F89" s="54"/>
      <c r="G89" s="55"/>
    </row>
    <row r="90" spans="2:8" ht="15" customHeight="1" x14ac:dyDescent="0.3">
      <c r="B90" s="56" t="s">
        <v>296</v>
      </c>
      <c r="C90" s="57"/>
      <c r="D90" s="57"/>
      <c r="E90" s="57"/>
      <c r="F90" s="57"/>
      <c r="G90" s="57"/>
    </row>
    <row r="91" spans="2:8" ht="15" customHeight="1" x14ac:dyDescent="0.25">
      <c r="B91" s="118" t="str">
        <f>B157</f>
        <v>Cwblhewch y tabl i weld amcangyfrifon wedi'u rhannu'n 4 deiliadaeth.</v>
      </c>
      <c r="C91" s="82"/>
      <c r="D91" s="82"/>
      <c r="E91" s="82"/>
      <c r="F91" s="82"/>
      <c r="G91" s="82"/>
      <c r="H91" s="58"/>
    </row>
    <row r="92" spans="2:8" ht="15" customHeight="1" x14ac:dyDescent="0.3">
      <c r="B92" s="118"/>
      <c r="C92" s="113" t="str">
        <f t="shared" ref="C92:G96" si="4">C157</f>
        <v/>
      </c>
      <c r="D92" s="113" t="str">
        <f t="shared" si="4"/>
        <v/>
      </c>
      <c r="E92" s="113" t="str">
        <f t="shared" si="4"/>
        <v/>
      </c>
      <c r="F92" s="113" t="str">
        <f t="shared" si="4"/>
        <v/>
      </c>
      <c r="G92" s="113" t="str">
        <f t="shared" si="4"/>
        <v/>
      </c>
      <c r="H92" s="58"/>
    </row>
    <row r="93" spans="2:8" ht="15" customHeight="1" x14ac:dyDescent="0.25">
      <c r="B93" s="112" t="str">
        <f>B158</f>
        <v/>
      </c>
      <c r="C93" s="119" t="str">
        <f t="shared" si="4"/>
        <v/>
      </c>
      <c r="D93" s="114" t="str">
        <f t="shared" si="4"/>
        <v/>
      </c>
      <c r="E93" s="114" t="str">
        <f t="shared" si="4"/>
        <v/>
      </c>
      <c r="F93" s="114" t="str">
        <f t="shared" si="4"/>
        <v/>
      </c>
      <c r="G93" s="114" t="str">
        <f t="shared" si="4"/>
        <v/>
      </c>
      <c r="H93" s="58"/>
    </row>
    <row r="94" spans="2:8" ht="15" customHeight="1" x14ac:dyDescent="0.25">
      <c r="B94" s="112" t="str">
        <f>B159</f>
        <v/>
      </c>
      <c r="C94" s="114" t="str">
        <f t="shared" si="4"/>
        <v/>
      </c>
      <c r="D94" s="114" t="str">
        <f t="shared" si="4"/>
        <v/>
      </c>
      <c r="E94" s="114" t="str">
        <f t="shared" si="4"/>
        <v/>
      </c>
      <c r="F94" s="114" t="str">
        <f t="shared" si="4"/>
        <v/>
      </c>
      <c r="G94" s="114" t="str">
        <f t="shared" si="4"/>
        <v/>
      </c>
      <c r="H94" s="58"/>
    </row>
    <row r="95" spans="2:8" ht="15" customHeight="1" x14ac:dyDescent="0.25">
      <c r="B95" s="114" t="str">
        <f>B160</f>
        <v/>
      </c>
      <c r="C95" s="114" t="str">
        <f t="shared" si="4"/>
        <v/>
      </c>
      <c r="D95" s="114" t="str">
        <f t="shared" si="4"/>
        <v/>
      </c>
      <c r="E95" s="114" t="str">
        <f t="shared" si="4"/>
        <v/>
      </c>
      <c r="F95" s="114" t="str">
        <f t="shared" si="4"/>
        <v/>
      </c>
      <c r="G95" s="114" t="str">
        <f t="shared" si="4"/>
        <v/>
      </c>
      <c r="H95" s="58"/>
    </row>
    <row r="96" spans="2:8" ht="15" customHeight="1" x14ac:dyDescent="0.25">
      <c r="B96" s="114" t="str">
        <f>B161</f>
        <v/>
      </c>
      <c r="C96" s="114" t="str">
        <f t="shared" si="4"/>
        <v/>
      </c>
      <c r="D96" s="114" t="str">
        <f t="shared" si="4"/>
        <v/>
      </c>
      <c r="E96" s="114" t="str">
        <f t="shared" si="4"/>
        <v/>
      </c>
      <c r="F96" s="114" t="str">
        <f t="shared" si="4"/>
        <v/>
      </c>
      <c r="G96" s="114" t="str">
        <f t="shared" si="4"/>
        <v/>
      </c>
      <c r="H96" s="58"/>
    </row>
    <row r="97" spans="2:20" ht="15" customHeight="1" x14ac:dyDescent="0.25">
      <c r="H97" s="58"/>
    </row>
    <row r="98" spans="2:20" ht="15" customHeight="1" x14ac:dyDescent="0.3">
      <c r="B98" s="46" t="s">
        <v>305</v>
      </c>
      <c r="H98" s="58"/>
    </row>
    <row r="99" spans="2:20" ht="15" customHeight="1" x14ac:dyDescent="0.3">
      <c r="B99" s="82" t="str">
        <f>B162</f>
        <v>Cwblhewch y tabl i weld amcangyfrifon wedi'u rhannu'n 4 deiliadaeth.</v>
      </c>
      <c r="C99" s="82"/>
      <c r="D99" s="82"/>
      <c r="E99" s="82"/>
      <c r="F99" s="82"/>
      <c r="G99" s="82"/>
      <c r="H99" s="58"/>
      <c r="I99" s="518" t="str">
        <f>I162</f>
        <v/>
      </c>
      <c r="J99" s="518"/>
    </row>
    <row r="100" spans="2:20" ht="15" customHeight="1" x14ac:dyDescent="0.3">
      <c r="B100" s="82"/>
      <c r="C100" s="115" t="str">
        <f t="shared" ref="C100:G104" si="5">C162</f>
        <v/>
      </c>
      <c r="D100" s="115" t="str">
        <f t="shared" si="5"/>
        <v/>
      </c>
      <c r="E100" s="115" t="str">
        <f t="shared" si="5"/>
        <v/>
      </c>
      <c r="F100" s="115" t="str">
        <f t="shared" si="5"/>
        <v/>
      </c>
      <c r="G100" s="115" t="str">
        <f t="shared" si="5"/>
        <v/>
      </c>
      <c r="H100" s="58"/>
      <c r="I100" s="117"/>
      <c r="J100" s="117"/>
    </row>
    <row r="101" spans="2:20" ht="15" customHeight="1" x14ac:dyDescent="0.3">
      <c r="B101" s="82" t="str">
        <f>B163</f>
        <v/>
      </c>
      <c r="C101" s="116" t="str">
        <f t="shared" si="5"/>
        <v/>
      </c>
      <c r="D101" s="116" t="str">
        <f t="shared" si="5"/>
        <v/>
      </c>
      <c r="E101" s="116" t="str">
        <f t="shared" si="5"/>
        <v/>
      </c>
      <c r="F101" s="116" t="str">
        <f t="shared" si="5"/>
        <v/>
      </c>
      <c r="G101" s="116" t="str">
        <f t="shared" si="5"/>
        <v/>
      </c>
      <c r="H101" s="58"/>
      <c r="I101" s="507" t="str">
        <f>I163</f>
        <v/>
      </c>
      <c r="J101" s="507"/>
    </row>
    <row r="102" spans="2:20" ht="15" customHeight="1" x14ac:dyDescent="0.3">
      <c r="B102" s="82" t="str">
        <f>B164</f>
        <v/>
      </c>
      <c r="C102" s="116" t="str">
        <f t="shared" si="5"/>
        <v/>
      </c>
      <c r="D102" s="116" t="str">
        <f t="shared" si="5"/>
        <v/>
      </c>
      <c r="E102" s="116" t="str">
        <f t="shared" si="5"/>
        <v/>
      </c>
      <c r="F102" s="116" t="str">
        <f t="shared" si="5"/>
        <v/>
      </c>
      <c r="G102" s="116" t="str">
        <f t="shared" si="5"/>
        <v/>
      </c>
      <c r="H102" s="58"/>
      <c r="I102" s="507" t="str">
        <f>I164</f>
        <v/>
      </c>
      <c r="J102" s="507"/>
    </row>
    <row r="103" spans="2:20" ht="14.25" customHeight="1" x14ac:dyDescent="0.3">
      <c r="B103" s="82" t="str">
        <f>B165</f>
        <v/>
      </c>
      <c r="C103" s="116" t="str">
        <f t="shared" si="5"/>
        <v/>
      </c>
      <c r="D103" s="116" t="str">
        <f t="shared" si="5"/>
        <v/>
      </c>
      <c r="E103" s="116" t="str">
        <f t="shared" si="5"/>
        <v/>
      </c>
      <c r="F103" s="116" t="str">
        <f t="shared" si="5"/>
        <v/>
      </c>
      <c r="G103" s="116" t="str">
        <f t="shared" si="5"/>
        <v/>
      </c>
      <c r="H103" s="58"/>
      <c r="I103" s="507" t="str">
        <f>I165</f>
        <v/>
      </c>
      <c r="J103" s="507"/>
    </row>
    <row r="104" spans="2:20" ht="14.25" customHeight="1" x14ac:dyDescent="0.3">
      <c r="B104" s="82" t="str">
        <f>B166</f>
        <v/>
      </c>
      <c r="C104" s="116" t="str">
        <f t="shared" si="5"/>
        <v/>
      </c>
      <c r="D104" s="116" t="str">
        <f t="shared" si="5"/>
        <v/>
      </c>
      <c r="E104" s="116" t="str">
        <f t="shared" si="5"/>
        <v/>
      </c>
      <c r="F104" s="116" t="str">
        <f t="shared" si="5"/>
        <v/>
      </c>
      <c r="G104" s="116" t="str">
        <f t="shared" si="5"/>
        <v/>
      </c>
      <c r="H104" s="58"/>
      <c r="I104" s="507" t="str">
        <f>I166</f>
        <v/>
      </c>
      <c r="J104" s="507"/>
    </row>
    <row r="105" spans="2:20" ht="14.25" customHeight="1" x14ac:dyDescent="0.3">
      <c r="C105" s="46"/>
      <c r="M105" s="58"/>
      <c r="N105" s="59"/>
      <c r="O105" s="59"/>
      <c r="P105" s="59"/>
      <c r="Q105" s="59"/>
      <c r="R105" s="59"/>
      <c r="S105" s="58"/>
      <c r="T105" s="60"/>
    </row>
    <row r="106" spans="2:20" ht="14.25" customHeight="1" x14ac:dyDescent="0.35">
      <c r="B106" s="44" t="s">
        <v>295</v>
      </c>
      <c r="M106" s="58"/>
      <c r="N106" s="59"/>
      <c r="O106" s="59"/>
      <c r="P106" s="59"/>
      <c r="Q106" s="59"/>
      <c r="R106" s="59"/>
      <c r="S106" s="58"/>
      <c r="T106" s="60"/>
    </row>
    <row r="107" spans="2:20" ht="14.25" customHeight="1" x14ac:dyDescent="0.3">
      <c r="B107" s="123"/>
      <c r="C107" s="124" t="str">
        <f>Year1</f>
        <v>2019/20</v>
      </c>
      <c r="D107" s="124" t="str">
        <f>Year2</f>
        <v>2020/21</v>
      </c>
      <c r="E107" s="124" t="str">
        <f>Year3</f>
        <v>2021/22</v>
      </c>
      <c r="F107" s="124" t="str">
        <f>Year4</f>
        <v>2022/23</v>
      </c>
      <c r="G107" s="125" t="str">
        <f>Year5</f>
        <v>2023/24</v>
      </c>
      <c r="M107" s="58"/>
      <c r="N107" s="59"/>
      <c r="O107" s="59"/>
      <c r="P107" s="59"/>
      <c r="Q107" s="59"/>
      <c r="R107" s="59"/>
      <c r="S107" s="58"/>
      <c r="T107" s="60"/>
    </row>
    <row r="108" spans="2:20" ht="25.5" x14ac:dyDescent="0.3">
      <c r="B108" s="126" t="s">
        <v>70</v>
      </c>
      <c r="C108" s="128">
        <f>'Rhaniad y Ddeiliadaeth (Cymru)'!C108</f>
        <v>0.3</v>
      </c>
      <c r="D108" s="128">
        <f>'Rhaniad y Ddeiliadaeth (Cymru)'!D108</f>
        <v>0.3</v>
      </c>
      <c r="E108" s="128">
        <f>'Rhaniad y Ddeiliadaeth (Cymru)'!E108</f>
        <v>0.3</v>
      </c>
      <c r="F108" s="128">
        <f>'Rhaniad y Ddeiliadaeth (Cymru)'!F108</f>
        <v>0.3</v>
      </c>
      <c r="G108" s="129">
        <f>'Rhaniad y Ddeiliadaeth (Cymru)'!G108</f>
        <v>0.3</v>
      </c>
      <c r="O108" s="59"/>
      <c r="P108" s="59"/>
      <c r="Q108" s="59"/>
      <c r="R108" s="59"/>
      <c r="S108" s="58"/>
      <c r="T108" s="60"/>
    </row>
    <row r="109" spans="2:20" ht="13" x14ac:dyDescent="0.3">
      <c r="B109" s="126" t="s">
        <v>284</v>
      </c>
      <c r="C109" s="128">
        <f>'Rhaniad y Ddeiliadaeth (Cymru)'!C109</f>
        <v>2.2446185800604201E-2</v>
      </c>
      <c r="D109" s="128">
        <f>'Rhaniad y Ddeiliadaeth (Cymru)'!D109</f>
        <v>3.4273974138698815E-2</v>
      </c>
      <c r="E109" s="128">
        <f>'Rhaniad y Ddeiliadaeth (Cymru)'!E109</f>
        <v>3.4178288789832534E-2</v>
      </c>
      <c r="F109" s="128">
        <f>'Rhaniad y Ddeiliadaeth (Cymru)'!F109</f>
        <v>3.468526742495337E-2</v>
      </c>
      <c r="G109" s="129">
        <f>'Rhaniad y Ddeiliadaeth (Cymru)'!G109</f>
        <v>3.4498109627313145E-2</v>
      </c>
      <c r="O109" s="59"/>
      <c r="P109" s="59"/>
      <c r="Q109" s="59"/>
      <c r="R109" s="59"/>
      <c r="S109" s="58"/>
      <c r="T109" s="60"/>
    </row>
    <row r="110" spans="2:20" ht="13" x14ac:dyDescent="0.3">
      <c r="B110" s="126" t="s">
        <v>285</v>
      </c>
      <c r="C110" s="128">
        <f>'Rhaniad y Ddeiliadaeth (Cymru)'!C110</f>
        <v>0.01</v>
      </c>
      <c r="D110" s="128">
        <f>'Rhaniad y Ddeiliadaeth (Cymru)'!D110</f>
        <v>0.01</v>
      </c>
      <c r="E110" s="128">
        <f>'Rhaniad y Ddeiliadaeth (Cymru)'!E110</f>
        <v>0.01</v>
      </c>
      <c r="F110" s="128">
        <f>'Rhaniad y Ddeiliadaeth (Cymru)'!F110</f>
        <v>0.01</v>
      </c>
      <c r="G110" s="129">
        <f>'Rhaniad y Ddeiliadaeth (Cymru)'!G110</f>
        <v>0.01</v>
      </c>
      <c r="O110" s="59"/>
      <c r="P110" s="59"/>
      <c r="Q110" s="59"/>
      <c r="R110" s="59"/>
      <c r="S110" s="58"/>
      <c r="T110" s="60"/>
    </row>
    <row r="111" spans="2:20" ht="13" x14ac:dyDescent="0.3">
      <c r="B111" s="126" t="s">
        <v>286</v>
      </c>
      <c r="C111" s="128">
        <f>'Rhaniad y Ddeiliadaeth (Cymru)'!C111</f>
        <v>2.95362389376672E-2</v>
      </c>
      <c r="D111" s="128">
        <f>'Rhaniad y Ddeiliadaeth (Cymru)'!D111</f>
        <v>3.06009237258206E-2</v>
      </c>
      <c r="E111" s="128">
        <f>'Rhaniad y Ddeiliadaeth (Cymru)'!E111</f>
        <v>3.1212408697362796E-2</v>
      </c>
      <c r="F111" s="128">
        <f>'Rhaniad y Ddeiliadaeth (Cymru)'!F111</f>
        <v>3.1716449662899202E-2</v>
      </c>
      <c r="G111" s="129">
        <f>'Rhaniad y Ddeiliadaeth (Cymru)'!G111</f>
        <v>3.2947319786085505E-2</v>
      </c>
      <c r="O111" s="59"/>
      <c r="P111" s="59"/>
      <c r="Q111" s="59"/>
      <c r="R111" s="59"/>
      <c r="S111" s="58"/>
      <c r="T111" s="60"/>
    </row>
    <row r="112" spans="2:20" ht="13" x14ac:dyDescent="0.3">
      <c r="B112" s="126" t="s">
        <v>287</v>
      </c>
      <c r="C112" s="130">
        <f>INDEX('Prisiau Rhenti'!$D$29:$D$30,MATCH('Rhaniad y Ddeiliadaeth (De-ddn)'!$D$9,'Prisiau Rhenti'!$B$29:$B$30,0))*(1+C111)</f>
        <v>6794.9391769886033</v>
      </c>
      <c r="D112" s="130">
        <f>C112*(1+D111)</f>
        <v>7002.8705924652222</v>
      </c>
      <c r="E112" s="130">
        <f t="shared" ref="E112:G112" si="6">D112*(1+E111)</f>
        <v>7221.4470514519899</v>
      </c>
      <c r="F112" s="130">
        <f t="shared" si="6"/>
        <v>7450.4857133526584</v>
      </c>
      <c r="G112" s="131">
        <f t="shared" si="6"/>
        <v>7695.959248712149</v>
      </c>
      <c r="O112" s="59"/>
      <c r="P112" s="59"/>
      <c r="Q112" s="59"/>
      <c r="R112" s="59"/>
      <c r="S112" s="58"/>
      <c r="T112" s="60"/>
    </row>
    <row r="113" spans="2:20" ht="13" x14ac:dyDescent="0.3">
      <c r="B113" s="126" t="s">
        <v>288</v>
      </c>
      <c r="C113" s="130">
        <f>INDEX('Prisiau Rhenti'!$C$29:$C$30,MATCH('Rhaniad y Ddeiliadaeth (De-ddn)'!$D$9,'Prisiau Rhenti'!$B$29:$B$30,0))*(1+C111)</f>
        <v>5868.3565619447036</v>
      </c>
      <c r="D113" s="130">
        <f>C113*(1+D111)</f>
        <v>6047.9336934926923</v>
      </c>
      <c r="E113" s="130">
        <f t="shared" ref="E113:G113" si="7">D113*(1+E111)</f>
        <v>6236.7042717085378</v>
      </c>
      <c r="F113" s="130">
        <f t="shared" si="7"/>
        <v>6434.5103888045705</v>
      </c>
      <c r="G113" s="131">
        <f t="shared" si="7"/>
        <v>6646.5102602514035</v>
      </c>
      <c r="O113" s="59"/>
      <c r="P113" s="59"/>
      <c r="Q113" s="59"/>
      <c r="R113" s="59"/>
      <c r="S113" s="58"/>
      <c r="T113" s="60"/>
    </row>
    <row r="114" spans="2:20" ht="25.5" x14ac:dyDescent="0.3">
      <c r="B114" s="122" t="s">
        <v>92</v>
      </c>
      <c r="C114" s="327">
        <f>'Rhaniad y Ddeiliadaeth (Cymru)'!C114</f>
        <v>4.03</v>
      </c>
      <c r="D114" s="327">
        <f>'Rhaniad y Ddeiliadaeth (Cymru)'!D114</f>
        <v>4.03</v>
      </c>
      <c r="E114" s="327">
        <f>'Rhaniad y Ddeiliadaeth (Cymru)'!E114</f>
        <v>4.03</v>
      </c>
      <c r="F114" s="327">
        <f>'Rhaniad y Ddeiliadaeth (Cymru)'!F114</f>
        <v>4.03</v>
      </c>
      <c r="G114" s="328">
        <f>'Rhaniad y Ddeiliadaeth (Cymru)'!G114</f>
        <v>4.03</v>
      </c>
      <c r="O114" s="59"/>
      <c r="P114" s="59"/>
      <c r="Q114" s="59"/>
      <c r="R114" s="59"/>
      <c r="S114" s="58"/>
      <c r="T114" s="60"/>
    </row>
    <row r="115" spans="2:20" ht="25.5" x14ac:dyDescent="0.3">
      <c r="B115" s="122" t="s">
        <v>93</v>
      </c>
      <c r="C115" s="132">
        <f>'Rhaniad y Ddeiliadaeth (Cymru)'!C115</f>
        <v>40</v>
      </c>
      <c r="D115" s="132">
        <f>'Rhaniad y Ddeiliadaeth (Cymru)'!D115</f>
        <v>40</v>
      </c>
      <c r="E115" s="132">
        <f>'Rhaniad y Ddeiliadaeth (Cymru)'!E115</f>
        <v>40</v>
      </c>
      <c r="F115" s="132">
        <f>'Rhaniad y Ddeiliadaeth (Cymru)'!F115</f>
        <v>40</v>
      </c>
      <c r="G115" s="133">
        <f>'Rhaniad y Ddeiliadaeth (Cymru)'!G115</f>
        <v>40</v>
      </c>
      <c r="O115" s="59"/>
      <c r="P115" s="59"/>
      <c r="Q115" s="59"/>
      <c r="R115" s="59"/>
      <c r="S115" s="58"/>
      <c r="T115" s="60"/>
    </row>
    <row r="116" spans="2:20" ht="25.5" x14ac:dyDescent="0.3">
      <c r="B116" s="122" t="s">
        <v>289</v>
      </c>
      <c r="C116" s="134" t="str">
        <f>'Rhaniad y Ddeiliadaeth (Cymru)'!C116</f>
        <v>-</v>
      </c>
      <c r="D116" s="134" t="str">
        <f>'Rhaniad y Ddeiliadaeth (Cymru)'!D116</f>
        <v>-</v>
      </c>
      <c r="E116" s="134" t="str">
        <f>'Rhaniad y Ddeiliadaeth (Cymru)'!E116</f>
        <v>-</v>
      </c>
      <c r="F116" s="134" t="str">
        <f>'Rhaniad y Ddeiliadaeth (Cymru)'!F116</f>
        <v>-</v>
      </c>
      <c r="G116" s="135" t="str">
        <f>'Rhaniad y Ddeiliadaeth (Cymru)'!G116</f>
        <v>-</v>
      </c>
      <c r="O116" s="59"/>
      <c r="P116" s="59"/>
      <c r="Q116" s="59"/>
      <c r="R116" s="59"/>
      <c r="S116" s="58"/>
      <c r="T116" s="60"/>
    </row>
    <row r="117" spans="2:20" ht="25.5" x14ac:dyDescent="0.3">
      <c r="B117" s="122" t="s">
        <v>95</v>
      </c>
      <c r="C117" s="134">
        <f>'Rhaniad y Ddeiliadaeth (Cymru)'!C117</f>
        <v>0.35</v>
      </c>
      <c r="D117" s="134">
        <f>'Rhaniad y Ddeiliadaeth (Cymru)'!D117</f>
        <v>0.35</v>
      </c>
      <c r="E117" s="134">
        <f>'Rhaniad y Ddeiliadaeth (Cymru)'!E117</f>
        <v>0.35</v>
      </c>
      <c r="F117" s="134">
        <f>'Rhaniad y Ddeiliadaeth (Cymru)'!F117</f>
        <v>0.35</v>
      </c>
      <c r="G117" s="135">
        <f>'Rhaniad y Ddeiliadaeth (Cymru)'!G117</f>
        <v>0.35</v>
      </c>
      <c r="O117" s="59"/>
      <c r="P117" s="59"/>
      <c r="Q117" s="59"/>
      <c r="R117" s="59"/>
      <c r="S117" s="58"/>
      <c r="T117" s="60"/>
    </row>
    <row r="118" spans="2:20" ht="13" x14ac:dyDescent="0.3">
      <c r="B118" s="127" t="s">
        <v>290</v>
      </c>
      <c r="C118" s="136">
        <f>'Rhaniad y Ddeiliadaeth (Cymru)'!C118</f>
        <v>4.8000000000000001E-2</v>
      </c>
      <c r="D118" s="136">
        <f>'Rhaniad y Ddeiliadaeth (Cymru)'!D118</f>
        <v>5.8299999999999998E-2</v>
      </c>
      <c r="E118" s="136">
        <f>'Rhaniad y Ddeiliadaeth (Cymru)'!E118</f>
        <v>7.0636931849950499E-2</v>
      </c>
      <c r="F118" s="136">
        <f>'Rhaniad y Ddeiliadaeth (Cymru)'!F118</f>
        <v>5.44208712629837E-2</v>
      </c>
      <c r="G118" s="137">
        <f>'Rhaniad y Ddeiliadaeth (Cymru)'!G118</f>
        <v>4.2183728416054896E-2</v>
      </c>
      <c r="O118" s="59"/>
      <c r="P118" s="59"/>
      <c r="Q118" s="59"/>
      <c r="R118" s="59"/>
      <c r="S118" s="58"/>
      <c r="T118" s="60"/>
    </row>
    <row r="119" spans="2:20" ht="14.25" customHeight="1" x14ac:dyDescent="0.3">
      <c r="C119" s="46"/>
      <c r="M119" s="58"/>
      <c r="N119" s="59"/>
      <c r="O119" s="59"/>
      <c r="P119" s="59"/>
      <c r="Q119" s="59"/>
      <c r="R119" s="59"/>
      <c r="S119" s="58"/>
      <c r="T119" s="60"/>
    </row>
    <row r="120" spans="2:20" ht="14.25" customHeight="1" x14ac:dyDescent="0.3">
      <c r="B120" s="85" t="s">
        <v>312</v>
      </c>
      <c r="C120" s="86"/>
      <c r="L120" s="58"/>
      <c r="M120" s="59"/>
      <c r="N120" s="59"/>
      <c r="O120" s="59"/>
      <c r="P120" s="59"/>
      <c r="R120" s="59"/>
      <c r="S120" s="58"/>
      <c r="T120" s="60"/>
    </row>
    <row r="121" spans="2:20" ht="14.25" customHeight="1" x14ac:dyDescent="0.3">
      <c r="B121" s="85" t="s">
        <v>313</v>
      </c>
      <c r="C121" s="87" t="s">
        <v>311</v>
      </c>
      <c r="G121" s="58"/>
      <c r="L121" s="58"/>
      <c r="M121" s="58"/>
      <c r="N121" s="58"/>
      <c r="O121" s="58"/>
      <c r="P121" s="58"/>
      <c r="R121" s="58"/>
      <c r="S121" s="58"/>
      <c r="T121" s="58"/>
    </row>
    <row r="122" spans="2:20" ht="14.25" customHeight="1" x14ac:dyDescent="0.25">
      <c r="B122" s="86" t="s">
        <v>175</v>
      </c>
      <c r="C122" s="86">
        <f>IF(E6="Y",0,1)</f>
        <v>0</v>
      </c>
      <c r="G122" s="58"/>
    </row>
    <row r="123" spans="2:20" ht="14.25" customHeight="1" x14ac:dyDescent="0.25">
      <c r="B123" s="86" t="s">
        <v>165</v>
      </c>
      <c r="C123" s="86">
        <f>IF(E7="Y",0,1)</f>
        <v>0</v>
      </c>
      <c r="G123" s="58"/>
    </row>
    <row r="124" spans="2:20" ht="14.25" customHeight="1" x14ac:dyDescent="0.25">
      <c r="B124" s="86" t="s">
        <v>321</v>
      </c>
      <c r="C124" s="86">
        <f>IF(E8="Y",0,1)</f>
        <v>0</v>
      </c>
      <c r="G124" s="58"/>
    </row>
    <row r="125" spans="2:20" ht="14.25" customHeight="1" x14ac:dyDescent="0.25">
      <c r="B125" s="86" t="s">
        <v>55</v>
      </c>
      <c r="C125" s="86">
        <f>IF(E9="Y",0,1)</f>
        <v>0</v>
      </c>
      <c r="G125" s="58"/>
    </row>
    <row r="126" spans="2:20" ht="14.25" customHeight="1" x14ac:dyDescent="0.3">
      <c r="B126" s="85" t="s">
        <v>325</v>
      </c>
      <c r="C126" s="86"/>
      <c r="G126" s="58"/>
    </row>
    <row r="127" spans="2:20" ht="14.25" customHeight="1" x14ac:dyDescent="0.25">
      <c r="B127" s="86" t="s">
        <v>355</v>
      </c>
      <c r="C127" s="86">
        <f>IF(E11="Y",0,1)</f>
        <v>0</v>
      </c>
      <c r="G127" s="58"/>
    </row>
    <row r="128" spans="2:20" ht="14.25" customHeight="1" x14ac:dyDescent="0.25">
      <c r="B128" s="86" t="s">
        <v>327</v>
      </c>
      <c r="C128" s="86">
        <f>IF(E12="Y",0,1)</f>
        <v>0</v>
      </c>
      <c r="G128" s="58"/>
    </row>
    <row r="129" spans="2:7" ht="14.25" customHeight="1" x14ac:dyDescent="0.3">
      <c r="B129" s="85" t="s">
        <v>323</v>
      </c>
      <c r="C129" s="86"/>
      <c r="G129" s="58"/>
    </row>
    <row r="130" spans="2:7" ht="14.25" customHeight="1" x14ac:dyDescent="0.25">
      <c r="B130" s="86" t="s">
        <v>80</v>
      </c>
      <c r="C130" s="86">
        <f>IF(E14="Y",0,1)</f>
        <v>0</v>
      </c>
      <c r="G130" s="58"/>
    </row>
    <row r="131" spans="2:7" ht="14.25" customHeight="1" x14ac:dyDescent="0.25">
      <c r="B131" s="86" t="s">
        <v>86</v>
      </c>
      <c r="C131" s="86">
        <f>IF(E15="Y",0,1)</f>
        <v>0</v>
      </c>
      <c r="G131" s="58"/>
    </row>
    <row r="132" spans="2:7" ht="14.25" customHeight="1" x14ac:dyDescent="0.25">
      <c r="B132" s="86" t="s">
        <v>117</v>
      </c>
      <c r="C132" s="86">
        <f>IF(E16="Y",0,1)</f>
        <v>0</v>
      </c>
      <c r="G132" s="58"/>
    </row>
    <row r="133" spans="2:7" ht="14.25" customHeight="1" x14ac:dyDescent="0.25">
      <c r="B133" s="86" t="s">
        <v>7</v>
      </c>
      <c r="C133" s="86">
        <f>IF(SUM(C122:C132)&gt;0,1,0)</f>
        <v>0</v>
      </c>
      <c r="G133" s="58"/>
    </row>
    <row r="134" spans="2:7" ht="14.25" customHeight="1" x14ac:dyDescent="0.25">
      <c r="G134" s="58"/>
    </row>
    <row r="135" spans="2:7" ht="14.25" customHeight="1" x14ac:dyDescent="0.3">
      <c r="B135" s="81" t="s">
        <v>319</v>
      </c>
      <c r="C135" s="82"/>
      <c r="G135" s="58"/>
    </row>
    <row r="136" spans="2:7" ht="14.25" customHeight="1" x14ac:dyDescent="0.3">
      <c r="B136" s="81" t="s">
        <v>313</v>
      </c>
      <c r="C136" s="82"/>
      <c r="G136" s="58"/>
    </row>
    <row r="137" spans="2:7" ht="14.25" customHeight="1" x14ac:dyDescent="0.25">
      <c r="B137" s="82" t="s">
        <v>88</v>
      </c>
      <c r="C137" s="82">
        <f>IF(E18="Y",0,1)</f>
        <v>0</v>
      </c>
      <c r="G137" s="58"/>
    </row>
    <row r="138" spans="2:7" ht="14.25" customHeight="1" x14ac:dyDescent="0.3">
      <c r="B138" s="81" t="s">
        <v>325</v>
      </c>
      <c r="C138" s="82"/>
      <c r="G138" s="58"/>
    </row>
    <row r="139" spans="2:7" ht="14.25" customHeight="1" x14ac:dyDescent="0.25">
      <c r="B139" s="82" t="s">
        <v>315</v>
      </c>
      <c r="C139" s="82">
        <f>IF(E20="Y",0,1)</f>
        <v>0</v>
      </c>
      <c r="G139" s="58"/>
    </row>
    <row r="140" spans="2:7" ht="18.75" customHeight="1" x14ac:dyDescent="0.25">
      <c r="B140" s="82" t="s">
        <v>316</v>
      </c>
      <c r="C140" s="82">
        <f>IF(E21="Y",0,1)</f>
        <v>0</v>
      </c>
      <c r="G140" s="58"/>
    </row>
    <row r="141" spans="2:7" ht="18.75" customHeight="1" x14ac:dyDescent="0.25">
      <c r="B141" s="82" t="s">
        <v>322</v>
      </c>
      <c r="C141" s="82">
        <f>IF(E22="Y",0,1)</f>
        <v>1</v>
      </c>
      <c r="G141" s="58"/>
    </row>
    <row r="142" spans="2:7" x14ac:dyDescent="0.25">
      <c r="B142" s="82" t="s">
        <v>326</v>
      </c>
      <c r="C142" s="82">
        <f>IF(E23="Y",0,1)</f>
        <v>0</v>
      </c>
    </row>
    <row r="143" spans="2:7" ht="13" x14ac:dyDescent="0.3">
      <c r="B143" s="81" t="s">
        <v>323</v>
      </c>
      <c r="C143" s="82"/>
    </row>
    <row r="144" spans="2:7" x14ac:dyDescent="0.25">
      <c r="B144" s="82" t="s">
        <v>320</v>
      </c>
      <c r="C144" s="82">
        <f>IF(E25="Y",0,1)</f>
        <v>0</v>
      </c>
    </row>
    <row r="145" spans="2:11" x14ac:dyDescent="0.25">
      <c r="B145" s="82" t="s">
        <v>314</v>
      </c>
      <c r="C145" s="82">
        <f>IF(SUM(C133,C137:C144)=0,0,1)</f>
        <v>1</v>
      </c>
    </row>
    <row r="146" spans="2:11" x14ac:dyDescent="0.25">
      <c r="C146" s="61"/>
      <c r="D146" s="61"/>
      <c r="E146" s="61"/>
      <c r="F146" s="61"/>
      <c r="G146" s="61"/>
      <c r="I146" s="61"/>
    </row>
    <row r="147" spans="2:11" ht="13" x14ac:dyDescent="0.3">
      <c r="B147" s="85" t="s">
        <v>309</v>
      </c>
      <c r="C147" s="86"/>
      <c r="D147" s="86"/>
      <c r="E147" s="86"/>
      <c r="F147" s="86"/>
      <c r="G147" s="86"/>
      <c r="H147" s="86"/>
      <c r="I147" s="86"/>
      <c r="J147" s="86"/>
      <c r="K147" s="58"/>
    </row>
    <row r="148" spans="2:11" x14ac:dyDescent="0.25">
      <c r="B148" s="86" t="str">
        <f>IF(C133=1,"Please complete table to view figures.","")</f>
        <v/>
      </c>
      <c r="C148" s="86" t="str">
        <f>IF($C$133=0,Year1,"")</f>
        <v>2019/20</v>
      </c>
      <c r="D148" s="86" t="str">
        <f>IF($C$133=0, Year2,"")</f>
        <v>2020/21</v>
      </c>
      <c r="E148" s="86" t="str">
        <f>IF($C$133=0,Year3,"")</f>
        <v>2021/22</v>
      </c>
      <c r="F148" s="86" t="str">
        <f>IF($C$133=0,Year4,"")</f>
        <v>2022/23</v>
      </c>
      <c r="G148" s="86" t="str">
        <f>IF($C$133=0,Year5,"")</f>
        <v>2023/24</v>
      </c>
      <c r="H148" s="86"/>
      <c r="I148" s="86"/>
      <c r="J148" s="86"/>
      <c r="K148" s="58"/>
    </row>
    <row r="149" spans="2:11" x14ac:dyDescent="0.25">
      <c r="B149" s="86" t="str">
        <f>IF($C$133=0,"Tai'r Farchnad","")</f>
        <v>Tai'r Farchnad</v>
      </c>
      <c r="C149" s="88">
        <f>IF($C$133=0,'Cyfrifiadau De-ddwyrain'!C29,"")</f>
        <v>2223.2632144927979</v>
      </c>
      <c r="D149" s="88">
        <f>IF($C$133=0,'Cyfrifiadau De-ddwyrain'!D29,"")</f>
        <v>2223.257169036865</v>
      </c>
      <c r="E149" s="88">
        <f>IF($C$133=0,'Cyfrifiadau De-ddwyrain'!E29,"")</f>
        <v>2368.4454856109619</v>
      </c>
      <c r="F149" s="88">
        <f>IF($C$133=0,'Cyfrifiadau De-ddwyrain'!F29,"")</f>
        <v>2262.3266912460326</v>
      </c>
      <c r="G149" s="88">
        <f>IF($C$133=0,'Cyfrifiadau De-ddwyrain'!G29,"")</f>
        <v>2231.0147990798951</v>
      </c>
      <c r="H149" s="86"/>
      <c r="I149" s="86"/>
      <c r="J149" s="86"/>
      <c r="K149" s="58"/>
    </row>
    <row r="150" spans="2:11" x14ac:dyDescent="0.25">
      <c r="B150" s="86" t="str">
        <f>IF($C$133=0,"Tai fforddiadwy","")</f>
        <v>Tai fforddiadwy</v>
      </c>
      <c r="C150" s="88">
        <f>IF($C$133=0,'Cyfrifiadau De-ddwyrain'!C30,"")</f>
        <v>2072.0305797576907</v>
      </c>
      <c r="D150" s="88">
        <f>IF($C$133=0,'Cyfrifiadau De-ddwyrain'!D30,"")</f>
        <v>2072.0267146301276</v>
      </c>
      <c r="E150" s="88">
        <f>IF($C$133=0,'Cyfrifiadau De-ddwyrain'!E30,"")</f>
        <v>2164.852031784058</v>
      </c>
      <c r="F150" s="88">
        <f>IF($C$133=0,'Cyfrifiadau De-ddwyrain'!F30,"")</f>
        <v>2097.0055894851689</v>
      </c>
      <c r="G150" s="88">
        <f>IF($C$133=0,'Cyfrifiadau De-ddwyrain'!G30,"")</f>
        <v>2076.9865108871463</v>
      </c>
      <c r="H150" s="86"/>
      <c r="I150" s="86"/>
      <c r="J150" s="86"/>
      <c r="K150" s="58"/>
    </row>
    <row r="151" spans="2:11" x14ac:dyDescent="0.25">
      <c r="B151" s="86" t="str">
        <f>IF(C133=1,"Please complete table to view figures.","")</f>
        <v/>
      </c>
      <c r="C151" s="86" t="str">
        <f>IF($C$133=0,Year1,"")</f>
        <v>2019/20</v>
      </c>
      <c r="D151" s="86" t="str">
        <f>IF($C$133=0, Year2,"")</f>
        <v>2020/21</v>
      </c>
      <c r="E151" s="86" t="str">
        <f>IF($C$133=0,Year3,"")</f>
        <v>2021/22</v>
      </c>
      <c r="F151" s="86" t="str">
        <f>IF($C$133=0,Year4,"")</f>
        <v>2022/23</v>
      </c>
      <c r="G151" s="86" t="str">
        <f>IF($C$133=0,Year5,"")</f>
        <v>2023/24</v>
      </c>
      <c r="H151" s="86"/>
      <c r="I151" s="86" t="str">
        <f>IF(C133=1,"","Rhaniad 5 mlynedd")</f>
        <v>Rhaniad 5 mlynedd</v>
      </c>
      <c r="J151" s="86"/>
      <c r="K151" s="58"/>
    </row>
    <row r="152" spans="2:11" x14ac:dyDescent="0.25">
      <c r="B152" s="86" t="str">
        <f>IF($C$133=0,"Tai'r Farchnad","")</f>
        <v>Tai'r Farchnad</v>
      </c>
      <c r="C152" s="89">
        <f>IF($C$133=1,"",C149/SUM(C$149:C$150))</f>
        <v>0.51760445757372187</v>
      </c>
      <c r="D152" s="89">
        <f t="shared" ref="D152:G153" si="8">IF($C$133=1,"",D149/SUM(D$149:D$150))</f>
        <v>0.51760424438787367</v>
      </c>
      <c r="E152" s="89">
        <f t="shared" si="8"/>
        <v>0.52245533775862729</v>
      </c>
      <c r="F152" s="89">
        <f t="shared" si="8"/>
        <v>0.51896174587236721</v>
      </c>
      <c r="G152" s="89">
        <f t="shared" si="8"/>
        <v>0.51787700108590806</v>
      </c>
      <c r="H152" s="86"/>
      <c r="I152" s="89">
        <f>IF($C$133=1,"",SUM(C149:G149)/SUM($C$149:$G$150))</f>
        <v>0.51893896619108726</v>
      </c>
      <c r="J152" s="86"/>
      <c r="K152" s="58"/>
    </row>
    <row r="153" spans="2:11" x14ac:dyDescent="0.25">
      <c r="B153" s="86" t="str">
        <f>IF($C$133=0,"Tai fforddiadwy","")</f>
        <v>Tai fforddiadwy</v>
      </c>
      <c r="C153" s="89">
        <f>IF($C$133=1,"",C150/SUM(C$149:C$150))</f>
        <v>0.48239554242627813</v>
      </c>
      <c r="D153" s="89">
        <f t="shared" si="8"/>
        <v>0.48239575561212639</v>
      </c>
      <c r="E153" s="89">
        <f t="shared" si="8"/>
        <v>0.47754466224137265</v>
      </c>
      <c r="F153" s="89">
        <f t="shared" si="8"/>
        <v>0.48103825412763285</v>
      </c>
      <c r="G153" s="89">
        <f t="shared" si="8"/>
        <v>0.48212299891409188</v>
      </c>
      <c r="H153" s="86"/>
      <c r="I153" s="89">
        <f>IF($C$133=1,"",SUM(C150:G150)/SUM($C$149:$G$150))</f>
        <v>0.48106103380891269</v>
      </c>
      <c r="J153" s="86"/>
      <c r="K153" s="58"/>
    </row>
    <row r="154" spans="2:11" x14ac:dyDescent="0.25">
      <c r="C154" s="61"/>
      <c r="D154" s="61"/>
      <c r="E154" s="61"/>
      <c r="F154" s="61"/>
      <c r="G154" s="61"/>
      <c r="I154" s="61"/>
      <c r="K154" s="58"/>
    </row>
    <row r="155" spans="2:11" x14ac:dyDescent="0.25">
      <c r="C155" s="61"/>
      <c r="D155" s="61"/>
      <c r="E155" s="61"/>
      <c r="F155" s="61"/>
      <c r="G155" s="61"/>
      <c r="I155" s="61"/>
      <c r="K155" s="58"/>
    </row>
    <row r="156" spans="2:11" ht="13" x14ac:dyDescent="0.3">
      <c r="B156" s="81" t="s">
        <v>310</v>
      </c>
      <c r="C156" s="82"/>
      <c r="D156" s="82"/>
      <c r="E156" s="82"/>
      <c r="F156" s="82"/>
      <c r="G156" s="82"/>
      <c r="H156" s="82"/>
      <c r="I156" s="82"/>
      <c r="J156" s="82"/>
      <c r="K156" s="58"/>
    </row>
    <row r="157" spans="2:11" x14ac:dyDescent="0.25">
      <c r="B157" s="82" t="str">
        <f>IF(C145=1,"Cwblhewch y tabl i weld amcangyfrifon wedi'u rhannu'n 4 deiliadaeth.","")</f>
        <v>Cwblhewch y tabl i weld amcangyfrifon wedi'u rhannu'n 4 deiliadaeth.</v>
      </c>
      <c r="C157" s="83" t="str">
        <f>IF($C$145=0,Year1,"")</f>
        <v/>
      </c>
      <c r="D157" s="83" t="str">
        <f>IF($C$145=0,Year2,"")</f>
        <v/>
      </c>
      <c r="E157" s="83" t="str">
        <f>IF($C$145=0,Year3,"")</f>
        <v/>
      </c>
      <c r="F157" s="83" t="str">
        <f>IF($C$145=0,Year4,"")</f>
        <v/>
      </c>
      <c r="G157" s="83" t="str">
        <f>IF($C$145=0,Year5,"")</f>
        <v/>
      </c>
      <c r="H157" s="82"/>
      <c r="I157" s="82"/>
      <c r="J157" s="82"/>
      <c r="K157" s="58"/>
    </row>
    <row r="158" spans="2:11" x14ac:dyDescent="0.25">
      <c r="B158" s="82" t="str">
        <f>IF($C$145=0,"Perchen-feddiannydd","")</f>
        <v/>
      </c>
      <c r="C158" s="83" t="str">
        <f>IF($C$145=0,'Cyfrifiadau De-ddwyrain'!C59,"")</f>
        <v/>
      </c>
      <c r="D158" s="83" t="str">
        <f>IF($C$145=0,'Cyfrifiadau De-ddwyrain'!D59,"")</f>
        <v/>
      </c>
      <c r="E158" s="83" t="str">
        <f>IF($C$145=0,'Cyfrifiadau De-ddwyrain'!E59,"")</f>
        <v/>
      </c>
      <c r="F158" s="83" t="str">
        <f>IF($C$145=0,'Cyfrifiadau De-ddwyrain'!F59,"")</f>
        <v/>
      </c>
      <c r="G158" s="83" t="str">
        <f>IF($C$145=0,'Cyfrifiadau De-ddwyrain'!G59,"")</f>
        <v/>
      </c>
      <c r="H158" s="82"/>
      <c r="I158" s="82"/>
      <c r="J158" s="82"/>
      <c r="K158" s="58"/>
    </row>
    <row r="159" spans="2:11" x14ac:dyDescent="0.25">
      <c r="B159" s="82" t="str">
        <f>IF($C$145=0,"Y Sector Rhenti Preifat","")</f>
        <v/>
      </c>
      <c r="C159" s="83" t="str">
        <f>IF($C$145=0,'Cyfrifiadau De-ddwyrain'!C60,"")</f>
        <v/>
      </c>
      <c r="D159" s="83" t="str">
        <f>IF($C$145=0,'Cyfrifiadau De-ddwyrain'!D60,"")</f>
        <v/>
      </c>
      <c r="E159" s="83" t="str">
        <f>IF($C$145=0,'Cyfrifiadau De-ddwyrain'!E60,"")</f>
        <v/>
      </c>
      <c r="F159" s="83" t="str">
        <f>IF($C$145=0,'Cyfrifiadau De-ddwyrain'!F60,"")</f>
        <v/>
      </c>
      <c r="G159" s="83" t="str">
        <f>IF($C$145=0,'Cyfrifiadau De-ddwyrain'!G60,"")</f>
        <v/>
      </c>
      <c r="H159" s="82"/>
      <c r="I159" s="82"/>
      <c r="J159" s="82"/>
      <c r="K159" s="58"/>
    </row>
    <row r="160" spans="2:11" x14ac:dyDescent="0.25">
      <c r="B160" s="82" t="str">
        <f>IF($C$145=0,"Rhent gymdeithasol","")</f>
        <v/>
      </c>
      <c r="C160" s="83" t="str">
        <f>IF($C$145=0,'Cyfrifiadau De-ddwyrain'!C61,"")</f>
        <v/>
      </c>
      <c r="D160" s="83" t="str">
        <f>IF($C$145=0,'Cyfrifiadau De-ddwyrain'!D61,"")</f>
        <v/>
      </c>
      <c r="E160" s="83" t="str">
        <f>IF($C$145=0,'Cyfrifiadau De-ddwyrain'!E61,"")</f>
        <v/>
      </c>
      <c r="F160" s="83" t="str">
        <f>IF($C$145=0,'Cyfrifiadau De-ddwyrain'!F61,"")</f>
        <v/>
      </c>
      <c r="G160" s="83" t="str">
        <f>IF($C$145=0,'Cyfrifiadau De-ddwyrain'!G61,"")</f>
        <v/>
      </c>
      <c r="H160" s="82"/>
      <c r="I160" s="82"/>
      <c r="J160" s="82"/>
      <c r="K160" s="58"/>
    </row>
    <row r="161" spans="2:24" x14ac:dyDescent="0.25">
      <c r="B161" s="82" t="str">
        <f>IF($C$145=0,"Rhent ganolradd","")</f>
        <v/>
      </c>
      <c r="C161" s="83" t="str">
        <f>IF($C$145=0,'Cyfrifiadau De-ddwyrain'!C62,"")</f>
        <v/>
      </c>
      <c r="D161" s="83" t="str">
        <f>IF($C$145=0,'Cyfrifiadau De-ddwyrain'!D62,"")</f>
        <v/>
      </c>
      <c r="E161" s="83" t="str">
        <f>IF($C$145=0,'Cyfrifiadau De-ddwyrain'!E62,"")</f>
        <v/>
      </c>
      <c r="F161" s="83" t="str">
        <f>IF($C$145=0,'Cyfrifiadau De-ddwyrain'!F62,"")</f>
        <v/>
      </c>
      <c r="G161" s="83" t="str">
        <f>IF($C$145=0,'Cyfrifiadau De-ddwyrain'!G62,"")</f>
        <v/>
      </c>
      <c r="H161" s="82"/>
      <c r="I161" s="82"/>
      <c r="J161" s="82"/>
      <c r="K161" s="58"/>
    </row>
    <row r="162" spans="2:24" x14ac:dyDescent="0.25">
      <c r="B162" s="82" t="str">
        <f>IF(C145=1,"Cwblhewch y tabl i weld amcangyfrifon wedi'u rhannu'n 4 deiliadaeth.","")</f>
        <v>Cwblhewch y tabl i weld amcangyfrifon wedi'u rhannu'n 4 deiliadaeth.</v>
      </c>
      <c r="C162" s="83" t="str">
        <f>IF($C$145=0,Year1,"")</f>
        <v/>
      </c>
      <c r="D162" s="83" t="str">
        <f>IF($C$145=0,Year2,"")</f>
        <v/>
      </c>
      <c r="E162" s="83" t="str">
        <f>IF($C$145=0,Year3,"")</f>
        <v/>
      </c>
      <c r="F162" s="83" t="str">
        <f>IF($C$145=0,Year4,"")</f>
        <v/>
      </c>
      <c r="G162" s="83" t="str">
        <f>IF($C$145=0,Year5,"")</f>
        <v/>
      </c>
      <c r="H162" s="82"/>
      <c r="I162" s="522" t="str">
        <f>IF(C145=1,"","Rhaniad 5 mlynedd")</f>
        <v/>
      </c>
      <c r="J162" s="522"/>
      <c r="K162" s="58"/>
    </row>
    <row r="163" spans="2:24" x14ac:dyDescent="0.25">
      <c r="B163" s="82" t="str">
        <f>IF($C$145=0,"Perchen-feddiannydd","")</f>
        <v/>
      </c>
      <c r="C163" s="84" t="str">
        <f>IF($C$145=1,"",C158/SUM(C$158:C$161))</f>
        <v/>
      </c>
      <c r="D163" s="84" t="str">
        <f t="shared" ref="D163:G163" si="9">IF($C$145=1,"",D158/SUM(D$158:D$161))</f>
        <v/>
      </c>
      <c r="E163" s="84" t="str">
        <f t="shared" si="9"/>
        <v/>
      </c>
      <c r="F163" s="84" t="str">
        <f t="shared" si="9"/>
        <v/>
      </c>
      <c r="G163" s="84" t="str">
        <f t="shared" si="9"/>
        <v/>
      </c>
      <c r="H163" s="82"/>
      <c r="I163" s="84" t="str">
        <f>IF($C$145=1,"",SUM(C158:G158)/SUM($C$158:$G$161))</f>
        <v/>
      </c>
      <c r="J163" s="82"/>
      <c r="K163" s="58"/>
    </row>
    <row r="164" spans="2:24" x14ac:dyDescent="0.25">
      <c r="B164" s="82" t="str">
        <f>IF($C$145=0,"Y Sector Rhenti Preifat","")</f>
        <v/>
      </c>
      <c r="C164" s="84" t="str">
        <f t="shared" ref="C164:G166" si="10">IF($C$145=1,"",C159/SUM(C$158:C$161))</f>
        <v/>
      </c>
      <c r="D164" s="84" t="str">
        <f t="shared" si="10"/>
        <v/>
      </c>
      <c r="E164" s="84" t="str">
        <f t="shared" si="10"/>
        <v/>
      </c>
      <c r="F164" s="84" t="str">
        <f t="shared" si="10"/>
        <v/>
      </c>
      <c r="G164" s="84" t="str">
        <f t="shared" si="10"/>
        <v/>
      </c>
      <c r="H164" s="82"/>
      <c r="I164" s="84" t="str">
        <f t="shared" ref="I164:I166" si="11">IF($C$145=1,"",SUM(C159:G159)/SUM($C$158:$G$161))</f>
        <v/>
      </c>
      <c r="J164" s="82"/>
      <c r="K164" s="58"/>
    </row>
    <row r="165" spans="2:24" x14ac:dyDescent="0.25">
      <c r="B165" s="82" t="str">
        <f>IF($C$145=0,"Rhent gymdeithasol","")</f>
        <v/>
      </c>
      <c r="C165" s="84" t="str">
        <f t="shared" si="10"/>
        <v/>
      </c>
      <c r="D165" s="84" t="str">
        <f t="shared" si="10"/>
        <v/>
      </c>
      <c r="E165" s="84" t="str">
        <f t="shared" si="10"/>
        <v/>
      </c>
      <c r="F165" s="84" t="str">
        <f t="shared" si="10"/>
        <v/>
      </c>
      <c r="G165" s="84" t="str">
        <f t="shared" si="10"/>
        <v/>
      </c>
      <c r="H165" s="82"/>
      <c r="I165" s="84" t="str">
        <f t="shared" si="11"/>
        <v/>
      </c>
      <c r="J165" s="82"/>
      <c r="K165" s="58"/>
    </row>
    <row r="166" spans="2:24" x14ac:dyDescent="0.25">
      <c r="B166" s="82" t="str">
        <f>IF($C$145=0,"Rhent ganolradd","")</f>
        <v/>
      </c>
      <c r="C166" s="84" t="str">
        <f>IF($C$145=1,"",C161/SUM(C$158:C$161))</f>
        <v/>
      </c>
      <c r="D166" s="84" t="str">
        <f t="shared" si="10"/>
        <v/>
      </c>
      <c r="E166" s="84" t="str">
        <f t="shared" si="10"/>
        <v/>
      </c>
      <c r="F166" s="84" t="str">
        <f t="shared" si="10"/>
        <v/>
      </c>
      <c r="G166" s="84" t="str">
        <f t="shared" si="10"/>
        <v/>
      </c>
      <c r="H166" s="82"/>
      <c r="I166" s="84" t="str">
        <f t="shared" si="11"/>
        <v/>
      </c>
      <c r="J166" s="82"/>
      <c r="K166" s="58"/>
    </row>
    <row r="167" spans="2:24" x14ac:dyDescent="0.25">
      <c r="C167" s="61"/>
      <c r="D167" s="61"/>
      <c r="E167" s="61"/>
      <c r="F167" s="61"/>
      <c r="G167" s="61"/>
      <c r="I167" s="61"/>
    </row>
    <row r="168" spans="2:24" ht="13" hidden="1" x14ac:dyDescent="0.3">
      <c r="B168" s="46" t="s">
        <v>307</v>
      </c>
      <c r="C168" s="61"/>
      <c r="D168" s="61"/>
      <c r="E168" s="61"/>
      <c r="F168" s="61"/>
      <c r="G168" s="61"/>
      <c r="I168" s="61"/>
    </row>
    <row r="169" spans="2:24" hidden="1" x14ac:dyDescent="0.25">
      <c r="C169" s="61" t="s">
        <v>362</v>
      </c>
      <c r="D169" s="61" t="s">
        <v>356</v>
      </c>
      <c r="E169" s="61" t="s">
        <v>357</v>
      </c>
      <c r="F169" s="61" t="s">
        <v>358</v>
      </c>
      <c r="G169" s="61" t="s">
        <v>359</v>
      </c>
      <c r="H169" s="61" t="s">
        <v>360</v>
      </c>
      <c r="I169" s="61" t="s">
        <v>361</v>
      </c>
      <c r="J169" s="58" t="e">
        <f>". Mae gan brynwyr am y tro cyntaf gymhareb fforddiadwyedd o "&amp;C175&amp;" a gallant brynu eiddo am y tro cyntaf yn ôl  "&amp;C176&amp;" canradd dosbarthiad prisiau tai.. "&amp;C177</f>
        <v>#VALUE!</v>
      </c>
    </row>
    <row r="170" spans="2:24" hidden="1" x14ac:dyDescent="0.25">
      <c r="B170" s="47" t="s">
        <v>220</v>
      </c>
      <c r="C170" s="383" t="str">
        <f>IF(D6="Amcanestyniadau Defnyddwyr","amcanestyniadau'r aelwyd gan y defnyddiwr,",("amcanestyniadau aelwydydd gan Llywodraeth Cymru sy'n seiliedig ar 2018 "&amp;"("&amp;D6&amp;")"))</f>
        <v>amcanestyniadau aelwydydd gan Llywodraeth Cymru sy'n seiliedig ar 2018 (Prif Amcanestyniadau)</v>
      </c>
      <c r="D170" s="61"/>
      <c r="E170" s="61"/>
      <c r="F170" s="61"/>
      <c r="G170" s="61"/>
      <c r="I170" s="61"/>
    </row>
    <row r="171" spans="2:24" ht="15" hidden="1" customHeight="1" x14ac:dyDescent="0.25">
      <c r="B171" s="47" t="s">
        <v>165</v>
      </c>
      <c r="C171" s="384" t="str">
        <f>IF(D7="Amcangyfrifon LlC",'Angen Presennol Nas Diwallwyd'!C13,'Angen Presennol Nas Diwallwyd'!C24)&amp;" aelwydydd o ran angen presennol nas diwallwyd "</f>
        <v xml:space="preserve">5732 aelwydydd o ran angen presennol nas diwallwyd </v>
      </c>
      <c r="D171" s="61"/>
      <c r="E171" s="61"/>
      <c r="F171" s="61"/>
      <c r="G171" s="61"/>
      <c r="J171" s="62"/>
      <c r="K171" s="62"/>
      <c r="L171" s="62"/>
      <c r="M171" s="62"/>
      <c r="N171" s="62"/>
      <c r="O171" s="62"/>
      <c r="P171" s="62"/>
      <c r="R171" s="62"/>
      <c r="S171" s="62"/>
      <c r="T171" s="62"/>
      <c r="U171" s="62"/>
      <c r="V171" s="62"/>
      <c r="W171" s="62"/>
      <c r="X171" s="62"/>
    </row>
    <row r="172" spans="2:24" hidden="1" x14ac:dyDescent="0.25">
      <c r="B172" s="47" t="s">
        <v>321</v>
      </c>
      <c r="C172" s="61" t="str">
        <f>IF(D8="Arall", " amcangyfrifon defnyddwyr "," Ddata Llywodraeth Cymru ")</f>
        <v xml:space="preserve"> Ddata Llywodraeth Cymru </v>
      </c>
      <c r="D172" s="61"/>
      <c r="E172" s="61"/>
      <c r="F172" s="61"/>
      <c r="G172" s="61"/>
      <c r="I172" s="62"/>
      <c r="J172" s="62"/>
      <c r="K172" s="62"/>
      <c r="L172" s="62"/>
      <c r="M172" s="62"/>
      <c r="N172" s="62"/>
      <c r="O172" s="62"/>
      <c r="P172" s="62"/>
      <c r="R172" s="62"/>
      <c r="S172" s="62"/>
      <c r="T172" s="62"/>
      <c r="U172" s="62"/>
      <c r="V172" s="62"/>
      <c r="W172" s="62"/>
      <c r="X172" s="62"/>
    </row>
    <row r="173" spans="2:24" hidden="1" x14ac:dyDescent="0.25">
      <c r="B173" s="47" t="s">
        <v>88</v>
      </c>
      <c r="C173" s="61" t="str">
        <f>IF(D18="Arall", " amcangyfrifon defnyddwyr"," Ddata Cofrestrfa Tir")</f>
        <v xml:space="preserve"> Ddata Cofrestrfa Tir</v>
      </c>
      <c r="D173" s="61"/>
      <c r="E173" s="61"/>
      <c r="F173" s="61"/>
      <c r="G173" s="61"/>
      <c r="I173" s="62"/>
      <c r="J173" s="62"/>
      <c r="K173" s="62"/>
      <c r="L173" s="62"/>
      <c r="M173" s="62"/>
      <c r="N173" s="62"/>
      <c r="O173" s="62"/>
      <c r="P173" s="62"/>
      <c r="R173" s="62"/>
      <c r="S173" s="62"/>
      <c r="T173" s="62"/>
      <c r="U173" s="62"/>
      <c r="V173" s="62"/>
      <c r="W173" s="62"/>
      <c r="X173" s="62"/>
    </row>
    <row r="174" spans="2:24" hidden="1" x14ac:dyDescent="0.25">
      <c r="B174" s="47" t="s">
        <v>55</v>
      </c>
      <c r="C174" s="61" t="str">
        <f>IF(D9="Arall", " amcangyfrifon defnyddwyr"," Ddata Llywodraeth Cymru")</f>
        <v xml:space="preserve"> Ddata Llywodraeth Cymru</v>
      </c>
      <c r="D174" s="61"/>
      <c r="E174" s="61"/>
      <c r="F174" s="61"/>
      <c r="G174" s="61"/>
      <c r="I174" s="62"/>
      <c r="J174" s="62"/>
      <c r="K174" s="62"/>
      <c r="L174" s="62"/>
      <c r="M174" s="62"/>
      <c r="N174" s="62"/>
      <c r="O174" s="62"/>
      <c r="P174" s="62"/>
      <c r="R174" s="62"/>
      <c r="S174" s="62"/>
      <c r="T174" s="62"/>
      <c r="U174" s="62"/>
      <c r="V174" s="62"/>
      <c r="W174" s="62"/>
      <c r="X174" s="62"/>
    </row>
    <row r="175" spans="2:24" hidden="1" x14ac:dyDescent="0.25">
      <c r="B175" s="47" t="s">
        <v>315</v>
      </c>
      <c r="C175" s="385">
        <f>C114</f>
        <v>4.03</v>
      </c>
      <c r="D175" s="61"/>
      <c r="E175" s="61"/>
      <c r="F175" s="61"/>
      <c r="G175" s="61"/>
      <c r="I175" s="62"/>
      <c r="J175" s="62"/>
      <c r="K175" s="62"/>
      <c r="L175" s="62"/>
      <c r="M175" s="62"/>
      <c r="N175" s="62"/>
      <c r="O175" s="62"/>
      <c r="P175" s="62"/>
      <c r="R175" s="62"/>
      <c r="S175" s="62"/>
      <c r="T175" s="62"/>
      <c r="U175" s="62"/>
      <c r="V175" s="62"/>
      <c r="W175" s="62"/>
      <c r="X175" s="62"/>
    </row>
    <row r="176" spans="2:24" hidden="1" x14ac:dyDescent="0.25">
      <c r="B176" s="47" t="s">
        <v>316</v>
      </c>
      <c r="C176" s="385">
        <f>C115</f>
        <v>40</v>
      </c>
      <c r="D176" s="61"/>
      <c r="E176" s="61"/>
      <c r="F176" s="61"/>
      <c r="G176" s="61"/>
      <c r="I176" s="62"/>
      <c r="J176" s="62"/>
      <c r="K176" s="62"/>
      <c r="L176" s="62"/>
      <c r="M176" s="62"/>
      <c r="N176" s="62"/>
      <c r="O176" s="62"/>
      <c r="P176" s="62"/>
      <c r="R176" s="62"/>
      <c r="S176" s="62"/>
      <c r="T176" s="62"/>
      <c r="U176" s="62"/>
      <c r="V176" s="62"/>
      <c r="W176" s="62"/>
      <c r="X176" s="62"/>
    </row>
    <row r="177" spans="2:23" hidden="1" x14ac:dyDescent="0.25">
      <c r="B177" s="47" t="s">
        <v>322</v>
      </c>
      <c r="C177" s="383" t="e">
        <f>C116*100&amp;"% o brynwyr potensial am y tro cyntaf sy'n mynd ymlaen i brynu eiddo. "</f>
        <v>#VALUE!</v>
      </c>
      <c r="D177" s="61"/>
      <c r="E177" s="61"/>
      <c r="F177" s="61"/>
      <c r="G177" s="61"/>
      <c r="I177" s="62"/>
      <c r="J177" s="62"/>
      <c r="K177" s="62"/>
      <c r="L177" s="62"/>
      <c r="M177" s="62"/>
      <c r="N177" s="62"/>
      <c r="O177" s="62"/>
      <c r="P177" s="62"/>
      <c r="R177" s="62"/>
      <c r="S177" s="62"/>
      <c r="T177" s="62"/>
      <c r="U177" s="62"/>
      <c r="V177" s="62"/>
      <c r="W177" s="62"/>
    </row>
    <row r="178" spans="2:23" hidden="1" x14ac:dyDescent="0.25">
      <c r="B178" s="47" t="s">
        <v>355</v>
      </c>
      <c r="C178" s="61" t="str">
        <f>"Gall aelwydydd sy'n gwario "&amp;C108*100&amp;"% o incwm yr aelwyd ar rent preifat canolrifol fforddio rhent preifat,"</f>
        <v>Gall aelwydydd sy'n gwario 30% o incwm yr aelwyd ar rent preifat canolrifol fforddio rhent preifat,</v>
      </c>
      <c r="D178" s="61"/>
      <c r="E178" s="61"/>
      <c r="F178" s="61"/>
      <c r="G178" s="61"/>
      <c r="I178" s="61"/>
    </row>
    <row r="179" spans="2:23" hidden="1" x14ac:dyDescent="0.25">
      <c r="B179" s="47" t="s">
        <v>326</v>
      </c>
      <c r="C179" s="61" t="str">
        <f>"Mae aelwydydd sy'n gwario "&amp;C117*100&amp;"% o incwm yr aelwyd ar rent preifat 30 canradd yn addas ar gyfer dai cymdeithasol."</f>
        <v>Mae aelwydydd sy'n gwario 35% o incwm yr aelwyd ar rent preifat 30 canradd yn addas ar gyfer dai cymdeithasol.</v>
      </c>
      <c r="D179" s="61"/>
      <c r="E179" s="61"/>
      <c r="F179" s="61"/>
      <c r="G179" s="61"/>
      <c r="I179" s="61"/>
    </row>
    <row r="180" spans="2:23" hidden="1" x14ac:dyDescent="0.25">
      <c r="B180" s="47" t="s">
        <v>327</v>
      </c>
      <c r="C180" s="61" t="str">
        <f>" a fydd yn cymryd "&amp;'Angen Presennol Nas Diwallwyd'!C29&amp;" mlynedd i'w diwallu."</f>
        <v xml:space="preserve"> a fydd yn cymryd 5 mlynedd i'w diwallu.</v>
      </c>
      <c r="D180" s="61"/>
      <c r="E180" s="61"/>
      <c r="F180" s="61"/>
      <c r="G180" s="61"/>
      <c r="I180" s="61"/>
    </row>
    <row r="181" spans="2:23" hidden="1" x14ac:dyDescent="0.25">
      <c r="B181" s="47" t="s">
        <v>80</v>
      </c>
      <c r="C181" s="61" t="str">
        <f>". Mae'r newid blynyddol i incwm canolrifol yr aelwyd yn seiliedig ar "&amp;IF(D14="Arall","amcangyfrifon defnyddwyr","amcangyfrifon wedi'u rhagosod")</f>
        <v>. Mae'r newid blynyddol i incwm canolrifol yr aelwyd yn seiliedig ar amcangyfrifon wedi'u rhagosod</v>
      </c>
      <c r="D181" s="61"/>
      <c r="E181" s="61"/>
      <c r="F181" s="61"/>
      <c r="G181" s="61"/>
      <c r="I181" s="61"/>
    </row>
    <row r="182" spans="2:23" hidden="1" x14ac:dyDescent="0.25">
      <c r="B182" s="47" t="s">
        <v>86</v>
      </c>
      <c r="C182" s="61" t="str">
        <f>", mae'r newid blynyddol i ddosbarthiad incwm yr aelwyd yn seiliedig ar "&amp;IF(D15="Arall","amcangyfrifon defnyddwyr","amcangyfrifon wedi'u rhagosod")</f>
        <v>, mae'r newid blynyddol i ddosbarthiad incwm yr aelwyd yn seiliedig ar amcangyfrifon wedi'u rhagosod</v>
      </c>
      <c r="D182" s="61"/>
      <c r="E182" s="61"/>
      <c r="F182" s="61"/>
      <c r="G182" s="61"/>
      <c r="I182" s="61"/>
    </row>
    <row r="183" spans="2:23" hidden="1" x14ac:dyDescent="0.25">
      <c r="B183" s="47" t="s">
        <v>320</v>
      </c>
      <c r="C183" s="61" t="str">
        <f>", mae'r newid blynyddol i brisiau tai yn seiliedig ar "&amp;IF(D25="Arall","amcangyfrifon defnyddwyr","amcangyfrifon wedi'u rhagosod")</f>
        <v>, mae'r newid blynyddol i brisiau tai yn seiliedig ar amcangyfrifon wedi'u rhagosod</v>
      </c>
      <c r="D183" s="61"/>
      <c r="E183" s="61"/>
      <c r="F183" s="61"/>
      <c r="G183" s="61"/>
      <c r="I183" s="61"/>
    </row>
    <row r="184" spans="2:23" hidden="1" x14ac:dyDescent="0.25">
      <c r="B184" s="47" t="s">
        <v>117</v>
      </c>
      <c r="C184" s="61" t="str">
        <f>" ac mae'r newid blynyddol i brisiau rhenti yn seiliedig ar "&amp;IF(D16="Arall","amcangyfrifon y defnyddwyr","amcangyfrifon wedi'u rhagosod.")</f>
        <v xml:space="preserve"> ac mae'r newid blynyddol i brisiau rhenti yn seiliedig ar amcangyfrifon wedi'u rhagosod.</v>
      </c>
      <c r="D184" s="61"/>
      <c r="E184" s="61"/>
      <c r="F184" s="61"/>
      <c r="G184" s="61"/>
      <c r="I184" s="61"/>
    </row>
    <row r="185" spans="2:23" hidden="1" x14ac:dyDescent="0.25">
      <c r="C185" s="61"/>
      <c r="D185" s="61"/>
      <c r="E185" s="61"/>
      <c r="F185" s="61"/>
      <c r="G185" s="61"/>
      <c r="I185" s="61"/>
    </row>
    <row r="186" spans="2:23" s="58" customFormat="1" ht="13" hidden="1" x14ac:dyDescent="0.3">
      <c r="B186" s="387" t="s">
        <v>318</v>
      </c>
      <c r="C186" s="383"/>
      <c r="D186" s="383"/>
      <c r="E186" s="383"/>
      <c r="F186" s="383"/>
      <c r="G186" s="383"/>
      <c r="I186" s="383"/>
    </row>
    <row r="187" spans="2:23" s="58" customFormat="1" hidden="1" x14ac:dyDescent="0.25">
      <c r="B187" s="388" t="str">
        <f>C169&amp;E169&amp;C170&amp;F169&amp;C171&amp;C180&amp;H169&amp;C172&amp;I169&amp;C174&amp;C181&amp;C182&amp;C184</f>
        <v>Mae'r ffigurau isod yn rhannu yr amcangyfrifon o'r angen am dai yn 2 deiliadaeth ac maent yn seiliedig ar y rhagdybiaethau canlynol. Mae amcangyfrifon sylfaenol yr unedau tai ychwanegol wedi'u seilio ar  amcanestyniadau aelwydydd gan Llywodraeth Cymru sy'n seiliedig ar 2018 (Prif Amcanestyniadau), ac amcangyfrif o 5732 aelwydydd o ran angen presennol nas diwallwyd  a fydd yn cymryd 5 mlynedd i'w diwallu.Mae data ar incwm yn seiliedig ar  Ddata Llywodraeth Cymru ac mae data ar renti preifat yn seiliedig ar  Ddata Llywodraeth Cymru. Mae'r newid blynyddol i incwm canolrifol yr aelwyd yn seiliedig ar amcangyfrifon wedi'u rhagosod, mae'r newid blynyddol i ddosbarthiad incwm yr aelwyd yn seiliedig ar amcangyfrifon wedi'u rhagosod ac mae'r newid blynyddol i brisiau rhenti yn seiliedig ar amcangyfrifon wedi'u rhagosod.</v>
      </c>
      <c r="C187" s="383"/>
      <c r="D187" s="383"/>
      <c r="E187" s="383"/>
      <c r="F187" s="383"/>
      <c r="G187" s="383"/>
      <c r="I187" s="383"/>
    </row>
    <row r="188" spans="2:23" s="58" customFormat="1" ht="13" hidden="1" x14ac:dyDescent="0.3">
      <c r="B188" s="387" t="str">
        <f>IF(C133=1,"Estimates will not appear below until the above table is complete.",B187)</f>
        <v>Mae'r ffigurau isod yn rhannu yr amcangyfrifon o'r angen am dai yn 2 deiliadaeth ac maent yn seiliedig ar y rhagdybiaethau canlynol. Mae amcangyfrifon sylfaenol yr unedau tai ychwanegol wedi'u seilio ar  amcanestyniadau aelwydydd gan Llywodraeth Cymru sy'n seiliedig ar 2018 (Prif Amcanestyniadau), ac amcangyfrif o 5732 aelwydydd o ran angen presennol nas diwallwyd  a fydd yn cymryd 5 mlynedd i'w diwallu.Mae data ar incwm yn seiliedig ar  Ddata Llywodraeth Cymru ac mae data ar renti preifat yn seiliedig ar  Ddata Llywodraeth Cymru. Mae'r newid blynyddol i incwm canolrifol yr aelwyd yn seiliedig ar amcangyfrifon wedi'u rhagosod, mae'r newid blynyddol i ddosbarthiad incwm yr aelwyd yn seiliedig ar amcangyfrifon wedi'u rhagosod ac mae'r newid blynyddol i brisiau rhenti yn seiliedig ar amcangyfrifon wedi'u rhagosod.</v>
      </c>
      <c r="C188" s="383"/>
      <c r="D188" s="383"/>
      <c r="E188" s="383"/>
      <c r="F188" s="383"/>
      <c r="G188" s="383"/>
      <c r="I188" s="383"/>
    </row>
    <row r="189" spans="2:23" s="58" customFormat="1" ht="13" hidden="1" x14ac:dyDescent="0.3">
      <c r="B189" s="387"/>
      <c r="C189" s="383"/>
      <c r="D189" s="383"/>
      <c r="E189" s="383"/>
      <c r="F189" s="383"/>
      <c r="G189" s="383"/>
      <c r="I189" s="383"/>
    </row>
    <row r="190" spans="2:23" s="58" customFormat="1" ht="13" hidden="1" x14ac:dyDescent="0.3">
      <c r="B190" s="387" t="s">
        <v>317</v>
      </c>
      <c r="C190" s="383"/>
      <c r="D190" s="383"/>
      <c r="E190" s="383"/>
      <c r="F190" s="383"/>
      <c r="G190" s="383"/>
      <c r="I190" s="383"/>
    </row>
    <row r="191" spans="2:23" s="58" customFormat="1" hidden="1" x14ac:dyDescent="0.25">
      <c r="B191" s="58" t="e">
        <f>D169&amp;G169&amp;C173&amp;C183&amp;J169&amp;C179</f>
        <v>#VALUE!</v>
      </c>
      <c r="C191" s="383"/>
      <c r="D191" s="383"/>
      <c r="E191" s="383"/>
      <c r="F191" s="383"/>
      <c r="G191" s="383"/>
      <c r="I191" s="383"/>
    </row>
    <row r="192" spans="2:23" s="58" customFormat="1" ht="13" hidden="1" x14ac:dyDescent="0.3">
      <c r="B192" s="387" t="str">
        <f>IF(C145=1,"Ni fydd amcangyfrifon wedi'u rhannu'n 4 deiliadaeth yn ymddangos hyd nes bod y tabl uchod wedi'i gwblhau.",B191)</f>
        <v>Ni fydd amcangyfrifon wedi'u rhannu'n 4 deiliadaeth yn ymddangos hyd nes bod y tabl uchod wedi'i gwblhau.</v>
      </c>
      <c r="C192" s="383"/>
      <c r="D192" s="383"/>
      <c r="E192" s="383"/>
      <c r="F192" s="383"/>
      <c r="G192" s="383"/>
      <c r="I192" s="383"/>
    </row>
    <row r="193" spans="2:9" hidden="1" x14ac:dyDescent="0.25">
      <c r="C193" s="61"/>
      <c r="D193" s="61"/>
      <c r="E193" s="61"/>
      <c r="F193" s="61"/>
      <c r="G193" s="61"/>
      <c r="I193" s="61"/>
    </row>
    <row r="194" spans="2:9" hidden="1" x14ac:dyDescent="0.25">
      <c r="B194" s="47" t="s">
        <v>329</v>
      </c>
      <c r="I194" s="61"/>
    </row>
    <row r="195" spans="2:9" hidden="1" x14ac:dyDescent="0.25">
      <c r="B195" s="47" t="s">
        <v>331</v>
      </c>
      <c r="I195" s="61"/>
    </row>
    <row r="196" spans="2:9" hidden="1" x14ac:dyDescent="0.25">
      <c r="B196" s="47" t="s">
        <v>391</v>
      </c>
      <c r="I196" s="61"/>
    </row>
    <row r="197" spans="2:9" hidden="1" x14ac:dyDescent="0.25">
      <c r="B197" s="47" t="s">
        <v>332</v>
      </c>
      <c r="I197" s="61"/>
    </row>
    <row r="198" spans="2:9" hidden="1" x14ac:dyDescent="0.25">
      <c r="B198" s="386" t="str">
        <f>"'Amcanestyniadau Aelwydydd'"</f>
        <v>'Amcanestyniadau Aelwydydd'</v>
      </c>
      <c r="I198" s="61"/>
    </row>
    <row r="199" spans="2:9" hidden="1" x14ac:dyDescent="0.25">
      <c r="B199" s="58" t="str">
        <f>"'Angen Presennol Nas Diwallwyd'"</f>
        <v>'Angen Presennol Nas Diwallwyd'</v>
      </c>
      <c r="I199" s="61"/>
    </row>
    <row r="200" spans="2:9" hidden="1" x14ac:dyDescent="0.25">
      <c r="B200" s="58" t="str">
        <f>"'Incwm (Cymru)'"</f>
        <v>'Incwm (Cymru)'</v>
      </c>
      <c r="I200" s="61"/>
    </row>
    <row r="201" spans="2:9" hidden="1" x14ac:dyDescent="0.25">
      <c r="B201" s="58" t="str">
        <f>"'Prisiau Tai (Cymru)'"</f>
        <v>'Prisiau Tai (Cymru)'</v>
      </c>
      <c r="I201" s="61"/>
    </row>
    <row r="202" spans="2:9" hidden="1" x14ac:dyDescent="0.25">
      <c r="B202" s="58" t="str">
        <f>"'Prisiau Rhenti'"</f>
        <v>'Prisiau Rhenti'</v>
      </c>
      <c r="I202" s="61"/>
    </row>
    <row r="203" spans="2:9" hidden="1" x14ac:dyDescent="0.25">
      <c r="B203" s="58" t="str">
        <f>"'Rhagdybiaeth Blynyddol'"</f>
        <v>'Rhagdybiaeth Blynyddol'</v>
      </c>
      <c r="I203" s="61"/>
    </row>
    <row r="204" spans="2:9" hidden="1" x14ac:dyDescent="0.25">
      <c r="B204" s="58" t="str">
        <f>"'Rhagolygon y Dyfodol'"</f>
        <v>'Rhagolygon y Dyfodol'</v>
      </c>
      <c r="I204" s="61"/>
    </row>
    <row r="205" spans="2:9" x14ac:dyDescent="0.25">
      <c r="I205" s="61"/>
    </row>
    <row r="206" spans="2:9" x14ac:dyDescent="0.25">
      <c r="I206" s="61"/>
    </row>
    <row r="207" spans="2:9" x14ac:dyDescent="0.25">
      <c r="I207" s="61"/>
    </row>
  </sheetData>
  <mergeCells count="34">
    <mergeCell ref="B1:C1"/>
    <mergeCell ref="F4:I4"/>
    <mergeCell ref="B5:B16"/>
    <mergeCell ref="F5:I5"/>
    <mergeCell ref="F6:I6"/>
    <mergeCell ref="F7:I7"/>
    <mergeCell ref="F8:I8"/>
    <mergeCell ref="F9:I9"/>
    <mergeCell ref="F11:I11"/>
    <mergeCell ref="B2:I2"/>
    <mergeCell ref="F12:I12"/>
    <mergeCell ref="F14:I14"/>
    <mergeCell ref="F15:I15"/>
    <mergeCell ref="F16:I16"/>
    <mergeCell ref="F23:I23"/>
    <mergeCell ref="F25:I25"/>
    <mergeCell ref="B28:J32"/>
    <mergeCell ref="I62:J62"/>
    <mergeCell ref="I63:J63"/>
    <mergeCell ref="B17:B25"/>
    <mergeCell ref="F17:I17"/>
    <mergeCell ref="F18:I18"/>
    <mergeCell ref="F20:I20"/>
    <mergeCell ref="F21:I21"/>
    <mergeCell ref="F22:I22"/>
    <mergeCell ref="I162:J162"/>
    <mergeCell ref="I99:J99"/>
    <mergeCell ref="I61:J61"/>
    <mergeCell ref="B52:J53"/>
    <mergeCell ref="I101:J101"/>
    <mergeCell ref="I102:J102"/>
    <mergeCell ref="I103:J103"/>
    <mergeCell ref="I104:J104"/>
    <mergeCell ref="B66:J69"/>
  </mergeCells>
  <conditionalFormatting sqref="E26:E27">
    <cfRule type="expression" dxfId="5" priority="10">
      <formula>E26="Y"</formula>
    </cfRule>
  </conditionalFormatting>
  <conditionalFormatting sqref="E26:E27">
    <cfRule type="expression" dxfId="4" priority="9">
      <formula>E26="N"</formula>
    </cfRule>
  </conditionalFormatting>
  <conditionalFormatting sqref="E6:E9 E11:E12 E14:E16 E25 E18 E20:E23">
    <cfRule type="expression" dxfId="3" priority="4">
      <formula>E6="Y"</formula>
    </cfRule>
  </conditionalFormatting>
  <conditionalFormatting sqref="E6:E12 E14:E16 E18 E20:E25">
    <cfRule type="expression" dxfId="2" priority="3">
      <formula>E6="N"</formula>
    </cfRule>
  </conditionalFormatting>
  <conditionalFormatting sqref="E13">
    <cfRule type="expression" dxfId="1" priority="2">
      <formula>E13="N"</formula>
    </cfRule>
  </conditionalFormatting>
  <conditionalFormatting sqref="E19">
    <cfRule type="expression" dxfId="0" priority="1">
      <formula>E19="N"</formula>
    </cfRule>
  </conditionalFormatting>
  <pageMargins left="0.7" right="0.7" top="0.75" bottom="0.75" header="0.3" footer="0.3"/>
  <pageSetup paperSize="9" orientation="portrait" horizontalDpi="300" verticalDpi="300" r:id="rId1"/>
  <ignoredErrors>
    <ignoredError sqref="D6:D25"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26F16A618C2054A8F2D5512B9BAFA53" ma:contentTypeVersion="4" ma:contentTypeDescription="Create a new document." ma:contentTypeScope="" ma:versionID="fb552bca49cffd51898c424e8201ad78">
  <xsd:schema xmlns:xsd="http://www.w3.org/2001/XMLSchema" xmlns:xs="http://www.w3.org/2001/XMLSchema" xmlns:p="http://schemas.microsoft.com/office/2006/metadata/properties" xmlns:ns3="9654e923-dee2-48ab-8ea1-1c7ea2cc93f7" targetNamespace="http://schemas.microsoft.com/office/2006/metadata/properties" ma:root="true" ma:fieldsID="7d7dd74259d5e8918033196166567420" ns3:_="">
    <xsd:import namespace="9654e923-dee2-48ab-8ea1-1c7ea2cc93f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54e923-dee2-48ab-8ea1-1c7ea2cc93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etadata xmlns="http://www.objective.com/ecm/document/metadata/FF3C5B18883D4E21973B57C2EEED7FD1" version="1.0.0">
  <systemFields>
    <field name="Objective-Id">
      <value order="0">A27972335</value>
    </field>
    <field name="Objective-Title">
      <value order="0">2019 Housing Need Estimate Excel Tool</value>
    </field>
    <field name="Objective-Description">
      <value order="0"/>
    </field>
    <field name="Objective-CreationStamp">
      <value order="0">2019-10-31T12:16:50Z</value>
    </field>
    <field name="Objective-IsApproved">
      <value order="0">false</value>
    </field>
    <field name="Objective-IsPublished">
      <value order="0">false</value>
    </field>
    <field name="Objective-DatePublished">
      <value order="0"/>
    </field>
    <field name="Objective-ModificationStamp">
      <value order="0">2019-11-20T09:45:05Z</value>
    </field>
    <field name="Objective-Owner">
      <value order="0">Jones, Rhiannon (EPS - Homes and Places)</value>
    </field>
    <field name="Objective-Path">
      <value order="0">Objective Global Folder:Classified Object:Jones, Rhiannon (EPS - Homes and Places):Special Folder - Jones, Rhiannon (EPS - Homes and Places):Handy - Jones, Rhiannon (EPS - Homes and Places)</value>
    </field>
    <field name="Objective-Parent">
      <value order="0">Handy - Jones, Rhiannon (EPS - Homes and Places)</value>
    </field>
    <field name="Objective-State">
      <value order="0">Being Edited</value>
    </field>
    <field name="Objective-VersionId">
      <value order="0">vA56128339</value>
    </field>
    <field name="Objective-Version">
      <value order="0">0.5</value>
    </field>
    <field name="Objective-VersionNumber">
      <value order="0">5</value>
    </field>
    <field name="Objective-VersionComment">
      <value order="0"/>
    </field>
    <field name="Objective-FileNumber">
      <value order="0"/>
    </field>
    <field name="Objective-Classification">
      <value order="0"/>
    </field>
    <field name="Objective-Caveats">
      <value order="0"/>
    </field>
  </systemFields>
  <catalogues>
    <catalogue name="Document Type Catalogue" type="type" ori="id:cA14">
      <field name="Objective-Language">
        <value order="0">English (eng)</value>
      </field>
      <field name="Objective-Date Acquired">
        <value order="0">2019-10-31T00:00:00Z</value>
      </field>
      <field name="Objective-What to Keep">
        <value order="0">No</value>
      </field>
      <field name="Objective-Official Translation">
        <value order="0"/>
      </field>
      <field name="Objective-Connect Creator">
        <value order="0"/>
      </field>
    </catalogue>
  </catalogues>
</metadat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63B5D26-A43A-4F1D-9DA0-1690337F3C51}">
  <ds:schemaRefs>
    <ds:schemaRef ds:uri="http://schemas.microsoft.com/sharepoint/v3/contenttype/forms"/>
  </ds:schemaRefs>
</ds:datastoreItem>
</file>

<file path=customXml/itemProps2.xml><?xml version="1.0" encoding="utf-8"?>
<ds:datastoreItem xmlns:ds="http://schemas.openxmlformats.org/officeDocument/2006/customXml" ds:itemID="{5003598F-5587-4583-9092-E1857A0436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54e923-dee2-48ab-8ea1-1c7ea2cc93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4.xml><?xml version="1.0" encoding="utf-8"?>
<ds:datastoreItem xmlns:ds="http://schemas.openxmlformats.org/officeDocument/2006/customXml" ds:itemID="{A2C5B3F9-1BE4-4588-9F68-2B5A2022DEAD}">
  <ds:schemaRefs>
    <ds:schemaRef ds:uri="http://purl.org/dc/dcmitype/"/>
    <ds:schemaRef ds:uri="http://schemas.microsoft.com/office/infopath/2007/PartnerControls"/>
    <ds:schemaRef ds:uri="http://purl.org/dc/elements/1.1/"/>
    <ds:schemaRef ds:uri="http://schemas.microsoft.com/office/2006/metadata/properties"/>
    <ds:schemaRef ds:uri="9654e923-dee2-48ab-8ea1-1c7ea2cc93f7"/>
    <ds:schemaRef ds:uri="http://purl.org/dc/terms/"/>
    <ds:schemaRef ds:uri="http://schemas.microsoft.com/office/2006/documentManagement/typ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5</vt:i4>
      </vt:variant>
    </vt:vector>
  </HeadingPairs>
  <TitlesOfParts>
    <vt:vector size="36" baseType="lpstr">
      <vt:lpstr>Inputs</vt:lpstr>
      <vt:lpstr>Tudalen Flaen</vt:lpstr>
      <vt:lpstr>Cyngor ar ddefnyddio'r adnodd</vt:lpstr>
      <vt:lpstr>Canllawiau ar Newidynnau</vt:lpstr>
      <vt:lpstr>Rhaniad y Ddeiliadaeth (Cymru)</vt:lpstr>
      <vt:lpstr>Rhaniad y Ddeiliadaeth (Gog)</vt:lpstr>
      <vt:lpstr>Rhaniad y Ddeiliadaeth (Canol)</vt:lpstr>
      <vt:lpstr>Rhaniad y Ddeiliadaeth (De-o)</vt:lpstr>
      <vt:lpstr>Rhaniad y Ddeiliadaeth (De-ddn)</vt:lpstr>
      <vt:lpstr>Cyfrifiadau - Cymru</vt:lpstr>
      <vt:lpstr>Cyfrifiadau - Gogledd</vt:lpstr>
      <vt:lpstr>Cyfrifiadau - Canolbarth</vt:lpstr>
      <vt:lpstr>Cyfrifiadau - De-orllewin</vt:lpstr>
      <vt:lpstr>Cyfrifiadau De-ddwyrain</vt:lpstr>
      <vt:lpstr>Amcanestyniadau Aelwydydd</vt:lpstr>
      <vt:lpstr>Angen o'r Newydd</vt:lpstr>
      <vt:lpstr>Angen Presennol Nas Diwallwyd</vt:lpstr>
      <vt:lpstr>Rhagdybiaeth Blynyddol</vt:lpstr>
      <vt:lpstr>Rhagolygon y Dyfodol</vt:lpstr>
      <vt:lpstr>Prisiau Rhenti</vt:lpstr>
      <vt:lpstr>Incwm (Cymru)</vt:lpstr>
      <vt:lpstr>Incwm (Gogledd)</vt:lpstr>
      <vt:lpstr>Incwm (Canolbarth)</vt:lpstr>
      <vt:lpstr>Incwm (De-orllewin)</vt:lpstr>
      <vt:lpstr>Incwm (De-ddwyrain)</vt:lpstr>
      <vt:lpstr>Prisiau Tai (Cymru)</vt:lpstr>
      <vt:lpstr>Prisiau Tai (Gogledd)</vt:lpstr>
      <vt:lpstr>Prisiau Tai (Canolbarth)</vt:lpstr>
      <vt:lpstr>Prisiau Tai (De-orllewin)</vt:lpstr>
      <vt:lpstr>Prisiau Tai (De-ddwyrain)</vt:lpstr>
      <vt:lpstr>Map Rhanbarthol</vt:lpstr>
      <vt:lpstr>Year1</vt:lpstr>
      <vt:lpstr>Year2</vt:lpstr>
      <vt:lpstr>Year3</vt:lpstr>
      <vt:lpstr>Year4</vt:lpstr>
      <vt:lpstr>Year5</vt:lpstr>
    </vt:vector>
  </TitlesOfParts>
  <Company>Welsh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Brown, Melanie</dc:creator>
  <cp:lastModifiedBy>James, Sarah (KAS)</cp:lastModifiedBy>
  <dcterms:created xsi:type="dcterms:W3CDTF">2019-04-01T08:39:45Z</dcterms:created>
  <dcterms:modified xsi:type="dcterms:W3CDTF">2020-08-12T13:49:54Z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A27972335</vt:lpwstr>
  </property>
  <property fmtid="{D5CDD505-2E9C-101B-9397-08002B2CF9AE}" pid="4" name="Objective-Title">
    <vt:lpwstr>2019 Housing Need Estimate Excel Tool</vt:lpwstr>
  </property>
  <property fmtid="{D5CDD505-2E9C-101B-9397-08002B2CF9AE}" pid="5" name="Objective-Description">
    <vt:lpwstr/>
  </property>
  <property fmtid="{D5CDD505-2E9C-101B-9397-08002B2CF9AE}" pid="6" name="Objective-CreationStamp">
    <vt:filetime>2019-10-31T12:16:58Z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2019-11-20T09:45:05Z</vt:filetime>
  </property>
  <property fmtid="{D5CDD505-2E9C-101B-9397-08002B2CF9AE}" pid="11" name="Objective-Owner">
    <vt:lpwstr>Jones, Rhiannon (EPS - Homes and Places)</vt:lpwstr>
  </property>
  <property fmtid="{D5CDD505-2E9C-101B-9397-08002B2CF9AE}" pid="12" name="Objective-Path">
    <vt:lpwstr>Jones, Rhiannon (EPS - Homes and Places):Special Folder - Jones, Rhiannon (EPS - Homes and Places):Handy - Jones, Rhiannon (EPS - Homes and Places):</vt:lpwstr>
  </property>
  <property fmtid="{D5CDD505-2E9C-101B-9397-08002B2CF9AE}" pid="13" name="Objective-Parent">
    <vt:lpwstr>Handy - Jones, Rhiannon (EPS - Homes and Places)</vt:lpwstr>
  </property>
  <property fmtid="{D5CDD505-2E9C-101B-9397-08002B2CF9AE}" pid="14" name="Objective-State">
    <vt:lpwstr>Being Edited</vt:lpwstr>
  </property>
  <property fmtid="{D5CDD505-2E9C-101B-9397-08002B2CF9AE}" pid="15" name="Objective-VersionId">
    <vt:lpwstr>vA56128339</vt:lpwstr>
  </property>
  <property fmtid="{D5CDD505-2E9C-101B-9397-08002B2CF9AE}" pid="16" name="Objective-Version">
    <vt:lpwstr>0.5</vt:lpwstr>
  </property>
  <property fmtid="{D5CDD505-2E9C-101B-9397-08002B2CF9AE}" pid="17" name="Objective-VersionNumber">
    <vt:r8>5</vt:r8>
  </property>
  <property fmtid="{D5CDD505-2E9C-101B-9397-08002B2CF9AE}" pid="18" name="Objective-VersionComment">
    <vt:lpwstr/>
  </property>
  <property fmtid="{D5CDD505-2E9C-101B-9397-08002B2CF9AE}" pid="19" name="Objective-FileNumber">
    <vt:lpwstr/>
  </property>
  <property fmtid="{D5CDD505-2E9C-101B-9397-08002B2CF9AE}" pid="20" name="Objective-Classification">
    <vt:lpwstr>[Inherited - none]</vt:lpwstr>
  </property>
  <property fmtid="{D5CDD505-2E9C-101B-9397-08002B2CF9AE}" pid="21" name="Objective-Caveats">
    <vt:lpwstr/>
  </property>
  <property fmtid="{D5CDD505-2E9C-101B-9397-08002B2CF9AE}" pid="22" name="Objective-Language">
    <vt:lpwstr>English (eng)</vt:lpwstr>
  </property>
  <property fmtid="{D5CDD505-2E9C-101B-9397-08002B2CF9AE}" pid="23" name="Objective-Date Acquired">
    <vt:filetime>2019-10-31T00:00:00Z</vt:filetime>
  </property>
  <property fmtid="{D5CDD505-2E9C-101B-9397-08002B2CF9AE}" pid="24" name="Objective-What to Keep">
    <vt:lpwstr>No</vt:lpwstr>
  </property>
  <property fmtid="{D5CDD505-2E9C-101B-9397-08002B2CF9AE}" pid="25" name="Objective-Official Translation">
    <vt:lpwstr/>
  </property>
  <property fmtid="{D5CDD505-2E9C-101B-9397-08002B2CF9AE}" pid="26" name="Objective-Connect Creator">
    <vt:lpwstr/>
  </property>
  <property fmtid="{D5CDD505-2E9C-101B-9397-08002B2CF9AE}" pid="27" name="Objective-Comment">
    <vt:lpwstr/>
  </property>
  <property fmtid="{D5CDD505-2E9C-101B-9397-08002B2CF9AE}" pid="28" name="ContentTypeId">
    <vt:lpwstr>0x010100C26F16A618C2054A8F2D5512B9BAFA53</vt:lpwstr>
  </property>
</Properties>
</file>