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4.xml" ContentType="application/vnd.openxmlformats-officedocument.spreadsheetml.pivotCacheDefinition+xml"/>
  <Override PartName="/xl/pivotCache/pivotCacheRecords4.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tables/table1.xml" ContentType="application/vnd.openxmlformats-officedocument.spreadsheetml.table+xml"/>
  <Override PartName="/xl/queryTables/queryTable1.xml" ContentType="application/vnd.openxmlformats-officedocument.spreadsheetml.queryTable+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comments1.xml" ContentType="application/vnd.openxmlformats-officedocument.spreadsheetml.comments+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queryTables/queryTable2.xml" ContentType="application/vnd.openxmlformats-officedocument.spreadsheetml.queryTable+xml"/>
  <Override PartName="/xl/tables/table5.xml" ContentType="application/vnd.openxmlformats-officedocument.spreadsheetml.table+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codeName="ThisWorkbook" hidePivotFieldList="1"/>
  <mc:AlternateContent xmlns:mc="http://schemas.openxmlformats.org/markup-compatibility/2006">
    <mc:Choice Requires="x15">
      <x15ac:absPath xmlns:x15ac="http://schemas.microsoft.com/office/spreadsheetml/2010/11/ac" url="P:\stats\SD5\publishing\Revenue Budgets 2024-25\BR notes\"/>
    </mc:Choice>
  </mc:AlternateContent>
  <xr:revisionPtr revIDLastSave="0" documentId="8_{B1BFF849-2F80-4A29-AD6B-6C64F7F15265}" xr6:coauthVersionLast="47" xr6:coauthVersionMax="47" xr10:uidLastSave="{00000000-0000-0000-0000-000000000000}"/>
  <workbookProtection lockStructure="1"/>
  <bookViews>
    <workbookView xWindow="28680" yWindow="-120" windowWidth="29040" windowHeight="15840" tabRatio="731" xr2:uid="{00000000-000D-0000-FFFF-FFFF00000000}"/>
  </bookViews>
  <sheets>
    <sheet name="FrontPage" sheetId="12347" r:id="rId1"/>
    <sheet name="BR1" sheetId="12344" r:id="rId2"/>
    <sheet name="Survey Response Burden" sheetId="12348" r:id="rId3"/>
    <sheet name="Comments" sheetId="12342" r:id="rId4"/>
    <sheet name="Transfer" sheetId="388" state="hidden" r:id="rId5"/>
    <sheet name="Details" sheetId="12340" state="hidden" r:id="rId6"/>
    <sheet name="Text" sheetId="12346" state="hidden" r:id="rId7"/>
    <sheet name="Translate" sheetId="12345" state="hidden" r:id="rId8"/>
    <sheet name="ValData" sheetId="12349" state="hidden" r:id="rId9"/>
    <sheet name="PROCESS" sheetId="12350" state="hidden" r:id="rId10"/>
  </sheets>
  <definedNames>
    <definedName name="_Order1" hidden="1">255</definedName>
    <definedName name="_Order2" hidden="1">255</definedName>
    <definedName name="_tab1">Transfer!$B$3:$G$21</definedName>
    <definedName name="_UA2">#REF!</definedName>
    <definedName name="Addresses">Details!$I$8:$T$30</definedName>
    <definedName name="Authority">Details!$A$7:$E$30</definedName>
    <definedName name="BR">'BR1'!$C$12:$H$38</definedName>
    <definedName name="Can">[0]!Can</definedName>
    <definedName name="component">#REF!</definedName>
    <definedName name="CT1_Class_O">Details!$AP$9:$AQ$31</definedName>
    <definedName name="CT1_Discount_Dwellings">Details!$AL$9:$AM$31</definedName>
    <definedName name="CT1_Percent">Details!$AH$9:$AI$31</definedName>
    <definedName name="CT1_TaxBase_Pivot">Details!$AC$9:$AE$31</definedName>
    <definedName name="Data">Details!$V$9:$AA$30</definedName>
    <definedName name="ExternalData_1" localSheetId="4" hidden="1">Transfer!$O$3:$T$21</definedName>
    <definedName name="ExternalData1" localSheetId="5">Details!$I$8:$T$29</definedName>
    <definedName name="IBA">#REF!</definedName>
    <definedName name="Letter">Transfer!$L$3:$M$102</definedName>
    <definedName name="LineData">'BR1'!$N$15:$AD$38</definedName>
    <definedName name="PandPUpliftd">#REF!</definedName>
    <definedName name="_xlnm.Print_Area" localSheetId="1">'BR1'!$B$2:$I$48</definedName>
    <definedName name="_xlnm.Print_Area" localSheetId="3">Comments!$B$2:$K$43</definedName>
    <definedName name="_xlnm.Print_Area" localSheetId="0">FrontPage!$B$2:$O$55</definedName>
    <definedName name="_xlnm.Print_Area" localSheetId="2">'Survey Response Burden'!$B$2:$L$21</definedName>
    <definedName name="Provorfin">#REF!</definedName>
    <definedName name="Query_from_LocalGovernmentFinance" localSheetId="8" hidden="1">ValData!$AE$3:$AK$795</definedName>
    <definedName name="Services">#REF!</definedName>
    <definedName name="UA">#REF!</definedName>
    <definedName name="UANumber">Details!$C$3</definedName>
    <definedName name="ValYOY">ValData!$B$3:$Q$20</definedName>
    <definedName name="vtab">Transfer!$A$3:$G$21</definedName>
    <definedName name="Year">Details!$D$32</definedName>
    <definedName name="YearLess1">#REF!</definedName>
  </definedNames>
  <calcPr calcId="191029"/>
  <pivotCaches>
    <pivotCache cacheId="0" r:id="rId11"/>
    <pivotCache cacheId="1" r:id="rId12"/>
    <pivotCache cacheId="2" r:id="rId13"/>
    <pivotCache cacheId="3" r:id="rId14"/>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G52" i="12340" l="1"/>
  <c r="AH52" i="12340"/>
  <c r="AI52" i="12340"/>
  <c r="AG53" i="12340"/>
  <c r="AH53" i="12340"/>
  <c r="AI53" i="12340"/>
  <c r="AG54" i="12340"/>
  <c r="AH54" i="12340"/>
  <c r="AI54" i="12340"/>
  <c r="AG55" i="12340"/>
  <c r="AH55" i="12340"/>
  <c r="AI55" i="12340"/>
  <c r="AG56" i="12340"/>
  <c r="AH56" i="12340"/>
  <c r="AI56" i="12340"/>
  <c r="AG57" i="12340"/>
  <c r="AH57" i="12340"/>
  <c r="AI57" i="12340"/>
  <c r="AG58" i="12340"/>
  <c r="AH58" i="12340"/>
  <c r="AI58" i="12340"/>
  <c r="AG59" i="12340"/>
  <c r="AH59" i="12340"/>
  <c r="AI59" i="12340"/>
  <c r="AG60" i="12340"/>
  <c r="AH60" i="12340"/>
  <c r="AI60" i="12340"/>
  <c r="AG61" i="12340"/>
  <c r="AH61" i="12340"/>
  <c r="AI61" i="12340"/>
  <c r="AG40" i="12340"/>
  <c r="AH40" i="12340"/>
  <c r="AI40" i="12340"/>
  <c r="AG41" i="12340"/>
  <c r="AH41" i="12340"/>
  <c r="AI41" i="12340"/>
  <c r="AG42" i="12340"/>
  <c r="AH42" i="12340"/>
  <c r="AI42" i="12340"/>
  <c r="AG43" i="12340"/>
  <c r="AH43" i="12340"/>
  <c r="AI43" i="12340"/>
  <c r="AG44" i="12340"/>
  <c r="AH44" i="12340"/>
  <c r="AI44" i="12340"/>
  <c r="AG45" i="12340"/>
  <c r="AH45" i="12340"/>
  <c r="AI45" i="12340"/>
  <c r="AG46" i="12340"/>
  <c r="AH46" i="12340"/>
  <c r="AI46" i="12340"/>
  <c r="AG47" i="12340"/>
  <c r="AH47" i="12340"/>
  <c r="AI47" i="12340"/>
  <c r="AG48" i="12340"/>
  <c r="AH48" i="12340"/>
  <c r="AI48" i="12340"/>
  <c r="AG49" i="12340"/>
  <c r="AH49" i="12340"/>
  <c r="AI49" i="12340"/>
  <c r="AG50" i="12340"/>
  <c r="AH50" i="12340"/>
  <c r="AI50" i="12340"/>
  <c r="AG51" i="12340"/>
  <c r="AH51" i="12340"/>
  <c r="AI51" i="12340"/>
  <c r="AH39" i="12340"/>
  <c r="AI39" i="12340"/>
  <c r="AG39" i="12340"/>
  <c r="W5" i="388" l="1"/>
  <c r="X5" i="388"/>
  <c r="Y5" i="388"/>
  <c r="W6" i="388"/>
  <c r="X6" i="388"/>
  <c r="Y6" i="388"/>
  <c r="W7" i="388"/>
  <c r="X7" i="388"/>
  <c r="Y7" i="388"/>
  <c r="W8" i="388"/>
  <c r="X8" i="388"/>
  <c r="Y8" i="388"/>
  <c r="W9" i="388"/>
  <c r="X9" i="388"/>
  <c r="Y9" i="388"/>
  <c r="W10" i="388"/>
  <c r="X10" i="388"/>
  <c r="Y10" i="388"/>
  <c r="W11" i="388"/>
  <c r="X11" i="388"/>
  <c r="Y11" i="388"/>
  <c r="W12" i="388"/>
  <c r="X12" i="388"/>
  <c r="Y12" i="388"/>
  <c r="W13" i="388"/>
  <c r="X13" i="388"/>
  <c r="Y13" i="388"/>
  <c r="W14" i="388"/>
  <c r="X14" i="388"/>
  <c r="Y14" i="388"/>
  <c r="W15" i="388"/>
  <c r="X15" i="388"/>
  <c r="Y15" i="388"/>
  <c r="W16" i="388"/>
  <c r="X16" i="388"/>
  <c r="Y16" i="388"/>
  <c r="W17" i="388"/>
  <c r="X17" i="388"/>
  <c r="Y17" i="388"/>
  <c r="W18" i="388"/>
  <c r="X18" i="388"/>
  <c r="Y18" i="388"/>
  <c r="W19" i="388"/>
  <c r="X19" i="388"/>
  <c r="Y19" i="388"/>
  <c r="W20" i="388"/>
  <c r="X20" i="388"/>
  <c r="Y20" i="388"/>
  <c r="W21" i="388"/>
  <c r="X21" i="388"/>
  <c r="Y21" i="388"/>
  <c r="Y4" i="388"/>
  <c r="X4" i="388"/>
  <c r="W4" i="388"/>
  <c r="AD4" i="12349"/>
  <c r="AD5" i="12349"/>
  <c r="AD6" i="12349"/>
  <c r="AD7" i="12349"/>
  <c r="AD8" i="12349"/>
  <c r="AD9" i="12349"/>
  <c r="AD10" i="12349"/>
  <c r="AD11" i="12349"/>
  <c r="AD12" i="12349"/>
  <c r="AD13" i="12349"/>
  <c r="AD14" i="12349"/>
  <c r="AD15" i="12349"/>
  <c r="AD16" i="12349"/>
  <c r="AD17" i="12349"/>
  <c r="AD18" i="12349"/>
  <c r="AD19" i="12349"/>
  <c r="AD20" i="12349"/>
  <c r="AD21" i="12349"/>
  <c r="AD22" i="12349"/>
  <c r="AD23" i="12349"/>
  <c r="AD24" i="12349"/>
  <c r="AD25" i="12349"/>
  <c r="AD26" i="12349"/>
  <c r="AD27" i="12349"/>
  <c r="AD28" i="12349"/>
  <c r="AD29" i="12349"/>
  <c r="AD30" i="12349"/>
  <c r="AD31" i="12349"/>
  <c r="AD32" i="12349"/>
  <c r="AD33" i="12349"/>
  <c r="AD34" i="12349"/>
  <c r="AD35" i="12349"/>
  <c r="AD36" i="12349"/>
  <c r="AD37" i="12349"/>
  <c r="AD38" i="12349"/>
  <c r="AD39" i="12349"/>
  <c r="AD40" i="12349"/>
  <c r="AD41" i="12349"/>
  <c r="AD42" i="12349"/>
  <c r="AD43" i="12349"/>
  <c r="AD44" i="12349"/>
  <c r="AD45" i="12349"/>
  <c r="AD46" i="12349"/>
  <c r="AD47" i="12349"/>
  <c r="AD48" i="12349"/>
  <c r="AD49" i="12349"/>
  <c r="AD50" i="12349"/>
  <c r="AD51" i="12349"/>
  <c r="AD52" i="12349"/>
  <c r="AD53" i="12349"/>
  <c r="AD54" i="12349"/>
  <c r="AD55" i="12349"/>
  <c r="AD56" i="12349"/>
  <c r="AD57" i="12349"/>
  <c r="AD58" i="12349"/>
  <c r="AD59" i="12349"/>
  <c r="AD60" i="12349"/>
  <c r="AD61" i="12349"/>
  <c r="AD62" i="12349"/>
  <c r="AD63" i="12349"/>
  <c r="AD64" i="12349"/>
  <c r="AD65" i="12349"/>
  <c r="AD66" i="12349"/>
  <c r="AD67" i="12349"/>
  <c r="AD68" i="12349"/>
  <c r="AD69" i="12349"/>
  <c r="AD70" i="12349"/>
  <c r="AD71" i="12349"/>
  <c r="AD72" i="12349"/>
  <c r="AD73" i="12349"/>
  <c r="AD74" i="12349"/>
  <c r="AD75" i="12349"/>
  <c r="AD76" i="12349"/>
  <c r="AD77" i="12349"/>
  <c r="AD78" i="12349"/>
  <c r="AD79" i="12349"/>
  <c r="AD80" i="12349"/>
  <c r="AD81" i="12349"/>
  <c r="AD82" i="12349"/>
  <c r="AD83" i="12349"/>
  <c r="AD84" i="12349"/>
  <c r="AD85" i="12349"/>
  <c r="AD86" i="12349"/>
  <c r="AD87" i="12349"/>
  <c r="AD88" i="12349"/>
  <c r="AD89" i="12349"/>
  <c r="AD90" i="12349"/>
  <c r="AD91" i="12349"/>
  <c r="AD92" i="12349"/>
  <c r="AD93" i="12349"/>
  <c r="AD94" i="12349"/>
  <c r="AD95" i="12349"/>
  <c r="AD96" i="12349"/>
  <c r="AD97" i="12349"/>
  <c r="AD98" i="12349"/>
  <c r="AD99" i="12349"/>
  <c r="AD100" i="12349"/>
  <c r="AD101" i="12349"/>
  <c r="AD102" i="12349"/>
  <c r="AD103" i="12349"/>
  <c r="AD104" i="12349"/>
  <c r="AD105" i="12349"/>
  <c r="AD106" i="12349"/>
  <c r="AD107" i="12349"/>
  <c r="AD108" i="12349"/>
  <c r="AD109" i="12349"/>
  <c r="AD110" i="12349"/>
  <c r="AD111" i="12349"/>
  <c r="AD112" i="12349"/>
  <c r="AD113" i="12349"/>
  <c r="AD114" i="12349"/>
  <c r="AD115" i="12349"/>
  <c r="AD116" i="12349"/>
  <c r="AD117" i="12349"/>
  <c r="AD118" i="12349"/>
  <c r="AD119" i="12349"/>
  <c r="AD120" i="12349"/>
  <c r="AD121" i="12349"/>
  <c r="AD122" i="12349"/>
  <c r="AD123" i="12349"/>
  <c r="AD124" i="12349"/>
  <c r="AD125" i="12349"/>
  <c r="AD126" i="12349"/>
  <c r="AD127" i="12349"/>
  <c r="AD128" i="12349"/>
  <c r="AD129" i="12349"/>
  <c r="AD130" i="12349"/>
  <c r="AD131" i="12349"/>
  <c r="AD132" i="12349"/>
  <c r="AD133" i="12349"/>
  <c r="AD134" i="12349"/>
  <c r="AD135" i="12349"/>
  <c r="AD136" i="12349"/>
  <c r="AD137" i="12349"/>
  <c r="AD138" i="12349"/>
  <c r="AD139" i="12349"/>
  <c r="AD140" i="12349"/>
  <c r="AD141" i="12349"/>
  <c r="AD142" i="12349"/>
  <c r="AD143" i="12349"/>
  <c r="AD144" i="12349"/>
  <c r="AD145" i="12349"/>
  <c r="AD146" i="12349"/>
  <c r="AD147" i="12349"/>
  <c r="AD148" i="12349"/>
  <c r="AD149" i="12349"/>
  <c r="AD150" i="12349"/>
  <c r="AD151" i="12349"/>
  <c r="AD152" i="12349"/>
  <c r="AD153" i="12349"/>
  <c r="AD154" i="12349"/>
  <c r="AD155" i="12349"/>
  <c r="AD156" i="12349"/>
  <c r="AD157" i="12349"/>
  <c r="AD158" i="12349"/>
  <c r="AD159" i="12349"/>
  <c r="AD160" i="12349"/>
  <c r="AD161" i="12349"/>
  <c r="AD162" i="12349"/>
  <c r="AD163" i="12349"/>
  <c r="AD164" i="12349"/>
  <c r="AD165" i="12349"/>
  <c r="AD166" i="12349"/>
  <c r="AD167" i="12349"/>
  <c r="AD168" i="12349"/>
  <c r="AD169" i="12349"/>
  <c r="AD170" i="12349"/>
  <c r="AD171" i="12349"/>
  <c r="AD172" i="12349"/>
  <c r="AD173" i="12349"/>
  <c r="AD174" i="12349"/>
  <c r="AD175" i="12349"/>
  <c r="AD176" i="12349"/>
  <c r="AD177" i="12349"/>
  <c r="AD178" i="12349"/>
  <c r="AD179" i="12349"/>
  <c r="AD180" i="12349"/>
  <c r="AD181" i="12349"/>
  <c r="AD182" i="12349"/>
  <c r="AD183" i="12349"/>
  <c r="AD184" i="12349"/>
  <c r="AD185" i="12349"/>
  <c r="AD186" i="12349"/>
  <c r="AD187" i="12349"/>
  <c r="AD188" i="12349"/>
  <c r="AD189" i="12349"/>
  <c r="AD190" i="12349"/>
  <c r="AD191" i="12349"/>
  <c r="AD192" i="12349"/>
  <c r="AD193" i="12349"/>
  <c r="AD194" i="12349"/>
  <c r="AD195" i="12349"/>
  <c r="AD196" i="12349"/>
  <c r="AD197" i="12349"/>
  <c r="AD198" i="12349"/>
  <c r="AD199" i="12349"/>
  <c r="AD200" i="12349"/>
  <c r="AD201" i="12349"/>
  <c r="AD202" i="12349"/>
  <c r="AD203" i="12349"/>
  <c r="AD204" i="12349"/>
  <c r="AD205" i="12349"/>
  <c r="AD206" i="12349"/>
  <c r="AD207" i="12349"/>
  <c r="AD208" i="12349"/>
  <c r="AD209" i="12349"/>
  <c r="AD210" i="12349"/>
  <c r="AD211" i="12349"/>
  <c r="AD212" i="12349"/>
  <c r="AD213" i="12349"/>
  <c r="AD214" i="12349"/>
  <c r="AD215" i="12349"/>
  <c r="AD216" i="12349"/>
  <c r="AD217" i="12349"/>
  <c r="AD218" i="12349"/>
  <c r="AD219" i="12349"/>
  <c r="AD220" i="12349"/>
  <c r="AD221" i="12349"/>
  <c r="AD222" i="12349"/>
  <c r="AD223" i="12349"/>
  <c r="AD224" i="12349"/>
  <c r="AD225" i="12349"/>
  <c r="AD226" i="12349"/>
  <c r="AD227" i="12349"/>
  <c r="AD228" i="12349"/>
  <c r="AD229" i="12349"/>
  <c r="AD230" i="12349"/>
  <c r="AD231" i="12349"/>
  <c r="AD232" i="12349"/>
  <c r="AD233" i="12349"/>
  <c r="AD234" i="12349"/>
  <c r="AD235" i="12349"/>
  <c r="AD236" i="12349"/>
  <c r="AD237" i="12349"/>
  <c r="AD238" i="12349"/>
  <c r="AD239" i="12349"/>
  <c r="AD240" i="12349"/>
  <c r="AD241" i="12349"/>
  <c r="AD242" i="12349"/>
  <c r="AD243" i="12349"/>
  <c r="AD244" i="12349"/>
  <c r="AD245" i="12349"/>
  <c r="AD246" i="12349"/>
  <c r="AD247" i="12349"/>
  <c r="AD248" i="12349"/>
  <c r="AD249" i="12349"/>
  <c r="AD250" i="12349"/>
  <c r="AD251" i="12349"/>
  <c r="AD252" i="12349"/>
  <c r="AD253" i="12349"/>
  <c r="AD254" i="12349"/>
  <c r="AD255" i="12349"/>
  <c r="AD256" i="12349"/>
  <c r="AD257" i="12349"/>
  <c r="AD258" i="12349"/>
  <c r="AD259" i="12349"/>
  <c r="AD260" i="12349"/>
  <c r="AD261" i="12349"/>
  <c r="AD262" i="12349"/>
  <c r="AD263" i="12349"/>
  <c r="AD264" i="12349"/>
  <c r="AD265" i="12349"/>
  <c r="AD266" i="12349"/>
  <c r="AD267" i="12349"/>
  <c r="AD268" i="12349"/>
  <c r="AD269" i="12349"/>
  <c r="AD270" i="12349"/>
  <c r="AD271" i="12349"/>
  <c r="AD272" i="12349"/>
  <c r="AD273" i="12349"/>
  <c r="AD274" i="12349"/>
  <c r="AD275" i="12349"/>
  <c r="AD276" i="12349"/>
  <c r="AD277" i="12349"/>
  <c r="AD278" i="12349"/>
  <c r="AD279" i="12349"/>
  <c r="AD280" i="12349"/>
  <c r="AD281" i="12349"/>
  <c r="AD282" i="12349"/>
  <c r="AD283" i="12349"/>
  <c r="AD284" i="12349"/>
  <c r="AD285" i="12349"/>
  <c r="AD286" i="12349"/>
  <c r="AD287" i="12349"/>
  <c r="AD288" i="12349"/>
  <c r="AD289" i="12349"/>
  <c r="AD290" i="12349"/>
  <c r="AD291" i="12349"/>
  <c r="AD292" i="12349"/>
  <c r="AD293" i="12349"/>
  <c r="AD294" i="12349"/>
  <c r="AD295" i="12349"/>
  <c r="AD296" i="12349"/>
  <c r="AD297" i="12349"/>
  <c r="AD298" i="12349"/>
  <c r="AD299" i="12349"/>
  <c r="AD300" i="12349"/>
  <c r="AD301" i="12349"/>
  <c r="AD302" i="12349"/>
  <c r="AD303" i="12349"/>
  <c r="AD304" i="12349"/>
  <c r="AD305" i="12349"/>
  <c r="AD306" i="12349"/>
  <c r="AD307" i="12349"/>
  <c r="AD308" i="12349"/>
  <c r="AD309" i="12349"/>
  <c r="AD310" i="12349"/>
  <c r="AD311" i="12349"/>
  <c r="AD312" i="12349"/>
  <c r="AD313" i="12349"/>
  <c r="AD314" i="12349"/>
  <c r="AD315" i="12349"/>
  <c r="AD316" i="12349"/>
  <c r="AD317" i="12349"/>
  <c r="AD318" i="12349"/>
  <c r="AD319" i="12349"/>
  <c r="AD320" i="12349"/>
  <c r="AD321" i="12349"/>
  <c r="AD322" i="12349"/>
  <c r="AD323" i="12349"/>
  <c r="AD324" i="12349"/>
  <c r="AD325" i="12349"/>
  <c r="AD326" i="12349"/>
  <c r="AD327" i="12349"/>
  <c r="AD328" i="12349"/>
  <c r="AD329" i="12349"/>
  <c r="AD330" i="12349"/>
  <c r="AD331" i="12349"/>
  <c r="AD332" i="12349"/>
  <c r="AD333" i="12349"/>
  <c r="AD334" i="12349"/>
  <c r="AD335" i="12349"/>
  <c r="AD336" i="12349"/>
  <c r="AD337" i="12349"/>
  <c r="AD338" i="12349"/>
  <c r="AD339" i="12349"/>
  <c r="AD340" i="12349"/>
  <c r="AD341" i="12349"/>
  <c r="AD342" i="12349"/>
  <c r="AD343" i="12349"/>
  <c r="AD344" i="12349"/>
  <c r="AD345" i="12349"/>
  <c r="AD346" i="12349"/>
  <c r="AD347" i="12349"/>
  <c r="AD348" i="12349"/>
  <c r="AD349" i="12349"/>
  <c r="AD350" i="12349"/>
  <c r="AD351" i="12349"/>
  <c r="AD352" i="12349"/>
  <c r="AD353" i="12349"/>
  <c r="AD354" i="12349"/>
  <c r="AD355" i="12349"/>
  <c r="AD356" i="12349"/>
  <c r="AD357" i="12349"/>
  <c r="AD358" i="12349"/>
  <c r="AD359" i="12349"/>
  <c r="AD360" i="12349"/>
  <c r="AD361" i="12349"/>
  <c r="AD362" i="12349"/>
  <c r="AD363" i="12349"/>
  <c r="AD364" i="12349"/>
  <c r="AD365" i="12349"/>
  <c r="AD366" i="12349"/>
  <c r="AD367" i="12349"/>
  <c r="AD368" i="12349"/>
  <c r="AD369" i="12349"/>
  <c r="AD370" i="12349"/>
  <c r="AD371" i="12349"/>
  <c r="AD372" i="12349"/>
  <c r="AD373" i="12349"/>
  <c r="AD374" i="12349"/>
  <c r="AD375" i="12349"/>
  <c r="AD376" i="12349"/>
  <c r="AD377" i="12349"/>
  <c r="AD378" i="12349"/>
  <c r="AD379" i="12349"/>
  <c r="AD380" i="12349"/>
  <c r="AD381" i="12349"/>
  <c r="AD382" i="12349"/>
  <c r="AD383" i="12349"/>
  <c r="AD384" i="12349"/>
  <c r="AD385" i="12349"/>
  <c r="AD386" i="12349"/>
  <c r="AD387" i="12349"/>
  <c r="AD388" i="12349"/>
  <c r="AD389" i="12349"/>
  <c r="AD390" i="12349"/>
  <c r="AD391" i="12349"/>
  <c r="AD392" i="12349"/>
  <c r="AD393" i="12349"/>
  <c r="AD394" i="12349"/>
  <c r="AD395" i="12349"/>
  <c r="AD396" i="12349"/>
  <c r="AD397" i="12349"/>
  <c r="AD398" i="12349"/>
  <c r="AD399" i="12349"/>
  <c r="AD400" i="12349"/>
  <c r="AD401" i="12349"/>
  <c r="AD402" i="12349"/>
  <c r="AD403" i="12349"/>
  <c r="AD404" i="12349"/>
  <c r="AD405" i="12349"/>
  <c r="AD406" i="12349"/>
  <c r="AD407" i="12349"/>
  <c r="AD408" i="12349"/>
  <c r="AD409" i="12349"/>
  <c r="AD410" i="12349"/>
  <c r="AD411" i="12349"/>
  <c r="AD412" i="12349"/>
  <c r="AD413" i="12349"/>
  <c r="AD414" i="12349"/>
  <c r="AD415" i="12349"/>
  <c r="AD416" i="12349"/>
  <c r="AD417" i="12349"/>
  <c r="AD418" i="12349"/>
  <c r="AD419" i="12349"/>
  <c r="AD420" i="12349"/>
  <c r="AD421" i="12349"/>
  <c r="AD422" i="12349"/>
  <c r="AD423" i="12349"/>
  <c r="AD424" i="12349"/>
  <c r="AD425" i="12349"/>
  <c r="AD426" i="12349"/>
  <c r="AD427" i="12349"/>
  <c r="AD428" i="12349"/>
  <c r="AD429" i="12349"/>
  <c r="AD430" i="12349"/>
  <c r="AD431" i="12349"/>
  <c r="AD432" i="12349"/>
  <c r="AD433" i="12349"/>
  <c r="AD434" i="12349"/>
  <c r="AD435" i="12349"/>
  <c r="AD436" i="12349"/>
  <c r="AD437" i="12349"/>
  <c r="AD438" i="12349"/>
  <c r="AD439" i="12349"/>
  <c r="AD440" i="12349"/>
  <c r="AD441" i="12349"/>
  <c r="AD442" i="12349"/>
  <c r="AD443" i="12349"/>
  <c r="AD444" i="12349"/>
  <c r="AD445" i="12349"/>
  <c r="AD446" i="12349"/>
  <c r="AD447" i="12349"/>
  <c r="AD448" i="12349"/>
  <c r="AD449" i="12349"/>
  <c r="AD450" i="12349"/>
  <c r="AD451" i="12349"/>
  <c r="AD452" i="12349"/>
  <c r="AD453" i="12349"/>
  <c r="AD454" i="12349"/>
  <c r="AD455" i="12349"/>
  <c r="AD456" i="12349"/>
  <c r="AD457" i="12349"/>
  <c r="AD458" i="12349"/>
  <c r="AD459" i="12349"/>
  <c r="AD460" i="12349"/>
  <c r="AD461" i="12349"/>
  <c r="AD462" i="12349"/>
  <c r="AD463" i="12349"/>
  <c r="AD464" i="12349"/>
  <c r="AD465" i="12349"/>
  <c r="AD466" i="12349"/>
  <c r="AD467" i="12349"/>
  <c r="AD468" i="12349"/>
  <c r="AD469" i="12349"/>
  <c r="AD470" i="12349"/>
  <c r="AD471" i="12349"/>
  <c r="AD472" i="12349"/>
  <c r="AD473" i="12349"/>
  <c r="AD474" i="12349"/>
  <c r="AD475" i="12349"/>
  <c r="AD476" i="12349"/>
  <c r="AD477" i="12349"/>
  <c r="AD478" i="12349"/>
  <c r="AD479" i="12349"/>
  <c r="AD480" i="12349"/>
  <c r="AD481" i="12349"/>
  <c r="AD482" i="12349"/>
  <c r="AD483" i="12349"/>
  <c r="AD484" i="12349"/>
  <c r="AD485" i="12349"/>
  <c r="AD486" i="12349"/>
  <c r="AD487" i="12349"/>
  <c r="AD488" i="12349"/>
  <c r="AD489" i="12349"/>
  <c r="AD490" i="12349"/>
  <c r="AD491" i="12349"/>
  <c r="AD492" i="12349"/>
  <c r="AD493" i="12349"/>
  <c r="AD494" i="12349"/>
  <c r="AD495" i="12349"/>
  <c r="AD496" i="12349"/>
  <c r="AD497" i="12349"/>
  <c r="AD498" i="12349"/>
  <c r="AD499" i="12349"/>
  <c r="AD500" i="12349"/>
  <c r="AD501" i="12349"/>
  <c r="AD502" i="12349"/>
  <c r="AD503" i="12349"/>
  <c r="AD504" i="12349"/>
  <c r="AD505" i="12349"/>
  <c r="AD506" i="12349"/>
  <c r="AD507" i="12349"/>
  <c r="AD508" i="12349"/>
  <c r="AD509" i="12349"/>
  <c r="AD510" i="12349"/>
  <c r="AD511" i="12349"/>
  <c r="AD512" i="12349"/>
  <c r="AD513" i="12349"/>
  <c r="AD514" i="12349"/>
  <c r="AD515" i="12349"/>
  <c r="AD516" i="12349"/>
  <c r="AD517" i="12349"/>
  <c r="AD518" i="12349"/>
  <c r="AD519" i="12349"/>
  <c r="AD520" i="12349"/>
  <c r="AD521" i="12349"/>
  <c r="AD522" i="12349"/>
  <c r="AD523" i="12349"/>
  <c r="AD524" i="12349"/>
  <c r="AD525" i="12349"/>
  <c r="AD526" i="12349"/>
  <c r="AD527" i="12349"/>
  <c r="AD528" i="12349"/>
  <c r="AD529" i="12349"/>
  <c r="AD530" i="12349"/>
  <c r="AD531" i="12349"/>
  <c r="AD532" i="12349"/>
  <c r="AD533" i="12349"/>
  <c r="AD534" i="12349"/>
  <c r="AD535" i="12349"/>
  <c r="AD536" i="12349"/>
  <c r="AD537" i="12349"/>
  <c r="AD538" i="12349"/>
  <c r="AD539" i="12349"/>
  <c r="AD540" i="12349"/>
  <c r="AD541" i="12349"/>
  <c r="AD542" i="12349"/>
  <c r="AD543" i="12349"/>
  <c r="AD544" i="12349"/>
  <c r="AD545" i="12349"/>
  <c r="AD546" i="12349"/>
  <c r="AD547" i="12349"/>
  <c r="AD548" i="12349"/>
  <c r="AD549" i="12349"/>
  <c r="AD550" i="12349"/>
  <c r="AD551" i="12349"/>
  <c r="AD552" i="12349"/>
  <c r="AD553" i="12349"/>
  <c r="AD554" i="12349"/>
  <c r="AD555" i="12349"/>
  <c r="AD556" i="12349"/>
  <c r="AD557" i="12349"/>
  <c r="AD558" i="12349"/>
  <c r="AD559" i="12349"/>
  <c r="AD560" i="12349"/>
  <c r="AD561" i="12349"/>
  <c r="AD562" i="12349"/>
  <c r="AD563" i="12349"/>
  <c r="AD564" i="12349"/>
  <c r="AD565" i="12349"/>
  <c r="AD566" i="12349"/>
  <c r="AD567" i="12349"/>
  <c r="AD568" i="12349"/>
  <c r="AD569" i="12349"/>
  <c r="AD570" i="12349"/>
  <c r="AD571" i="12349"/>
  <c r="AD572" i="12349"/>
  <c r="AD573" i="12349"/>
  <c r="AD574" i="12349"/>
  <c r="AD575" i="12349"/>
  <c r="AD576" i="12349"/>
  <c r="AD577" i="12349"/>
  <c r="AD578" i="12349"/>
  <c r="AD579" i="12349"/>
  <c r="AD580" i="12349"/>
  <c r="AD581" i="12349"/>
  <c r="AD582" i="12349"/>
  <c r="AD583" i="12349"/>
  <c r="AD584" i="12349"/>
  <c r="AD585" i="12349"/>
  <c r="AD586" i="12349"/>
  <c r="AD587" i="12349"/>
  <c r="AD588" i="12349"/>
  <c r="AD589" i="12349"/>
  <c r="AD590" i="12349"/>
  <c r="AD591" i="12349"/>
  <c r="AD592" i="12349"/>
  <c r="AD593" i="12349"/>
  <c r="AD594" i="12349"/>
  <c r="AD595" i="12349"/>
  <c r="AD596" i="12349"/>
  <c r="AD597" i="12349"/>
  <c r="AD598" i="12349"/>
  <c r="AD599" i="12349"/>
  <c r="AD600" i="12349"/>
  <c r="AD601" i="12349"/>
  <c r="AD602" i="12349"/>
  <c r="AD603" i="12349"/>
  <c r="AD604" i="12349"/>
  <c r="AD605" i="12349"/>
  <c r="AD606" i="12349"/>
  <c r="AD607" i="12349"/>
  <c r="AD608" i="12349"/>
  <c r="AD609" i="12349"/>
  <c r="AD610" i="12349"/>
  <c r="AD611" i="12349"/>
  <c r="AD612" i="12349"/>
  <c r="AD613" i="12349"/>
  <c r="AD614" i="12349"/>
  <c r="AD615" i="12349"/>
  <c r="AD616" i="12349"/>
  <c r="AD617" i="12349"/>
  <c r="AD618" i="12349"/>
  <c r="AD619" i="12349"/>
  <c r="AD620" i="12349"/>
  <c r="AD621" i="12349"/>
  <c r="AD622" i="12349"/>
  <c r="AD623" i="12349"/>
  <c r="AD624" i="12349"/>
  <c r="AD625" i="12349"/>
  <c r="AD626" i="12349"/>
  <c r="AD627" i="12349"/>
  <c r="AD628" i="12349"/>
  <c r="AD629" i="12349"/>
  <c r="AD630" i="12349"/>
  <c r="AD631" i="12349"/>
  <c r="AD632" i="12349"/>
  <c r="AD633" i="12349"/>
  <c r="AD634" i="12349"/>
  <c r="AD635" i="12349"/>
  <c r="AD636" i="12349"/>
  <c r="AD637" i="12349"/>
  <c r="AD638" i="12349"/>
  <c r="AD639" i="12349"/>
  <c r="AD640" i="12349"/>
  <c r="AD641" i="12349"/>
  <c r="AD642" i="12349"/>
  <c r="AD643" i="12349"/>
  <c r="AD644" i="12349"/>
  <c r="AD645" i="12349"/>
  <c r="AD646" i="12349"/>
  <c r="AD647" i="12349"/>
  <c r="AD648" i="12349"/>
  <c r="AD649" i="12349"/>
  <c r="AD650" i="12349"/>
  <c r="AD651" i="12349"/>
  <c r="AD652" i="12349"/>
  <c r="AD653" i="12349"/>
  <c r="AD654" i="12349"/>
  <c r="AD655" i="12349"/>
  <c r="AD656" i="12349"/>
  <c r="AD657" i="12349"/>
  <c r="AD658" i="12349"/>
  <c r="AD659" i="12349"/>
  <c r="AD660" i="12349"/>
  <c r="AD661" i="12349"/>
  <c r="AD662" i="12349"/>
  <c r="AD663" i="12349"/>
  <c r="AD664" i="12349"/>
  <c r="AD665" i="12349"/>
  <c r="AD666" i="12349"/>
  <c r="AD667" i="12349"/>
  <c r="AD668" i="12349"/>
  <c r="AD669" i="12349"/>
  <c r="AD670" i="12349"/>
  <c r="AD671" i="12349"/>
  <c r="AD672" i="12349"/>
  <c r="AD673" i="12349"/>
  <c r="AD674" i="12349"/>
  <c r="AD675" i="12349"/>
  <c r="AD676" i="12349"/>
  <c r="AD677" i="12349"/>
  <c r="AD678" i="12349"/>
  <c r="AD679" i="12349"/>
  <c r="AD680" i="12349"/>
  <c r="AD681" i="12349"/>
  <c r="AD682" i="12349"/>
  <c r="AD683" i="12349"/>
  <c r="AD684" i="12349"/>
  <c r="AD685" i="12349"/>
  <c r="AD686" i="12349"/>
  <c r="AD687" i="12349"/>
  <c r="AD688" i="12349"/>
  <c r="AD689" i="12349"/>
  <c r="AD690" i="12349"/>
  <c r="AD691" i="12349"/>
  <c r="AD692" i="12349"/>
  <c r="AD693" i="12349"/>
  <c r="AD694" i="12349"/>
  <c r="AD695" i="12349"/>
  <c r="AD696" i="12349"/>
  <c r="AD697" i="12349"/>
  <c r="AD698" i="12349"/>
  <c r="AD699" i="12349"/>
  <c r="AD700" i="12349"/>
  <c r="AD701" i="12349"/>
  <c r="AD702" i="12349"/>
  <c r="AD703" i="12349"/>
  <c r="AD704" i="12349"/>
  <c r="AD705" i="12349"/>
  <c r="AD706" i="12349"/>
  <c r="AD707" i="12349"/>
  <c r="AD708" i="12349"/>
  <c r="AD709" i="12349"/>
  <c r="AD710" i="12349"/>
  <c r="AD711" i="12349"/>
  <c r="AD712" i="12349"/>
  <c r="AD713" i="12349"/>
  <c r="AD714" i="12349"/>
  <c r="AD715" i="12349"/>
  <c r="AD716" i="12349"/>
  <c r="AD717" i="12349"/>
  <c r="AD718" i="12349"/>
  <c r="AD719" i="12349"/>
  <c r="AD720" i="12349"/>
  <c r="AD721" i="12349"/>
  <c r="AD722" i="12349"/>
  <c r="AD723" i="12349"/>
  <c r="AD724" i="12349"/>
  <c r="AD725" i="12349"/>
  <c r="AD726" i="12349"/>
  <c r="AD727" i="12349"/>
  <c r="AD728" i="12349"/>
  <c r="AD729" i="12349"/>
  <c r="AD730" i="12349"/>
  <c r="AD731" i="12349"/>
  <c r="AD732" i="12349"/>
  <c r="AD733" i="12349"/>
  <c r="AD734" i="12349"/>
  <c r="AD735" i="12349"/>
  <c r="AD736" i="12349"/>
  <c r="AD737" i="12349"/>
  <c r="AD738" i="12349"/>
  <c r="AD739" i="12349"/>
  <c r="AD740" i="12349"/>
  <c r="AD741" i="12349"/>
  <c r="AD742" i="12349"/>
  <c r="AD743" i="12349"/>
  <c r="AD744" i="12349"/>
  <c r="AD745" i="12349"/>
  <c r="AD746" i="12349"/>
  <c r="AD747" i="12349"/>
  <c r="AD748" i="12349"/>
  <c r="AD749" i="12349"/>
  <c r="AD750" i="12349"/>
  <c r="AD751" i="12349"/>
  <c r="AD752" i="12349"/>
  <c r="AD753" i="12349"/>
  <c r="AD754" i="12349"/>
  <c r="AD755" i="12349"/>
  <c r="AD756" i="12349"/>
  <c r="AD757" i="12349"/>
  <c r="AD758" i="12349"/>
  <c r="AD759" i="12349"/>
  <c r="AD760" i="12349"/>
  <c r="AD761" i="12349"/>
  <c r="AD762" i="12349"/>
  <c r="AD763" i="12349"/>
  <c r="AD764" i="12349"/>
  <c r="AD765" i="12349"/>
  <c r="AD766" i="12349"/>
  <c r="AD767" i="12349"/>
  <c r="AD768" i="12349"/>
  <c r="AD769" i="12349"/>
  <c r="AD770" i="12349"/>
  <c r="AD771" i="12349"/>
  <c r="AD772" i="12349"/>
  <c r="AD773" i="12349"/>
  <c r="AD774" i="12349"/>
  <c r="AD775" i="12349"/>
  <c r="AD776" i="12349"/>
  <c r="AD777" i="12349"/>
  <c r="AD778" i="12349"/>
  <c r="AD779" i="12349"/>
  <c r="AD780" i="12349"/>
  <c r="AD781" i="12349"/>
  <c r="AD782" i="12349"/>
  <c r="AD783" i="12349"/>
  <c r="AD784" i="12349"/>
  <c r="AD785" i="12349"/>
  <c r="AD786" i="12349"/>
  <c r="AD787" i="12349"/>
  <c r="AD788" i="12349"/>
  <c r="AD789" i="12349"/>
  <c r="AD790" i="12349"/>
  <c r="AD791" i="12349"/>
  <c r="AD792" i="12349"/>
  <c r="AD793" i="12349"/>
  <c r="AD794" i="12349"/>
  <c r="AD795" i="12349"/>
  <c r="AH1" i="12349" l="1"/>
  <c r="AA7" i="12340" l="1"/>
  <c r="Z7" i="12340"/>
  <c r="Y7" i="12340"/>
  <c r="A5" i="388" l="1"/>
  <c r="A6" i="388"/>
  <c r="A7" i="388"/>
  <c r="A8" i="388"/>
  <c r="A9" i="388"/>
  <c r="A10" i="388"/>
  <c r="A11" i="388"/>
  <c r="A12" i="388"/>
  <c r="A13" i="388"/>
  <c r="A14" i="388"/>
  <c r="A15" i="388"/>
  <c r="A16" i="388"/>
  <c r="A17" i="388"/>
  <c r="A18" i="388"/>
  <c r="A19" i="388"/>
  <c r="A20" i="388"/>
  <c r="A21" i="388"/>
  <c r="A4" i="388"/>
  <c r="D9" i="12346" l="1"/>
  <c r="AA10" i="12340" l="1"/>
  <c r="AA11" i="12340"/>
  <c r="AA12" i="12340"/>
  <c r="AA13" i="12340"/>
  <c r="AA14" i="12340"/>
  <c r="AA15" i="12340"/>
  <c r="AA16" i="12340"/>
  <c r="AA17" i="12340"/>
  <c r="AA18" i="12340"/>
  <c r="AA19" i="12340"/>
  <c r="AA20" i="12340"/>
  <c r="AA21" i="12340"/>
  <c r="AA22" i="12340"/>
  <c r="AA23" i="12340"/>
  <c r="AA24" i="12340"/>
  <c r="AA25" i="12340"/>
  <c r="AA26" i="12340"/>
  <c r="AA27" i="12340"/>
  <c r="AA28" i="12340"/>
  <c r="AA29" i="12340"/>
  <c r="AA30" i="12340"/>
  <c r="AA9" i="12340"/>
  <c r="N38" i="12344" l="1"/>
  <c r="D33" i="12340" l="1"/>
  <c r="E33" i="12340" s="1"/>
  <c r="D34" i="12340" l="1"/>
  <c r="E34" i="12340" s="1"/>
  <c r="D48" i="12346"/>
  <c r="Q24" i="12344" l="1"/>
  <c r="U24" i="12344" s="1"/>
  <c r="Q18" i="12344"/>
  <c r="U18" i="12344" s="1"/>
  <c r="Q15" i="12344"/>
  <c r="U15" i="12344" s="1"/>
  <c r="Q16" i="12344"/>
  <c r="U16" i="12344" s="1"/>
  <c r="J97" i="12350" l="1"/>
  <c r="J98" i="12350"/>
  <c r="J99" i="12350"/>
  <c r="J100" i="12350"/>
  <c r="J101" i="12350"/>
  <c r="J102" i="12350"/>
  <c r="J103" i="12350"/>
  <c r="J104" i="12350"/>
  <c r="J105" i="12350"/>
  <c r="J106" i="12350"/>
  <c r="J107" i="12350"/>
  <c r="J108" i="12350"/>
  <c r="J109" i="12350"/>
  <c r="J110" i="12350"/>
  <c r="J111" i="12350"/>
  <c r="J112" i="12350"/>
  <c r="J113" i="12350"/>
  <c r="J114" i="12350"/>
  <c r="J115" i="12350"/>
  <c r="J116" i="12350"/>
  <c r="J117" i="12350"/>
  <c r="J118" i="12350"/>
  <c r="J119" i="12350"/>
  <c r="D97" i="12350"/>
  <c r="D98" i="12350"/>
  <c r="D99" i="12350"/>
  <c r="D100" i="12350"/>
  <c r="D101" i="12350"/>
  <c r="D102" i="12350"/>
  <c r="D103" i="12350"/>
  <c r="D104" i="12350"/>
  <c r="D105" i="12350"/>
  <c r="D106" i="12350"/>
  <c r="D107" i="12350"/>
  <c r="D108" i="12350"/>
  <c r="D109" i="12350"/>
  <c r="D110" i="12350"/>
  <c r="D111" i="12350"/>
  <c r="D112" i="12350"/>
  <c r="D113" i="12350"/>
  <c r="D114" i="12350"/>
  <c r="D115" i="12350"/>
  <c r="D116" i="12350"/>
  <c r="D117" i="12350"/>
  <c r="D118" i="12350"/>
  <c r="D119" i="12350"/>
  <c r="D96" i="12350"/>
  <c r="J96" i="12350"/>
  <c r="Z30" i="12340" l="1"/>
  <c r="Y30" i="12340"/>
  <c r="Z29" i="12340"/>
  <c r="Y29" i="12340"/>
  <c r="Z28" i="12340"/>
  <c r="Y28" i="12340"/>
  <c r="Z27" i="12340"/>
  <c r="Y27" i="12340"/>
  <c r="Z26" i="12340"/>
  <c r="Y26" i="12340"/>
  <c r="Z25" i="12340"/>
  <c r="Y25" i="12340"/>
  <c r="Z24" i="12340"/>
  <c r="Y24" i="12340"/>
  <c r="Z23" i="12340"/>
  <c r="Y23" i="12340"/>
  <c r="Z22" i="12340"/>
  <c r="Y22" i="12340"/>
  <c r="Z21" i="12340"/>
  <c r="Y21" i="12340"/>
  <c r="Z20" i="12340"/>
  <c r="Y20" i="12340"/>
  <c r="Z19" i="12340"/>
  <c r="Y19" i="12340"/>
  <c r="Z18" i="12340"/>
  <c r="Y18" i="12340"/>
  <c r="Z17" i="12340"/>
  <c r="Y17" i="12340"/>
  <c r="Z16" i="12340"/>
  <c r="Y16" i="12340"/>
  <c r="Z15" i="12340"/>
  <c r="Y15" i="12340"/>
  <c r="Z14" i="12340"/>
  <c r="Y14" i="12340"/>
  <c r="Z13" i="12340"/>
  <c r="Y13" i="12340"/>
  <c r="Z12" i="12340"/>
  <c r="Y12" i="12340"/>
  <c r="Z11" i="12340"/>
  <c r="Y11" i="12340"/>
  <c r="Z10" i="12340"/>
  <c r="Y10" i="12340"/>
  <c r="Z9" i="12340"/>
  <c r="Y9" i="12340"/>
  <c r="AB61" i="12340"/>
  <c r="AB60" i="12340"/>
  <c r="AB59" i="12340"/>
  <c r="AB58" i="12340"/>
  <c r="AB57" i="12340"/>
  <c r="AB56" i="12340"/>
  <c r="AB55" i="12340"/>
  <c r="AB54" i="12340"/>
  <c r="AB53" i="12340"/>
  <c r="AB52" i="12340"/>
  <c r="AB51" i="12340"/>
  <c r="AB50" i="12340"/>
  <c r="AB49" i="12340"/>
  <c r="AB48" i="12340"/>
  <c r="AB47" i="12340"/>
  <c r="AB46" i="12340"/>
  <c r="AB45" i="12340"/>
  <c r="AB44" i="12340"/>
  <c r="AB43" i="12340"/>
  <c r="AB42" i="12340"/>
  <c r="AB41" i="12340"/>
  <c r="AB40" i="12340"/>
  <c r="AB39" i="12340"/>
  <c r="Y31" i="12340" l="1"/>
  <c r="Z31" i="12340"/>
  <c r="Q14" i="12344"/>
  <c r="P14" i="12344" s="1"/>
  <c r="N18" i="12344"/>
  <c r="N16" i="12344"/>
  <c r="N17" i="12344"/>
  <c r="N19" i="12344"/>
  <c r="N20" i="12344"/>
  <c r="N21" i="12344"/>
  <c r="N22" i="12344"/>
  <c r="N24" i="12344"/>
  <c r="N27" i="12344"/>
  <c r="N28" i="12344"/>
  <c r="N29" i="12344"/>
  <c r="N30" i="12344"/>
  <c r="N34" i="12344"/>
  <c r="N35" i="12344"/>
  <c r="N36" i="12344"/>
  <c r="N37" i="12344"/>
  <c r="N15" i="12344"/>
  <c r="D4" i="12349"/>
  <c r="D5" i="12349"/>
  <c r="D6" i="12349"/>
  <c r="D7" i="12349"/>
  <c r="D8" i="12349"/>
  <c r="D9" i="12349"/>
  <c r="D10" i="12349"/>
  <c r="D11" i="12349"/>
  <c r="D12" i="12349"/>
  <c r="D13" i="12349"/>
  <c r="D14" i="12349"/>
  <c r="D15" i="12349"/>
  <c r="D16" i="12349"/>
  <c r="D17" i="12349"/>
  <c r="D18" i="12349"/>
  <c r="D19" i="12349"/>
  <c r="D20" i="12349"/>
  <c r="E4" i="12349"/>
  <c r="E5" i="12349"/>
  <c r="E6" i="12349"/>
  <c r="E7" i="12349"/>
  <c r="E8" i="12349"/>
  <c r="E9" i="12349"/>
  <c r="E10" i="12349"/>
  <c r="E11" i="12349"/>
  <c r="E12" i="12349"/>
  <c r="E13" i="12349"/>
  <c r="E14" i="12349"/>
  <c r="E15" i="12349"/>
  <c r="E16" i="12349"/>
  <c r="E17" i="12349"/>
  <c r="E18" i="12349"/>
  <c r="E19" i="12349"/>
  <c r="E20" i="12349"/>
  <c r="B20" i="12349"/>
  <c r="B19" i="12349"/>
  <c r="B18" i="12349"/>
  <c r="B17" i="12349"/>
  <c r="B16" i="12349"/>
  <c r="B15" i="12349"/>
  <c r="B14" i="12349"/>
  <c r="B13" i="12349"/>
  <c r="B12" i="12349"/>
  <c r="B11" i="12349"/>
  <c r="B10" i="12349"/>
  <c r="B9" i="12349"/>
  <c r="B8" i="12349"/>
  <c r="B7" i="12349"/>
  <c r="B6" i="12349"/>
  <c r="B5" i="12349"/>
  <c r="B4" i="12349"/>
  <c r="D88" i="12346"/>
  <c r="D50" i="12346"/>
  <c r="D51" i="12346"/>
  <c r="D28" i="12346"/>
  <c r="X16" i="12349" s="1"/>
  <c r="D44" i="12346"/>
  <c r="X21" i="12349" s="1"/>
  <c r="D62" i="12346"/>
  <c r="D63" i="12346"/>
  <c r="D69" i="12346"/>
  <c r="D70" i="12346"/>
  <c r="D71" i="12346"/>
  <c r="D72" i="12346"/>
  <c r="D73" i="12346"/>
  <c r="D74" i="12346"/>
  <c r="D75" i="12346"/>
  <c r="D76" i="12346"/>
  <c r="D77" i="12346"/>
  <c r="D78" i="12346"/>
  <c r="D79" i="12346"/>
  <c r="D80" i="12346"/>
  <c r="D81" i="12346"/>
  <c r="D82" i="12346"/>
  <c r="D83" i="12346"/>
  <c r="D84" i="12346"/>
  <c r="D85" i="12346"/>
  <c r="D7" i="12346"/>
  <c r="D8" i="12346"/>
  <c r="D10" i="12346"/>
  <c r="D15" i="12346"/>
  <c r="D16" i="12346"/>
  <c r="D17" i="12346"/>
  <c r="D19" i="12346"/>
  <c r="D20" i="12346"/>
  <c r="D21" i="12346"/>
  <c r="D25" i="12346"/>
  <c r="F44" i="12346"/>
  <c r="D35" i="12344" s="1"/>
  <c r="E32" i="12340"/>
  <c r="H2" i="12344"/>
  <c r="D3" i="12340"/>
  <c r="C3" i="12340"/>
  <c r="G3" i="12340"/>
  <c r="E22" i="12340" s="1"/>
  <c r="F68" i="12346"/>
  <c r="D1245" i="12345"/>
  <c r="B1245" i="12345"/>
  <c r="B4" i="388"/>
  <c r="V4" i="388" s="1"/>
  <c r="B5" i="388"/>
  <c r="V5" i="388" s="1"/>
  <c r="B6" i="388"/>
  <c r="V6" i="388" s="1"/>
  <c r="B7" i="388"/>
  <c r="V7" i="388" s="1"/>
  <c r="B8" i="388"/>
  <c r="V8" i="388" s="1"/>
  <c r="B9" i="388"/>
  <c r="V9" i="388" s="1"/>
  <c r="B10" i="388"/>
  <c r="V10" i="388" s="1"/>
  <c r="B11" i="388"/>
  <c r="V11" i="388" s="1"/>
  <c r="B12" i="388"/>
  <c r="V12" i="388" s="1"/>
  <c r="B13" i="388"/>
  <c r="V13" i="388" s="1"/>
  <c r="B14" i="388"/>
  <c r="V14" i="388" s="1"/>
  <c r="B15" i="388"/>
  <c r="V15" i="388" s="1"/>
  <c r="B16" i="388"/>
  <c r="V16" i="388" s="1"/>
  <c r="B17" i="388"/>
  <c r="V17" i="388" s="1"/>
  <c r="B18" i="388"/>
  <c r="V18" i="388" s="1"/>
  <c r="B19" i="388"/>
  <c r="V19" i="388" s="1"/>
  <c r="B20" i="388"/>
  <c r="V20" i="388" s="1"/>
  <c r="B21" i="388"/>
  <c r="V21" i="388" s="1"/>
  <c r="AJ1" i="12340"/>
  <c r="D13" i="12346"/>
  <c r="D5" i="12346"/>
  <c r="F5" i="12346" s="1"/>
  <c r="D4" i="12347" s="1"/>
  <c r="D86" i="12346"/>
  <c r="D65" i="12346"/>
  <c r="D61" i="12346"/>
  <c r="D57" i="12346"/>
  <c r="D53" i="12346"/>
  <c r="D45" i="12346"/>
  <c r="X13" i="12349" s="1"/>
  <c r="D41" i="12346"/>
  <c r="X12" i="12349" s="1"/>
  <c r="D37" i="12346"/>
  <c r="D33" i="12346"/>
  <c r="X7" i="12349" s="1"/>
  <c r="D29" i="12346"/>
  <c r="X18" i="12349" s="1"/>
  <c r="D22" i="12346"/>
  <c r="D12" i="12346"/>
  <c r="D64" i="12346"/>
  <c r="D60" i="12346"/>
  <c r="D56" i="12346"/>
  <c r="D52" i="12346"/>
  <c r="D40" i="12346"/>
  <c r="X11" i="12349" s="1"/>
  <c r="D36" i="12346"/>
  <c r="X17" i="12349" s="1"/>
  <c r="D32" i="12346"/>
  <c r="X6" i="12349" s="1"/>
  <c r="D24" i="12346"/>
  <c r="D11" i="12346"/>
  <c r="D87" i="12346"/>
  <c r="D59" i="12346"/>
  <c r="D55" i="12346"/>
  <c r="F55" i="12346" s="1"/>
  <c r="D47" i="12346"/>
  <c r="X15" i="12349" s="1"/>
  <c r="D43" i="12346"/>
  <c r="X20" i="12349" s="1"/>
  <c r="D39" i="12346"/>
  <c r="X10" i="12349" s="1"/>
  <c r="D35" i="12346"/>
  <c r="X8" i="12349" s="1"/>
  <c r="D31" i="12346"/>
  <c r="X5" i="12349" s="1"/>
  <c r="D27" i="12346"/>
  <c r="D4" i="12346"/>
  <c r="D23" i="12346"/>
  <c r="D14" i="12346"/>
  <c r="D6" i="12346"/>
  <c r="D66" i="12346"/>
  <c r="D58" i="12346"/>
  <c r="D54" i="12346"/>
  <c r="D46" i="12346"/>
  <c r="X14" i="12349" s="1"/>
  <c r="D42" i="12346"/>
  <c r="D38" i="12346"/>
  <c r="D34" i="12346"/>
  <c r="X19" i="12349" s="1"/>
  <c r="D30" i="12346"/>
  <c r="X4" i="12349" s="1"/>
  <c r="H17" i="12344"/>
  <c r="Q17" i="12344" s="1"/>
  <c r="G21" i="12347" l="1"/>
  <c r="F14" i="12347"/>
  <c r="F16" i="12347"/>
  <c r="F18" i="12347"/>
  <c r="G27" i="12347"/>
  <c r="F19" i="12347"/>
  <c r="G24" i="12347"/>
  <c r="F15" i="12347"/>
  <c r="F17" i="12347"/>
  <c r="E93" i="12346"/>
  <c r="D92" i="12346"/>
  <c r="D93" i="12346"/>
  <c r="F93" i="12346" s="1"/>
  <c r="C42" i="12347" s="1"/>
  <c r="X9" i="12349"/>
  <c r="F38" i="12346"/>
  <c r="D27" i="12344" s="1"/>
  <c r="F8" i="388"/>
  <c r="E21" i="12340"/>
  <c r="E25" i="12340"/>
  <c r="G7" i="12340"/>
  <c r="F53" i="12347" s="1"/>
  <c r="AO12" i="12349"/>
  <c r="AO16" i="12349"/>
  <c r="E19" i="12340"/>
  <c r="AO10" i="12349"/>
  <c r="AO31" i="12349"/>
  <c r="R14" i="12344" s="1"/>
  <c r="AO5" i="12349"/>
  <c r="AO41" i="12349"/>
  <c r="R13" i="12344" s="1"/>
  <c r="E19" i="12346"/>
  <c r="F19" i="12346" s="1"/>
  <c r="D50" i="12347" s="1"/>
  <c r="E7" i="12346"/>
  <c r="F7" i="12346" s="1"/>
  <c r="F21" i="12347" s="1"/>
  <c r="E37" i="12346"/>
  <c r="F37" i="12346" s="1"/>
  <c r="C26" i="12344" s="1"/>
  <c r="E18" i="12346"/>
  <c r="F18" i="12346" s="1"/>
  <c r="D49" i="12347" s="1"/>
  <c r="K2" i="12342"/>
  <c r="C11" i="12344"/>
  <c r="AO43" i="12349"/>
  <c r="T11" i="12344" s="1"/>
  <c r="AO13" i="12349"/>
  <c r="E28" i="12340"/>
  <c r="E20" i="12340"/>
  <c r="F5" i="12340"/>
  <c r="G5" i="12340" s="1"/>
  <c r="AO35" i="12349"/>
  <c r="Y13" i="12344" s="1"/>
  <c r="AO47" i="12349"/>
  <c r="O13" i="12344" s="1"/>
  <c r="AO28" i="12349"/>
  <c r="AO36" i="12349"/>
  <c r="Z13" i="12344" s="1"/>
  <c r="AO19" i="12349"/>
  <c r="E30" i="12340"/>
  <c r="AO42" i="12349"/>
  <c r="O11" i="12344" s="1"/>
  <c r="Q14" i="12349"/>
  <c r="Q20" i="12349"/>
  <c r="N4" i="12349"/>
  <c r="P18" i="12349"/>
  <c r="N18" i="12349"/>
  <c r="E13" i="12340"/>
  <c r="AO48" i="12349"/>
  <c r="S1" i="12344" s="1"/>
  <c r="AO22" i="12349"/>
  <c r="AO38" i="12349"/>
  <c r="AB14" i="12344" s="1"/>
  <c r="AO21" i="12349"/>
  <c r="AO40" i="12349"/>
  <c r="AD14" i="12344" s="1"/>
  <c r="AO46" i="12349"/>
  <c r="E27" i="12340"/>
  <c r="E16" i="12340"/>
  <c r="AO17" i="12349"/>
  <c r="AO14" i="12349"/>
  <c r="AO11" i="12349"/>
  <c r="E24" i="12340"/>
  <c r="E10" i="12340"/>
  <c r="E29" i="12340"/>
  <c r="E12" i="12340"/>
  <c r="E26" i="12340"/>
  <c r="AO30" i="12349"/>
  <c r="E15" i="12340"/>
  <c r="AO20" i="12349"/>
  <c r="AO18" i="12349"/>
  <c r="AO33" i="12349"/>
  <c r="W13" i="12344" s="1"/>
  <c r="E14" i="12340"/>
  <c r="AO27" i="12349"/>
  <c r="AO34" i="12349"/>
  <c r="AO7" i="12349"/>
  <c r="AO9" i="12349"/>
  <c r="AO45" i="12349"/>
  <c r="K11" i="12344" s="1"/>
  <c r="AO32" i="12349"/>
  <c r="V13" i="12344" s="1"/>
  <c r="E11" i="12340"/>
  <c r="E8" i="12340"/>
  <c r="E17" i="12340"/>
  <c r="AO8" i="12349"/>
  <c r="AO6" i="12349"/>
  <c r="AO37" i="12349"/>
  <c r="AA14" i="12344" s="1"/>
  <c r="AO44" i="12349"/>
  <c r="W11" i="12344" s="1"/>
  <c r="E18" i="12340"/>
  <c r="E9" i="12340"/>
  <c r="AO29" i="12349"/>
  <c r="E23" i="12340"/>
  <c r="AO39" i="12349"/>
  <c r="AC14" i="12344" s="1"/>
  <c r="F41" i="12346"/>
  <c r="D30" i="12344" s="1"/>
  <c r="F35" i="12346"/>
  <c r="D22" i="12344" s="1"/>
  <c r="F30" i="12346"/>
  <c r="D17" i="12344" s="1"/>
  <c r="F45" i="12346"/>
  <c r="D36" i="12344" s="1"/>
  <c r="F47" i="12346"/>
  <c r="D38" i="12344" s="1"/>
  <c r="F34" i="12346"/>
  <c r="D21" i="12344" s="1"/>
  <c r="F46" i="12346"/>
  <c r="D37" i="12344" s="1"/>
  <c r="F40" i="12346"/>
  <c r="D29" i="12344" s="1"/>
  <c r="F43" i="12346"/>
  <c r="D34" i="12344" s="1"/>
  <c r="F39" i="12346"/>
  <c r="D28" i="12344" s="1"/>
  <c r="E25" i="12346"/>
  <c r="F25" i="12346" s="1"/>
  <c r="D5" i="12344" s="1"/>
  <c r="E6" i="12346"/>
  <c r="F6" i="12346" s="1"/>
  <c r="D9" i="12347" s="1"/>
  <c r="E29" i="12346"/>
  <c r="F29" i="12346" s="1"/>
  <c r="E62" i="12346"/>
  <c r="F62" i="12346" s="1"/>
  <c r="K17" i="12344" s="1"/>
  <c r="E85" i="12346"/>
  <c r="F85" i="12346" s="1"/>
  <c r="E17" i="12346"/>
  <c r="F17" i="12346" s="1"/>
  <c r="D48" i="12347" s="1"/>
  <c r="O10" i="12349"/>
  <c r="N19" i="12349"/>
  <c r="P14" i="12349"/>
  <c r="L18" i="12349"/>
  <c r="N6" i="12349"/>
  <c r="O14" i="12349"/>
  <c r="K20" i="12349"/>
  <c r="K7" i="12349"/>
  <c r="N9" i="12349"/>
  <c r="O9" i="12349"/>
  <c r="N17" i="12349"/>
  <c r="O7" i="12349"/>
  <c r="Q7" i="12349"/>
  <c r="Q6" i="12349"/>
  <c r="Q18" i="12349"/>
  <c r="O19" i="12349"/>
  <c r="O11" i="12349"/>
  <c r="Q15" i="12349"/>
  <c r="O16" i="12349"/>
  <c r="K11" i="12349"/>
  <c r="J18" i="12349"/>
  <c r="P9" i="12349"/>
  <c r="P7" i="12349"/>
  <c r="P17" i="12349"/>
  <c r="N7" i="12349"/>
  <c r="N20" i="12349"/>
  <c r="I17" i="12349"/>
  <c r="P11" i="12349"/>
  <c r="N14" i="12349"/>
  <c r="N11" i="12349"/>
  <c r="O17" i="12349"/>
  <c r="M18" i="12349"/>
  <c r="K9" i="12349"/>
  <c r="M5" i="12349"/>
  <c r="P5" i="12349"/>
  <c r="O5" i="12349"/>
  <c r="K5" i="12349"/>
  <c r="Q9" i="12349"/>
  <c r="K14" i="12349"/>
  <c r="K17" i="12349"/>
  <c r="T12" i="12344"/>
  <c r="P24" i="12344"/>
  <c r="P19" i="12344"/>
  <c r="P37" i="12344"/>
  <c r="P15" i="12344"/>
  <c r="H16" i="12349" s="1"/>
  <c r="P29" i="12344"/>
  <c r="P18" i="12344"/>
  <c r="H5" i="12349" s="1"/>
  <c r="P20" i="12344"/>
  <c r="P16" i="12344"/>
  <c r="P28" i="12344"/>
  <c r="H10" i="12349" s="1"/>
  <c r="P17" i="12344"/>
  <c r="P27" i="12344"/>
  <c r="P21" i="12344"/>
  <c r="H18" i="12349" s="1"/>
  <c r="E76" i="12346"/>
  <c r="F76" i="12346" s="1"/>
  <c r="C14" i="12348" s="1"/>
  <c r="E89" i="12346"/>
  <c r="F89" i="12346" s="1"/>
  <c r="E66" i="12346"/>
  <c r="F66" i="12346" s="1"/>
  <c r="K38" i="12344" s="1"/>
  <c r="E15" i="12346"/>
  <c r="F15" i="12346" s="1"/>
  <c r="D45" i="12347" s="1"/>
  <c r="E4" i="12346"/>
  <c r="F4" i="12346" s="1"/>
  <c r="E21" i="12346"/>
  <c r="F21" i="12346" s="1"/>
  <c r="D52" i="12347" s="1"/>
  <c r="E80" i="12346"/>
  <c r="F80" i="12346" s="1"/>
  <c r="E86" i="12346"/>
  <c r="F86" i="12346" s="1"/>
  <c r="E16" i="12346"/>
  <c r="F16" i="12346" s="1"/>
  <c r="D47" i="12347" s="1"/>
  <c r="E91" i="12346"/>
  <c r="E12" i="12346"/>
  <c r="F12" i="12346" s="1"/>
  <c r="C32" i="12347" s="1"/>
  <c r="E70" i="12346"/>
  <c r="F70" i="12346" s="1"/>
  <c r="C6" i="12348" s="1"/>
  <c r="E82" i="12346"/>
  <c r="F82" i="12346" s="1"/>
  <c r="C15" i="12342" s="1"/>
  <c r="E13" i="12346"/>
  <c r="F13" i="12346" s="1"/>
  <c r="E53" i="12346"/>
  <c r="F53" i="12346" s="1"/>
  <c r="H33" i="12344" s="1"/>
  <c r="E67" i="12346"/>
  <c r="E88" i="12346"/>
  <c r="F88" i="12346" s="1"/>
  <c r="E69" i="12346"/>
  <c r="F69" i="12346" s="1"/>
  <c r="C5" i="12348" s="1"/>
  <c r="E81" i="12346"/>
  <c r="F81" i="12346" s="1"/>
  <c r="C5" i="12342" s="1"/>
  <c r="E84" i="12346"/>
  <c r="F84" i="12346" s="1"/>
  <c r="C35" i="12342" s="1"/>
  <c r="E74" i="12346"/>
  <c r="F74" i="12346" s="1"/>
  <c r="C10" i="12348" s="1"/>
  <c r="E31" i="12346"/>
  <c r="F31" i="12346" s="1"/>
  <c r="D18" i="12344" s="1"/>
  <c r="E73" i="12346"/>
  <c r="F73" i="12346" s="1"/>
  <c r="C9" i="12348" s="1"/>
  <c r="E64" i="12346"/>
  <c r="F64" i="12346" s="1"/>
  <c r="K21" i="12344" s="1"/>
  <c r="E23" i="12346"/>
  <c r="F23" i="12346" s="1"/>
  <c r="D54" i="12347" s="1"/>
  <c r="E9" i="12346"/>
  <c r="F9" i="12346" s="1"/>
  <c r="F27" i="12347" s="1"/>
  <c r="D91" i="12346"/>
  <c r="K2" i="12348"/>
  <c r="F10" i="388"/>
  <c r="F4" i="388"/>
  <c r="AA31" i="12340"/>
  <c r="E54" i="12346"/>
  <c r="F54" i="12346" s="1"/>
  <c r="D90" i="12346"/>
  <c r="E75" i="12346"/>
  <c r="F75" i="12346" s="1"/>
  <c r="C12" i="12348" s="1"/>
  <c r="E51" i="12346"/>
  <c r="E32" i="12346"/>
  <c r="F32" i="12346" s="1"/>
  <c r="D19" i="12344" s="1"/>
  <c r="E27" i="12346"/>
  <c r="F27" i="12346" s="1"/>
  <c r="C14" i="12344" s="1"/>
  <c r="E59" i="12346"/>
  <c r="F59" i="12346" s="1"/>
  <c r="L4" i="12344" s="1"/>
  <c r="E10" i="12346"/>
  <c r="F10" i="12346" s="1"/>
  <c r="E36" i="12346"/>
  <c r="F36" i="12346" s="1"/>
  <c r="D24" i="12344" s="1"/>
  <c r="E87" i="12346"/>
  <c r="F87" i="12346" s="1"/>
  <c r="E60" i="12346"/>
  <c r="F60" i="12346" s="1"/>
  <c r="L5" i="12344" s="1"/>
  <c r="E58" i="12346"/>
  <c r="F58" i="12346" s="1"/>
  <c r="K4" i="12344" s="1"/>
  <c r="E22" i="12346"/>
  <c r="F22" i="12346" s="1"/>
  <c r="D53" i="12347" s="1"/>
  <c r="E79" i="12346"/>
  <c r="F79" i="12346" s="1"/>
  <c r="E11" i="12346"/>
  <c r="F11" i="12346" s="1"/>
  <c r="C31" i="12347" s="1"/>
  <c r="E33" i="12346"/>
  <c r="F33" i="12346" s="1"/>
  <c r="D20" i="12344" s="1"/>
  <c r="E8" i="12346"/>
  <c r="F8" i="12346" s="1"/>
  <c r="F24" i="12347" s="1"/>
  <c r="E63" i="12346"/>
  <c r="F63" i="12346" s="1"/>
  <c r="L17" i="12344" s="1"/>
  <c r="E56" i="12346"/>
  <c r="F56" i="12346" s="1"/>
  <c r="C47" i="12344" s="1"/>
  <c r="E20" i="12346"/>
  <c r="F20" i="12346" s="1"/>
  <c r="D51" i="12347" s="1"/>
  <c r="E28" i="12346"/>
  <c r="F28" i="12346" s="1"/>
  <c r="D15" i="12344" s="1"/>
  <c r="E26" i="12346"/>
  <c r="D67" i="12346"/>
  <c r="U12" i="12344"/>
  <c r="E92" i="12346"/>
  <c r="F92" i="12346" s="1"/>
  <c r="E39" i="12347" s="1"/>
  <c r="E83" i="12346"/>
  <c r="F83" i="12346" s="1"/>
  <c r="C25" i="12342" s="1"/>
  <c r="E49" i="12346"/>
  <c r="F49" i="12346" s="1"/>
  <c r="C41" i="12344" s="1"/>
  <c r="E14" i="12346"/>
  <c r="F14" i="12346" s="1"/>
  <c r="D44" i="12347" s="1"/>
  <c r="E65" i="12346"/>
  <c r="F65" i="12346" s="1"/>
  <c r="K31" i="12344" s="1"/>
  <c r="E50" i="12346"/>
  <c r="F50" i="12346" s="1"/>
  <c r="C45" i="12344" s="1"/>
  <c r="E72" i="12346"/>
  <c r="F72" i="12346" s="1"/>
  <c r="C8" i="12348" s="1"/>
  <c r="E24" i="12346"/>
  <c r="F24" i="12346" s="1"/>
  <c r="D4" i="12344" s="1"/>
  <c r="E71" i="12346"/>
  <c r="F71" i="12346" s="1"/>
  <c r="C7" i="12348" s="1"/>
  <c r="E78" i="12346"/>
  <c r="F78" i="12346" s="1"/>
  <c r="E52" i="12346"/>
  <c r="F52" i="12346" s="1"/>
  <c r="H26" i="12344" s="1"/>
  <c r="E77" i="12346"/>
  <c r="F77" i="12346" s="1"/>
  <c r="E57" i="12346"/>
  <c r="F57" i="12346" s="1"/>
  <c r="E42" i="12346"/>
  <c r="F42" i="12346" s="1"/>
  <c r="C33" i="12344" s="1"/>
  <c r="E48" i="12346"/>
  <c r="F48" i="12346" s="1"/>
  <c r="C40" i="12344" s="1"/>
  <c r="E61" i="12346"/>
  <c r="F61" i="12346" s="1"/>
  <c r="L6" i="12344" s="1"/>
  <c r="Q16" i="12349"/>
  <c r="K16" i="12349"/>
  <c r="I16" i="12349"/>
  <c r="O13" i="12349"/>
  <c r="N13" i="12349"/>
  <c r="Q13" i="12349"/>
  <c r="Q8" i="12349"/>
  <c r="I5" i="12349"/>
  <c r="N5" i="12349"/>
  <c r="Q5" i="12349"/>
  <c r="N8" i="12349"/>
  <c r="O18" i="12349"/>
  <c r="K18" i="12349"/>
  <c r="O15" i="12349"/>
  <c r="N15" i="12349"/>
  <c r="Q12" i="12349"/>
  <c r="N12" i="12349"/>
  <c r="Q10" i="12349"/>
  <c r="N10" i="12349"/>
  <c r="Q4" i="12349"/>
  <c r="K8" i="12349"/>
  <c r="P12" i="12349"/>
  <c r="O4" i="12349"/>
  <c r="P16" i="12349"/>
  <c r="N16" i="12349"/>
  <c r="P20" i="12349"/>
  <c r="P8" i="12349"/>
  <c r="L7" i="12349"/>
  <c r="Q17" i="12349"/>
  <c r="K13" i="12349"/>
  <c r="P4" i="12349"/>
  <c r="K19" i="12349"/>
  <c r="P19" i="12349"/>
  <c r="M8" i="12349"/>
  <c r="P13" i="12349"/>
  <c r="K4" i="12349"/>
  <c r="P15" i="12349"/>
  <c r="O12" i="12349"/>
  <c r="O20" i="12349"/>
  <c r="K10" i="12349"/>
  <c r="M15" i="12349"/>
  <c r="Q11" i="12349"/>
  <c r="K6" i="12349"/>
  <c r="O8" i="12349"/>
  <c r="Q19" i="12349"/>
  <c r="P10" i="12349"/>
  <c r="K12" i="12349"/>
  <c r="L15" i="12349"/>
  <c r="P6" i="12349"/>
  <c r="O6" i="12349"/>
  <c r="I4" i="12349"/>
  <c r="M7" i="12349"/>
  <c r="F19" i="388"/>
  <c r="F19" i="12349"/>
  <c r="F5" i="12349"/>
  <c r="F9" i="12349"/>
  <c r="F11" i="12349"/>
  <c r="F6" i="388"/>
  <c r="F5" i="388"/>
  <c r="F17" i="12349"/>
  <c r="F18" i="12349"/>
  <c r="K30" i="12344"/>
  <c r="F6" i="12349"/>
  <c r="F11" i="388"/>
  <c r="F14" i="388"/>
  <c r="F20" i="388"/>
  <c r="F16" i="388"/>
  <c r="K29" i="12344"/>
  <c r="K27" i="12344"/>
  <c r="F4" i="12349"/>
  <c r="F21" i="388"/>
  <c r="F20" i="12349"/>
  <c r="P34" i="12344"/>
  <c r="H19" i="12349" s="1"/>
  <c r="F14" i="12349"/>
  <c r="F8" i="12349"/>
  <c r="F13" i="12349"/>
  <c r="F13" i="388"/>
  <c r="E4" i="12344"/>
  <c r="F12" i="12349"/>
  <c r="K28" i="12344"/>
  <c r="H28" i="12344" s="1"/>
  <c r="F7" i="12349"/>
  <c r="F10" i="12349"/>
  <c r="F17" i="388"/>
  <c r="F12" i="388"/>
  <c r="F15" i="12349"/>
  <c r="K20" i="12344"/>
  <c r="H20" i="12344" s="1"/>
  <c r="F9" i="388"/>
  <c r="F15" i="388"/>
  <c r="F7" i="388"/>
  <c r="K19" i="12344"/>
  <c r="H19" i="12344" s="1"/>
  <c r="Q19" i="12344" s="1"/>
  <c r="I6" i="12349" s="1"/>
  <c r="F16" i="12349"/>
  <c r="F18" i="388"/>
  <c r="P22" i="12344"/>
  <c r="P38" i="12344"/>
  <c r="O14" i="12344"/>
  <c r="P35" i="12344"/>
  <c r="H20" i="12349" s="1"/>
  <c r="AO15" i="12349"/>
  <c r="P36" i="12344"/>
  <c r="T36" i="12344" s="1"/>
  <c r="E90" i="12346"/>
  <c r="P30" i="12344"/>
  <c r="H12" i="12349" s="1"/>
  <c r="C5" i="12340" l="1"/>
  <c r="E5" i="12344" s="1"/>
  <c r="D2" i="12348" s="1"/>
  <c r="C2" i="12348"/>
  <c r="D2" i="12347"/>
  <c r="C2" i="12344" s="1"/>
  <c r="F51" i="12346"/>
  <c r="H45" i="12344" s="1"/>
  <c r="G4" i="388"/>
  <c r="Z4" i="388" s="1"/>
  <c r="G6" i="388"/>
  <c r="Z6" i="388" s="1"/>
  <c r="G17" i="388"/>
  <c r="Z17" i="388" s="1"/>
  <c r="G7" i="388"/>
  <c r="Z7" i="388" s="1"/>
  <c r="G18" i="388"/>
  <c r="Z18" i="388" s="1"/>
  <c r="G10" i="388"/>
  <c r="Z10" i="388" s="1"/>
  <c r="G5" i="388"/>
  <c r="Z5" i="388" s="1"/>
  <c r="G16" i="388"/>
  <c r="Z16" i="388" s="1"/>
  <c r="Y24" i="12344"/>
  <c r="L17" i="12349" s="1"/>
  <c r="C2" i="12342"/>
  <c r="D16" i="12344"/>
  <c r="F67" i="12346"/>
  <c r="F90" i="12346"/>
  <c r="D37" i="12347" s="1"/>
  <c r="C34" i="12347"/>
  <c r="D24" i="388"/>
  <c r="F91" i="12346"/>
  <c r="E38" i="12347" s="1"/>
  <c r="Y37" i="12344"/>
  <c r="L14" i="12349" s="1"/>
  <c r="Y27" i="12344"/>
  <c r="L9" i="12349" s="1"/>
  <c r="Y29" i="12344"/>
  <c r="L11" i="12349" s="1"/>
  <c r="H27" i="12344"/>
  <c r="Q27" i="12344" s="1"/>
  <c r="R27" i="12344" s="1"/>
  <c r="S27" i="12344" s="1"/>
  <c r="L20" i="12344"/>
  <c r="Q20" i="12344"/>
  <c r="I7" i="12349" s="1"/>
  <c r="Y16" i="12344"/>
  <c r="Y28" i="12344"/>
  <c r="L10" i="12349" s="1"/>
  <c r="L28" i="12344"/>
  <c r="Q28" i="12344"/>
  <c r="R28" i="12344" s="1"/>
  <c r="S28" i="12344" s="1"/>
  <c r="Y15" i="12344"/>
  <c r="L16" i="12349" s="1"/>
  <c r="M16" i="12349"/>
  <c r="M17" i="12349"/>
  <c r="R19" i="12344"/>
  <c r="S19" i="12344" s="1"/>
  <c r="Y18" i="12344"/>
  <c r="L5" i="12349" s="1"/>
  <c r="M14" i="12349"/>
  <c r="M9" i="12349"/>
  <c r="T27" i="12344"/>
  <c r="H9" i="12349"/>
  <c r="T37" i="12344"/>
  <c r="H14" i="12349"/>
  <c r="R18" i="12344"/>
  <c r="S18" i="12344" s="1"/>
  <c r="T18" i="12344"/>
  <c r="T28" i="12344"/>
  <c r="T29" i="12344"/>
  <c r="H11" i="12349"/>
  <c r="R24" i="12344"/>
  <c r="S24" i="12344" s="1"/>
  <c r="T24" i="12344"/>
  <c r="H17" i="12349"/>
  <c r="R17" i="12344"/>
  <c r="S17" i="12344" s="1"/>
  <c r="O22" i="12344"/>
  <c r="G8" i="12349" s="1"/>
  <c r="O37" i="12344"/>
  <c r="G14" i="12349" s="1"/>
  <c r="O15" i="12344"/>
  <c r="G16" i="12349" s="1"/>
  <c r="O17" i="12344"/>
  <c r="G4" i="12349" s="1"/>
  <c r="O27" i="12344"/>
  <c r="G9" i="12349" s="1"/>
  <c r="O29" i="12344"/>
  <c r="G11" i="12349" s="1"/>
  <c r="O18" i="12344"/>
  <c r="G5" i="12349" s="1"/>
  <c r="O21" i="12344"/>
  <c r="G18" i="12349" s="1"/>
  <c r="O20" i="12344"/>
  <c r="G7" i="12349" s="1"/>
  <c r="O16" i="12344"/>
  <c r="O28" i="12344"/>
  <c r="G10" i="12349" s="1"/>
  <c r="O19" i="12344"/>
  <c r="G6" i="12349" s="1"/>
  <c r="O24" i="12344"/>
  <c r="G17" i="12349" s="1"/>
  <c r="H6" i="12349"/>
  <c r="T16" i="12344"/>
  <c r="R16" i="12344"/>
  <c r="S16" i="12344" s="1"/>
  <c r="T15" i="12344"/>
  <c r="R15" i="12344"/>
  <c r="S15" i="12344" s="1"/>
  <c r="H7" i="12349"/>
  <c r="O30" i="12344"/>
  <c r="G12" i="12349" s="1"/>
  <c r="H21" i="12344"/>
  <c r="G19" i="388" s="1"/>
  <c r="Z19" i="388" s="1"/>
  <c r="H8" i="12349"/>
  <c r="M11" i="12349"/>
  <c r="Y36" i="12344"/>
  <c r="L13" i="12349" s="1"/>
  <c r="L12" i="12349"/>
  <c r="M12" i="12349"/>
  <c r="Y35" i="12344"/>
  <c r="L20" i="12349" s="1"/>
  <c r="M20" i="12349"/>
  <c r="Y34" i="12344"/>
  <c r="L19" i="12349" s="1"/>
  <c r="M19" i="12349"/>
  <c r="M4" i="12349"/>
  <c r="M10" i="12349"/>
  <c r="T34" i="12344"/>
  <c r="L8" i="12349"/>
  <c r="M6" i="12349"/>
  <c r="L6" i="12349"/>
  <c r="X12" i="12344"/>
  <c r="K15" i="12349"/>
  <c r="M13" i="12349"/>
  <c r="H29" i="12344"/>
  <c r="G11" i="388" s="1"/>
  <c r="Z11" i="388" s="1"/>
  <c r="L19" i="12344"/>
  <c r="T35" i="12344"/>
  <c r="H15" i="12349"/>
  <c r="O35" i="12344"/>
  <c r="G20" i="12349" s="1"/>
  <c r="O34" i="12344"/>
  <c r="G19" i="12349" s="1"/>
  <c r="O38" i="12344"/>
  <c r="G15" i="12349" s="1"/>
  <c r="O36" i="12344"/>
  <c r="G13" i="12349" s="1"/>
  <c r="H13" i="12349"/>
  <c r="J7" i="12349"/>
  <c r="H4" i="12349"/>
  <c r="J4" i="12349"/>
  <c r="J16" i="388" l="1"/>
  <c r="V24" i="12344"/>
  <c r="W24" i="12344" s="1"/>
  <c r="J17" i="12349" s="1"/>
  <c r="V16" i="12344"/>
  <c r="W16" i="12344" s="1"/>
  <c r="D2" i="12342"/>
  <c r="V15" i="12344"/>
  <c r="W15" i="12344" s="1"/>
  <c r="J16" i="12349" s="1"/>
  <c r="V18" i="12344"/>
  <c r="W18" i="12344" s="1"/>
  <c r="J5" i="12349" s="1"/>
  <c r="G9" i="388"/>
  <c r="Z9" i="388" s="1"/>
  <c r="J4" i="388"/>
  <c r="J5" i="388"/>
  <c r="J17" i="388"/>
  <c r="J18" i="388"/>
  <c r="H22" i="12344"/>
  <c r="Q21" i="12344"/>
  <c r="Q29" i="12344"/>
  <c r="R20" i="12344"/>
  <c r="S20" i="12344" s="1"/>
  <c r="U28" i="12344"/>
  <c r="V28" i="12344" s="1"/>
  <c r="W28" i="12344" s="1"/>
  <c r="J10" i="12349" s="1"/>
  <c r="I10" i="12349"/>
  <c r="U27" i="12344"/>
  <c r="V27" i="12344" s="1"/>
  <c r="W27" i="12344" s="1"/>
  <c r="J9" i="12349" s="1"/>
  <c r="I9" i="12349"/>
  <c r="L27" i="12344"/>
  <c r="J6" i="388"/>
  <c r="J7" i="388"/>
  <c r="J8" i="12349"/>
  <c r="J10" i="388"/>
  <c r="L4" i="12349"/>
  <c r="Y12" i="12344"/>
  <c r="L29" i="12344"/>
  <c r="H30" i="12344"/>
  <c r="J6" i="12349"/>
  <c r="H37" i="12344" l="1"/>
  <c r="H35" i="12344"/>
  <c r="G12" i="388"/>
  <c r="Z12" i="388" s="1"/>
  <c r="Q22" i="12344"/>
  <c r="R22" i="12344" s="1"/>
  <c r="S22" i="12344" s="1"/>
  <c r="G8" i="388"/>
  <c r="Z8" i="388" s="1"/>
  <c r="J9" i="388"/>
  <c r="J11" i="388"/>
  <c r="U29" i="12344"/>
  <c r="I11" i="12349"/>
  <c r="R29" i="12344"/>
  <c r="S29" i="12344" s="1"/>
  <c r="I18" i="12349"/>
  <c r="R21" i="12344"/>
  <c r="S21" i="12344" s="1"/>
  <c r="J19" i="388"/>
  <c r="H36" i="12344"/>
  <c r="K37" i="12344"/>
  <c r="Q30" i="12344"/>
  <c r="L30" i="12344"/>
  <c r="L37" i="12344" l="1"/>
  <c r="Q37" i="12344"/>
  <c r="G14" i="388"/>
  <c r="Z14" i="388" s="1"/>
  <c r="Q35" i="12344"/>
  <c r="G21" i="388"/>
  <c r="Z21" i="388" s="1"/>
  <c r="J12" i="388"/>
  <c r="H38" i="12344"/>
  <c r="G15" i="388" s="1"/>
  <c r="Z15" i="388" s="1"/>
  <c r="G13" i="388"/>
  <c r="Z13" i="388" s="1"/>
  <c r="I8" i="12349"/>
  <c r="J8" i="388"/>
  <c r="V29" i="12344"/>
  <c r="W29" i="12344" s="1"/>
  <c r="J11" i="12349" s="1"/>
  <c r="H34" i="12344"/>
  <c r="Q36" i="12344"/>
  <c r="R36" i="12344" s="1"/>
  <c r="R30" i="12344"/>
  <c r="S30" i="12344" s="1"/>
  <c r="I12" i="12349"/>
  <c r="I20" i="12349" l="1"/>
  <c r="U35" i="12344"/>
  <c r="R35" i="12344"/>
  <c r="S35" i="12344" s="1"/>
  <c r="J14" i="388"/>
  <c r="J21" i="388"/>
  <c r="U37" i="12344"/>
  <c r="I14" i="12349"/>
  <c r="R37" i="12344"/>
  <c r="S37" i="12344" s="1"/>
  <c r="Q38" i="12344"/>
  <c r="R38" i="12344" s="1"/>
  <c r="S38" i="12344" s="1"/>
  <c r="J15" i="388"/>
  <c r="G20" i="388"/>
  <c r="Z20" i="388" s="1"/>
  <c r="J15" i="12349"/>
  <c r="J13" i="388"/>
  <c r="Q34" i="12344"/>
  <c r="U34" i="12344" s="1"/>
  <c r="U36" i="12344"/>
  <c r="I13" i="12349"/>
  <c r="S36" i="12344"/>
  <c r="J12" i="12349"/>
  <c r="J20" i="388" l="1"/>
  <c r="I29" i="388" s="1"/>
  <c r="I30" i="388" s="1"/>
  <c r="I38" i="388" s="1"/>
  <c r="V37" i="12344"/>
  <c r="W37" i="12344" s="1"/>
  <c r="J14" i="12349" s="1"/>
  <c r="V35" i="12344"/>
  <c r="W35" i="12344" s="1"/>
  <c r="J20" i="12349" s="1"/>
  <c r="I15" i="12349"/>
  <c r="I19" i="12349"/>
  <c r="R34" i="12344"/>
  <c r="S34" i="12344" s="1"/>
  <c r="V34" i="12344" s="1"/>
  <c r="W34" i="12344" s="1"/>
  <c r="J19" i="12349" s="1"/>
  <c r="V36" i="12344"/>
  <c r="W36" i="12344" s="1"/>
  <c r="J13" i="12349" s="1"/>
  <c r="I33" i="388" l="1"/>
  <c r="I35" i="388"/>
  <c r="I34" i="388"/>
  <c r="I36" i="388"/>
  <c r="I31" i="388"/>
  <c r="I37" i="388"/>
  <c r="I32" i="388"/>
  <c r="W12" i="12344"/>
  <c r="I39" i="388" l="1"/>
  <c r="H47" i="1234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Kelly, Frank (FCS - KAS)</author>
    <author>Kelly, Frank (KAS)</author>
  </authors>
  <commentList>
    <comment ref="I2" authorId="0" shapeId="0" xr:uid="{00000000-0006-0000-0500-000001000000}">
      <text>
        <r>
          <rPr>
            <sz val="10"/>
            <color indexed="81"/>
            <rFont val="Arial"/>
            <family val="2"/>
          </rPr>
          <t>SELECT qryBRDetails.UACode, qryBRDetails.AuthorityName, qryBRDetails.CFOName, qryBRDetails.Address1, qryBRDetails.Address2, qryBRDetails.Address3, qryBRDetails.Address4, qryBRDetails.Postcode, qryBRDetails.BRName, qryBRDetails.BRSTDCde, qryBRDetails.BRTelephone, qryBRDetails.BREMail
FROM `P:\stats\sd3\Contact Details`.qryBRDetails qryBRDetails, `P:\stats\sd3\Contact Details`.tblUADetails tblUADetails
WHERE tblUADetails.AuthorityName = qryBRDetails.AuthorityName AND ((tblUADetails.UACode&lt;553))</t>
        </r>
      </text>
    </comment>
    <comment ref="AF2" authorId="1" shapeId="0" xr:uid="{00000000-0006-0000-0500-000002000000}">
      <text>
        <r>
          <rPr>
            <sz val="10"/>
            <color indexed="81"/>
            <rFont val="Arial"/>
            <family val="2"/>
          </rPr>
          <t>SELECT MainUnionCT1.YearCode, RowRefs.FormRef, MainUnionCT1.AuthCode, AuthCodes."Authority name", MainUnionCT1.RowRef, RowRefs.RowDesc, MainUnionCT1.ColumnRef, ColRefs.ColumnDesc, MainUnionCT1.Data
FROM SD_LocalGovernmentFinance.dbo.AuthCodes AuthCodes, SD_LocalGovernmentFinance.dbo.ColRefs ColRefs, SD_LocalGovernmentFinance.dbo.MainUnionCT1 MainUnionCT1, SD_LocalGovernmentFinance.dbo.RowRefs RowRefs
WHERE AuthCodes.AuthCode = MainUnionCT1.AuthCode AND ColRefs.ColumnRef = MainUnionCT1.ColumnRef AND ColRefs.FormRef = MainUnionCT1.FormRef AND ColRefs.YearCode = MainUnionCT1.YearCode AND RowRefs.FormRef = MainUnionCT1.FormRef AND RowRefs.RowRef = MainUnionCT1.RowRef AND RowRefs.YearCode = MainUnionCT1.YearCode AND ((RowRefs.YearCode=202425) AND (RowRefs.RowRef=$26))</t>
        </r>
      </text>
    </comment>
    <comment ref="AJ2" authorId="0" shapeId="0" xr:uid="{00000000-0006-0000-0500-000003000000}">
      <text>
        <r>
          <rPr>
            <sz val="10"/>
            <color indexed="81"/>
            <rFont val="Arial"/>
            <family val="2"/>
          </rPr>
          <t>SELECT MainUnionCT1.YearCode, MainUnionCT1.FormRef, MainUnionCT1.AuthCode, MainUnionCT1.RowRef, MainUnionCT1.Data
FROM SD_LocalGovernmentFinance.dbo.MainUnionCT1 MainUnionCT1
WHERE (MainUnionCT1.YearCode=202425) AND (MainUnionCT1.RowRef=$23) AND (MainUnionCT1.ColumnRef=$11)
ORDER BY MainUnionCT1.AuthCode</t>
        </r>
      </text>
    </comment>
    <comment ref="AN2" authorId="0" shapeId="0" xr:uid="{00000000-0006-0000-0500-000004000000}">
      <text>
        <r>
          <rPr>
            <sz val="10"/>
            <color indexed="81"/>
            <rFont val="Arial"/>
            <family val="2"/>
          </rPr>
          <t>SELECT MainUnionCT1.YearCode, MainUnionCT1.FormRef, MainUnionCT1.AuthCode, MainUnionCT1.RowRef, MainUnionCT1.Data
FROM SD_LocalGovernmentFinance.dbo.MainUnionCT1 MainUnionCT1
WHERE (MainUnionCT1.YearCode=202425) AND (MainUnionCT1.RowRef=$22) AND (MainUnionCT1.ColumnRef=$11)
ORDER BY MainUnionCT1.AuthCode</t>
        </r>
      </text>
    </comment>
    <comment ref="AR2" authorId="0" shapeId="0" xr:uid="{00000000-0006-0000-0500-000005000000}">
      <text>
        <r>
          <rPr>
            <sz val="10"/>
            <color indexed="81"/>
            <rFont val="Arial"/>
            <family val="2"/>
          </rPr>
          <t>SELECT MainUnionCT1.YearCode, MainUnionCT1.FormRef, MainUnionCT1.AuthCode, MainUnionCT1.RowRef, MainUnionCT1.Data
FROM SD_LocalGovernmentFinance.dbo.MainUnionCT1 MainUnionCT1
WHERE (MainUnionCT1.YearCode=202425) AND (MainUnionCT1.RowRef=$25) AND (MainUnionCT1.ColumnRef=$11)
ORDER BY MainUnionCT1.AuthCode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Kelly, Frank (KAS)</author>
  </authors>
  <commentList>
    <comment ref="AK1" authorId="0" shapeId="0" xr:uid="{00000000-0006-0000-0800-000001000000}">
      <text>
        <r>
          <rPr>
            <sz val="10"/>
            <color indexed="81"/>
            <rFont val="Arial"/>
            <family val="2"/>
          </rPr>
          <t>SELECT MainBR.FormRef, MainBR.AuthCode, MainBR.RowRef, RowRefs.StandDesc, MainBR.ColumnRef, MainBR.YearCode, MainBR.Data
FROM SD_LocalGovernmentFinance.dbo.ColRefs ColRefs, SD_LocalGovernmentFinance.dbo.MainBR MainBR, SD_LocalGovernmentFinance.dbo.RowRefs RowRefs
WHERE RowRefs.FormRef = MainBR.FormRef AND RowRefs.RowRef = MainBR.RowRef AND RowRefs.YearCode = MainBR.YearCode AND ColRefs.ColumnRef = MainBR.ColumnRef AND ColRefs.FormRef = MainBR.FormRef AND ColRefs.YearCode = MainBR.YearCode AND ((MainBR.FormRef='BR1') AND (MainBR.AuthCode&lt;596) AND (MainBR.YearCode&gt;=202223))</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Fellows, Carl (Admin)</author>
  </authors>
  <commentList>
    <comment ref="N5" authorId="0" shapeId="0" xr:uid="{00000000-0006-0000-0900-000001000000}">
      <text>
        <r>
          <rPr>
            <sz val="12"/>
            <color indexed="81"/>
            <rFont val="Arial"/>
            <family val="2"/>
          </rPr>
          <t>This rarely changes but keep an eye on it.</t>
        </r>
      </text>
    </comment>
    <comment ref="N30" authorId="0" shapeId="0" xr:uid="{00000000-0006-0000-0900-000002000000}">
      <text>
        <r>
          <rPr>
            <sz val="10"/>
            <color indexed="81"/>
            <rFont val="Arial"/>
            <family val="2"/>
          </rPr>
          <t>move to text? because it has a year reference.</t>
        </r>
      </text>
    </comment>
    <comment ref="N31" authorId="0" shapeId="0" xr:uid="{00000000-0006-0000-0900-000003000000}">
      <text>
        <r>
          <rPr>
            <sz val="10"/>
            <color indexed="81"/>
            <rFont val="Arial"/>
            <family val="2"/>
          </rPr>
          <t>combine into one in Text?</t>
        </r>
      </text>
    </comment>
    <comment ref="N32" authorId="0" shapeId="0" xr:uid="{00000000-0006-0000-0900-000004000000}">
      <text>
        <r>
          <rPr>
            <sz val="10"/>
            <color indexed="81"/>
            <rFont val="Arial"/>
            <family val="2"/>
          </rPr>
          <t>combine into one in Text?</t>
        </r>
      </text>
    </comment>
    <comment ref="N33" authorId="0" shapeId="0" xr:uid="{00000000-0006-0000-0900-000005000000}">
      <text>
        <r>
          <rPr>
            <sz val="10"/>
            <color indexed="81"/>
            <rFont val="Arial"/>
            <family val="2"/>
          </rPr>
          <t>check that cells K16, K17, K24 to K27 are correct from Details page.</t>
        </r>
      </text>
    </comment>
  </commentList>
</comments>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4000000}" name="CT1 Class O" type="1" refreshedVersion="8" saveData="1">
    <dbPr connection="Description=Local Government Finance;DRIVER=SQL Server;SERVER=HCA124;UID=kellyf;Trusted_Connection=Yes;APP=Microsoft Office 2003;WSID=HJL005;DATABASE=SD_LocalGovernmentFinance" command="SELECT MainUnionCT1.YearCode, MainUnionCT1.FormRef, MainUnionCT1.AuthCode, MainUnionCT1.RowRef, MainUnionCT1.Data_x000d__x000a_FROM SD_LocalGovernmentFinance.dbo.MainUnionCT1 MainUnionCT1_x000d__x000a_WHERE (MainUnionCT1.YearCode=202425) AND (MainUnionCT1.RowRef=$25) AND (MainUnionCT1.ColumnRef=$11)_x000d__x000a_ORDER BY MainUnionCT1.AuthCode"/>
  </connection>
  <connection id="2" xr16:uid="{00000000-0015-0000-FFFF-FFFF05000000}" name="CT1 Discount Dwellings" type="1" refreshedVersion="8" saveData="1">
    <dbPr connection="Description=Local Government Finance;DRIVER=SQL Server;SERVER=HCA124;UID=kellyf;Trusted_Connection=Yes;APP=Microsoft Office 2003;WSID=HJL005;DATABASE=SD_LocalGovernmentFinance" command="SELECT MainUnionCT1.YearCode, MainUnionCT1.FormRef, MainUnionCT1.AuthCode, MainUnionCT1.RowRef, MainUnionCT1.Data_x000d__x000a_FROM SD_LocalGovernmentFinance.dbo.MainUnionCT1 MainUnionCT1_x000d__x000a_WHERE (MainUnionCT1.YearCode=202425) AND (MainUnionCT1.RowRef=$22) AND (MainUnionCT1.ColumnRef=$11)_x000d__x000a_ORDER BY MainUnionCT1.AuthCode"/>
  </connection>
  <connection id="3" xr16:uid="{00000000-0015-0000-FFFF-FFFF06000000}" name="CT1 Percent" type="1" refreshedVersion="8" saveData="1">
    <dbPr connection="Description=Local Government Finance;DRIVER=SQL Server;SERVER=HCA124;UID=kellyf;Trusted_Connection=Yes;APP=Microsoft Office;WSID=HJL005;DATABASE=SD_LocalGovernmentFinance" command="SELECT MainUnionCT1.YearCode, MainUnionCT1.FormRef, MainUnionCT1.AuthCode, MainUnionCT1.RowRef, MainUnionCT1.Data_x000d__x000a_FROM SD_LocalGovernmentFinance.dbo.MainUnionCT1 MainUnionCT1_x000d__x000a_WHERE (MainUnionCT1.YearCode=202425) AND (MainUnionCT1.RowRef=$23) AND (MainUnionCT1.ColumnRef=$11)_x000d__x000a_ORDER BY MainUnionCT1.AuthCode"/>
  </connection>
  <connection id="4" xr16:uid="{00000000-0015-0000-FFFF-FFFF07000000}" name="CT1 TaxBase Pivot" type="1" refreshedVersion="8" saveData="1">
    <dbPr connection="Description=Local Government Finance;DRIVER=SQL Server;SERVER=HCA124;UID=kellyf;Trusted_Connection=Yes;APP=Microsoft Office;WSID=HJL005;DATABASE=SD_LocalGovernmentFinance" command="SELECT MainUnionCT1.YearCode, RowRefs.FormRef, MainUnionCT1.AuthCode, AuthCodes.&quot;Authority name&quot;, MainUnionCT1.RowRef, RowRefs.RowDesc, MainUnionCT1.ColumnRef, ColRefs.ColumnDesc, MainUnionCT1.Data_x000d__x000a_FROM SD_LocalGovernmentFinance.dbo.AuthCodes AuthCodes, SD_LocalGovernmentFinance.dbo.ColRefs ColRefs, SD_LocalGovernmentFinance.dbo.MainUnionCT1 MainUnionCT1, SD_LocalGovernmentFinance.dbo.RowRefs RowRefs_x000d__x000a_WHERE AuthCodes.AuthCode = MainUnionCT1.AuthCode AND ColRefs.ColumnRef = MainUnionCT1.ColumnRef AND ColRefs.FormRef = MainUnionCT1.FormRef AND ColRefs.YearCode = MainUnionCT1.YearCode AND RowRefs.FormRef = MainUnionCT1.FormRef AND RowRefs.RowRef = MainUnionCT1.RowRef AND RowRefs.YearCode = MainUnionCT1.YearCode AND ((RowRefs.YearCode=202425) AND (RowRefs.RowRef=$26))"/>
  </connection>
  <connection id="5" xr16:uid="{00000000-0015-0000-FFFF-FFFF08000000}" name="DataIn" type="1" refreshedVersion="8" background="1" saveData="1">
    <dbPr connection="DRIVER=SQL Server;SERVER=HCA124;UID=andersonb1;Trusted_Connection=Yes;APP=Microsoft Office 2010;WSID=HRL416;DATABASE=SD_LocalGovernmentFinance;LANGUAGE=British" command="SELECT MainBR.FormRef, MainBR.AuthCode, MainBR.RowRef, RowRefs.StandDesc, MainBR.ColumnRef, MainBR.YearCode, MainBR.Data_x000d__x000a_FROM SD_LocalGovernmentFinance.dbo.ColRefs ColRefs, SD_LocalGovernmentFinance.dbo.MainBR MainBR, SD_LocalGovernmentFinance.dbo.RowRefs RowRefs_x000d__x000a_WHERE RowRefs.FormRef = MainBR.FormRef AND RowRefs.RowRef = MainBR.RowRef AND RowRefs.YearCode = MainBR.YearCode AND ColRefs.ColumnRef = MainBR.ColumnRef AND ColRefs.FormRef = MainBR.FormRef AND ColRefs.YearCode = MainBR.YearCode AND ((MainBR.FormRef='BR1') AND (MainBR.AuthCode&lt;596) AND (MainBR.YearCode&gt;=202223))"/>
  </connection>
  <connection id="6" xr16:uid="{94033580-FA52-4B1B-A920-F9CEE0211D15}" keepAlive="1" name="Query - MainUnionBR" description="Connection to the 'MainUnionBR' query in the workbook." type="5" refreshedVersion="8" background="1" saveData="1">
    <dbPr connection="Provider=Microsoft.Mashup.OleDb.1;Data Source=$Workbook$;Location=MainUnionBR;Extended Properties=&quot;&quot;" command="SELECT * FROM [MainUnionBR]"/>
  </connection>
</connections>
</file>

<file path=xl/sharedStrings.xml><?xml version="1.0" encoding="utf-8"?>
<sst xmlns="http://schemas.openxmlformats.org/spreadsheetml/2006/main" count="5621" uniqueCount="3421">
  <si>
    <t>UACode</t>
  </si>
  <si>
    <t>BR1</t>
  </si>
  <si>
    <t>Discretionary non-domestic rate relief</t>
  </si>
  <si>
    <t>Re-distributed non-domestic rates</t>
  </si>
  <si>
    <t>Revenue support grant</t>
  </si>
  <si>
    <t>(£)</t>
  </si>
  <si>
    <t>Band D equivalent dwellings</t>
  </si>
  <si>
    <t>£ per band D equivalent dwelling</t>
  </si>
  <si>
    <t>Date:</t>
  </si>
  <si>
    <t>Expenditure and income</t>
  </si>
  <si>
    <t>Cyngor Sir Ynys Môn</t>
  </si>
  <si>
    <t>Addresses</t>
  </si>
  <si>
    <t>Index</t>
  </si>
  <si>
    <t>UAName</t>
  </si>
  <si>
    <t>Please select your authority</t>
  </si>
  <si>
    <t>W</t>
  </si>
  <si>
    <t>Llangefni</t>
  </si>
  <si>
    <t>LL77 7TW</t>
  </si>
  <si>
    <t>Cyngor Gwynedd</t>
  </si>
  <si>
    <t>Caernarfon</t>
  </si>
  <si>
    <t>Gwynedd</t>
  </si>
  <si>
    <t>LL55 1SH</t>
  </si>
  <si>
    <t>Conwy County Borough Council</t>
  </si>
  <si>
    <t>E</t>
  </si>
  <si>
    <t>Conwy</t>
  </si>
  <si>
    <t>LL32 8DU</t>
  </si>
  <si>
    <t>Denbighshire County Council</t>
  </si>
  <si>
    <t>Denbighshire</t>
  </si>
  <si>
    <t>Flintshire County Council</t>
  </si>
  <si>
    <t>County Hall</t>
  </si>
  <si>
    <t>Mold</t>
  </si>
  <si>
    <t>Flintshire</t>
  </si>
  <si>
    <t>CH7 6NB</t>
  </si>
  <si>
    <t>Wrexham County Borough Council</t>
  </si>
  <si>
    <t>Wrexham</t>
  </si>
  <si>
    <t>Powys County Council</t>
  </si>
  <si>
    <t>Llandrindod Wells</t>
  </si>
  <si>
    <t>Powys</t>
  </si>
  <si>
    <t>LD1 5LG</t>
  </si>
  <si>
    <t>Ceredigion County Council</t>
  </si>
  <si>
    <t>Aberystwyth</t>
  </si>
  <si>
    <t>Ceredigion</t>
  </si>
  <si>
    <t>Pembrokeshire County Council</t>
  </si>
  <si>
    <t>Haverfordwest</t>
  </si>
  <si>
    <t>Pembrokeshire</t>
  </si>
  <si>
    <t>SA61 1TP</t>
  </si>
  <si>
    <t>Carmarthenshire County Council</t>
  </si>
  <si>
    <t>Carmarthen</t>
  </si>
  <si>
    <t>SA31 1JP</t>
  </si>
  <si>
    <t>City and County of Swansea</t>
  </si>
  <si>
    <t>Oystermouth Road</t>
  </si>
  <si>
    <t>Swansea</t>
  </si>
  <si>
    <t>SA1 3SN</t>
  </si>
  <si>
    <t>Neath Port Talbot County Borough Council</t>
  </si>
  <si>
    <t>Civic Centre</t>
  </si>
  <si>
    <t>Port Talbot</t>
  </si>
  <si>
    <t>SA13 1PJ</t>
  </si>
  <si>
    <t>Bridgend County Borough Council</t>
  </si>
  <si>
    <t>Civic Offices</t>
  </si>
  <si>
    <t>Bridgend</t>
  </si>
  <si>
    <t>The Vale of Glamorgan Council</t>
  </si>
  <si>
    <t>Holton Road</t>
  </si>
  <si>
    <t>Barry</t>
  </si>
  <si>
    <t>CF63 4RU</t>
  </si>
  <si>
    <t>Rhondda, Cynon, Taff C.B.C.</t>
  </si>
  <si>
    <t>Porth</t>
  </si>
  <si>
    <t>CF39 9DL</t>
  </si>
  <si>
    <t>Merthyr Tydfil County Borough Council</t>
  </si>
  <si>
    <t>Merthyr Tydfil</t>
  </si>
  <si>
    <t>CF47 8AN</t>
  </si>
  <si>
    <t>Caerphilly County Borough Council</t>
  </si>
  <si>
    <t>Blaenau Gwent County Borough Council</t>
  </si>
  <si>
    <t>Ebbw Vale</t>
  </si>
  <si>
    <t>NP3 6XB</t>
  </si>
  <si>
    <t>Torfaen County Borough Council</t>
  </si>
  <si>
    <t>Torfaen</t>
  </si>
  <si>
    <t>NP4 6YB</t>
  </si>
  <si>
    <t>Monmouthshire County Council</t>
  </si>
  <si>
    <t>Newport</t>
  </si>
  <si>
    <t>Cardiff County Council</t>
  </si>
  <si>
    <t>Atlantic Wharf</t>
  </si>
  <si>
    <t>Cardiff</t>
  </si>
  <si>
    <t>CF1 5UW</t>
  </si>
  <si>
    <t>If necessary, please amend the name and telephone number of our contact in case of queries:-</t>
  </si>
  <si>
    <t>NDR</t>
  </si>
  <si>
    <t>RSG</t>
  </si>
  <si>
    <t>Taxbase</t>
  </si>
  <si>
    <t>Rhondda, Cynon, Taff County Borough Council</t>
  </si>
  <si>
    <t>City and County of Cardiff</t>
  </si>
  <si>
    <t>Data</t>
  </si>
  <si>
    <t>Carmarthenshire</t>
  </si>
  <si>
    <t>David Lilly</t>
  </si>
  <si>
    <t>Bodlondeb</t>
  </si>
  <si>
    <t>Bangor Road</t>
  </si>
  <si>
    <t>Wynnstay Road</t>
  </si>
  <si>
    <t>Ruthin</t>
  </si>
  <si>
    <t>Lambpit Street</t>
  </si>
  <si>
    <t>PO Box 4</t>
  </si>
  <si>
    <t>Angel Street</t>
  </si>
  <si>
    <t>Rhondda</t>
  </si>
  <si>
    <t>Castle Street</t>
  </si>
  <si>
    <t>Ystrad Mynach</t>
  </si>
  <si>
    <t>Municipal Offices</t>
  </si>
  <si>
    <t>Pontypool</t>
  </si>
  <si>
    <t>Swyddfa'r Cyngor</t>
  </si>
  <si>
    <t>Newport City Council</t>
  </si>
  <si>
    <t>Billing authorities only</t>
  </si>
  <si>
    <t>FormRef</t>
  </si>
  <si>
    <t>RowRef</t>
  </si>
  <si>
    <t>ColumnRef</t>
  </si>
  <si>
    <t>For information</t>
  </si>
  <si>
    <t>Validation</t>
  </si>
  <si>
    <t>LL11 1AR</t>
  </si>
  <si>
    <t>Andrew Southcombe</t>
  </si>
  <si>
    <t>AuthCode</t>
  </si>
  <si>
    <t>YearCode</t>
  </si>
  <si>
    <t>Gary Ferguson</t>
  </si>
  <si>
    <t>Mr Nigel Aurelius</t>
  </si>
  <si>
    <t>Bronwydd</t>
  </si>
  <si>
    <t>southak@caerphilly.gov.uk</t>
  </si>
  <si>
    <t>david.lilly@torfaen.gov.uk</t>
  </si>
  <si>
    <t>NP20 4UR</t>
  </si>
  <si>
    <t>E-mail: lgfs.transfer@wales.gsi.gov.uk</t>
  </si>
  <si>
    <t>Sum of Data2</t>
  </si>
  <si>
    <t>Authority name</t>
  </si>
  <si>
    <t>Isle of Anglesey</t>
  </si>
  <si>
    <t>Neath Port Talbot</t>
  </si>
  <si>
    <t>Vale of Glamorgan</t>
  </si>
  <si>
    <t>Rhondda Cynon Taf</t>
  </si>
  <si>
    <t>Caerphilly</t>
  </si>
  <si>
    <t>Blaenau Gwent</t>
  </si>
  <si>
    <t>Monmouthshire</t>
  </si>
  <si>
    <t>Total Unitary Authorities</t>
  </si>
  <si>
    <t>Address1</t>
  </si>
  <si>
    <t>Address2</t>
  </si>
  <si>
    <t>Address3</t>
  </si>
  <si>
    <t>Address4</t>
  </si>
  <si>
    <t>AuthorityName</t>
  </si>
  <si>
    <t>CFOName</t>
  </si>
  <si>
    <t>Postcode</t>
  </si>
  <si>
    <t>Swyddfeydd y Cyngor</t>
  </si>
  <si>
    <t>Stryd y Jêl</t>
  </si>
  <si>
    <t>LL15 1YN</t>
  </si>
  <si>
    <t>Vale of Glamorgan Council</t>
  </si>
  <si>
    <t>Penallta House</t>
  </si>
  <si>
    <t>Tredomen Park</t>
  </si>
  <si>
    <t>CF82 7PG</t>
  </si>
  <si>
    <t>BRName</t>
  </si>
  <si>
    <t>BREMail</t>
  </si>
  <si>
    <t>BRSTDCde</t>
  </si>
  <si>
    <t>BRTelephone</t>
  </si>
  <si>
    <t xml:space="preserve">Contact name:        </t>
  </si>
  <si>
    <t xml:space="preserve">Contact E-mail:        </t>
  </si>
  <si>
    <t xml:space="preserve">Telephone:        </t>
  </si>
  <si>
    <t>Hours taken</t>
  </si>
  <si>
    <t>Survey Response Burden</t>
  </si>
  <si>
    <t>Please only include time spent on activities to prepare and send this return, such as:</t>
  </si>
  <si>
    <t>Please feel free to add any comments</t>
  </si>
  <si>
    <t>Please enter the time it has taken you (and any colleagues) to prepare and send the return.</t>
  </si>
  <si>
    <t>Form Design</t>
  </si>
  <si>
    <t>Documentation</t>
  </si>
  <si>
    <t>General Comments</t>
  </si>
  <si>
    <t xml:space="preserve">The Welsh Government are monitoring the burden of completing this data collection form. </t>
  </si>
  <si>
    <t>Community council precepts</t>
  </si>
  <si>
    <t>Ynys Môn</t>
  </si>
  <si>
    <t>Canolfan Rheidol, Rhodfa Padarn</t>
  </si>
  <si>
    <t>Llanbadarn Fawr,</t>
  </si>
  <si>
    <t>SY23 3UE</t>
  </si>
  <si>
    <t>Mr Steve Jones</t>
  </si>
  <si>
    <t>Welsh Government</t>
  </si>
  <si>
    <t>Cathays Park</t>
  </si>
  <si>
    <t>CF10 3NQ</t>
  </si>
  <si>
    <t>A</t>
  </si>
  <si>
    <t>B</t>
  </si>
  <si>
    <t>C</t>
  </si>
  <si>
    <t>D</t>
  </si>
  <si>
    <t>F</t>
  </si>
  <si>
    <t>G</t>
  </si>
  <si>
    <t>H</t>
  </si>
  <si>
    <t>I</t>
  </si>
  <si>
    <t>J</t>
  </si>
  <si>
    <t>K</t>
  </si>
  <si>
    <t>L</t>
  </si>
  <si>
    <t>M</t>
  </si>
  <si>
    <t>N</t>
  </si>
  <si>
    <t>O</t>
  </si>
  <si>
    <t>P</t>
  </si>
  <si>
    <t>Q</t>
  </si>
  <si>
    <t>R</t>
  </si>
  <si>
    <t>S</t>
  </si>
  <si>
    <t>T</t>
  </si>
  <si>
    <t>U</t>
  </si>
  <si>
    <t>V</t>
  </si>
  <si>
    <t>X</t>
  </si>
  <si>
    <t>Y</t>
  </si>
  <si>
    <t>Z</t>
  </si>
  <si>
    <t>AA</t>
  </si>
  <si>
    <t>AB</t>
  </si>
  <si>
    <t>AC</t>
  </si>
  <si>
    <t>AD</t>
  </si>
  <si>
    <t>AE</t>
  </si>
  <si>
    <t>AF</t>
  </si>
  <si>
    <t>AG</t>
  </si>
  <si>
    <t>AH</t>
  </si>
  <si>
    <t>AI</t>
  </si>
  <si>
    <t>AJ</t>
  </si>
  <si>
    <t>AK</t>
  </si>
  <si>
    <t>AL</t>
  </si>
  <si>
    <t>AM</t>
  </si>
  <si>
    <t>AN</t>
  </si>
  <si>
    <t>AO</t>
  </si>
  <si>
    <t>AP</t>
  </si>
  <si>
    <t>AQ</t>
  </si>
  <si>
    <t>AR</t>
  </si>
  <si>
    <t>AS</t>
  </si>
  <si>
    <t>AT</t>
  </si>
  <si>
    <t>AU</t>
  </si>
  <si>
    <t>AV</t>
  </si>
  <si>
    <t>AW</t>
  </si>
  <si>
    <t>AX</t>
  </si>
  <si>
    <t>AY</t>
  </si>
  <si>
    <t>AZ</t>
  </si>
  <si>
    <t>BA</t>
  </si>
  <si>
    <t>BB</t>
  </si>
  <si>
    <t>BC</t>
  </si>
  <si>
    <t>BD</t>
  </si>
  <si>
    <t>BE</t>
  </si>
  <si>
    <t>BF</t>
  </si>
  <si>
    <t>BG</t>
  </si>
  <si>
    <t>BH</t>
  </si>
  <si>
    <t>BI</t>
  </si>
  <si>
    <t>BJ</t>
  </si>
  <si>
    <t>BK</t>
  </si>
  <si>
    <t>BL</t>
  </si>
  <si>
    <t>BM</t>
  </si>
  <si>
    <t>BN</t>
  </si>
  <si>
    <t>BO</t>
  </si>
  <si>
    <t>BP</t>
  </si>
  <si>
    <t>BQ</t>
  </si>
  <si>
    <t>BR</t>
  </si>
  <si>
    <t>BS</t>
  </si>
  <si>
    <t>BT</t>
  </si>
  <si>
    <t>BU</t>
  </si>
  <si>
    <t>BV</t>
  </si>
  <si>
    <t>BW</t>
  </si>
  <si>
    <t>BX</t>
  </si>
  <si>
    <t>BY</t>
  </si>
  <si>
    <t>BZ</t>
  </si>
  <si>
    <t>CA</t>
  </si>
  <si>
    <t>CB</t>
  </si>
  <si>
    <t>CC</t>
  </si>
  <si>
    <t>CD</t>
  </si>
  <si>
    <t>CE</t>
  </si>
  <si>
    <t>CF</t>
  </si>
  <si>
    <t>CG</t>
  </si>
  <si>
    <t>CH</t>
  </si>
  <si>
    <t>CI</t>
  </si>
  <si>
    <t>CJ</t>
  </si>
  <si>
    <t>CK</t>
  </si>
  <si>
    <t>CL</t>
  </si>
  <si>
    <t>CM</t>
  </si>
  <si>
    <t>CN</t>
  </si>
  <si>
    <t>CO</t>
  </si>
  <si>
    <t>CP</t>
  </si>
  <si>
    <t>CQ</t>
  </si>
  <si>
    <t>CR</t>
  </si>
  <si>
    <t>CS</t>
  </si>
  <si>
    <t>CT</t>
  </si>
  <si>
    <t>CU</t>
  </si>
  <si>
    <t>ZZ</t>
  </si>
  <si>
    <t>Total</t>
  </si>
  <si>
    <t>Rhadyr</t>
  </si>
  <si>
    <t>Usk</t>
  </si>
  <si>
    <t>NP15 1GA</t>
  </si>
  <si>
    <t>Amanda Thomas</t>
  </si>
  <si>
    <t>Amanda.Thomas@swansea.gov.uk</t>
  </si>
  <si>
    <t>1st Floor</t>
  </si>
  <si>
    <t>Jonathan Haswell</t>
  </si>
  <si>
    <t>Mr Chris Moore</t>
  </si>
  <si>
    <t>Meirion Rushworth</t>
  </si>
  <si>
    <t>Carys Lord</t>
  </si>
  <si>
    <t>The City of Cardiff Council</t>
  </si>
  <si>
    <t>Welsh / English</t>
  </si>
  <si>
    <t>(From LGF colleagues)</t>
  </si>
  <si>
    <t>SQL</t>
  </si>
  <si>
    <t>TaxBasePivot</t>
  </si>
  <si>
    <t>Percent</t>
  </si>
  <si>
    <t>DiscountDwellings</t>
  </si>
  <si>
    <t>ClassO</t>
  </si>
  <si>
    <t>Authority</t>
  </si>
  <si>
    <t>UANumber</t>
  </si>
  <si>
    <t>CFO and BR contacts</t>
  </si>
  <si>
    <t>Input</t>
  </si>
  <si>
    <t>Adjustable</t>
  </si>
  <si>
    <t>Locked</t>
  </si>
  <si>
    <t>Year</t>
  </si>
  <si>
    <t>Row</t>
  </si>
  <si>
    <t>Col</t>
  </si>
  <si>
    <t>Code</t>
  </si>
  <si>
    <t>Name Ranges are in purple:</t>
  </si>
  <si>
    <t>(From our CT1)</t>
  </si>
  <si>
    <t>Service</t>
  </si>
  <si>
    <t>Revenue Support Grant</t>
  </si>
  <si>
    <t>Redistributed Non-Domestic Rates</t>
  </si>
  <si>
    <t>The Vale of Glamorgan</t>
  </si>
  <si>
    <t>tblTranslate</t>
  </si>
  <si>
    <t>English</t>
  </si>
  <si>
    <t>Line Info E</t>
  </si>
  <si>
    <t>Welsh</t>
  </si>
  <si>
    <t>Line Info W</t>
  </si>
  <si>
    <t>Capital outturn</t>
  </si>
  <si>
    <t xml:space="preserve">Total receipts
</t>
  </si>
  <si>
    <t xml:space="preserve"> (COR 1-2, column 13)</t>
  </si>
  <si>
    <t>Cyfanswm derbyniadau</t>
  </si>
  <si>
    <t xml:space="preserve"> (lines 198, 298, 398, 498, 598 &amp; 698)</t>
  </si>
  <si>
    <t>Total expenditure</t>
  </si>
  <si>
    <t xml:space="preserve"> (COR 1-2, column 9)</t>
  </si>
  <si>
    <t>Cyfanswm gwariant</t>
  </si>
  <si>
    <t xml:space="preserve"> (lines 10 to 14)</t>
  </si>
  <si>
    <t>Y gwasanaeth llyfrgelloedd</t>
  </si>
  <si>
    <t>Total in-year capital receipts - HRA</t>
  </si>
  <si>
    <t xml:space="preserve"> (COR1-2, line 24, column 13)</t>
  </si>
  <si>
    <t>Cyfanswm derbyniadau cyfalaf yn ystod y flwyddyn - HRA</t>
  </si>
  <si>
    <t>Amgueddfeydd ac orielau</t>
  </si>
  <si>
    <t>Total in-year capital receipts non HRA</t>
  </si>
  <si>
    <t xml:space="preserve"> (COR1-2, line 66 minus line 24, column 13)</t>
  </si>
  <si>
    <t>Cyfanswm derbyniadau cyfalaf yn ystod y flwyddyn, ddim HRA</t>
  </si>
  <si>
    <t xml:space="preserve"> (lines 16 to 23)</t>
  </si>
  <si>
    <t>Archifau</t>
  </si>
  <si>
    <t>Total capital expenditure</t>
  </si>
  <si>
    <t xml:space="preserve"> (COR4, line 15, column 3)</t>
  </si>
  <si>
    <t>Cyfanswm gwariant cyfalaf</t>
  </si>
  <si>
    <t xml:space="preserve"> (lines 25 to 31)</t>
  </si>
  <si>
    <t>Datblygu a chynorthwyo'r celfyddydau</t>
  </si>
  <si>
    <t>Total expenditure treated as capital expenditure by virtue of a section 16(2)(b) direction</t>
  </si>
  <si>
    <t xml:space="preserve"> (cyfanswm column 4, lines 1 to 11)</t>
  </si>
  <si>
    <t>Cyfanswm y gwariant a gaiff ei drin fel gwariant cyfalaf yn rhinwedd cyfarwyddyd adran 16(2)(b)</t>
  </si>
  <si>
    <t xml:space="preserve"> (lines 33 and 34)</t>
  </si>
  <si>
    <t>The information on this form must be submitted to the Welsh Government under section 14 of the Local Government Act 2003.</t>
  </si>
  <si>
    <t>Total expenditure and other transactions</t>
  </si>
  <si>
    <t xml:space="preserve"> (cyfanswm lines 12 to 14, column 3)</t>
  </si>
  <si>
    <t>Cyfanswm gwariant a thrafodiadau eraill</t>
  </si>
  <si>
    <t xml:space="preserve"> (lines 24+32+35)</t>
  </si>
  <si>
    <t>Total amount due in year</t>
  </si>
  <si>
    <t xml:space="preserve"> (line 1+line 2):</t>
  </si>
  <si>
    <t>Y cyfanswm sy'n ddyledus yn ystod y flwyddyn</t>
  </si>
  <si>
    <t xml:space="preserve"> (lines 37 to 39)</t>
  </si>
  <si>
    <t>Please email the spreadsheet to the address below, please note that we no longer require a signed hard-copy of this return.</t>
  </si>
  <si>
    <t>NDR collection rate  (%)</t>
  </si>
  <si>
    <t xml:space="preserve"> (line 11 / line 10.5 x 100)</t>
  </si>
  <si>
    <t>Cyfradd casglu ardrethi annomestig (%)</t>
  </si>
  <si>
    <t xml:space="preserve"> (lines 41 to 43)</t>
  </si>
  <si>
    <t>Any queries on completion of the form or spreadsheet should be directed to Frank Kelly or Anthony Newby, via telephone or e-mail, as directed below.</t>
  </si>
  <si>
    <t>Transport</t>
  </si>
  <si>
    <t xml:space="preserve"> (line 15)</t>
  </si>
  <si>
    <t>Trafnidiaeth</t>
  </si>
  <si>
    <t xml:space="preserve"> (lines 46 and 47)</t>
  </si>
  <si>
    <t>It is a Welsh Government audit requirement that all cells are completed.  Please ensure that all blank cells are populated with zeros, those that are not will be assumed to be zero.</t>
  </si>
  <si>
    <t>Capital expenditure resourced by means of credit</t>
  </si>
  <si>
    <t xml:space="preserve"> (line 30 plus line 31)</t>
  </si>
  <si>
    <t>Gwariant cyfalaf wedi'i gyllido gan gredyd</t>
  </si>
  <si>
    <t xml:space="preserve"> (lines 49 to 59)</t>
  </si>
  <si>
    <t>Local Government Financial Statistics,</t>
  </si>
  <si>
    <t>Capital Financing Requirement as at 31 March</t>
  </si>
  <si>
    <t xml:space="preserve"> (line 33 plus line 36)</t>
  </si>
  <si>
    <t>Gofyniad Cyllido Cyfalaf fel yr oedd ar 31 Mawrth</t>
  </si>
  <si>
    <t xml:space="preserve"> (lines 61 to 63)</t>
  </si>
  <si>
    <t>Knowledge and Analytical Services,</t>
  </si>
  <si>
    <t>Change in Capital Financing Requirement</t>
  </si>
  <si>
    <t xml:space="preserve"> (line 34 less line 35)</t>
  </si>
  <si>
    <t>Newid yn y Gofyniad Cyllido Cyfalaf</t>
  </si>
  <si>
    <t xml:space="preserve"> (lines 6+7+15+36+40+44+48+60+65)</t>
  </si>
  <si>
    <t>Welsh Government,</t>
  </si>
  <si>
    <t>Line 4 as a % of Total amount due:</t>
  </si>
  <si>
    <t xml:space="preserve"> (line 4 / line 3 x 100)</t>
  </si>
  <si>
    <t>Llinell 4 fel % o'r cyfanswm sy'n ddyledus:</t>
  </si>
  <si>
    <t xml:space="preserve"> (line 6)</t>
  </si>
  <si>
    <t>Cathays Park,</t>
  </si>
  <si>
    <t>Libraries, culture and heritage</t>
  </si>
  <si>
    <t xml:space="preserve"> (line 40)</t>
  </si>
  <si>
    <t>Llyfrgelloedd, diwylliant a threftadaeth</t>
  </si>
  <si>
    <t xml:space="preserve"> (line 7)</t>
  </si>
  <si>
    <t>CARDIFF,</t>
  </si>
  <si>
    <t>Agriculture and fisheries</t>
  </si>
  <si>
    <t xml:space="preserve"> (line 44)</t>
  </si>
  <si>
    <t>Amaethyddiaeth a physgodfeydd</t>
  </si>
  <si>
    <t>CF10 3NQ.</t>
  </si>
  <si>
    <t>Sport and recreation</t>
  </si>
  <si>
    <t xml:space="preserve"> (line 48)</t>
  </si>
  <si>
    <t>Chwaraeon a hamdden</t>
  </si>
  <si>
    <t>Telephone: 029 2082 5673</t>
  </si>
  <si>
    <t>Education</t>
  </si>
  <si>
    <t>Addysg</t>
  </si>
  <si>
    <t>Other environmental services</t>
  </si>
  <si>
    <t xml:space="preserve"> (line 60)</t>
  </si>
  <si>
    <t>Gwasanaethau amgylcheddol eraill</t>
  </si>
  <si>
    <t>Fire and rescue service</t>
  </si>
  <si>
    <t xml:space="preserve"> (line 61)</t>
  </si>
  <si>
    <t>Gwasanaeth tân ac achub</t>
  </si>
  <si>
    <t>Police service</t>
  </si>
  <si>
    <t xml:space="preserve"> (line 62)</t>
  </si>
  <si>
    <t>Gwasanaeth yr heddlu</t>
  </si>
  <si>
    <t>COR1-2:       Capital outturn 1 and 2</t>
  </si>
  <si>
    <t>Courts</t>
  </si>
  <si>
    <t xml:space="preserve"> (line 63)</t>
  </si>
  <si>
    <t>Llysoedd</t>
  </si>
  <si>
    <t>Pre-primary education</t>
  </si>
  <si>
    <t>Social services</t>
  </si>
  <si>
    <t>Gwasanaethau cymdeithasol</t>
  </si>
  <si>
    <t>Primary education</t>
  </si>
  <si>
    <t>Total expenditure / receipts (accruals)</t>
  </si>
  <si>
    <t xml:space="preserve"> (lines 1 to 11)</t>
  </si>
  <si>
    <t>Cyfanswm gwariant / derbyniadau (croniadau)</t>
  </si>
  <si>
    <t>Secondary education</t>
  </si>
  <si>
    <t>Total education</t>
  </si>
  <si>
    <t xml:space="preserve"> (lines 1.1 to 5)</t>
  </si>
  <si>
    <t>Cyfanswm addysg</t>
  </si>
  <si>
    <t>Special education</t>
  </si>
  <si>
    <t>Total other central services to the public</t>
  </si>
  <si>
    <t>Cyfanswm gwasanaethau canolog eraill i'r cyhoedd</t>
  </si>
  <si>
    <t>Youth service</t>
  </si>
  <si>
    <t>Total Housing Revenue Account</t>
  </si>
  <si>
    <t>Cyfanswm Cyfrif Refeniw Tai</t>
  </si>
  <si>
    <t>Other education services and continuing education</t>
  </si>
  <si>
    <t>Specification of other grants</t>
  </si>
  <si>
    <t>Manylion grantiau eraill</t>
  </si>
  <si>
    <t>Total in-year capital receipts</t>
  </si>
  <si>
    <t xml:space="preserve"> (lines 20 and 21)</t>
  </si>
  <si>
    <t>Cyfanswm derbyniadau cyfalaf yn ystod y flwyddyn</t>
  </si>
  <si>
    <t>Total housing</t>
  </si>
  <si>
    <t>Cyfanswm tai</t>
  </si>
  <si>
    <t xml:space="preserve"> (lines 50 to 52)</t>
  </si>
  <si>
    <t>New construction/improvement of roads</t>
  </si>
  <si>
    <t>Polisi cynllunio</t>
  </si>
  <si>
    <t>Total council fund housing</t>
  </si>
  <si>
    <t>Cyfanswm tai cronfa'r cyngor</t>
  </si>
  <si>
    <t xml:space="preserve"> (Lines 30.1 and 30.2)</t>
  </si>
  <si>
    <t>Structural maintenance - principal roads</t>
  </si>
  <si>
    <t>Mentrau amgylcheddol</t>
  </si>
  <si>
    <t>Borrowing and credit arrangements that attract central government support</t>
  </si>
  <si>
    <t>Trefniadau benthyca a chredyd sy'n denu cymorth y llywodraeth ganolog</t>
  </si>
  <si>
    <t xml:space="preserve"> (Lines 31.1 and 31.2)</t>
  </si>
  <si>
    <t>Structural maintenance - other LA roads</t>
  </si>
  <si>
    <t>Cymorth busnes</t>
  </si>
  <si>
    <t>Other borrowing and credit arrangements</t>
  </si>
  <si>
    <t>Trefniadau benthyca a chredyd eraill</t>
  </si>
  <si>
    <t>Expenditure on bridges</t>
  </si>
  <si>
    <t>Total housing / SDA Act advances</t>
  </si>
  <si>
    <t>Cyfanswm blaensymiau tai / Deddf Caffael Anheddau Bychain</t>
  </si>
  <si>
    <t>Road safety</t>
  </si>
  <si>
    <t>Total libraries, culture and heritage</t>
  </si>
  <si>
    <t>Cyfanswm llyfrgelloedd, diwylliant a threftadaeth</t>
  </si>
  <si>
    <t>Street lighting</t>
  </si>
  <si>
    <t>Total agriculture and fisheries</t>
  </si>
  <si>
    <t>Cyfanswm amaethyddiaeth a physgodfeydd</t>
  </si>
  <si>
    <t>Other</t>
  </si>
  <si>
    <t>Total sport and recreation</t>
  </si>
  <si>
    <t>Cyfanswm chwaraeon a hamdden</t>
  </si>
  <si>
    <t>Total other environmental services</t>
  </si>
  <si>
    <t>Cyfanswm gwasanaethau amgylcheddol eraill</t>
  </si>
  <si>
    <t>Parking of vehicles (including car parks)</t>
  </si>
  <si>
    <t>Costau heb eu dosbarthu</t>
  </si>
  <si>
    <t>Capital grants and contributions from other sources</t>
  </si>
  <si>
    <t>Grantiau cyfalaf a chyfraniadau o ffynonellau eraill</t>
  </si>
  <si>
    <t xml:space="preserve"> (row 2, col. 2)</t>
  </si>
  <si>
    <t>Public passenger transport - bus</t>
  </si>
  <si>
    <t>Total all services</t>
  </si>
  <si>
    <t>Cyfanswm pob gwasanaeth</t>
  </si>
  <si>
    <t>Public passenger transport - rail, underground and other</t>
  </si>
  <si>
    <t>Cynrychiolaeth a rheolaeth ddemocrataidd</t>
  </si>
  <si>
    <t>Total law, order and protective services</t>
  </si>
  <si>
    <t>Cyfanswm cyfraith, trefn a gwasanaethau diogelu</t>
  </si>
  <si>
    <t xml:space="preserve"> (lines 8 to 14)</t>
  </si>
  <si>
    <t>Tolled road bridges, tunnels and ferries and public transport companies</t>
  </si>
  <si>
    <t>Gwasanaethau canolog eraill</t>
  </si>
  <si>
    <t>Total transport</t>
  </si>
  <si>
    <t>Cyfanswm trafnidiaeth (llinellau 8 i 14)</t>
  </si>
  <si>
    <t>Local authority ports and piers</t>
  </si>
  <si>
    <t xml:space="preserve">Total roads new construction and maintenance, street lighting and road safety </t>
  </si>
  <si>
    <t xml:space="preserve"> (lines 8.1 to 8.7)</t>
  </si>
  <si>
    <t>Cyfanswm adeiladu ffyrdd newydd a gwella ffyrdd, goleuadau stryd a diogelwch ar y ffyrdd</t>
  </si>
  <si>
    <t xml:space="preserve"> (row 6, cols. 1 and 2)</t>
  </si>
  <si>
    <t>Airports</t>
  </si>
  <si>
    <t>Gwariant refeniw arall:</t>
  </si>
  <si>
    <t>Arrears B/F at 2015-16</t>
  </si>
  <si>
    <t xml:space="preserve"> (row 1, col. 1)</t>
  </si>
  <si>
    <t>ôl-ddyledion wedi eu dwyn ymlaen yn 2015-16</t>
  </si>
  <si>
    <t xml:space="preserve"> (row 3, col. 1)</t>
  </si>
  <si>
    <t>Gwasanaethau amaethyddiaeth</t>
  </si>
  <si>
    <t>Debit for the year</t>
  </si>
  <si>
    <t>Cyfanswm y debyd ar gyfer y flwyddyn</t>
  </si>
  <si>
    <t xml:space="preserve"> (row 3, col. 2)</t>
  </si>
  <si>
    <t>Acquisition / sale of land for housing revenue account (HRA)</t>
  </si>
  <si>
    <t>Total amount due</t>
  </si>
  <si>
    <t>Y cyfanswm sy'n ddyledus</t>
  </si>
  <si>
    <t>New building of HRA dwellings</t>
  </si>
  <si>
    <t xml:space="preserve"> (row 4, col. 1)</t>
  </si>
  <si>
    <t>Purchase / sale of HRA dwellings</t>
  </si>
  <si>
    <t>Received</t>
  </si>
  <si>
    <t>Y swm a gafwyd</t>
  </si>
  <si>
    <t xml:space="preserve"> (row 4, col. 2)</t>
  </si>
  <si>
    <t>Premature full repayment of principal on mortgages / loans provided for council house purchase</t>
  </si>
  <si>
    <t>Llog allanol</t>
  </si>
  <si>
    <t xml:space="preserve"> (row 7)</t>
  </si>
  <si>
    <t>Mortgages / loans provided for council house purchase</t>
  </si>
  <si>
    <t>Ardollau</t>
  </si>
  <si>
    <t>Arrears O/S, 2014-15</t>
  </si>
  <si>
    <t>Ôl-ddyledion heb eu casglu, 2014-15</t>
  </si>
  <si>
    <t>Improvements and repairs to HRA PRCs</t>
  </si>
  <si>
    <t>Amount originally budgeted</t>
  </si>
  <si>
    <t>Y swm a nodwyd yn y gyllideb yn wreiddiol</t>
  </si>
  <si>
    <t>Improvements and repairs to other HRA dwellings</t>
  </si>
  <si>
    <t>Taliadau prydlesu</t>
  </si>
  <si>
    <t>Total discounts</t>
  </si>
  <si>
    <t>( G2 + G4 + G6 + G8 + G10 ) ( gweler nodyn 11 )</t>
  </si>
  <si>
    <t>Cyfanswm disgowntiau</t>
  </si>
  <si>
    <t>Low cost home ownership (HRA)</t>
  </si>
  <si>
    <t>Adjustments</t>
  </si>
  <si>
    <t>Addasiadau</t>
  </si>
  <si>
    <t>Other HRA</t>
  </si>
  <si>
    <t>Adult Community Learning (formerly Community learning)</t>
  </si>
  <si>
    <t>Dysgu Cymunedol i Oedolion (Dysgu Cymunedol yn flaenorol)</t>
  </si>
  <si>
    <t>Ariannu dyled</t>
  </si>
  <si>
    <t>Agriculture and fisheries services</t>
  </si>
  <si>
    <t>Gwasanaethau amaethyddiaeth a physgodfeydd</t>
  </si>
  <si>
    <t>Environmental work in renewal areas</t>
  </si>
  <si>
    <t>Any queries on completion of the form or spreadsheet should be directed to Frank Kelly or Anthony Newby via telephone or e-mail, as detailed below.</t>
  </si>
  <si>
    <t>Dylid cyfeirio pob ymholiad ynghylch llenwi'r ffurflen neu'r daenlen at Frank Kelly neu Anthony Newby, dros y ffôn neu drwy e-bost, yn unol â'r manylion isod.</t>
  </si>
  <si>
    <t>Group repair</t>
  </si>
  <si>
    <t>Appropriations to(+) / from(-) Accumulated Absences Account</t>
  </si>
  <si>
    <t>Dyraniadau i(+) / o(-) Gyfrif Absenoldebau Cronnus</t>
  </si>
  <si>
    <t>Slum clearance</t>
  </si>
  <si>
    <t>Appropriations to(+) / from(-) earmarked financial reserves (excluding schools' financial reserves)</t>
  </si>
  <si>
    <t>Dyraniadau i(+) / o(-) gronfeydd wrth gefn wedi'u clustnodi (ac eithrio cronfeydd wrth gefn ysgolion)</t>
  </si>
  <si>
    <t>Low cost home ownership (non-HRA)</t>
  </si>
  <si>
    <t>Appropriations to(+) / from(-) financial instruments adjustment account</t>
  </si>
  <si>
    <t>Dyraniadau i(+) / o(-) gyfrif addasu offerynnau ariannol</t>
  </si>
  <si>
    <t>Other council fund housing</t>
  </si>
  <si>
    <t>Appropriations to(+) / from(-) unallocated financial reserves</t>
  </si>
  <si>
    <t>Dyraniadau i(+) / o(-) gronfeydd wrth gefn heb eu clustnodi</t>
  </si>
  <si>
    <t>Renovation grants</t>
  </si>
  <si>
    <t>Appropriations to(+) / from(-) unequal pay back pay account</t>
  </si>
  <si>
    <t>Dyraniadau i(+) / o(-) gyfrif ôl-dalu tâl anghyfartal</t>
  </si>
  <si>
    <t>Other grants</t>
  </si>
  <si>
    <t>Ysgolion meithrin</t>
  </si>
  <si>
    <t>Appropriations to(+)/ from(-) financial instruments adjustment account</t>
  </si>
  <si>
    <t>Ysgolion cynradd</t>
  </si>
  <si>
    <t>Asylum seekers grant</t>
  </si>
  <si>
    <t>Grant ceiswyr lloches</t>
  </si>
  <si>
    <t>Lending to registered social landlords</t>
  </si>
  <si>
    <t>Ysgolion uwchradd</t>
  </si>
  <si>
    <t>At 1 April</t>
  </si>
  <si>
    <t>Ar 1 Ebrill</t>
  </si>
  <si>
    <t>Lending to other borrowers</t>
  </si>
  <si>
    <t>Ysgolion arbennig</t>
  </si>
  <si>
    <t>At 31 March</t>
  </si>
  <si>
    <t>Ar 31 Mawrth</t>
  </si>
  <si>
    <t>Autistic spectrum disorder (education)</t>
  </si>
  <si>
    <t>Anhwylder ar y sbectrwm awtistig (addysg)</t>
  </si>
  <si>
    <t>Autistic spectrum disorder (social services)</t>
  </si>
  <si>
    <t>Anhwylder ar y sbectrwm awtistig (gwasanaethau cymdeithasol)</t>
  </si>
  <si>
    <t>Library services</t>
  </si>
  <si>
    <t>Autistic spectrum disorder grant (other)</t>
  </si>
  <si>
    <t>Anhwylder ar y sbectrwm awtistig (arall)</t>
  </si>
  <si>
    <t>Museums and galleries</t>
  </si>
  <si>
    <t>Digollediad rhwng awdurdodau</t>
  </si>
  <si>
    <t>Big lottery fund</t>
  </si>
  <si>
    <t>Y Gronfa Loteri Fawr</t>
  </si>
  <si>
    <t>Arts activities and facilities (including theatres)</t>
  </si>
  <si>
    <t>Big lottery fund (education)</t>
  </si>
  <si>
    <t>Y Gronfa Loteri Fawr (addysg)</t>
  </si>
  <si>
    <t>Big lottery fund (social services)</t>
  </si>
  <si>
    <t>Y Gronfa Loteroi Fawr (gwasanaethau cymdeithasol)</t>
  </si>
  <si>
    <t>Land drainage and flood prevention</t>
  </si>
  <si>
    <t>Staff</t>
  </si>
  <si>
    <t>Budget requirement plus net discretionary NDR relief</t>
  </si>
  <si>
    <t>Gofyniad cyllidebol plws rhyddhad ardreth annomestig dewisol net</t>
  </si>
  <si>
    <t>Coast protection</t>
  </si>
  <si>
    <t>Gwariant cyfalaf a godwyd o'r cyfrif refeniw</t>
  </si>
  <si>
    <t>Budgeted net discretionary non-domestic rate (NDR) relief paid for by council fund</t>
  </si>
  <si>
    <t>Rhyddhad ardreth annomestig net wedi'i gyllidebu, a dalwyd o gronfa'r cyngor</t>
  </si>
  <si>
    <t>Other agriculture and fisheries</t>
  </si>
  <si>
    <t>Cyllideb ysgolion</t>
  </si>
  <si>
    <t>Bus Revenue Support</t>
  </si>
  <si>
    <t>Cymorth Refeniw Bysiau</t>
  </si>
  <si>
    <t>Bus Services Support Grant</t>
  </si>
  <si>
    <t>Grant Cymorth Gwasanaethau Bws</t>
  </si>
  <si>
    <t>Sports facilities</t>
  </si>
  <si>
    <t>Gwella ysgolion</t>
  </si>
  <si>
    <t>Capital charges relating to construction projects</t>
  </si>
  <si>
    <t>Taliadau cyfalaf yn ymwneud â phrosiectau adeiladu</t>
  </si>
  <si>
    <t>Sports development and children's play</t>
  </si>
  <si>
    <t>Capital financing element within Private Finance Initiative (PFI) schemes</t>
  </si>
  <si>
    <t>Elfen cyllido cyfalaf cynlluniau Menter Cyllid Preifat (PFI)</t>
  </si>
  <si>
    <t>Central services</t>
  </si>
  <si>
    <t>Gwasanaethau canolog</t>
  </si>
  <si>
    <t>Derelict land reclamation (grant aided)</t>
  </si>
  <si>
    <t>Rheoli strategol</t>
  </si>
  <si>
    <t>Change excluding transfers in</t>
  </si>
  <si>
    <t>Newid, ac eithrio trosglwyddiadau i mewn</t>
  </si>
  <si>
    <t>Parks and open spaces</t>
  </si>
  <si>
    <t>Change in</t>
  </si>
  <si>
    <t>Newid, i mewn</t>
  </si>
  <si>
    <t>Waste collection</t>
  </si>
  <si>
    <t>Check net expenditure balances to zero</t>
  </si>
  <si>
    <t>Gwirio bod y gwariant net yn mantoli i sero</t>
  </si>
  <si>
    <t>Waste disposal</t>
  </si>
  <si>
    <t>Communities First (education)</t>
  </si>
  <si>
    <t>Cymunedau yn Gyntaf (addysg)</t>
  </si>
  <si>
    <t>Communities First (social services)</t>
  </si>
  <si>
    <t>Cymunedau yn Gyntaf (gwasanaethau cymdeithasol)</t>
  </si>
  <si>
    <t>Recycling</t>
  </si>
  <si>
    <t xml:space="preserve">Community cohesion fund </t>
  </si>
  <si>
    <t>Cronfa cydlyniant cymunedol</t>
  </si>
  <si>
    <t>Community development (county and county borough councils)</t>
  </si>
  <si>
    <t>Datblygu cymunedol (cynghorau sir a chynghorau bwrdeistref sirol)</t>
  </si>
  <si>
    <t>Community fire safety (fire authorities only)</t>
  </si>
  <si>
    <t>Diogelwch tân cymunedol</t>
  </si>
  <si>
    <t>General administration</t>
  </si>
  <si>
    <t>Community focused schools</t>
  </si>
  <si>
    <t>Ysgolion bro</t>
  </si>
  <si>
    <t>Planning and development (including Gypsy sites)</t>
  </si>
  <si>
    <t>Community learning</t>
  </si>
  <si>
    <t>Dysgu cymunedol</t>
  </si>
  <si>
    <t>Community safety</t>
  </si>
  <si>
    <t>Community purposes (housing)</t>
  </si>
  <si>
    <t>Dibenion cymunedol (tai)</t>
  </si>
  <si>
    <t>Community safety (CCTV)</t>
  </si>
  <si>
    <t>Community purposes (other)</t>
  </si>
  <si>
    <t>Dibenion cymunedol (arall)</t>
  </si>
  <si>
    <t>Regulatory services (Environmental health)</t>
  </si>
  <si>
    <t>Staff addysgu</t>
  </si>
  <si>
    <t>Community purposes (social services)</t>
  </si>
  <si>
    <t>Dibenion cymunedol (gwasanaethau cymdeithasol)</t>
  </si>
  <si>
    <t>Regulatory services (Trading Standards)</t>
  </si>
  <si>
    <t>Staff cymorth</t>
  </si>
  <si>
    <t>Community safety - crime reduction (excluding CCTV)</t>
  </si>
  <si>
    <t>Diogelwch cymunedol - gostwng troseddu (ac eithrio teledu cylch cyfyng)</t>
  </si>
  <si>
    <t>Miscellaneous</t>
  </si>
  <si>
    <t>Treuliau anuniongyrchol gweithwyr cyflogedig</t>
  </si>
  <si>
    <t>Community safety - safety services</t>
  </si>
  <si>
    <t>Diogelwch cymunedol - gwasanaethau diogelwch</t>
  </si>
  <si>
    <t>Industrial and commercial</t>
  </si>
  <si>
    <t xml:space="preserve">Atgyweirio a chynnal a chadw </t>
  </si>
  <si>
    <t>Conservation</t>
  </si>
  <si>
    <t>Cadwraeth</t>
  </si>
  <si>
    <t>Other trading services</t>
  </si>
  <si>
    <t>Gwariant arall ar safleoedd</t>
  </si>
  <si>
    <t>Contribution from(+) / to(-) HRA to(+) / from(-) council fund</t>
  </si>
  <si>
    <t>Cyfraniad o(+) / i(-) y Cyfrif Refeniw Tai (HRA) i(+) / o(-) gronfa'r cyngor</t>
  </si>
  <si>
    <t>Cyfarpar addysg</t>
  </si>
  <si>
    <t>Contribution to(+) / from(-) the HRA (re items shared by the whole community)</t>
  </si>
  <si>
    <t xml:space="preserve">Cyfraniad i(+) / o(-) yr HRA (ar gyfer eitemau a rennir gan y gymuned gyfan) </t>
  </si>
  <si>
    <t>Gwariant arall</t>
  </si>
  <si>
    <t>Coroners' courts services</t>
  </si>
  <si>
    <t>Gwasanaethau llysoedd y crwneriaid</t>
  </si>
  <si>
    <t>Corporate and democratic core costs</t>
  </si>
  <si>
    <t>Costau craidd democrataidd a chorfforaethol</t>
  </si>
  <si>
    <t>Coroners' courts</t>
  </si>
  <si>
    <t>Council tax collection</t>
  </si>
  <si>
    <t>Casglu'r dreth gyngor</t>
  </si>
  <si>
    <t>Cyfanswm gwariant wedi'i ddirprwyo i ysgolion meithrin</t>
  </si>
  <si>
    <t>Council tax reduction scheme (excluding that amount financed by RSG)</t>
  </si>
  <si>
    <t>Cynllun gostyngiadau'r dreth gyngor (ac eithrio'r swm a gaiff ei gyllido gan y GCR)</t>
  </si>
  <si>
    <t>Cyfanswm gwariant wedi'i ddirprwyo i ysgolion cynradd</t>
  </si>
  <si>
    <t>Council tax reduction scheme (including RSG element)</t>
  </si>
  <si>
    <t>Cynllun gostyngiadau'r dreth gyngor (gan gynnwys yr elfen Grant Cynnal Refeniw)</t>
  </si>
  <si>
    <t>Figures in blue are calculated, the cells are protected.</t>
  </si>
  <si>
    <t>Cyfanswm gwariant wedi'i ddirprwyo i ysgolion uwchradd</t>
  </si>
  <si>
    <t>Council tax reduction scheme administration</t>
  </si>
  <si>
    <t>Gweinyddu cynllun gostyngiadau'r dreth gyngor</t>
  </si>
  <si>
    <t>Acquisition of land and existing buildings</t>
  </si>
  <si>
    <t>Cyfanswm gwariant wedi'i ddirprwyo i ysgolion arbennig</t>
  </si>
  <si>
    <t>Council tax reduction scheme administration grant</t>
  </si>
  <si>
    <t>Grant gweinyddu cynllun gostyngiadau'r dreth gyngor</t>
  </si>
  <si>
    <t>New construction, conversion and renovation</t>
  </si>
  <si>
    <t>Countryside council for Wales</t>
  </si>
  <si>
    <t>Cyngor Cefn Gwlad Cymru</t>
  </si>
  <si>
    <t>Vehicles</t>
  </si>
  <si>
    <t>Cyfanswm gwariant wedi'i ddirprwyo i ysgolion</t>
  </si>
  <si>
    <t>Crime reduction &amp; anti social behaviour fund</t>
  </si>
  <si>
    <t>Cronfa gostwng troseddu ac ymddygiad gwrthgymdeithasol</t>
  </si>
  <si>
    <t>Plant machinery and equipment</t>
  </si>
  <si>
    <t>Anghenion dysgu ychwanegol - Ysgolion meithrin</t>
  </si>
  <si>
    <t>Culture and Heritage (including CyMAL Innovation and Development Grants)</t>
  </si>
  <si>
    <t>Diwyllliant a Threftadaeth (gan gynnwys Grantiau Arleosi a Datblygu CyMAL</t>
  </si>
  <si>
    <t>Anghenion dysgu ychwanegol - Ysgolion cynradd</t>
  </si>
  <si>
    <t>Debt financing grants</t>
  </si>
  <si>
    <t>Grantiau cyllido dyledion</t>
  </si>
  <si>
    <t>Capital grants</t>
  </si>
  <si>
    <t>Anghenion dysgu ychwanegol - Ysgolion uwchradd</t>
  </si>
  <si>
    <t>Dedicated security posts (police authorities only)</t>
  </si>
  <si>
    <t>Swyddi diogelwch dynodedig (awdurdodau'r heddlu yn unig)</t>
  </si>
  <si>
    <t>Capital advances</t>
  </si>
  <si>
    <t>Anghenion dysgu ychwanegol - Ysgolion arbennig</t>
  </si>
  <si>
    <t>Dedicated security posts (police only)</t>
  </si>
  <si>
    <t>Swyddi diogelwch dynodedig (yr heddlu yn unig)</t>
  </si>
  <si>
    <t>Intangible fixed assets</t>
  </si>
  <si>
    <t>Delegated Expenditure</t>
  </si>
  <si>
    <t>Gwariant wedi'i Ddirprwyo</t>
  </si>
  <si>
    <t>Cyfanswm anghenion dysgu ychwanegol</t>
  </si>
  <si>
    <t>Delivering Transformation</t>
  </si>
  <si>
    <t>Cyflawni Trawsnewid</t>
  </si>
  <si>
    <t>Sale of fixed assets</t>
  </si>
  <si>
    <t>Digollediad rhwng awdurdodau - Ysgolion meithrin</t>
  </si>
  <si>
    <t>Domestic abuse</t>
  </si>
  <si>
    <t>Cam-drin Domestig</t>
  </si>
  <si>
    <t>Repayments of capital advances and grants</t>
  </si>
  <si>
    <t>Digollediad rhwng awdurdodau - Ysgolion cynradd</t>
  </si>
  <si>
    <t>Domestic Abuse Service Grant - DAC &amp; IDVA</t>
  </si>
  <si>
    <t>Grant Gwasanaeth Cam-drin Domestig - Cydgysylltwyr Cam-drin Domestig a Chynghorwyr Annibynnol ar Drais Domestig</t>
  </si>
  <si>
    <t>Digollediad rhwng awdurdodau - Ysgolion uwchradd</t>
  </si>
  <si>
    <t>Assets not funded by LA capital expenditure</t>
  </si>
  <si>
    <t>Digollediad rhwng awdurdodau - Ysgolion arbennig</t>
  </si>
  <si>
    <t>Education expenditure</t>
  </si>
  <si>
    <t>Gwariant addysg</t>
  </si>
  <si>
    <t>Capital expenditure and receipts</t>
  </si>
  <si>
    <t>Education Improvement Grant for Schools</t>
  </si>
  <si>
    <t>Grant Gwella Addysg ar gyfer ysgolion</t>
  </si>
  <si>
    <t>Expenditure</t>
  </si>
  <si>
    <t>Cyfanswm digollediad rhwng awdurdodau</t>
  </si>
  <si>
    <t>Education of gypsy children and traveller children</t>
  </si>
  <si>
    <t>Addysg plant sipsiwn a phlant teithwyr</t>
  </si>
  <si>
    <t>Receipts</t>
  </si>
  <si>
    <t>EEC milk grant</t>
  </si>
  <si>
    <t>Grant llefrith y Gymuned Economaidd Ewropeaidd</t>
  </si>
  <si>
    <t>Memo</t>
  </si>
  <si>
    <t>Elections</t>
  </si>
  <si>
    <t>Etholiadau</t>
  </si>
  <si>
    <t>£ thousand</t>
  </si>
  <si>
    <t>E-mail (please enter N/A if unavailable):</t>
  </si>
  <si>
    <t>E-bost (rhowch Amh os nad yw ar gael):</t>
  </si>
  <si>
    <t>Emergency planning</t>
  </si>
  <si>
    <t>Cynllunio at argyfwng</t>
  </si>
  <si>
    <t>COR 4:         Capital outturn 4</t>
  </si>
  <si>
    <t>Employee costs</t>
  </si>
  <si>
    <t>Costau cyflogeion</t>
  </si>
  <si>
    <t>Financing of capital expenditure and capital account summary, 2014-15</t>
  </si>
  <si>
    <t>Enter data in £ thousands</t>
  </si>
  <si>
    <t>Cofnodwch y data mewn £ miloedd</t>
  </si>
  <si>
    <t>Service block (COR 1-2 corresponding references)</t>
  </si>
  <si>
    <t>Environmental health - food safety</t>
  </si>
  <si>
    <t>Iechyd yr amgylchedd - diogelwch bwyd</t>
  </si>
  <si>
    <t>Equal pay costs</t>
  </si>
  <si>
    <t>Costau cyflog cyfartal</t>
  </si>
  <si>
    <t>Ethnic minority achievement</t>
  </si>
  <si>
    <t>Cyflawniad lleiafrifoedd ethnig</t>
  </si>
  <si>
    <t>EU milk grant</t>
  </si>
  <si>
    <t>Grant llefrith yr UE</t>
  </si>
  <si>
    <t>Housing (line 36)</t>
  </si>
  <si>
    <t>European community grants for education</t>
  </si>
  <si>
    <t xml:space="preserve">Grantiau'r Gymuned Ewropeaidd ar gyfer addysg </t>
  </si>
  <si>
    <t>European community grants for other local services (Objective 1 etc.)</t>
  </si>
  <si>
    <t xml:space="preserve">Grantiau'r Gymuned Ewropeaidd ar gyfer gwasanaethau lleol eraill (Amcan 1 etc) </t>
  </si>
  <si>
    <t>Staff - Ysgolion meithrin</t>
  </si>
  <si>
    <t>European Social Fund - COASTAL</t>
  </si>
  <si>
    <t>Cronfa Gymdeithasol Ewrop - ARFORDIROL</t>
  </si>
  <si>
    <t>Staff - Ysgolion cynradd</t>
  </si>
  <si>
    <t>European Union grants for education</t>
  </si>
  <si>
    <t>Grantiau'r Undeb Ewropeaidd ar gyfer addysg</t>
  </si>
  <si>
    <t>Staff - Ysgolion uwchradd</t>
  </si>
  <si>
    <t>Expenditure Check</t>
  </si>
  <si>
    <t>Gwririo Gwariant</t>
  </si>
  <si>
    <t>Staff - Ysgolion arbennig</t>
  </si>
  <si>
    <t>Expenditure supported by the Environment Development Fund</t>
  </si>
  <si>
    <t>Gwariant a gefnogwyd gan Gronfa Datblygu'r Amgylchedd</t>
  </si>
  <si>
    <t>Explanation</t>
  </si>
  <si>
    <t>Esboniad</t>
  </si>
  <si>
    <t>Cyfanswm staff</t>
  </si>
  <si>
    <t>External interest payments excluding any premia and discounts on debt rescheduling</t>
  </si>
  <si>
    <t>Taliadau llog allanol ac eithrio unrhyw bremiymau a disgowntiau ar aildrefnu dyled</t>
  </si>
  <si>
    <t>Gwariant cyfalaf a godwyd o'r cyfrif refeniw - Ysgolion meithrin</t>
  </si>
  <si>
    <t>External interest receipts on non-HRA balances</t>
  </si>
  <si>
    <t>Derbyniadau llog allanol ar falansau heblaw rhai HRA</t>
  </si>
  <si>
    <t>Gwariant cyfalaf a godwyd o'r cyfrif refeniw - Ysgolion cynradd</t>
  </si>
  <si>
    <t xml:space="preserve">Families First/Cymorth: other local services </t>
  </si>
  <si>
    <t>Teuluoedd yn Gyntaf/Cymorth: gwasanaethau lleol eraill</t>
  </si>
  <si>
    <t>Large Scale Voluntary Transfer (LSVT) levy</t>
  </si>
  <si>
    <t>Gwariant cyfalaf a godwyd o'r cyfrif refeniw - Ysgolion uwchradd</t>
  </si>
  <si>
    <t>Families First (education)</t>
  </si>
  <si>
    <t>Teuluoedd yn Gyntaf: wedi'i wario ar addysg</t>
  </si>
  <si>
    <t>Gwariant cyfalaf a godwyd o'r cyfrif refeniw - Ysgolion arbennig</t>
  </si>
  <si>
    <t>Families First (social services)</t>
  </si>
  <si>
    <t>Teuluoedd yn Gyntaf: wedi'i wario ar wasanaethau cymdeithasol</t>
  </si>
  <si>
    <t>Family learning</t>
  </si>
  <si>
    <t>Dysgu i'r teulu</t>
  </si>
  <si>
    <t>Acquisition of share or loan capital</t>
  </si>
  <si>
    <t>Fire and Rescue Services</t>
  </si>
  <si>
    <t>Gwasanaethau tȃn ac achub</t>
  </si>
  <si>
    <t>Flood and Coastal Erosion Risk Management</t>
  </si>
  <si>
    <t>Rheoli Perygl Llifogydd ac Erydu Arfordirol</t>
  </si>
  <si>
    <t>Expenditure by section 16(2) direction</t>
  </si>
  <si>
    <t>Cyllideb ysgol - Ysgolion cynradd</t>
  </si>
  <si>
    <t>Flood defence and land drainage</t>
  </si>
  <si>
    <t>Amddiffyn rhag llifogydd a draenio'r tir</t>
  </si>
  <si>
    <t>Cyllideb ysgol - Ysgolion uwchradd</t>
  </si>
  <si>
    <t>Flying start (education)</t>
  </si>
  <si>
    <t>Dechrau'n Deg (addysg)</t>
  </si>
  <si>
    <t>Disposal of share or loan capital</t>
  </si>
  <si>
    <t>Cyllideb ysgol - Ysgolion arbennig</t>
  </si>
  <si>
    <t>Flying Start (social services)</t>
  </si>
  <si>
    <t>Dechrau'n Deg (gwasanaethau cymdeithasol)</t>
  </si>
  <si>
    <t>For return by 29 July</t>
  </si>
  <si>
    <t>I'w ddychwelyd erbyn 29 Gorffennaf</t>
  </si>
  <si>
    <t>Foundation phase</t>
  </si>
  <si>
    <t>Y Cyfnod Sylfaen</t>
  </si>
  <si>
    <t>Gwella ysgolion - Ysgolion meithrin</t>
  </si>
  <si>
    <t>General grants, bequests and donations</t>
  </si>
  <si>
    <t>Grantiau, cymynroddion a rhoddion cyffredinol</t>
  </si>
  <si>
    <t>COR 4: Capital outturn 4</t>
  </si>
  <si>
    <t>Gwella ysgolion - Ysgolion cynradd</t>
  </si>
  <si>
    <t>Grant is more than expenditure</t>
  </si>
  <si>
    <t>Grant yn fwy na'r gwariant</t>
  </si>
  <si>
    <t>Gwella ysgolion - Ysgolion uwchradd</t>
  </si>
  <si>
    <t>Highways, Roads and Transport</t>
  </si>
  <si>
    <t>Priffyrdd, ffyrdd a thrafnidiaeth</t>
  </si>
  <si>
    <t>Gwella ysgolion - Ysgolion arbennig</t>
  </si>
  <si>
    <t>Housing</t>
  </si>
  <si>
    <t>Tai</t>
  </si>
  <si>
    <t>Housing benefit administration grant</t>
  </si>
  <si>
    <t>Grant gweinyddu budd-dal tai</t>
  </si>
  <si>
    <t>Resources to be used to finance capital expenditure:</t>
  </si>
  <si>
    <t>Housing Council Fund</t>
  </si>
  <si>
    <t>Tai Cronfa'r Cyngor</t>
  </si>
  <si>
    <t>Capital grants from the Welsh Government and other UK Government Departments</t>
  </si>
  <si>
    <t>Housing revenue account reconciliation</t>
  </si>
  <si>
    <t>Cysoni'r cyfrif refeniw tai (HRA)</t>
  </si>
  <si>
    <t>Grants from European Community Structural Funds (including ERDF)</t>
  </si>
  <si>
    <t>HRA corporate and democratic core costs</t>
  </si>
  <si>
    <t>Costau craidd corfforaethol a democrataidd  HRA</t>
  </si>
  <si>
    <t>Grants and contributions from Welsh Government sponsored public bodies / non-departmental public bodies</t>
  </si>
  <si>
    <t>HRA expenditure and income (excluding interactions with the council fund)</t>
  </si>
  <si>
    <t>Gwariant ac incwm HRA (ac eithrio rhyngweithio gyda chronfa'r cyngor)</t>
  </si>
  <si>
    <t>Funding from National Lottery</t>
  </si>
  <si>
    <t xml:space="preserve">HRA 'item 8' interest payments/receipts </t>
  </si>
  <si>
    <t>Taliadau/derbyniadau llog 'eitem 8' HRA</t>
  </si>
  <si>
    <t>Other grants and contributions including those from private developers</t>
  </si>
  <si>
    <t>HRA unapportionable central overheads costs</t>
  </si>
  <si>
    <t>Costau gorbenion canolog HRA na ellir eu dosrannu</t>
  </si>
  <si>
    <t>Icelandic bank impairment</t>
  </si>
  <si>
    <t>Amhariad banciau Gwlad yr Iâ</t>
  </si>
  <si>
    <t>Use of capital receipts</t>
  </si>
  <si>
    <t>In year council tax collection – difference from budget</t>
  </si>
  <si>
    <t>Casglu'r dreth gyngor yn ystod y flwyddyn - gwahaniaeth o'r gyllideb</t>
  </si>
  <si>
    <t>Major Repairs Allowance (MRA)</t>
  </si>
  <si>
    <t>Induction</t>
  </si>
  <si>
    <t>Ymsefydlu</t>
  </si>
  <si>
    <t>Capital expenditure charged to a revenue account (non-HRA)</t>
  </si>
  <si>
    <t>Information specified on these returns must be submitted under section 168 of the 1972 Local Government Act.</t>
  </si>
  <si>
    <t>Rhaid cyflwyno'r wybodaeth y gofynnir amdani yn y ffurflenni hyn o dan adran 168 o Ddeddf Llywodraeth Leol 1972.</t>
  </si>
  <si>
    <t>Capital expenditure charged to a revenue account (HRA)</t>
  </si>
  <si>
    <t>Integrated family support team</t>
  </si>
  <si>
    <t>Tîm integredig cymorth i deuluoedd</t>
  </si>
  <si>
    <t>Borrowing and credit arrangements that attract central government support (non-HRA)</t>
  </si>
  <si>
    <t>Investigation</t>
  </si>
  <si>
    <t>Ymchwilio</t>
  </si>
  <si>
    <t>Borrowing and credit arrangements that attract central government support (HRA)</t>
  </si>
  <si>
    <t>Is a negative expenditure figure correct?</t>
  </si>
  <si>
    <t>A yw ffigur gwariant negyddol yn gywir?</t>
  </si>
  <si>
    <t>Rheoli strategol - Ysgolion meithrin</t>
  </si>
  <si>
    <t>LA animal health and welfare framework funding</t>
  </si>
  <si>
    <t xml:space="preserve">Cyllid fframwaith iechyd a lles anifeiliaid yr ALl </t>
  </si>
  <si>
    <t>Other borrowing and credit arrangements (non-HRA)</t>
  </si>
  <si>
    <t>Rheoli strategol - Ysgolion cynradd</t>
  </si>
  <si>
    <t>Land Reclaimation S16</t>
  </si>
  <si>
    <t>Adfer Tir A16</t>
  </si>
  <si>
    <t>Other borrowing and credit arrangements (HRA)</t>
  </si>
  <si>
    <t>Rheoli strategol - Ysgolion uwchradd</t>
  </si>
  <si>
    <t>Language and play</t>
  </si>
  <si>
    <t>Iaith a chwarae</t>
  </si>
  <si>
    <t>Rheoli strategol - Ysgolion arbennig</t>
  </si>
  <si>
    <t>Lead Local Flood Authorities (LLFA) Grant</t>
  </si>
  <si>
    <t>Grant Awdurdodau Llifogydd Lleol Arweiniol (LLFA)</t>
  </si>
  <si>
    <t>Learning pathways (14-19)</t>
  </si>
  <si>
    <t>Llwybrau dysgu</t>
  </si>
  <si>
    <t>PLEASE COMPLETE THE LINES BELOW ON A PFI ON-BALANCE SHEET BASIS</t>
  </si>
  <si>
    <t>Cyfanswm rheoli strategol</t>
  </si>
  <si>
    <t>Leasing payments (excluding any capital financing element within PFI schemes)</t>
  </si>
  <si>
    <t>Taliadau prydlesu (ac eithrio unrhyw elfennau cyllido cyfalaf o fewn cylluniau PFI)</t>
  </si>
  <si>
    <t>Capital financing requirement:</t>
  </si>
  <si>
    <t>less council tax reduction scheme (including RSG element)</t>
  </si>
  <si>
    <t>wedi tynnu cynllun gostyngiadau'r dreth gyngor (gan gynnwys yr elfen Grant Cynnal Refeniw)</t>
  </si>
  <si>
    <t>Capital Financing Requirement as at 1 April</t>
  </si>
  <si>
    <t>less council tax reduction scheme grant</t>
  </si>
  <si>
    <t>wedi tynnu grant cynllun gostyngiadau'r dreth gyngor</t>
  </si>
  <si>
    <t>less specific and special grants (excluding council tax reduction scheme grant)</t>
  </si>
  <si>
    <t>wedi tynnu grantiau penodol ac arbennig (ac eithrio grant cynllun gostyngiadau'r dreth gyngor)</t>
  </si>
  <si>
    <t>Minimum Revenue Provision &amp; voluntary contributions</t>
  </si>
  <si>
    <t>Levies (Police)</t>
  </si>
  <si>
    <t>Ardollau (yr Heddlu)</t>
  </si>
  <si>
    <t>Levies income from contributing County and County Borough Councils</t>
  </si>
  <si>
    <t>Incwm Ardollau gan gynghorau Sir a Chynghorau Bwrdeistref Sirol Sy'n Cyfrannu</t>
  </si>
  <si>
    <t>Levies paid to the Environment Agency acting as an Internal Drainage Board</t>
  </si>
  <si>
    <t>Ardollau a dalwyd i Asiantaeth yr Amgylchedd yn gweithredu fel Bwrdd Draenio Mewnol</t>
  </si>
  <si>
    <t>Borrowing, credit and investments at start of year:</t>
  </si>
  <si>
    <t>Levies paid to the Environment Agency in respect of Local Flood Defence Committees</t>
  </si>
  <si>
    <t>Ardollau a dalwyd i Asiantaeth yr Amgylchedd mewn perthynas â Phwyllgorau Lleol Amddiffyn rhag Llifogydd</t>
  </si>
  <si>
    <t>Gross borrowing as at start of year</t>
  </si>
  <si>
    <t>Local Government Financial Statistics Unit,</t>
  </si>
  <si>
    <t>Uned Ystadegau Ariannol Llywodraeth Leol,</t>
  </si>
  <si>
    <t>Other long-term liabilities as at start of year</t>
  </si>
  <si>
    <t>Local land charges</t>
  </si>
  <si>
    <t>Pridiannau tir lleol</t>
  </si>
  <si>
    <t>Investments as at start of year</t>
  </si>
  <si>
    <t>Local Transport Fund (formerly Local Transport Grant)</t>
  </si>
  <si>
    <t>Cronfa Trafnidiaeth Leol (Grant Trafnidiaeth Leol yn flaenorol)</t>
  </si>
  <si>
    <t>Borrowing, credit and investments at end of year:</t>
  </si>
  <si>
    <t>Local Welfare Assistance Schemes</t>
  </si>
  <si>
    <t>Cynlluniau Cymorth Lles Lleol</t>
  </si>
  <si>
    <t>Gross borrowing as at year end</t>
  </si>
  <si>
    <t>Mandatory rent allowances</t>
  </si>
  <si>
    <t>Lwfansau rhent gorfodol</t>
  </si>
  <si>
    <t>Other long-term liabilities as at year end</t>
  </si>
  <si>
    <t>Gwariant ysgol - ysgolion meithrin</t>
  </si>
  <si>
    <t>Mandatory rent rebates (HRA)</t>
  </si>
  <si>
    <t>Ad-daliadau rhent gorfodol (HRA)</t>
  </si>
  <si>
    <t>Investments as at year end</t>
  </si>
  <si>
    <t>Gwariant ysgol - Ysgolion cynradd</t>
  </si>
  <si>
    <t>Name:</t>
  </si>
  <si>
    <t>Enw:</t>
  </si>
  <si>
    <t>Operational boundary and authorised limit:</t>
  </si>
  <si>
    <t>Gwariant ysgol - Ysgolion uwchradd</t>
  </si>
  <si>
    <t>National Parks' grant (national park authorities only)</t>
  </si>
  <si>
    <t>Grant Parciau Cenedlaethol (awdurdodau parciau cenedlaethol yn unig)</t>
  </si>
  <si>
    <t>Operational boundary for external debt as at start of year</t>
  </si>
  <si>
    <t>Gwariant ysgol - Ysgolion arbennig</t>
  </si>
  <si>
    <t>National Parks' revenue grant (national park authorities only)</t>
  </si>
  <si>
    <t>Grant refeniw Parciau Cenedlaethol (awdurdodau parciau cenedlaethol yn unig)</t>
  </si>
  <si>
    <t>Authorised limit for external debt as at start of year</t>
  </si>
  <si>
    <t>National police coordination centre (police authorities only)</t>
  </si>
  <si>
    <t>Canolfan gydgysylltu genedlaethol yr heddlu (awdurdodau'r heddlu yn unig)</t>
  </si>
  <si>
    <t>Operational boundary for external debt as at year end</t>
  </si>
  <si>
    <t>Cyfanswm gwariant ysgol</t>
  </si>
  <si>
    <t>National police coordination centre (police only)</t>
  </si>
  <si>
    <t>Canolfan gydgysylltu genedlaethol yr heddlu (yr heddlu yn unig)</t>
  </si>
  <si>
    <t>Authorised limit for external debt as at year end</t>
  </si>
  <si>
    <t>Natural Resources Wales (formerly Countryside Council for Wales)</t>
  </si>
  <si>
    <t>Cyfoeth Naturiol Cymru (Cyngor Cefn Gwlad Cymru yn flaenorol)</t>
  </si>
  <si>
    <t>NDC costs attributable to Carbon Reduction Commitment (CRC) transactions</t>
  </si>
  <si>
    <t>Costau heb eu dosbarthu yn ymwneud â thrafodiadau Ymrwymiad Lleihau Carbon</t>
  </si>
  <si>
    <t>Darpariaeth dan 5 oed heb fod mewn ysgol feithrin, ysgol gynradd nac ysgol arbennig</t>
  </si>
  <si>
    <t>NDC costs attributable to council fund housing services</t>
  </si>
  <si>
    <t>Costau heb eu dosbarthuyn ymwneud â gwasanaethau tai cronfa'r cyngor</t>
  </si>
  <si>
    <t>Addysg i oedolion</t>
  </si>
  <si>
    <t>NDC costs attributable to courts' services</t>
  </si>
  <si>
    <t xml:space="preserve">Costau heb eu dosbarthu yn ymwneud â gwasanaethau llyosedd </t>
  </si>
  <si>
    <t>NDC costs attributable to cultural and related services</t>
  </si>
  <si>
    <t>Costau heb eu dosbarthu yn ymwneud â gwasanaethau diwylliannol a chysylltiedig</t>
  </si>
  <si>
    <t>Memorandum:</t>
  </si>
  <si>
    <t>Addysg gymunedol</t>
  </si>
  <si>
    <t>NDC costs attributable to education services</t>
  </si>
  <si>
    <t xml:space="preserve">Costau heb eu dosbarthu yn ymwneud â gwasanaethau addysg </t>
  </si>
  <si>
    <t>Additional liabilities of Local Authority companies:</t>
  </si>
  <si>
    <t>NDC costs attributable to environmental services</t>
  </si>
  <si>
    <t xml:space="preserve">Costau heb eu dosbarthu yn ymwneud â gwasanaethau amgylcheddol </t>
  </si>
  <si>
    <t>Gross borrowing and other long-term liabilities as at start of year</t>
  </si>
  <si>
    <t>Cymorth i fyfyrwyr: dyfarniadau dewisol</t>
  </si>
  <si>
    <t>NDC costs attributable to highways, roads and transport services</t>
  </si>
  <si>
    <t xml:space="preserve">Costau heb eu dosbarthu yn ymwneud â gwasanaethau priffyrdd, ffyrdd a thrafnidiaeth </t>
  </si>
  <si>
    <t>Gross borrowing and other long-term liabilities as at end of year</t>
  </si>
  <si>
    <t>NDC costs attributable to personal social services</t>
  </si>
  <si>
    <t xml:space="preserve">Costau heb eu dosbarthu yn ymwneud â gwasanaethau cymdeithasol personol </t>
  </si>
  <si>
    <t>Gross HRA unsupported borrowing:</t>
  </si>
  <si>
    <t>Cymorth i fyfyrwyr: dyfarniadau gorfodol</t>
  </si>
  <si>
    <t>NDC costs attributable to planning and development services</t>
  </si>
  <si>
    <t xml:space="preserve">Costau heb eu dosbarthu yn ymwneud â gwasanaethau datblygu </t>
  </si>
  <si>
    <t>At start of year</t>
  </si>
  <si>
    <t>Non-domestic rates collection</t>
  </si>
  <si>
    <t>Casglu ardrethi annomestig</t>
  </si>
  <si>
    <t>At end of year</t>
  </si>
  <si>
    <t>Rhwymedigaethau pensiwn gweddilliol: addysg bellach</t>
  </si>
  <si>
    <t>not used</t>
  </si>
  <si>
    <t>heb ei ddefnyddio</t>
  </si>
  <si>
    <t>The Authority’s figures for the LGBI for highways’ improvements</t>
  </si>
  <si>
    <t>Rhwymedigaethau pensiwn gweddilliol: gwasanaethau eraill heb fod mewn ysgolion</t>
  </si>
  <si>
    <t>NOTE: Only include components relating to Icelandic bank impairment on lines 140 to 142.</t>
  </si>
  <si>
    <t xml:space="preserve">SYLWCH: Defnyddiwch elfennau sy'n ymwneud ag amhariad banciau Gwlad yr Iâ ar linellau 140 i 142 yn unig, </t>
  </si>
  <si>
    <t>Amount included in line 31.1 above relating to the LGBI for highways’ improvements</t>
  </si>
  <si>
    <t>NOVUS</t>
  </si>
  <si>
    <t>Please use white cells for input only</t>
  </si>
  <si>
    <t>NOVUS grant</t>
  </si>
  <si>
    <t>Grant NOVUS</t>
  </si>
  <si>
    <t>Blue cells are calculated</t>
  </si>
  <si>
    <t>Cyfanswm gwariant refeniw ar addysg</t>
  </si>
  <si>
    <t>Number and extension:</t>
  </si>
  <si>
    <t>Rhif ac estyniad:</t>
  </si>
  <si>
    <t>Gold cells are not used</t>
  </si>
  <si>
    <t>Of which: transfers (#)</t>
  </si>
  <si>
    <t>Ac o hynny: trosglwyddiadau (#)</t>
  </si>
  <si>
    <t xml:space="preserve">Lines 32 and 19 should be equal.  Any difference is shown here:          </t>
  </si>
  <si>
    <t>One off equal pay costs  - falling on the schools budget</t>
  </si>
  <si>
    <t>Costau untro cyflog cyfartal - o gyllideb yr ysgolion</t>
  </si>
  <si>
    <t>On Balance Sheet PFI Financing</t>
  </si>
  <si>
    <t>One off equal pay costs - chargeable to any other revenue account</t>
  </si>
  <si>
    <t>Costau untro cyflog cyfartal - o unrhyw gyfrif refeniw arall</t>
  </si>
  <si>
    <t>Other (including emergency financial assistance) (specify in list below line 999)</t>
  </si>
  <si>
    <t>Arall (gan gynnwys cymorth ariannol brys) (rhowch fanylion yn y rhestr o dan llinell 999)</t>
  </si>
  <si>
    <t>Other (please specify)</t>
  </si>
  <si>
    <t>Arall (rhowch fanylion)</t>
  </si>
  <si>
    <t>OTHER COUNCIL FUND HOUSING SERVICES</t>
  </si>
  <si>
    <t>GWASANAETHAU ERAILL TAI CRONFA'R CYNGOR</t>
  </si>
  <si>
    <t>Validation checks</t>
  </si>
  <si>
    <t>Other courts services</t>
  </si>
  <si>
    <t>Arall - gwasanaethau llysoedd</t>
  </si>
  <si>
    <t>CAPITAL FINANCING</t>
  </si>
  <si>
    <t>Other education (including emergency financial assistance) (specify in list below line 999)</t>
  </si>
  <si>
    <t>Arall - addysg (gan gynnwys cymorth ariannol brys) (rhowch fanylion yn y rhestr o dan llinell 999)</t>
  </si>
  <si>
    <t>Line 30.1 and 30.2 greater than 0</t>
  </si>
  <si>
    <t>Other education (please specify)</t>
  </si>
  <si>
    <t>Arall - addysg (rhowch fanylion)</t>
  </si>
  <si>
    <t>Line 35 as a percentage of line 33</t>
  </si>
  <si>
    <t xml:space="preserve">Other employee costs (included in line 109, column 1.20) </t>
  </si>
  <si>
    <t>Arall - costau cyflogeion (wedi'i gynnwys yn llinell 109, colofn 1.20)</t>
  </si>
  <si>
    <t>Line 38 + line 39 greater than 0</t>
  </si>
  <si>
    <t>Other highways, roads and transport (please specify)</t>
  </si>
  <si>
    <t>Arall - priffyrdd, ffyrdd a thranfnidiaeth (rhowch fanylion)</t>
  </si>
  <si>
    <t>Line 38 + line 39 as a percentage of line 33</t>
  </si>
  <si>
    <t>Other home office and Lord Chancellor's Department (please specify)</t>
  </si>
  <si>
    <t>Arall - y Swyddfa Gartref ac Adran yr Arglwydd Ganghellor (rhowch fanylion)</t>
  </si>
  <si>
    <t>Line 40 or 43 greater than 1</t>
  </si>
  <si>
    <t>Other Home Office, Department for Constitutional Affairs and Unified Courts Administration (specify on last page)</t>
  </si>
  <si>
    <t>Arall - y Swyddfa Gartref, yr Adran Materion Cyfansoddiadol a Gweinyddiaeth y Llysoedd Unedig (rhowch fanylion ar y dudalen olaf)</t>
  </si>
  <si>
    <t>Line 41 + line 42 greater than 0</t>
  </si>
  <si>
    <t>Other housing (including Bellwin scheme grants covering housing expenditure) (please specify)</t>
  </si>
  <si>
    <t xml:space="preserve">Arall - tai (gan gynnwys grantiau Cynllun Bellwin ar gyfer gwariant tai) (rhowch fanylion) </t>
  </si>
  <si>
    <t>Line 44 greater than or equal to line 38 + line 39</t>
  </si>
  <si>
    <t>Other housing (including Emergency Financial Assistance) (specify in list below line 999)</t>
  </si>
  <si>
    <t>Arall - tai (gan gynnwys Cymorth Ariannol Brys) (rhowch fanylion yn y rhestr o dan llinell 999)</t>
  </si>
  <si>
    <t>Line 45 greater than or equal to line 44</t>
  </si>
  <si>
    <t>Other NDC costs</t>
  </si>
  <si>
    <t>Arall - Costau heb eu dosbarthu</t>
  </si>
  <si>
    <t>Line 47 greater than or equal to line 46</t>
  </si>
  <si>
    <t>Other road and transport (specify on last page)</t>
  </si>
  <si>
    <t>Arall - ffyrdd a thrafnidiaeth (rhowch fanylion ar y dudalen olaf)</t>
  </si>
  <si>
    <t>Line 46 greater than or equal to line 41 + line 42</t>
  </si>
  <si>
    <t>Other Services</t>
  </si>
  <si>
    <t>Gwasanaethau Eraill</t>
  </si>
  <si>
    <t>Line 45 greater than or equal to line 37</t>
  </si>
  <si>
    <t>Other social service (including Bellwin scheme covering social service expenditure) (please specify)</t>
  </si>
  <si>
    <t>Arall - gwasanaethau cymdeithasol (gan gynnwys Cynllun Bellwin ar gyfer gwariant gwasanaethau cymdeithasol) (rhowch fanylion)</t>
  </si>
  <si>
    <t>Line 47 greater than or equal to line 37</t>
  </si>
  <si>
    <t>Other social services (including emergency financial assistance) (specify in list below line 999)</t>
  </si>
  <si>
    <t>Arall - gwasanaethau cymdeithasol (gan gynnwys cymorth ariannol brys) (rhowch fanylion yn y rhestr o dan llinell 999)</t>
  </si>
  <si>
    <t>Line 48 less than half of line 38 + line 39</t>
  </si>
  <si>
    <t>Other welfare services</t>
  </si>
  <si>
    <t>Arall - gwasanaethau lles</t>
  </si>
  <si>
    <t>Line 49 + less than half of line 41 + line 42</t>
  </si>
  <si>
    <t>Out of school child care</t>
  </si>
  <si>
    <t xml:space="preserve">Gofal plant y tu allan i oriau ysgol </t>
  </si>
  <si>
    <t>Line 43 greater than 0</t>
  </si>
  <si>
    <t>Out of School Childcare</t>
  </si>
  <si>
    <t xml:space="preserve">Gofal Plant y Tu Allan i Oriau Ysgol </t>
  </si>
  <si>
    <t>Line 44 greater than 0</t>
  </si>
  <si>
    <t>Outcome agreement grant (formally IAG)</t>
  </si>
  <si>
    <t>Grant cytundeb canlyniadau (Grant Cytundeb Gwella yn flaenorol)</t>
  </si>
  <si>
    <t>Line 45 greater than 0</t>
  </si>
  <si>
    <t>PE &amp; school sports (PESS)</t>
  </si>
  <si>
    <t>Addysg gorfforol a chwaraeon mewn ysgolion</t>
  </si>
  <si>
    <t>Line 46 greater than 0</t>
  </si>
  <si>
    <t>Planning improvement fund for local planning authorities</t>
  </si>
  <si>
    <t>Y gronfa gwella cynllunio ar gyfer awdurdodau cynllunio lleol</t>
  </si>
  <si>
    <t>Line 47 greater than 0</t>
  </si>
  <si>
    <t>Please ensure that all blank cells are populated with zeros.  It is a Welsh Government audit requirement that all cells are completed.</t>
  </si>
  <si>
    <t xml:space="preserve">Gwnewch yn siŵr fod sero ym mhob cell wag. Mae'n un o ofynion archwiliadau Llywodraeth Cymru fod pob cell yn cael ei llenwi. </t>
  </si>
  <si>
    <t>Difference</t>
  </si>
  <si>
    <t>Please give the name and telephone number of the person who we may contact in case of queries:-</t>
  </si>
  <si>
    <t>Rhowch enw a rhif ffôn y person y gallwn gysylltu â hwy ar gyfer ymholiadau:-</t>
  </si>
  <si>
    <t>Please select your authority from the dropdown box on the FrontPage</t>
  </si>
  <si>
    <t>Dewiswch eich awdurdod o'r gwymplen ar y dudalen flaen</t>
  </si>
  <si>
    <t>comment</t>
  </si>
  <si>
    <t>Police and Home Office</t>
  </si>
  <si>
    <t>Yr Heddlu a'r Swyddfa Gartref</t>
  </si>
  <si>
    <t>Please comment below if necessary</t>
  </si>
  <si>
    <t>Police community support officers grant from the Welsh Government (police only)</t>
  </si>
  <si>
    <t>Grant swyddogion cymorth cymunedol yr heddlu gan Lywodraeth Cymru (yr heddlu yn unig)</t>
  </si>
  <si>
    <t>Please comment</t>
  </si>
  <si>
    <t>Police innovation fund (police only)</t>
  </si>
  <si>
    <t>Cronfa arloesi yr heddlu (yr heddlu yn unig)</t>
  </si>
  <si>
    <t>Clear</t>
  </si>
  <si>
    <t>Post-16 provision in schools</t>
  </si>
  <si>
    <t>Darpariaeth ôl-16 mewn ysgolion</t>
  </si>
  <si>
    <t>Public transport</t>
  </si>
  <si>
    <t>Trafnidiaeth gyhoeddus</t>
  </si>
  <si>
    <t>Please use the box below to give a brief supporting narrative of any major change in circumstances that might have an influence on</t>
  </si>
  <si>
    <t>Pupil deprivation grant</t>
  </si>
  <si>
    <t>Grant amddifadedd disgyblion</t>
  </si>
  <si>
    <t>forecast figures around this time.</t>
  </si>
  <si>
    <t>Recreation and sport (including sports council)</t>
  </si>
  <si>
    <t>Hamdden a chwaraeon (gan gynnwys cyngor chwaraeon)</t>
  </si>
  <si>
    <t>For example, significant changes or shifts in forecasts could be caused by: delays to projects, changing priorities for capital investment</t>
  </si>
  <si>
    <t>Regional collaboration grant</t>
  </si>
  <si>
    <t xml:space="preserve">Grant cydweithredu rhanbarthol </t>
  </si>
  <si>
    <t>or to tentatively identify any capital expenditure which may need to be covered by a capitalisation direction.</t>
  </si>
  <si>
    <t>Regional Transport Services Grant</t>
  </si>
  <si>
    <t>Grant Gwasanaethau Trafnidiaeth Rhanbarthol</t>
  </si>
  <si>
    <t>Registration of births, marriages and deaths</t>
  </si>
  <si>
    <t>Cofrestru genedigaethau, priodasau a marwolaethau</t>
  </si>
  <si>
    <t>Rent rebates granted to HRA tenants</t>
  </si>
  <si>
    <t>Ad-daliadau rhent a ganiatawyd i denantiaid HRA</t>
  </si>
  <si>
    <t>Revenue Outturn</t>
  </si>
  <si>
    <t>Alldro Refeniw</t>
  </si>
  <si>
    <t>Revised general central support (after council tax was set)</t>
  </si>
  <si>
    <t>Cymorth canolog cyffredinol diwygiedig (ar ôl pennu'r dreth gyngor)</t>
  </si>
  <si>
    <t>Revised police grant allocation under principal formula (after council tax was set)</t>
  </si>
  <si>
    <t>Dyraniad diwygiedig grant yr heddlu o dan y prif fformiwla (ar ôl pennu'r dreth gyngor)</t>
  </si>
  <si>
    <t>collection, analysis and aggregation of records and data required;</t>
  </si>
  <si>
    <t>Revised redistributed non-domestic rates income (after council tax was set)</t>
  </si>
  <si>
    <t>incwm diwygiedig ardrethi annomestig a ailddoabrthwyd (ar ôl pennu'r dreth gyngor)</t>
  </si>
  <si>
    <t>completing, checking, amending and approving the form.</t>
  </si>
  <si>
    <t>Revised revenue support grant (after council tax was set)</t>
  </si>
  <si>
    <t>Grant cynnal refeniw diwygiedig (ar ôl pennu'r dreth gyngor)</t>
  </si>
  <si>
    <t>Road Safety Grant</t>
  </si>
  <si>
    <t>Grant Diogelwch ar y Ffyrdd</t>
  </si>
  <si>
    <t>Running expenses</t>
  </si>
  <si>
    <t>Treuliau rhedeg</t>
  </si>
  <si>
    <t>Comments</t>
  </si>
  <si>
    <t>Safer communities fund</t>
  </si>
  <si>
    <t>Cronfa cymunedau mwy diogel</t>
  </si>
  <si>
    <t>Click the link below for notes for guidance for individual forms (Web access required)</t>
  </si>
  <si>
    <t>School effectiveness grant</t>
  </si>
  <si>
    <t>Grant effeithiolrwydd ysgolion</t>
  </si>
  <si>
    <t>Notes for guidance hyperlink</t>
  </si>
  <si>
    <t>School uniform grant</t>
  </si>
  <si>
    <t>Grant gwisg ysgol</t>
  </si>
  <si>
    <t>We are continually striving to improve the form to make it easier to complete, whilst still ensuring data integrity and consistency across all authorities. If you have any comments or suggestions that may be useful,  please note them below:</t>
  </si>
  <si>
    <t>Gwasanaeth</t>
  </si>
  <si>
    <t>Service strategy adult services</t>
  </si>
  <si>
    <t>Strategaeth gwasanaethau oedolion</t>
  </si>
  <si>
    <t>Social care workforce development programme</t>
  </si>
  <si>
    <t>Rhaglen datblygu'r gweithlu gofal cymdeithasol</t>
  </si>
  <si>
    <t xml:space="preserve">Social services - adults aged under 65 </t>
  </si>
  <si>
    <t>Gwasanaethau cymdeithasol - oedolion o dan 65 oed</t>
  </si>
  <si>
    <t>General comments</t>
  </si>
  <si>
    <t>Social services - children and families services</t>
  </si>
  <si>
    <t>Gwasanaethau cymdeithasol - gwasanaethau plant a theuluoedd</t>
  </si>
  <si>
    <t>Specialist ring fenced accounts</t>
  </si>
  <si>
    <t>Cyfrifon arbenigol wedi'u clustnodi</t>
  </si>
  <si>
    <t>Subjective breakdown of gross expenditure on central services, precepts and levies</t>
  </si>
  <si>
    <t>Dadansoddiad yn ôl pwnc o'r  gwariant gros ar wasanaethau canolog, praeseptau ac ardollau</t>
  </si>
  <si>
    <t>Subjective breakdown of gross expenditure on council fund housing services</t>
  </si>
  <si>
    <t>Dadansoddiad yn ôl pwnc o'r gwariant gros ar wasanaethau tai cronfa'r cyngor</t>
  </si>
  <si>
    <t>Subjective breakdown of gross expenditure on environmental services</t>
  </si>
  <si>
    <t>Dadansoddiad yn ôl pwnc o'r gwariant gros ar wasanaethau amgylcheddol</t>
  </si>
  <si>
    <t>Subjective breakdown of gross expenditure on fire services</t>
  </si>
  <si>
    <t>Dadansoddiad yn ôl pwnc o'r gwariant gros ar wasanaethau tân</t>
  </si>
  <si>
    <t>Subjective breakdown of gross expenditure on national parks' services</t>
  </si>
  <si>
    <t>Dadansoddiad yn ôl pwnc o'r gwariant gros ar wasanaethau parciau cenedlaethol</t>
  </si>
  <si>
    <t>Subjective breakdown of gross expenditure on planning and development and court services</t>
  </si>
  <si>
    <t>Dadansoddiad yn ôl pwnc o'r gwariant gros ar gynllunio a datblygu, a gwasanaethau llyosedd</t>
  </si>
  <si>
    <t>Subjective breakdown of gross expenditure on police services</t>
  </si>
  <si>
    <t>Dadansoddiad yn ôl pwnc o'r gwariant gros ar wasanaethau'r heddlu</t>
  </si>
  <si>
    <t>Substance Mis-use Action Fund</t>
  </si>
  <si>
    <t>Cronfa Weithredu ar Gamddefnyddio Sylweddau</t>
  </si>
  <si>
    <t>Substance misuse action fund (SMAF)</t>
  </si>
  <si>
    <t xml:space="preserve">Cronfa weithredu ar gamddefnyddio sylweddau </t>
  </si>
  <si>
    <t>Substance misuse action fund (SMAF) (other)</t>
  </si>
  <si>
    <t>Cronfa weithredu ar gamddefnyddio sylweddau (arall)</t>
  </si>
  <si>
    <t>Supporting people (housing)</t>
  </si>
  <si>
    <t>Cefnogi pobl (tai)</t>
  </si>
  <si>
    <t>Supporting people (social services)</t>
  </si>
  <si>
    <t>Cefnogi pobl (gwasanaethau cymdeithasol)</t>
  </si>
  <si>
    <t>Teacher costs (line 109, column 1.10)</t>
  </si>
  <si>
    <t>Costau athrawon (llinell 109, colofn 1.10)</t>
  </si>
  <si>
    <t>Telephone: 029 2082 - (5673 or 3963)</t>
  </si>
  <si>
    <t>Ffôn: 029 2082 - (5673 neu 3963)</t>
  </si>
  <si>
    <t>Telephone: STD code:</t>
  </si>
  <si>
    <t>This form should be completed on a non-FRS17 and PFI "Off Balance Sheet" basis.</t>
  </si>
  <si>
    <t>Dylid llenwi'r ffurflen hon heb fod ar sail FRS17 ac ar sail Menter Cyllid Preifat (PFI) "oddi ar y fantolen"</t>
  </si>
  <si>
    <t>Tidy towns grant</t>
  </si>
  <si>
    <t>Grant trefi taclus</t>
  </si>
  <si>
    <t>Total adults aged under 65 with learning disabilities</t>
  </si>
  <si>
    <t xml:space="preserve">Cyfanswm yr oedolion o dan 65 oed sydd ag anableddau dysgu </t>
  </si>
  <si>
    <t>Total adults aged under 65 with mental health needs</t>
  </si>
  <si>
    <t>Cyfanswm yr oedolion o dan 65 oed sydd ag anghenion iechyd meddwl</t>
  </si>
  <si>
    <t>Total central services</t>
  </si>
  <si>
    <t>Cyfanswm gwasanaethau canolog</t>
  </si>
  <si>
    <t>Total central services to the public</t>
  </si>
  <si>
    <t>Cyfanswm gwasanaethau canolog i'r cyhoedd</t>
  </si>
  <si>
    <t>Total community safety</t>
  </si>
  <si>
    <t>Cyfanswm diogelwch cymunedol</t>
  </si>
  <si>
    <t>Total conservation</t>
  </si>
  <si>
    <t>Cyfanswm cadwraeth</t>
  </si>
  <si>
    <t>Total contributing councils</t>
  </si>
  <si>
    <t>Cyfanswm cynghorau sy'n cyfrannu</t>
  </si>
  <si>
    <t>Total coroners' and other courts services</t>
  </si>
  <si>
    <t>Cyfanswm llysoedd y crwneriaid a llysoedd eraill</t>
  </si>
  <si>
    <t>Total corporate and democratic core</t>
  </si>
  <si>
    <t>Cyfanswm y craidd corfforaethol a democrataidd</t>
  </si>
  <si>
    <t>Total corporate and democratic core costs</t>
  </si>
  <si>
    <t>Cyfanswm costau'r craidd corfforaethol a democrataidd</t>
  </si>
  <si>
    <t>Total Education</t>
  </si>
  <si>
    <t>Cyfanswm Addysg</t>
  </si>
  <si>
    <t>Total environmental and regulatory services</t>
  </si>
  <si>
    <t>Cyfanswm gwasanaethau amgylcheddol a rheoleiddiol</t>
  </si>
  <si>
    <t>Total environmental health</t>
  </si>
  <si>
    <t>Cyfanswm iechyd yr amgylchedd</t>
  </si>
  <si>
    <t>Total fire services</t>
  </si>
  <si>
    <t>Cyfanswm gwasanaethau tân</t>
  </si>
  <si>
    <t>Total fire services including central costs</t>
  </si>
  <si>
    <t>Cyfanswm gwasanaethau tân, gan gynnwys costau canolog</t>
  </si>
  <si>
    <t>Total grants</t>
  </si>
  <si>
    <t>Cyfanswm grantiau</t>
  </si>
  <si>
    <t>Total Highways, Roads and Transport</t>
  </si>
  <si>
    <t>Cyfanswm Priffyrdd, Ffyrdd a Thrafnidiaeth</t>
  </si>
  <si>
    <t>Total Home Office, Department for Constitutional Affairs and Unified Courts Administration</t>
  </si>
  <si>
    <t>Cyfanswm y Swyddfa Gartref, yr Adran Materion Cyfansoddiadol a Gweinyddiaeth y Llysoedd Unedig</t>
  </si>
  <si>
    <t>Total Housing</t>
  </si>
  <si>
    <t>Cyfanswm Tai</t>
  </si>
  <si>
    <t>Total local tax collection</t>
  </si>
  <si>
    <t>Cyfanswm casglu trethi lleol</t>
  </si>
  <si>
    <t>Total national park services</t>
  </si>
  <si>
    <t>Cyfanswm gwasanaethau parciau cenedlaethol</t>
  </si>
  <si>
    <t>Total national park services including central costs</t>
  </si>
  <si>
    <t>Cyfanswm gwasanaethau parciau cenedlaethol gan gynnwys costau canolog</t>
  </si>
  <si>
    <t>Total non distributed costs</t>
  </si>
  <si>
    <t>Cyfanswm costau heb eu dosbarthu</t>
  </si>
  <si>
    <t>Total of all grants</t>
  </si>
  <si>
    <t>Cyfanswm yr holl grantiau</t>
  </si>
  <si>
    <t>Total other central costs</t>
  </si>
  <si>
    <t>Cyfanswm costau canolog eraill</t>
  </si>
  <si>
    <t>Total other council fund housing services</t>
  </si>
  <si>
    <t>Cyfanswm gwasanaethau eraill tai cronfa'r cyngor</t>
  </si>
  <si>
    <t>Total Other Local Services</t>
  </si>
  <si>
    <t>Cyfanswm Gwasanaethau Lleol Eraill</t>
  </si>
  <si>
    <t>Total Other Services</t>
  </si>
  <si>
    <t>Cyfanswm Gwasanaethau Eraill</t>
  </si>
  <si>
    <t>Total planning and development services</t>
  </si>
  <si>
    <t>Cyfanswm gwasanaethau cynllunio a datblygu</t>
  </si>
  <si>
    <t>Total police and Home Office</t>
  </si>
  <si>
    <t>Cyfanswm yr heddlu a'r Swyddfa Gartref</t>
  </si>
  <si>
    <t>Total police services</t>
  </si>
  <si>
    <t>Cyfanswm gwasanaethau'r heddlu</t>
  </si>
  <si>
    <t>Total Roads and Transport</t>
  </si>
  <si>
    <t>Cyfanswm Ffyrdd a Thrafnidiaeth</t>
  </si>
  <si>
    <t>Total waste</t>
  </si>
  <si>
    <t>Cyfanswm gwastraff</t>
  </si>
  <si>
    <t>Town Centre Partnerships (now includes tidy towns grant)</t>
  </si>
  <si>
    <t>Partneriaethau Canol Tref (nawr yn cynnwys grant trefi taclus)</t>
  </si>
  <si>
    <t>Tranquil greener, cleaner places</t>
  </si>
  <si>
    <t>Lleoedd tawelach, gwyrddach a glanach</t>
  </si>
  <si>
    <t>Transfer to HRA balance (column 1) or from (column 6b) HRA balance</t>
  </si>
  <si>
    <t>Trosglwyddo i falans HRA (colofn 1) neu o (colofn 6b) falans HRA</t>
  </si>
  <si>
    <t>Welsh in education (WEG) grant</t>
  </si>
  <si>
    <t>Grant y Gymraeg mewn Addysg</t>
  </si>
  <si>
    <t xml:space="preserve">Youth Concessionary Fares Scheme </t>
  </si>
  <si>
    <t>Cynllun Tocynnau Teithio Rhatach i Bobl Ifanc</t>
  </si>
  <si>
    <t>Youth Crime Prevention Fund</t>
  </si>
  <si>
    <t>Cronfa Atal Troseddau Ieuenctid</t>
  </si>
  <si>
    <t>Youth justice board</t>
  </si>
  <si>
    <t>Bwrdd cyfiawnder ieuenctid</t>
  </si>
  <si>
    <t>Youth justices board</t>
  </si>
  <si>
    <t>Youth Work Strategy Support Grant</t>
  </si>
  <si>
    <t>Grant Cymorth Strategaeth Gwaith Ieuenctid</t>
  </si>
  <si>
    <t>Validations</t>
  </si>
  <si>
    <t>Dilysu</t>
  </si>
  <si>
    <t>Sylwadau</t>
  </si>
  <si>
    <t>Asylum seekers children's services</t>
  </si>
  <si>
    <t>Gwasanaethau plant i geiswyr lloches</t>
  </si>
  <si>
    <t>Children looked after</t>
  </si>
  <si>
    <t>Plant sy'n derbyn gofal</t>
  </si>
  <si>
    <t>Family support services</t>
  </si>
  <si>
    <t>Gwasanaethau cymorth i deuluoedd</t>
  </si>
  <si>
    <t>Safeguarding children and young people's services</t>
  </si>
  <si>
    <t>Gwasanaethau diogelu plant a phobl ifanc</t>
  </si>
  <si>
    <t>Services for young people</t>
  </si>
  <si>
    <t>Gwasanaethau i bobl ifanc</t>
  </si>
  <si>
    <t>Additional learning needs within LA budget</t>
  </si>
  <si>
    <t xml:space="preserve">Anghenion dysgu ychwanegol o fewn cyllideb yr ALl </t>
  </si>
  <si>
    <t>Additional learning needs within school budget</t>
  </si>
  <si>
    <t>Anghenion dysgu ychwanegol o fewn cyllideb yr ysgol</t>
  </si>
  <si>
    <t>Adult social care</t>
  </si>
  <si>
    <t>Gofal cymdeithasol i Oedolion</t>
  </si>
  <si>
    <t>Adults aged under 65 with a physical disability or sensory impairment</t>
  </si>
  <si>
    <t>Oedolion o dan 65 oed sydd ag anabledd corfforol neu nam ar y synhwyrau</t>
  </si>
  <si>
    <t>Adults aged under 65 with learning disabilities</t>
  </si>
  <si>
    <t>Oedolion o dan 65 oed sydd ag anableddau dysgu</t>
  </si>
  <si>
    <t>Adults aged under 65 with mental health needs</t>
  </si>
  <si>
    <t>Oedolion o dan 65 oed sydd ag anghenion iechyd meddwl</t>
  </si>
  <si>
    <t>Aggregates of schools' financial reserves</t>
  </si>
  <si>
    <t>Symiau cyfunol cronfeydd ariannol wrth gefn ysgolion</t>
  </si>
  <si>
    <t>Amounts transferred to the capital account in respect of education</t>
  </si>
  <si>
    <t>Symiau a dosglwyddwyd i'r cyfrif cyfalaf ar gyfer addysg</t>
  </si>
  <si>
    <t>Children's social care</t>
  </si>
  <si>
    <t>Gofal cymdeithasol i blant</t>
  </si>
  <si>
    <t>Cultural and related services</t>
  </si>
  <si>
    <t>Gwasanaethau diwylliannol a chysylltiedig</t>
  </si>
  <si>
    <t xml:space="preserve">Employee costs </t>
  </si>
  <si>
    <t>Highways and transport services</t>
  </si>
  <si>
    <t>Gwasanaethau priffyrdd a thrafnidiaeth</t>
  </si>
  <si>
    <t>MEMORANDUM ITEMS</t>
  </si>
  <si>
    <t>EITEMAU MEMORANDWM</t>
  </si>
  <si>
    <t>Non-delegated schools expenditure</t>
  </si>
  <si>
    <t>Gwariant ysgolion heb ei ddirprwyo</t>
  </si>
  <si>
    <t>Of which payments to the voluntary sector</t>
  </si>
  <si>
    <t>Ac o hynny, taliadau i'r sector gwirfoddol</t>
  </si>
  <si>
    <t>Older people (aged 65 or over) including older mentally ill</t>
  </si>
  <si>
    <t>Pobl hyn (65 oed a throsodd) gan gynnwys pobl hyn sydd a salwtch meddwl</t>
  </si>
  <si>
    <t>Other adult services (aged under 65)</t>
  </si>
  <si>
    <t>Gwasanaethau eraill i oedolion (sydd o dan 65 oed)</t>
  </si>
  <si>
    <t xml:space="preserve">Other employee costs </t>
  </si>
  <si>
    <t>Costau eraill cyflogeion</t>
  </si>
  <si>
    <t>pay account</t>
  </si>
  <si>
    <t>cyfrif tâl</t>
  </si>
  <si>
    <t>Revenue amounts transferred to the capital account</t>
  </si>
  <si>
    <t>Symiau refeniw wedi'u trosglwyddo i'r cyfrif cyfalaf</t>
  </si>
  <si>
    <t xml:space="preserve">Running expenses </t>
  </si>
  <si>
    <t>SEN expenditure outside of special schools</t>
  </si>
  <si>
    <t>Gwariant AAA y tu allan i ysgolion arbennig</t>
  </si>
  <si>
    <t>services</t>
  </si>
  <si>
    <t>gwasanaethau</t>
  </si>
  <si>
    <t>Social services expenditure</t>
  </si>
  <si>
    <t>Gwariant gwasanaethau cymdeithasol</t>
  </si>
  <si>
    <t>Subjective breakdown of gross expenditure on cultural and related services</t>
  </si>
  <si>
    <t>Dadansoddiad yn ôl pwnc o'r gwariant gros ar wasanaethau diwylliannol a chysylltiedig</t>
  </si>
  <si>
    <t>Subjective breakdown of gross expenditure on education services</t>
  </si>
  <si>
    <t>Dadansoddiad yn ôl pwnc o'r gwariant gros ar wasanaethau addysg</t>
  </si>
  <si>
    <t>Subjective breakdown of gross expenditure on highways, roads and transport services</t>
  </si>
  <si>
    <t>Dadansoddiad yn ôl pwnc o'r gwariant gros ar wasanaethau priffyrdd, ffyrdd a thrafnidiaeth</t>
  </si>
  <si>
    <t>Subjective breakdown of gross expenditure on social services</t>
  </si>
  <si>
    <t>Dadansoddiad yn ôl pwnc o'r gwariant gros ar wasanaethau cymdeithasol</t>
  </si>
  <si>
    <t>Teacher costs</t>
  </si>
  <si>
    <t>Costau athrawon</t>
  </si>
  <si>
    <t>To be transferred to revenue summary form</t>
  </si>
  <si>
    <t>I'w drosglwyddo i'r ffurflen crynodeb o refeniw</t>
  </si>
  <si>
    <t>Total cultural and related services</t>
  </si>
  <si>
    <t>Cyfanswm gwasanaethau diwylliannol a chysylltiedig</t>
  </si>
  <si>
    <t>Total culture and heritage</t>
  </si>
  <si>
    <t>Cyfanswm diwylliant a threftadaeth</t>
  </si>
  <si>
    <t>Total net expenditure on SEN provision: middle schools (statemented and non-statemented pupils)</t>
  </si>
  <si>
    <t>Cyfanswm gwariant net ar ddarpariaeth AAA: ysgolion canol (disgyblion â datganiad a disgyblion heb ddatganiad)</t>
  </si>
  <si>
    <t>Total net expenditure on SEN provision: nursery schools (statemented and non-statemented pupils)</t>
  </si>
  <si>
    <t>Cyfanswm gwariant net ar ddarpariaeth AAA: ysgolion meithrin (disgyblion â datganiad a disgyblion heb ddatganiad)</t>
  </si>
  <si>
    <t>Total net expenditure on SEN provision: primary schools (statemented and non-statemented pupils)</t>
  </si>
  <si>
    <t>Cyfanswm gwariant net ar ddarpariaeth AAA: ysgolion cynradd (disgyblion â datganiad a disgyblion heb ddatganiad)</t>
  </si>
  <si>
    <t>Total net expenditure on SEN provision: secondary schools (statemented and non-statemented pupils)</t>
  </si>
  <si>
    <t>Cyfanswm gwariant net ar ddarpariaeth AAA: ysgolion uwchradd (disgyblion â datganiad a disgyblion heb ddatganiad)</t>
  </si>
  <si>
    <t>Total structural maintenance, highways and roads</t>
  </si>
  <si>
    <t>Cyfanswm cynnal a chadw strwythurol, priffyrdd a ffyrdd</t>
  </si>
  <si>
    <t>Transfers from (-) / to (+) schools' financial reserves of another LA</t>
  </si>
  <si>
    <t>Trosglwyddiadau o (-) / i (+) gronfeydd ariannol wrth gefn ysgolion mewn ALl arall</t>
  </si>
  <si>
    <t>Validations - please ensure these have been cleared before issuing your returns.</t>
  </si>
  <si>
    <t>Dilysu - gwnewch yn siŵr fod y rhain wedi cael eu cymeradwyo cyn cyflwyno eich ffurflenni</t>
  </si>
  <si>
    <t>If you have a variance, please record the reasons for these under the notes section.</t>
  </si>
  <si>
    <t>Os oes gennych amrywiant, cofnodwch y rhesymau dros hyn yn yr adran nodiadau.</t>
  </si>
  <si>
    <t>RG Total Education = RS Lines 1 + 2</t>
  </si>
  <si>
    <t>Cyfanswm RG Addysg = Llinellau RS 1 + 2</t>
  </si>
  <si>
    <t>RG Total Social Services = RS Lines 6 to 8</t>
  </si>
  <si>
    <t>Cyfanswm RG Gwasanaethau Cymdeithasol = Llinellau RS 6 i 8</t>
  </si>
  <si>
    <t>RG Total Highways = RS Lines 3 to 5</t>
  </si>
  <si>
    <t>Cyfanswm RG Priffyrdd = Llinellau RS 3 i 5</t>
  </si>
  <si>
    <t>RG Total Housing (less CTRS Admin) = RO8 line 26</t>
  </si>
  <si>
    <t>Cyfanswm RG Tai (wedi tynnu CTRS Gweinyddol) = RO8 llinell 26</t>
  </si>
  <si>
    <t>Employee Cost &lt;&gt;0</t>
  </si>
  <si>
    <t>Cost cyflogeion &lt;&gt;0</t>
  </si>
  <si>
    <t>RS Line 70 Column 4 - Should be less than £500k</t>
  </si>
  <si>
    <t>RS Llinell 70 Colofn 4 - Dylai fod yn llai na £500k</t>
  </si>
  <si>
    <t>(Non-significant) surpluses/deficits on internal trading accounts not disaggregated to services</t>
  </si>
  <si>
    <t>Gwargedau/Diffygion (ansylweddol) ar gyfrifon masnachu mewnol heb eu dadgyfuno yn ôl gwasanaeth</t>
  </si>
  <si>
    <t>RG Total Police = ROP Lines 6 and 11</t>
  </si>
  <si>
    <t>Cyfanswm RG Heddlu = ROP Llinellau 6 ac 11</t>
  </si>
  <si>
    <t>RG Line 201 = RO2 Line 26</t>
  </si>
  <si>
    <t xml:space="preserve">RG Llinell 201  = RO2 Llinell 26 </t>
  </si>
  <si>
    <t>Concessionary fares re-imbursement grant</t>
  </si>
  <si>
    <t>Grant ad-dalu tocynnau teithio rhatach</t>
  </si>
  <si>
    <t>RO5 25.6 Column 11 = RG 624 Column 1</t>
  </si>
  <si>
    <t>RO5 25.6 Colofn 11 = RG 624 Colofn 1</t>
  </si>
  <si>
    <t>Waste Grant</t>
  </si>
  <si>
    <t>Grant Gwastraff</t>
  </si>
  <si>
    <t>Tolerance +/- 1K</t>
  </si>
  <si>
    <t>Goddefiant +/- 1K</t>
  </si>
  <si>
    <t>RO4 Line 6 Column 11 = RG 603 Column 1</t>
  </si>
  <si>
    <t>RO4 Llinell 6 Colofn 11 = RG 603 Colofn 1</t>
  </si>
  <si>
    <t>Cultural &amp; heritage</t>
  </si>
  <si>
    <t>Diwylliannol a threftadaeth</t>
  </si>
  <si>
    <t>Less than</t>
  </si>
  <si>
    <t>Yn llai na</t>
  </si>
  <si>
    <t>Should</t>
  </si>
  <si>
    <t>Dylai fod</t>
  </si>
  <si>
    <t>RS Line 58 (col 4) / 
RS Line 60 (col 4)</t>
  </si>
  <si>
    <t>RS Llinell 58 (col 4) / 
RS Llinell 60 (col 4)</t>
  </si>
  <si>
    <t>RS Line 59 (col 4) / 
RS Line 60 (col 4)</t>
  </si>
  <si>
    <t>RS Llinell 59 (col 4) / 
RS Llinell 60 (col 4)</t>
  </si>
  <si>
    <t>RS Line 90
(col 5)</t>
  </si>
  <si>
    <t>RS Llinell 90
(col 5)</t>
  </si>
  <si>
    <t>RO8 Line 32 column 10</t>
  </si>
  <si>
    <t>RO8 Llinell 32 colofn 10</t>
  </si>
  <si>
    <t>Notes</t>
  </si>
  <si>
    <t>Nodiadau</t>
  </si>
  <si>
    <t>Cliciwch ar y ddolen isod i gael canllawiau ar gyfer y ffurflenni unigol (mae angen mynediad at y we)</t>
  </si>
  <si>
    <t>Hyperddolen canllawiau</t>
  </si>
  <si>
    <t>Alldro cyfalaf</t>
  </si>
  <si>
    <t>Dewiswch eich awdurdod</t>
  </si>
  <si>
    <t xml:space="preserve">Os oes angen, newidiwch enw a rhif ffôn y person y gallwn gysylltu â hwy ar gyfer ymholiadau:- </t>
  </si>
  <si>
    <t>Enw'r person cyswllt:</t>
  </si>
  <si>
    <t>E-bost</t>
  </si>
  <si>
    <t>Ffôn:</t>
  </si>
  <si>
    <t>Rhaid cyflwyno'r wybodaeth ar y ffurflen hon i Lywodraeth Cymru yn unol ag adran 14 o Ddeddf Llywodraeth Leol 2003.</t>
  </si>
  <si>
    <t>This form must be returned by 31 July</t>
  </si>
  <si>
    <t>Rhaid dychwelyd y ffurflen hon erbyn 31 Gorffennaf</t>
  </si>
  <si>
    <t>Anfonwch y daenlen drwy e-bost i'r cyfeiriad isod. Sylwch nad oes rhaid inni gael copi caled wedi'i lofnodi o'r ffurflen hon bellach.</t>
  </si>
  <si>
    <t>Dylid cyfeirio pob ymholiad ynghylch llenwi'r ffurflen neu'r daenlen at Frank Kelly neu Anthony Newby, dros y ffôn neu drwy e-bost, yn unol â'r cyfarwyddiadau isod.</t>
  </si>
  <si>
    <t>Mae'n un o ofynion archwiliadau Llywodraeth Cymru fod pob cell yn cael ei llenwi. Gwnewch yn siŵr fod sero ym mhob cell wag. Cymerir yn ganiataol mai sero yw gwerth pob cell sydd heb ei llenwi.</t>
  </si>
  <si>
    <t>Ystadegau Ariannol Llywodraeth Leol,</t>
  </si>
  <si>
    <t>Gwasanaethau Gwybodaeth a Dadansoddi,</t>
  </si>
  <si>
    <t>Llywodraeth Cymru,</t>
  </si>
  <si>
    <t>Parc Cathays,</t>
  </si>
  <si>
    <t>CAERDYDD</t>
  </si>
  <si>
    <t>Ffôn: 029 2082 5673</t>
  </si>
  <si>
    <t>E-bost: lgfs.transfer@wales.gsi.gov.uk</t>
  </si>
  <si>
    <t>Dewiswch eich awdurdod ar y dudalen flaen</t>
  </si>
  <si>
    <t>COR1-2:       Alldro cyfalaf 1 a 2</t>
  </si>
  <si>
    <t>Adeiladu ffyrdd newydd / Gwella ffyrdd</t>
  </si>
  <si>
    <t>Cynnal a chadw adeileddol - prif ffyrdd</t>
  </si>
  <si>
    <t>Cynnal a chadw adeileddol - ffyrdd mewn ALlau eraill</t>
  </si>
  <si>
    <t>Gwariant ar bontydd</t>
  </si>
  <si>
    <t>Diogelwch ar y ffyrdd</t>
  </si>
  <si>
    <t>Parcio cerbydau (gan gynnwys meysydd parcio)</t>
  </si>
  <si>
    <t>Trafnidiaeth gyhoeddus i deithwyr - bws</t>
  </si>
  <si>
    <t>Trafnidiaeth gyhoeddus i deithwyr - rheilffyrdd, rheilffyrdd tanddaearol ac arall</t>
  </si>
  <si>
    <t>Pontydd ffyrdd â tholl, twnelau a fferïau a chwmnïau trafnidiaeth gyhoeddus</t>
  </si>
  <si>
    <t>Caffael/Gwerthu tir ar gyfer y Cyfrif Refeniw Tai (HRA)</t>
  </si>
  <si>
    <t>Adeiladu anheddau HRA newydd</t>
  </si>
  <si>
    <t>Prynu/Gwerthu anheddau HRA</t>
  </si>
  <si>
    <t>Prifsymiau ar forgeisi / benthyciadau a ddarparwyd i brynu tai cyngor wedi eu had-dalu'n llawn yn gynnar</t>
  </si>
  <si>
    <t>Morgeisi/Benthyciadau a ddarparwyd ar gyfer prynu tai cyngor</t>
  </si>
  <si>
    <t>Gwella ac atgyweirio - tai concrit cydnerth parod HRA</t>
  </si>
  <si>
    <t>Gwella ac atgyweirio anheddau HRA eraill</t>
  </si>
  <si>
    <t>Perchentyaeth cost isel (HRA)</t>
  </si>
  <si>
    <t>HRA arall</t>
  </si>
  <si>
    <t>Gwaith amgylcheddol mewn ardaloedd adnewyddu</t>
  </si>
  <si>
    <t>Atgyweitio grŵp</t>
  </si>
  <si>
    <t>Clirio slymiau</t>
  </si>
  <si>
    <t>Perchentyaeth cost isel (ddim HRA)</t>
  </si>
  <si>
    <t>Grantiau adnewyddu</t>
  </si>
  <si>
    <t>Grantiau eraill</t>
  </si>
  <si>
    <t>Benthyca i landlordiaid cymdeithasol cofrestredig</t>
  </si>
  <si>
    <t>Benthyca i fenthycwyr eraill</t>
  </si>
  <si>
    <t>Gweithgareddau a chyfleusterau y celfyddydau (gan gynnwys theatrau)</t>
  </si>
  <si>
    <t>Datblygu chwaraeon a chwarae plant</t>
  </si>
  <si>
    <t>Adfer tir diffaith (cymorth grant)</t>
  </si>
  <si>
    <t>Cynllunio a datblygu (gan gynnwys safleoedd Sipsiwn)</t>
  </si>
  <si>
    <r>
      <t xml:space="preserve">Mae'r ffigurau mewn </t>
    </r>
    <r>
      <rPr>
        <b/>
        <sz val="10"/>
        <rFont val="Arial"/>
        <family val="2"/>
      </rPr>
      <t>glas</t>
    </r>
    <r>
      <rPr>
        <sz val="10"/>
        <rFont val="Arial"/>
        <family val="2"/>
      </rPr>
      <t xml:space="preserve"> yn cael eu cyfrifo, mae'r celloedd wedi'u diogelu</t>
    </r>
  </si>
  <si>
    <t>Caffael tir ac adeiladau presennol</t>
  </si>
  <si>
    <t>Adeiladau newydd, addasu ac adnewyddu</t>
  </si>
  <si>
    <t>Cerbydau</t>
  </si>
  <si>
    <t>Peiriannau ac offer safle</t>
  </si>
  <si>
    <t>Total expenditure on fixed assets</t>
  </si>
  <si>
    <t>Cyfanswm gwariant ar asedau sefydlog</t>
  </si>
  <si>
    <t>Grantiau cyfalaf</t>
  </si>
  <si>
    <t>Blanesymiau cyfalaf</t>
  </si>
  <si>
    <t>Asedau sefylog annirweddol</t>
  </si>
  <si>
    <t>Gwerthu asedau sefydlog</t>
  </si>
  <si>
    <t>Ad-dalu blaensymiau a grantiau cyfalaf</t>
  </si>
  <si>
    <t>Total receipts</t>
  </si>
  <si>
    <t xml:space="preserve">Asedau nad ydynt yn cael eu cyllido gan wariant cyfalaf ALl </t>
  </si>
  <si>
    <t>Gwariant a derbyniadau cyfalaf</t>
  </si>
  <si>
    <t>Gwariant</t>
  </si>
  <si>
    <t>Derbyniadau</t>
  </si>
  <si>
    <t>COR 4:         Alldro cyfalaf 4</t>
  </si>
  <si>
    <t>Crynodeb cyfrif cyfalaf a chyllido gwariant cyfalaf, 2014-15</t>
  </si>
  <si>
    <t>Bloc gwasanaethau (COR 1-2 cyfeiriadau cyfatebol)</t>
  </si>
  <si>
    <t>Tai (llinell 36)</t>
  </si>
  <si>
    <t>Ardoll Trosglwyddo Gwirfoddol ar Raddfa Fawr</t>
  </si>
  <si>
    <t>Caffael cyfalaf cyfranddaliadau neu gyfalaf benthyg</t>
  </si>
  <si>
    <t>Gwariant drwy gyfarwyddyd adran 16(2)</t>
  </si>
  <si>
    <t>Cael gwared ar gyfalaf cyfranddalaiadau neu gyfalaf benthyg</t>
  </si>
  <si>
    <t>Total capital receipts</t>
  </si>
  <si>
    <t>Cyfanswm derbyniadau cyfalaf</t>
  </si>
  <si>
    <t>Total capital expenditure and receipts:</t>
  </si>
  <si>
    <t>Cyfanswm gwariant a derbyniadau cyfalaf:</t>
  </si>
  <si>
    <t>Adnoddau i'w defnyddio i gyllido gwariant cyfalaf</t>
  </si>
  <si>
    <t>Grantiau cyfalaf gan Lywodraeth Cymru ac Adrannau eraill Llywodraeth y DU</t>
  </si>
  <si>
    <t>Grantiau o Gronfeydd Strwythurol Ewropeaidd (gan gynnwys ERDF)</t>
  </si>
  <si>
    <t xml:space="preserve">Grantiau a chyfraniadau gan gyrff cyhoeddus a noddir gan Lywodraeth Cymru / cyrff cyhoeddus anadrannol </t>
  </si>
  <si>
    <t>Cyllid gan y Loteri Genedlaethol</t>
  </si>
  <si>
    <t>Grantiau a chyfraniadau eraill, gan gynnwys rhai gan ddatblygwyr preifat</t>
  </si>
  <si>
    <t>Defnydd o dderbyniadau cyfalaf</t>
  </si>
  <si>
    <t>Lwfans Atgyweiriadau Mawr (MRA)</t>
  </si>
  <si>
    <t>Gwariant cyfalaf a roddwyd ar gyfrif refeniw (ddim HRA)</t>
  </si>
  <si>
    <t>Gwariant cyfalaf a roddwyd ar gyfrif cyfalaf (HRA)</t>
  </si>
  <si>
    <t xml:space="preserve">Trefniadau benthyca a chredyd sy'n denu cymorth y llywodraeth ganolog (ddim HRA)  </t>
  </si>
  <si>
    <t xml:space="preserve">Trefniadau benthyca a chredyd sy'n denu cymorth y llywodraeth ganolog  (HRA)  </t>
  </si>
  <si>
    <t>Trefniadau benthyca a chredyd eraill (ddim HRA)</t>
  </si>
  <si>
    <t>Trefniadau benthyca a chredyd eraill (HRA)</t>
  </si>
  <si>
    <t>Total resources used to finance capital expenditure (the sum of the figures in the white cells above)</t>
  </si>
  <si>
    <t>Cyfanswm yr adnoddau a ddefnyddiwyd i gyllido gwariant cyfalaf (swm y ffigurau yn y celloedd gwyn uchod)</t>
  </si>
  <si>
    <t>Cwblhewch y llinellau isod ar sail Menter Cyllid Preifat (PFI) 'Ar y Fantolen'</t>
  </si>
  <si>
    <t>Gofyniad cyllido cyfalaf:</t>
  </si>
  <si>
    <t>Gofyniad Cyllido Cyfalaf fel yr oedd ar 1 Ebrill</t>
  </si>
  <si>
    <t>Darpariaeth Isafswm Refeniw a chyfraniadau gwirfoddol</t>
  </si>
  <si>
    <t>Benthyca, credyd a buddsoddiadau ar ddechrau'r flwyddyn:</t>
  </si>
  <si>
    <t>Benthyca gros fel yr oedd ar ddechrau'r flwyddyn</t>
  </si>
  <si>
    <t>Rhwymedigaethau hirdymor eraill ar ddechrau'r flwyddyn</t>
  </si>
  <si>
    <t>Buddsoddiadau ar ddechrau'r flwyddyn</t>
  </si>
  <si>
    <t>Benthyca. credyd a buddsoddiadau ar ddiwedd y flwyddyn</t>
  </si>
  <si>
    <t>Benthyca gros ar ddiwedd y flwyddyn</t>
  </si>
  <si>
    <t>Rhwymedigaethau hirdymor eraill ar ddiwedd y flwyddyn</t>
  </si>
  <si>
    <t>Buddsoddiadau ar ddiwedd y flwyddyn</t>
  </si>
  <si>
    <t>Ffin weithredol a therfyn awdurdodedig</t>
  </si>
  <si>
    <t>Ffin weithredol ar gyfer dyled allanol ar ddechrau'r flwyddyn</t>
  </si>
  <si>
    <t>Terfyn awdurdodedig ar gyfer dyled allanol ar ddechrau'r flwyddyn</t>
  </si>
  <si>
    <t>Ffin weithredol ar gyfer dyled allanol ar ddiwedd y flwyddyn</t>
  </si>
  <si>
    <t>Terfyn awdurdodedig ar gyfer dyled allanol ar ddiwedd y flwyddyn</t>
  </si>
  <si>
    <t>Total receipts:</t>
  </si>
  <si>
    <t>Cyfanswm derbyniadau:</t>
  </si>
  <si>
    <t>Memorandwm:</t>
  </si>
  <si>
    <t>Rhwymedigaethau ychwanegol cwmnïau Awdurdodau Lleol:</t>
  </si>
  <si>
    <t>Benthyca gros a rhwymedigaethau hirdymor eraill ar ddechrau'r flwyddyn</t>
  </si>
  <si>
    <t>Benthyca gros a rhwymedigaethau hirdymor eraill ar ddiwedd y flwyddyn</t>
  </si>
  <si>
    <t>Benthyca HRA gros heb gymorth:</t>
  </si>
  <si>
    <t>Ar ddechrau'r flwyddyn</t>
  </si>
  <si>
    <t>Ar ddiwedd y flwyddyn</t>
  </si>
  <si>
    <t>Ffigurau'r Awdurdod ar gyfer y Fenter Benthyca Llywodraeth Leol (LGBI) ar gyfer gwella priffyrdd</t>
  </si>
  <si>
    <t>Swm sydd wedi'i gynnwys yn llinell 31.1 uchod sy'n gysylltiedig â'r LGBI ar gyfer gwella priffyrdd</t>
  </si>
  <si>
    <t>Defnyddiwch y celloedd gwyn yn unig i gofnodi</t>
  </si>
  <si>
    <t>Mae'r celloedd glas wedi'u cyfrifo</t>
  </si>
  <si>
    <t>Nid yw'r celloedd aur yn cael eu defnyddio</t>
  </si>
  <si>
    <t>Dylai bod llinellau 32 a 19 yn hafal. Caiff unrhyw wahaniaeth ei ddangos yma:</t>
  </si>
  <si>
    <t>Cyllido PFI 'ar y fantolen'</t>
  </si>
  <si>
    <t>Cyllido cyfalaf</t>
  </si>
  <si>
    <t>Llinell 30.1 a 30.2 yn fwy na 0</t>
  </si>
  <si>
    <t>Llinell 35 fel canran o linell 33</t>
  </si>
  <si>
    <t>Llinell 38 + llinell 39 yn fwy na 0</t>
  </si>
  <si>
    <t>Liinell 38 + llinell 39 fel canran o linell 33</t>
  </si>
  <si>
    <t>Llinell 40 neu 43 yn fwy nag 1</t>
  </si>
  <si>
    <t>Llinell 41 + llinell 42 yn fwy na 0</t>
  </si>
  <si>
    <t>Llinell 44 yn fwy na neu yn hafal i linell 38 + llinell 39</t>
  </si>
  <si>
    <t>Llinell 45 yn fwy na neu yn hafal i linell 44</t>
  </si>
  <si>
    <t>Llinell 47 yn fwy na neu yn hafal i linell 46</t>
  </si>
  <si>
    <t>Llinell 46 yn fwy na neu yn hafal i linell 41 + llinell 42</t>
  </si>
  <si>
    <t>Llinell 45 yn fwy na neu yn hafal i linell 37</t>
  </si>
  <si>
    <t>Llinell 47 yn fwy na neu yn hafal i linell 37</t>
  </si>
  <si>
    <t>Llinell 48 yn llai na hanner llinell 38 + llinell 39</t>
  </si>
  <si>
    <t>Llinell 49 + yn llai na hanner llinell 41 + llinell 42</t>
  </si>
  <si>
    <t>Llinell 43 yn fwy na 0</t>
  </si>
  <si>
    <t>Llinell 44 yn fwy na 0</t>
  </si>
  <si>
    <t>Llinell 45 yn fwy na 0</t>
  </si>
  <si>
    <t>Llinell 46 yn fwy na 0</t>
  </si>
  <si>
    <t>Llinell 47 yn fwy na 0</t>
  </si>
  <si>
    <t>Cyfanswm</t>
  </si>
  <si>
    <t>sylw</t>
  </si>
  <si>
    <t>Defnyddiwch y blwch isod i roi naratif ategol cryno ar unrhyw newid mewn amgylchiadau a allai effeithio ar</t>
  </si>
  <si>
    <t>y ffigurau rhagolygol o gwmpas yr amser hwn.</t>
  </si>
  <si>
    <t>Er enghraifft, gallai'r canlynol achosi newid neu addasiad i'r rhagolygon: oedi o ran prosiectau, newid blaenoriaethau ar gyfer budssoddi cyfalaf</t>
  </si>
  <si>
    <t xml:space="preserve">neu i bennu - dros dro - unrhyw wariant cyfalaf y gellid bod angen cyfarwyddyd cyfalafu ar ei gyfer. </t>
  </si>
  <si>
    <t>Written off as bad debts in-year</t>
  </si>
  <si>
    <t xml:space="preserve">   Y swm a gafodd ei ddileu fel dyled ddrwg yn ystod y flwyddyn</t>
  </si>
  <si>
    <t>Received in-year</t>
  </si>
  <si>
    <t xml:space="preserve">   Y swm a gafwyd yn ystod y flwyddyn</t>
  </si>
  <si>
    <t>Arrears outstanding at the end of the year (line 3 - line 4 - line 5)</t>
  </si>
  <si>
    <t xml:space="preserve">   Yr ôl-ddyledion heb eu talu ar ddiwedd y flwyddyn (llinell 3 - llinell 4 - 
   llinell 5)</t>
  </si>
  <si>
    <t>£ miloedd</t>
  </si>
  <si>
    <t>'+ Line 16 (£K)</t>
  </si>
  <si>
    <t>+ llinell 16 (£K)</t>
  </si>
  <si>
    <t>'+ row 10</t>
  </si>
  <si>
    <t>+ rhes 10</t>
  </si>
  <si>
    <t>1 April 1993 to 31 March 2015</t>
  </si>
  <si>
    <t>1 Ebrill 1993 i 31 Mawrth 2015</t>
  </si>
  <si>
    <t>transport companies</t>
  </si>
  <si>
    <t>cwmniau trafnidiaeth gyhoeddus</t>
  </si>
  <si>
    <t>of which:</t>
  </si>
  <si>
    <t>ac o hynny:</t>
  </si>
  <si>
    <t>Commutation adjustment</t>
  </si>
  <si>
    <t>Addasiad cymudiad</t>
  </si>
  <si>
    <t>Other adjustments</t>
  </si>
  <si>
    <t>Addasiadau eraill</t>
  </si>
  <si>
    <t>Other adjustments to net current expenditure</t>
  </si>
  <si>
    <t>Addasiadau eraill i wariant net cyfredol</t>
  </si>
  <si>
    <t>Adjustment for contributions to (col 1b) / from (col 6b) school reserves (see note)</t>
  </si>
  <si>
    <t>Addasiadau ar gyfer cyfraniadau i 1(b) / o (6b) gronfeydd wrth gefn ysgolion</t>
  </si>
  <si>
    <t>In year Council Tax adjustments</t>
  </si>
  <si>
    <t>Addasiadau'r Dreth Gyngor yn ystod y flwyddyn</t>
  </si>
  <si>
    <t>Other continuing education</t>
  </si>
  <si>
    <t xml:space="preserve">Addysg barhaus arall </t>
  </si>
  <si>
    <t>Addysg arbennig</t>
  </si>
  <si>
    <t>Special education:</t>
  </si>
  <si>
    <t>Addysg arbennig:</t>
  </si>
  <si>
    <t>Continuing education:</t>
  </si>
  <si>
    <t>Addysg barhaus:</t>
  </si>
  <si>
    <t>Addysg cyn-gynradd</t>
  </si>
  <si>
    <t>Road safety education and safe routes (including school crossing patrols)</t>
  </si>
  <si>
    <t>Addysg diogelwch ar y ffyrdd a llwybrau diogel (gan gynnwys hebryngwyr croesfannau ysgol)</t>
  </si>
  <si>
    <t>Community education</t>
  </si>
  <si>
    <t>Addysg gynradd</t>
  </si>
  <si>
    <t>Adult education</t>
  </si>
  <si>
    <t>Education of children looked after</t>
  </si>
  <si>
    <t>Addysg plant sy'n derbyn gofal</t>
  </si>
  <si>
    <t>Addysg uwchradd</t>
  </si>
  <si>
    <t>Education:</t>
  </si>
  <si>
    <t>Addysg:</t>
  </si>
  <si>
    <t>Private sector housing renewal</t>
  </si>
  <si>
    <t>Adnewyddu tai'r sector preifat</t>
  </si>
  <si>
    <t>SECTION A - Council tax</t>
  </si>
  <si>
    <t>ADRAN A – y Dreth Gyngor</t>
  </si>
  <si>
    <t>SECTION B - Non-domestic rates</t>
  </si>
  <si>
    <t>ADRAN B – Ardrethi annomestig</t>
  </si>
  <si>
    <t>Ailgylchu</t>
  </si>
  <si>
    <t>Waste minimisation</t>
  </si>
  <si>
    <t>Lleihau gwastraff</t>
  </si>
  <si>
    <t>Arall - Amaethyddiaeth a physgodfeydd</t>
  </si>
  <si>
    <t>Agriculture and fisheries:</t>
  </si>
  <si>
    <t>Amaethyddiaeth a physgodfeydd:</t>
  </si>
  <si>
    <t>Estimated in-year net collectable debit</t>
  </si>
  <si>
    <t>Amcangyfrif o ddebyd net sydd i'w gasglu yn ystod y flwyddyn</t>
  </si>
  <si>
    <t>Amddiffyn yr arfordir</t>
  </si>
  <si>
    <t>Museums and art galleries</t>
  </si>
  <si>
    <t>Amgueddfeydd ac orielau celf</t>
  </si>
  <si>
    <t>Amrywiol</t>
  </si>
  <si>
    <t>Other services to adults aged under 65 with a physical disability or sensory impairment</t>
  </si>
  <si>
    <t>Gwasanaethau eraill i oedolion o dan 65 oed sydd ag anabledd corfforol neu nam ar eu synhwyrau</t>
  </si>
  <si>
    <t>Other services to adults aged under 65 with learning disabilities</t>
  </si>
  <si>
    <t>Gwasanaethau eraill i oedolion o dan 65 oed sydd ag anableddau dysgu</t>
  </si>
  <si>
    <t>Additional learning needs - special</t>
  </si>
  <si>
    <t>Additional learning needs - middle</t>
  </si>
  <si>
    <t>Anghenion dysgu ychwanegol - Ysgolion canol</t>
  </si>
  <si>
    <t>Additional learning needs - primary</t>
  </si>
  <si>
    <t>Additional learning needs - nursery</t>
  </si>
  <si>
    <t>Additional learning needs - secondary</t>
  </si>
  <si>
    <t>Arall</t>
  </si>
  <si>
    <t>Archives</t>
  </si>
  <si>
    <t>Levies</t>
  </si>
  <si>
    <t>Other levies</t>
  </si>
  <si>
    <t>Ardollau eraill</t>
  </si>
  <si>
    <t>Levies to national police services</t>
  </si>
  <si>
    <t>Ardollau i wasanaethau heddlu cenedlaethol</t>
  </si>
  <si>
    <t>Levies to/from national parks</t>
  </si>
  <si>
    <t>Ardollau i/o parciau cenedlaethol</t>
  </si>
  <si>
    <t>Levies paid to the Internal Drainage Boards</t>
  </si>
  <si>
    <t>Ardollau a dalwyd i Fyrddau Draenio Mewnol</t>
  </si>
  <si>
    <t>Levies paid to the Environment Agency in respect of</t>
  </si>
  <si>
    <t>Ardollau a dalwyd i Asiantaeh yr Amgylchedd mewn perthynas â</t>
  </si>
  <si>
    <t>Levies paid to the Environment Agency acting as an</t>
  </si>
  <si>
    <t xml:space="preserve">Ardollau a dalwyd i Asiantaeth yr Amgylchedd yn gweithredu fel </t>
  </si>
  <si>
    <t>Non distributed costs</t>
  </si>
  <si>
    <t>adjustment account</t>
  </si>
  <si>
    <t>cyfrif addasiad</t>
  </si>
  <si>
    <t>Debt financing</t>
  </si>
  <si>
    <t>School catering</t>
  </si>
  <si>
    <t>Arlwyo mewn ysgolion</t>
  </si>
  <si>
    <t>School catering - special</t>
  </si>
  <si>
    <t>Arlwyo mewn ysgolion - Ysgolion arbennig</t>
  </si>
  <si>
    <t>School catering - middle</t>
  </si>
  <si>
    <t>Arlwyo mewn ysgolion - Ysgolion canol</t>
  </si>
  <si>
    <t>School catering - primary</t>
  </si>
  <si>
    <t>Arlwyo mewn ysgolion - Ysgolion cynradd</t>
  </si>
  <si>
    <t>School catering - nursery</t>
  </si>
  <si>
    <t>Arlwyo mewn ysgolion - Ysgolion meithrin</t>
  </si>
  <si>
    <t>School catering - secondary</t>
  </si>
  <si>
    <t>Arlwyo mewn ysgolion - Ysgolion uwchradd</t>
  </si>
  <si>
    <t>Assessment and care management</t>
  </si>
  <si>
    <t>Asesu a rheoli gofal</t>
  </si>
  <si>
    <t>Repairs and maintenance</t>
  </si>
  <si>
    <t>Teachers</t>
  </si>
  <si>
    <t>Athrawon</t>
  </si>
  <si>
    <t>Awdurdod</t>
  </si>
  <si>
    <t>Housing advances</t>
  </si>
  <si>
    <t>Blaensymiau tai</t>
  </si>
  <si>
    <t>Capital financing element within Private Finance</t>
  </si>
  <si>
    <t>Elfen cyllido cyfalaf o fewn Cyllid Preifat</t>
  </si>
  <si>
    <t>BR1, line 5 (£K)</t>
  </si>
  <si>
    <t>BR1, llinell 5 (£K)</t>
  </si>
  <si>
    <t>BR1, line 7</t>
  </si>
  <si>
    <t>BR1, llinell 7</t>
  </si>
  <si>
    <t>Council tax benefit and administration (e)</t>
  </si>
  <si>
    <t>Budd-dal y dreth gyngor a gweinyddiaeth (e)</t>
  </si>
  <si>
    <t>Council tax benefit, administration and local tax collection:</t>
  </si>
  <si>
    <t>Budd-dâl y dreth gyngor, gweinyddu a chasglu'r dreth leol:</t>
  </si>
  <si>
    <t>Local safeguarding children board</t>
  </si>
  <si>
    <t>Bwrdd Lleol Diogelu Plant</t>
  </si>
  <si>
    <t>Conservation of cultural heritage</t>
  </si>
  <si>
    <t>Cadwraeth treftadaeth ddiwylliannol</t>
  </si>
  <si>
    <t>Conservation of the natural environment</t>
  </si>
  <si>
    <t>Cadwraeth yr amgylchedd naturiol</t>
  </si>
  <si>
    <t>Substance abuse (addictions)</t>
  </si>
  <si>
    <t>Camddefnyddio sylweddau (dibyniaeth)</t>
  </si>
  <si>
    <t>Children's Centres/Flying Start and Early Years</t>
  </si>
  <si>
    <t>Canolfannau Plant / Dechrau’n Deg a'r Blynyddoedd Cynnar</t>
  </si>
  <si>
    <t>Percentage</t>
  </si>
  <si>
    <t>Canran</t>
  </si>
  <si>
    <t>Local tax collection</t>
  </si>
  <si>
    <t>Casglu'r dreth leol</t>
  </si>
  <si>
    <t>Casglu gwastraff</t>
  </si>
  <si>
    <t>Gwaredu gwastraff</t>
  </si>
  <si>
    <t>casglu, dadansoddi a chyfuno'r cofnodion a'r data gofynnol</t>
  </si>
  <si>
    <t>CTC (row 8), 2014-15</t>
  </si>
  <si>
    <t>Casglu'r Dreth Gyngor (rhes 8), 2014-15</t>
  </si>
  <si>
    <t>CTC (row 8), 2015-16</t>
  </si>
  <si>
    <t>Casglu'r Dreth Gyngor (rhes 8), 2015-16</t>
  </si>
  <si>
    <t>Support to operators</t>
  </si>
  <si>
    <t>Cefnogi gweithredwyr</t>
  </si>
  <si>
    <t>Supporting people</t>
  </si>
  <si>
    <t>Cefnogi pobl</t>
  </si>
  <si>
    <t>Rangers, estates and volunteers</t>
  </si>
  <si>
    <t>Ceidwaid, ystadau a gwirfoddolwyr</t>
  </si>
  <si>
    <t>Asylum seekers - children and families:</t>
  </si>
  <si>
    <t>Ceiswyr lloches - plant a theuluoedd:</t>
  </si>
  <si>
    <t>Unaccompanied children (excluding children looked after)</t>
  </si>
  <si>
    <t>Plant ar eu pen eu hunain (ac eithrio plant sy'n derbyn gofal)</t>
  </si>
  <si>
    <t>Families</t>
  </si>
  <si>
    <t>Teuluoedd</t>
  </si>
  <si>
    <t>Asylum seekers - lone adults and NRPF</t>
  </si>
  <si>
    <t>Ceiswyr lloches - unig oedolion a dim cefnogaeth o gronfeydd cyhoeddus</t>
  </si>
  <si>
    <t>Sports and recreation:</t>
  </si>
  <si>
    <t>Chwaraeon a hamdden:</t>
  </si>
  <si>
    <t>Recreation and sport</t>
  </si>
  <si>
    <t>Hamdden a chwaraeon</t>
  </si>
  <si>
    <t>Clir</t>
  </si>
  <si>
    <t>Home to college transport</t>
  </si>
  <si>
    <t>Trafnidiaeth o'r cartref i'r coleg</t>
  </si>
  <si>
    <t>Home to school transport</t>
  </si>
  <si>
    <t>Trafnidiaeth o'r cartref i'r ysgol</t>
  </si>
  <si>
    <t>Home to school transport - special</t>
  </si>
  <si>
    <t>Trafnidiaeth o'r cartref i'r ysgol - Ysgolion arbennig</t>
  </si>
  <si>
    <t>Home to school transport - middle</t>
  </si>
  <si>
    <t>Trafnidiaeth o'r cartref i'r ysgol - Ysgolion canol</t>
  </si>
  <si>
    <t>Home to school transport - primary</t>
  </si>
  <si>
    <t>Trafnidiaeth o'r cartref i'r ysgol - Ysgolion cynradd</t>
  </si>
  <si>
    <t>Home to school transport - nursery</t>
  </si>
  <si>
    <t>Trafnidiaeth o'r cartref i'r ysgol - Ysgolion meithrin</t>
  </si>
  <si>
    <t>Home to school transport - secondary</t>
  </si>
  <si>
    <t>Trafnidiaeth o'r cartref i'r ysgol - Ysgolion uwchradd</t>
  </si>
  <si>
    <t>reserves (excluding schools)</t>
  </si>
  <si>
    <t>cronfeydd wrth gefn (ac eithrio ysgolion)</t>
  </si>
  <si>
    <t>Authority code</t>
  </si>
  <si>
    <t>Cod yr awdurdod</t>
  </si>
  <si>
    <t>Registration of electors and conducting elections</t>
  </si>
  <si>
    <t>Cofrestru etholwyr a chynnal etholiadau</t>
  </si>
  <si>
    <t>Commissioning and children's services strategy</t>
  </si>
  <si>
    <t>Comisiynu a strategaeth gwasanaethau plant</t>
  </si>
  <si>
    <t>Other central costs</t>
  </si>
  <si>
    <t>Costau canolog eraill</t>
  </si>
  <si>
    <t>Non-domestic rates collection costs</t>
  </si>
  <si>
    <t>Costau casglu ardrethi annomestig</t>
  </si>
  <si>
    <t>Council tax collection costs</t>
  </si>
  <si>
    <t>Costau casglu’r dreth gyngor</t>
  </si>
  <si>
    <t>Central and departmental support services costs</t>
  </si>
  <si>
    <t>Costau gwasanaethau cymorth canolog ac adrannol</t>
  </si>
  <si>
    <t>Climate change costs</t>
  </si>
  <si>
    <t>Costau newid hinsawdd</t>
  </si>
  <si>
    <t>Partnership costs</t>
  </si>
  <si>
    <t>Costau partneriaeth</t>
  </si>
  <si>
    <t>HRA related pension costs</t>
  </si>
  <si>
    <t>Costau pensiwn sy'n gysylltiedig â'r HRA</t>
  </si>
  <si>
    <t>Corporate and democratic core</t>
  </si>
  <si>
    <t>Craidd corfforaethol a democrataidd</t>
  </si>
  <si>
    <t>CTC, line 7 + 10 minus BR1 lines 5 + 16 (in thousands)</t>
  </si>
  <si>
    <t>Casglu'r Dreth Gyngor, llinell 7 + 10 minws llinellau 5 + 16 BR1 (mewn miloedd)</t>
  </si>
  <si>
    <t>CTC, row 7</t>
  </si>
  <si>
    <t>Casglu'r Dreth Gyngor, rhes 7</t>
  </si>
  <si>
    <t>CTC, row 8</t>
  </si>
  <si>
    <t>Casglu'r Dreth Gyngor, rhes 8</t>
  </si>
  <si>
    <t>Intelligence</t>
  </si>
  <si>
    <t>Cudd-wybodaeth</t>
  </si>
  <si>
    <t>cwblhau, gwirio, diwygio a chymeradwyo'r ffurflen.</t>
  </si>
  <si>
    <t>Public transport co-ordination</t>
  </si>
  <si>
    <t>Cydgysylltu trafnidiaeth gyhoeddus</t>
  </si>
  <si>
    <t>Totals</t>
  </si>
  <si>
    <t>Cyfansymiau</t>
  </si>
  <si>
    <t>Total Additional learning needs</t>
  </si>
  <si>
    <t>Aggregate of council tax precepts (lines 100 to 104)</t>
  </si>
  <si>
    <t>Swm cyfunol praeseptau'r dreth gyngor  (llinell 100 i 104)</t>
  </si>
  <si>
    <t>Total school catering</t>
  </si>
  <si>
    <t>Cyfanswm arlwyo mewn ysgolion</t>
  </si>
  <si>
    <t xml:space="preserve">Public transport </t>
  </si>
  <si>
    <t>Cyfanswm trafnidiaeth gyhoeddus</t>
  </si>
  <si>
    <t>Total Home to school transport</t>
  </si>
  <si>
    <t>Cyfanswm trafnidiaeth o'r cartref i'r ysgol</t>
  </si>
  <si>
    <t>Total housing council fund</t>
  </si>
  <si>
    <t>Total other LA budget on schools</t>
  </si>
  <si>
    <t>Cyfanswm cyllid ALl arall ar ysgolion</t>
  </si>
  <si>
    <t>Total School budget</t>
  </si>
  <si>
    <t>Cyfanswm cyllideb ysgol</t>
  </si>
  <si>
    <t>Total other school budget</t>
  </si>
  <si>
    <t>Cyfanswm cyllideb ysgol arall</t>
  </si>
  <si>
    <t>Total transport planning, highways, roads and transport</t>
  </si>
  <si>
    <t>Cyfanswm cynllunio trafnidiaeth, priffyrdd, ffyrdd a thrafnidiaeth</t>
  </si>
  <si>
    <t>Total Inter authority recoupment</t>
  </si>
  <si>
    <t>Total expenditure delegated to middle schools</t>
  </si>
  <si>
    <t xml:space="preserve">Cyfanswm gwariant wedi ei ddirprwyo i ysgolion canol </t>
  </si>
  <si>
    <t>Total non-school education expenditure</t>
  </si>
  <si>
    <t>Cyfanswm gwariant addysg heblaw ysgolion</t>
  </si>
  <si>
    <t>Total service expenditure</t>
  </si>
  <si>
    <t>Cyfanswm gwariant ar wasanaethau</t>
  </si>
  <si>
    <t>Total Capital expenditure charged to revenue account</t>
  </si>
  <si>
    <t>Cyfanswm gwariant cyfalaf a roddwyd ar y cyfrif refeniw</t>
  </si>
  <si>
    <t>Total education revenue expenditure</t>
  </si>
  <si>
    <t>Total delegated schools expenditure</t>
  </si>
  <si>
    <t>Total expenditure delegated to special schools</t>
  </si>
  <si>
    <t>Total expenditure delegated to primary schools</t>
  </si>
  <si>
    <t>Total expenditure delegated to nursery schools</t>
  </si>
  <si>
    <t>Total expenditure delegated to secondary schools</t>
  </si>
  <si>
    <t>Total school expenditure</t>
  </si>
  <si>
    <t>Total services for young people</t>
  </si>
  <si>
    <t>Cyfanswm gwasanaethau ar gyfer pobl ifanc</t>
  </si>
  <si>
    <t>Cyfanswm gwasanaeth ieuenctid</t>
  </si>
  <si>
    <t>Total social services</t>
  </si>
  <si>
    <t>Cyfanswm gwasanaethau cymdeithasol</t>
  </si>
  <si>
    <t>Total social services for adults aged under 65</t>
  </si>
  <si>
    <t>Cyfanswm gwasanaethau cymdeithasol i oedolion o dan 65 oed</t>
  </si>
  <si>
    <t>Total family support services</t>
  </si>
  <si>
    <t>Cyfanswm gwasanaethau cymorth i deuluoedd</t>
  </si>
  <si>
    <t>Other children's and families' services</t>
  </si>
  <si>
    <t>Cyfanswm gwasanaethau eraill i blant a theuluoedd</t>
  </si>
  <si>
    <t>Total children's and families' services</t>
  </si>
  <si>
    <t>Cyfanswm gwasanaethau i blant a theuluoedd</t>
  </si>
  <si>
    <t>Total children looked after services</t>
  </si>
  <si>
    <t>Cyfanswm gwasanaethau i blant sy'n derbyn gofal</t>
  </si>
  <si>
    <t>Total asylum seekers children's services</t>
  </si>
  <si>
    <t>Cyfanswm gwasanaethau i blant sy'n geiswyr lloches</t>
  </si>
  <si>
    <t>Total School improvement</t>
  </si>
  <si>
    <t>Cyfanswm gwellia ysgolion</t>
  </si>
  <si>
    <t>Total Income</t>
  </si>
  <si>
    <t>Cyfanswm Incwm</t>
  </si>
  <si>
    <t>Total Access to education</t>
  </si>
  <si>
    <t>Cyfanswm mynediad at addysg</t>
  </si>
  <si>
    <t>Total other adult services (aged under 65)</t>
  </si>
  <si>
    <t>Cyfanswm gwasanaethau eraill i oedolion (o dan 65 oed)</t>
  </si>
  <si>
    <t>Total adults aged under 65 with a physical disability etc.</t>
  </si>
  <si>
    <t>Cyfanswm oedolion o dan 65 oed ag anabledd corfforol</t>
  </si>
  <si>
    <t xml:space="preserve">Total adults aged under 65 with learning disabilities </t>
  </si>
  <si>
    <t>Cyfanswm oedolion o dan 65 oed ag anableddau dysgu</t>
  </si>
  <si>
    <t xml:space="preserve">Total adults aged under 65 with mental health needs </t>
  </si>
  <si>
    <t>Cyfanswm oedolion o dan 65 oed ag anghenion iechyd meddwl</t>
  </si>
  <si>
    <t>Total older people (aged 65 and over)</t>
  </si>
  <si>
    <t>Cyfanswm pobl hŷn (65 oed a hŷn)</t>
  </si>
  <si>
    <t>Total highways and roads</t>
  </si>
  <si>
    <t>Cyfanswm priffyrdd a ffyrdd</t>
  </si>
  <si>
    <t>Total Strategic management</t>
  </si>
  <si>
    <t>Total traffic management and road safety</t>
  </si>
  <si>
    <t>Cyfanswm rheoli traffig a diogelwch ar y ffyrdd</t>
  </si>
  <si>
    <t>Total Staff</t>
  </si>
  <si>
    <t>In-year debit for the year</t>
  </si>
  <si>
    <t>Cyfanswm y debyd yn ystod y flwyddyn</t>
  </si>
  <si>
    <t>Total arrears brought forward at the start of the year</t>
  </si>
  <si>
    <t>Cyfanswm yr ôl-ddyledion a gafodd eu dwyn ymlaen ar ddechrau'r flwyddyn</t>
  </si>
  <si>
    <t>Equipment and adaptations</t>
  </si>
  <si>
    <t>Cyfarpar ac addasiadau</t>
  </si>
  <si>
    <t>Education equipment</t>
  </si>
  <si>
    <t>Total LA budget</t>
  </si>
  <si>
    <t>Cyfaswm cyllideb ALl</t>
  </si>
  <si>
    <t>Cyfleusterau chwaraeon</t>
  </si>
  <si>
    <t>Short breaks (respite) for disabled children</t>
  </si>
  <si>
    <t>Egwyliau byr (seibiant) i blant anabl</t>
  </si>
  <si>
    <t>Collection rates for 2015-16:</t>
  </si>
  <si>
    <t>Cyfraddau casglu ar gyfer 2015-16:</t>
  </si>
  <si>
    <t>Contribution to health care of individual children</t>
  </si>
  <si>
    <t>Cyfraniad i ofal iechyd plant unigol</t>
  </si>
  <si>
    <t>Contribution to the HRA (d)</t>
  </si>
  <si>
    <t>Cyfraniad i'r Cyfrif Refeniw Tai (d)</t>
  </si>
  <si>
    <t>Housing revenue account (HRA)</t>
  </si>
  <si>
    <t>Cyfrif refeniw tai (HRA)</t>
  </si>
  <si>
    <t>LA budget</t>
  </si>
  <si>
    <t>Cyllideb ALI</t>
  </si>
  <si>
    <t>LA budget - special</t>
  </si>
  <si>
    <t>Cyllideb ALl - Ysgolion arbennig</t>
  </si>
  <si>
    <t>LA budget - middle</t>
  </si>
  <si>
    <t>Cyllideb ALl - Ysgolion canol</t>
  </si>
  <si>
    <t>LA budget - primary</t>
  </si>
  <si>
    <t>Cyllideb ALl - Ysgolion cynradd</t>
  </si>
  <si>
    <t>LA budget - nursery</t>
  </si>
  <si>
    <t>Cyllideb ALl - ysgolion meithrin</t>
  </si>
  <si>
    <t>LA budget - secondary</t>
  </si>
  <si>
    <t>Cyllideb ALl - Ysgolion uwchradd</t>
  </si>
  <si>
    <t>Other LA budget on schools</t>
  </si>
  <si>
    <t xml:space="preserve">Cyllideb arall yr ALl ar ysgolion </t>
  </si>
  <si>
    <t>Other LA budget on schools - special</t>
  </si>
  <si>
    <t>Cyllideb arall yr ALl ar ysgolion - Ysgolion arbennig</t>
  </si>
  <si>
    <t>Other LA budget on schools - middle</t>
  </si>
  <si>
    <t>Cyllideb arall yr ALl ar ysgolion - Ysgolion canol</t>
  </si>
  <si>
    <t>Other LA budget on schools - primary</t>
  </si>
  <si>
    <t>Cyllideb arall yr ALl ar ysgolion  - Ysgolion cynradd</t>
  </si>
  <si>
    <t>Other LA budget on schools - nursery</t>
  </si>
  <si>
    <t>Cyllideb arall yr ALl ar ysgolion  - ysgolion meithrin</t>
  </si>
  <si>
    <t>Other LA budget on schools - secondary</t>
  </si>
  <si>
    <t>Cyllideb arall yr ALl ar ysgolion  - Ysgolion uwchradd</t>
  </si>
  <si>
    <t>Other school budget - special</t>
  </si>
  <si>
    <t>Cyllideb ysgol arall - - Ysgolion arbennig</t>
  </si>
  <si>
    <t>Other school budget - middle</t>
  </si>
  <si>
    <t>Cyllideb ysgol arall - - Ysgolion canol</t>
  </si>
  <si>
    <t>Other school budget - primary</t>
  </si>
  <si>
    <t>Cyllideb ysgol arall - - Ysgolion cynradd</t>
  </si>
  <si>
    <t>Other School budget - secondary</t>
  </si>
  <si>
    <t>Cyllideb ysgol arall - - Ysgolion uwchradd</t>
  </si>
  <si>
    <t>Other school budget - nursery</t>
  </si>
  <si>
    <t>Cyllideb ysgol arall - meithrin</t>
  </si>
  <si>
    <t>Other LA budget (non-school)</t>
  </si>
  <si>
    <t>Cyllideb ALl arall (heblaw ysgolion)</t>
  </si>
  <si>
    <t>Other schools budget</t>
  </si>
  <si>
    <t>Cyllideb  ysgolion arall</t>
  </si>
  <si>
    <t>School budget - special</t>
  </si>
  <si>
    <t>School budget - middle</t>
  </si>
  <si>
    <t>Cyllideb ysgol - Ysgolion canol</t>
  </si>
  <si>
    <t>School budget - primary</t>
  </si>
  <si>
    <t>School budget - nursery</t>
  </si>
  <si>
    <t>Cyllideb ysgol - Ysgolion meithrin</t>
  </si>
  <si>
    <t>School budget - secondary</t>
  </si>
  <si>
    <t>Schools budget</t>
  </si>
  <si>
    <t>COMPARISONS WITH THE BUDGET REQUIREMENT RETURN (BR1), 2015-16</t>
  </si>
  <si>
    <t>Cymharu a'r ffurflen gofynion cyllidebol (BR1), 2015-16</t>
  </si>
  <si>
    <t>YEAR ON YEAR COMPARISON</t>
  </si>
  <si>
    <t>Cymharu'r naill flwyddyn a'r llall</t>
  </si>
  <si>
    <t>Other support for disabled children</t>
  </si>
  <si>
    <t>Cymorth arall ar gyfer plant anabl</t>
  </si>
  <si>
    <t>Business support</t>
  </si>
  <si>
    <t>Special guardianship support</t>
  </si>
  <si>
    <t>Cymorth gwarcheidiaeth arbennig</t>
  </si>
  <si>
    <t>Student support: discretionary awards</t>
  </si>
  <si>
    <t>Student support: mandatory awards</t>
  </si>
  <si>
    <t>Student support: Assembly learning grant</t>
  </si>
  <si>
    <t>Cymorth i fyfyrwyr: grant dysgu'r Cynulliad</t>
  </si>
  <si>
    <t>Universal family support</t>
  </si>
  <si>
    <t>Cymorth cyffredinol i deuluoedd</t>
  </si>
  <si>
    <t xml:space="preserve">Targeted family support </t>
  </si>
  <si>
    <t xml:space="preserve">Cymorth wedi'i dargedu i deuluoedd </t>
  </si>
  <si>
    <t>Investigative support</t>
  </si>
  <si>
    <t>Cymorth ymchwiliol</t>
  </si>
  <si>
    <t>Housing advice</t>
  </si>
  <si>
    <t>Cyngor ar dai</t>
  </si>
  <si>
    <t>Children's and young peoples plan</t>
  </si>
  <si>
    <t>Cynllun plant a phobl ifainc</t>
  </si>
  <si>
    <t>Planning and development</t>
  </si>
  <si>
    <t>Cynllunio a datblygu</t>
  </si>
  <si>
    <t>Fire service emergency planning</t>
  </si>
  <si>
    <t>Cynllunio ar gyfer argyfwng -  gwasanaethau tân</t>
  </si>
  <si>
    <t>Forward planning and communities</t>
  </si>
  <si>
    <t>Cynllunio ymlaen a chymunedau</t>
  </si>
  <si>
    <t>Structural maintenance of bridges and culverts</t>
  </si>
  <si>
    <t xml:space="preserve">Cynnal a chadw adeileddol ar bontydd a chwlfertau </t>
  </si>
  <si>
    <t>Structural maintenance of principal roads</t>
  </si>
  <si>
    <t xml:space="preserve">Cynnal a chadw adeileddol ar brif ffyrdd </t>
  </si>
  <si>
    <t>Structural maintenance of other roads</t>
  </si>
  <si>
    <t>Cynnal a chadw adeileddol ar ffyrdd eraill</t>
  </si>
  <si>
    <t>Structural maintenance:</t>
  </si>
  <si>
    <t>Cynnal a chadw adeileddol:</t>
  </si>
  <si>
    <t>Environment, safety and routine maintenance</t>
  </si>
  <si>
    <t>Cynnal a chadw amgylcheddol, diogelwch a rheolaidd</t>
  </si>
  <si>
    <t>Roads routine maintenance (d)</t>
  </si>
  <si>
    <t>Cynnal a chadw rheolaidd ar ffyrdd (d)</t>
  </si>
  <si>
    <t>Primary</t>
  </si>
  <si>
    <t>Cynradd</t>
  </si>
  <si>
    <t>Democratic representation and management</t>
  </si>
  <si>
    <t>Please read the notes for guidance before completing this form</t>
  </si>
  <si>
    <t>Darllenwch y canllawiau cyn llenwi'r ffurflen hon</t>
  </si>
  <si>
    <t>Provision for repayment of principal</t>
  </si>
  <si>
    <t>Darpariaeth ar gyfer ad-dalu'r prifswm</t>
  </si>
  <si>
    <t>Bad debt provision</t>
  </si>
  <si>
    <t>Darpariaeth ar gyfer dyled ddrwg</t>
  </si>
  <si>
    <t>Bad debt 'provision'</t>
  </si>
  <si>
    <t>Darpariaeth' ar gyfer dyled ddrwg</t>
  </si>
  <si>
    <t>Under 5 provision not in nursery, primary or special schools</t>
  </si>
  <si>
    <t>Own provision (including joint arrangements)</t>
  </si>
  <si>
    <t>Darpariaeth eu hunain (gan gynnwys trefniadau ar y cyd)</t>
  </si>
  <si>
    <t>Provision by others
(including joint arrangements)</t>
  </si>
  <si>
    <t>Darpariaeth gan eraill (gan gynnwys trefniadau ar y cyd)</t>
  </si>
  <si>
    <t>Economic development</t>
  </si>
  <si>
    <t>Datblygu economaidd</t>
  </si>
  <si>
    <t>Arts development and support</t>
  </si>
  <si>
    <t>Sports development</t>
  </si>
  <si>
    <t>Datblygu chwaraeon</t>
  </si>
  <si>
    <t>Community development</t>
  </si>
  <si>
    <t>Datblygu cymundeol</t>
  </si>
  <si>
    <t>Dealing with the public</t>
  </si>
  <si>
    <t>Delio â'r cyhoedd</t>
  </si>
  <si>
    <t>Receipts of non-domestic rates for earlier years (net of refunds)</t>
  </si>
  <si>
    <t>Derbyniadau ardrethi annomestig ar gyfer blynyddoedd cynharach (heb gynnwys ad-daliadau)</t>
  </si>
  <si>
    <t>Receipts of in-year non-domestic rates (net of refunds)</t>
  </si>
  <si>
    <t xml:space="preserve">Derbyniadau ardrethi annomestig yn ystod y flwyddyn (heb gynnwys ad-daliadau) </t>
  </si>
  <si>
    <t>External interest receipts</t>
  </si>
  <si>
    <t>Derbyniadau llog allanol</t>
  </si>
  <si>
    <t>Homelessness</t>
  </si>
  <si>
    <t>Digartrefedd</t>
  </si>
  <si>
    <t>Inter authority recoupment</t>
  </si>
  <si>
    <t>Inter authority recoupment - special</t>
  </si>
  <si>
    <t>Inter authority recoupment - middle</t>
  </si>
  <si>
    <t>Digollediad rhwng awdurdodau - Ysgolion canol</t>
  </si>
  <si>
    <t>Inter authority recoupment - primary</t>
  </si>
  <si>
    <t>Inter authority recoupment - nursery</t>
  </si>
  <si>
    <t>Inter authority recoupment - secondary</t>
  </si>
  <si>
    <t>Diogelwch cymunedol</t>
  </si>
  <si>
    <t>Diogelwch cymunedol (teledu cylch cyfyng)</t>
  </si>
  <si>
    <t>Community fire safety</t>
  </si>
  <si>
    <t>Food safety</t>
  </si>
  <si>
    <t>Diolgelwch bwyd</t>
  </si>
  <si>
    <t>Council tax discounts</t>
  </si>
  <si>
    <t>Disgowntiau y dreth gyngor</t>
  </si>
  <si>
    <t>Diwydiannol a masnachol</t>
  </si>
  <si>
    <t>CULTURE AND HERITAGE</t>
  </si>
  <si>
    <t>Diwylliant a threftadaeth</t>
  </si>
  <si>
    <t>Dogfennaeth</t>
  </si>
  <si>
    <t>Link to Guidance</t>
  </si>
  <si>
    <t>Dolen at y canllawiau</t>
  </si>
  <si>
    <t>Dylech gynnwys yr amser a dreuliwyd ar weithgarwch i baratoi ac anfon y ffurflen hon yn unig, megis:</t>
  </si>
  <si>
    <t>In-year debit compared to amount originally budgeted to be collected</t>
  </si>
  <si>
    <t xml:space="preserve">Dyled yn ystod y flwyddyn o gymharu â'r swm i'w gasglu yn y gyllideb yn wreiddiol </t>
  </si>
  <si>
    <t>Dyluniad y ffurflen</t>
  </si>
  <si>
    <t>Short breaks (respite) for children looked after</t>
  </si>
  <si>
    <t>Egwyliau byr (seibiant) ar gyfer plant sy'n derbyn gofal</t>
  </si>
  <si>
    <t>Short breaks (respite) for disabled children looked after</t>
  </si>
  <si>
    <t>Egwyliau byr (seibiant) ar gyfer plant anabl sy'n derbyn gofal</t>
  </si>
  <si>
    <t>Other council property</t>
  </si>
  <si>
    <t>Eiddo arall y cyngor</t>
  </si>
  <si>
    <t>Initiative schemes</t>
  </si>
  <si>
    <t>Cynlluniau menter</t>
  </si>
  <si>
    <t>Capital financing element within PFI schemes</t>
  </si>
  <si>
    <t>Elfen cyllido cyfalaf o fewn cynlluniau PFI</t>
  </si>
  <si>
    <t>Other roads</t>
  </si>
  <si>
    <t>Ffyrdd eraill</t>
  </si>
  <si>
    <t>Roads, street lighting and road safety</t>
  </si>
  <si>
    <t>Ffyrdd, goleuadau stryd a diogelwych ffyrdd</t>
  </si>
  <si>
    <t>Enabling</t>
  </si>
  <si>
    <t>Galluogi</t>
  </si>
  <si>
    <t>Street cleansing (not chargeable to highways)</t>
  </si>
  <si>
    <t>Glanhau strydoedd (ddim yn daladwy o dan priffyrdd)</t>
  </si>
  <si>
    <t>Tolerance</t>
  </si>
  <si>
    <t>Goddefiant</t>
  </si>
  <si>
    <t>Home care</t>
  </si>
  <si>
    <t>Gofal cartref</t>
  </si>
  <si>
    <t>Day care</t>
  </si>
  <si>
    <t>Gofal dydd</t>
  </si>
  <si>
    <t>Residential care</t>
  </si>
  <si>
    <t>Gofal preswyl</t>
  </si>
  <si>
    <t>Goleuadau stryd</t>
  </si>
  <si>
    <t>Street lighting (including energy costs)</t>
  </si>
  <si>
    <t>Goleuadau stryd (gan gynnwys costau ynni)</t>
  </si>
  <si>
    <t>Specific and special government grants</t>
  </si>
  <si>
    <t>Grantiau penodol ac arbennig gan y llywodraeth</t>
  </si>
  <si>
    <t>Specific grants (c)</t>
  </si>
  <si>
    <t>Grantiau penodol (c)</t>
  </si>
  <si>
    <t>Gwahaniaeth</t>
  </si>
  <si>
    <t>Commissioning and social work</t>
  </si>
  <si>
    <t>Comisiynu a gwaith cymdeithasol</t>
  </si>
  <si>
    <t>Social work (including LA functions in relation to child protection)</t>
  </si>
  <si>
    <t>Gwaith cymdeithasol (yn cynnwys swyddogaethau ALl mewn cysylltiad ag amddiffyn plant)</t>
  </si>
  <si>
    <t>Planning and economic development:</t>
  </si>
  <si>
    <t>Cynllunio a datblygu economaiddl:</t>
  </si>
  <si>
    <t>Non-school education expenditure</t>
  </si>
  <si>
    <t>Gwariant addysg heblaw ysgolion</t>
  </si>
  <si>
    <t>Schools expenditure (including delegated and non-delegated funding)</t>
  </si>
  <si>
    <t>Gwariant ar ysgolion (yn cynnwys arian wedi'i ddirprwyo ac arian heb ei ddirprwyo)</t>
  </si>
  <si>
    <t>Other expenditure</t>
  </si>
  <si>
    <t>Other premises expenditure</t>
  </si>
  <si>
    <t>Capital expenditure charged to revenue account</t>
  </si>
  <si>
    <t>Capital expenditure charged to revenue account - special</t>
  </si>
  <si>
    <t>Capital expenditure charged to revenue account - middle</t>
  </si>
  <si>
    <t>Gwariant cyfalaf a godwyd o'r cyfrif refeniw - Ysgolion canol</t>
  </si>
  <si>
    <t>Capital expenditure charged to revenue account - primary</t>
  </si>
  <si>
    <t>Capital expenditure charged to revenue account - nursery</t>
  </si>
  <si>
    <t>Capital expenditure charged to revenue account - secondary</t>
  </si>
  <si>
    <t>Capital expenditure charged to revenue account (CERA)</t>
  </si>
  <si>
    <t>Gwariant cyfalaf a godwyd o'r cyfrif refeniw (CERA)</t>
  </si>
  <si>
    <t>Net Current Expenditure</t>
  </si>
  <si>
    <t>Gwariant Cyfredol Net</t>
  </si>
  <si>
    <t>Non-current expenditure:</t>
  </si>
  <si>
    <t>Gwariant anghyfredol:</t>
  </si>
  <si>
    <t>Gross Expenditure</t>
  </si>
  <si>
    <t>Gwariant Gros</t>
  </si>
  <si>
    <t>Police operational expenditure:</t>
  </si>
  <si>
    <t>Gwariant gweithredol yr heddlu:</t>
  </si>
  <si>
    <t>Fire operational expenditure:</t>
  </si>
  <si>
    <t>Gwariant gweithredol tân:</t>
  </si>
  <si>
    <t>Operational expenditure:</t>
  </si>
  <si>
    <t>Gwariant gweithredol:</t>
  </si>
  <si>
    <t>HIV/AIDS</t>
  </si>
  <si>
    <t>Other revenue expenditure</t>
  </si>
  <si>
    <t>Gross revenue expenditure</t>
  </si>
  <si>
    <t>Gwariant refeniw gros</t>
  </si>
  <si>
    <t>Net revenue expenditure</t>
  </si>
  <si>
    <t>Gwariant refeniw net</t>
  </si>
  <si>
    <t>Appropriations to(+) / from(-) accumulated absences</t>
  </si>
  <si>
    <t>Dyraniadau i(+) / o(-) absenoldebau cronnus</t>
  </si>
  <si>
    <t>Direct spend (employee costs and running costs)</t>
  </si>
  <si>
    <t>Gwariant uniongyrchol (costau cyflogeion a costau rhedeg)</t>
  </si>
  <si>
    <t>Other direct spend (employee costs and running costs)</t>
  </si>
  <si>
    <t>Gwariant uniongyrchol arall (costau cyflogeion a chostau rhedeg</t>
  </si>
  <si>
    <t>School expenditure - special</t>
  </si>
  <si>
    <t>School expenditure - middle</t>
  </si>
  <si>
    <t>Gwariant ysgol - Ysgolion canol</t>
  </si>
  <si>
    <t>School expenditure - primary</t>
  </si>
  <si>
    <t>School expenditure - nursery</t>
  </si>
  <si>
    <t>School expenditure - secondary</t>
  </si>
  <si>
    <t>Gwasanaeth addysg eraill ac addysg barhaus</t>
  </si>
  <si>
    <t>Gwasanaethau llyfrgelloedd</t>
  </si>
  <si>
    <t>Management and support services:</t>
  </si>
  <si>
    <t>Gwasanaethau rheoli a chynnal:</t>
  </si>
  <si>
    <t>Fire service and civil defence</t>
  </si>
  <si>
    <t xml:space="preserve">Gwasanaethau tân ac amddiffyn sifil </t>
  </si>
  <si>
    <t>Winter service</t>
  </si>
  <si>
    <t>Gwasanaeth y gaeaf</t>
  </si>
  <si>
    <t>Agricultural services</t>
  </si>
  <si>
    <t>Own agriculture and fisheries services</t>
  </si>
  <si>
    <t>Gwasanaethau amaethyddol a physgodfeydd ei hun</t>
  </si>
  <si>
    <t>Own flood defence and land drainage services</t>
  </si>
  <si>
    <t>Gwasanaethau amddiffyn llifogydd a draeniad tir ei hun</t>
  </si>
  <si>
    <t>Other environmental services:</t>
  </si>
  <si>
    <t>Gwasanaethau amgylcheddol eraill:</t>
  </si>
  <si>
    <t>Local environmental services:</t>
  </si>
  <si>
    <t>Gwasanaethau amgylcheddol lleol:</t>
  </si>
  <si>
    <t>Preventative services</t>
  </si>
  <si>
    <t>Gwasanaethau ataliol</t>
  </si>
  <si>
    <t>Teenage pregnancy services</t>
  </si>
  <si>
    <t>Gwasanaethau beichiogrwydd pobl ifanc yn eu harddegau</t>
  </si>
  <si>
    <t>Substance misuse service</t>
  </si>
  <si>
    <t>Gwasanaethau camddefnyddio sylweddau</t>
  </si>
  <si>
    <t>Other central services</t>
  </si>
  <si>
    <t>Other central services to the public</t>
  </si>
  <si>
    <t>Gwasanaethau canolog eraill i'r cyhoedd</t>
  </si>
  <si>
    <t>Coroners' and other courts services</t>
  </si>
  <si>
    <t>Gwasanaethau crwner a llysoedd eraill</t>
  </si>
  <si>
    <t>Universal services for young people</t>
  </si>
  <si>
    <t>Gwasanaethau cyffredinol ar gyfer pobl ifanc</t>
  </si>
  <si>
    <t>Other youth justice services</t>
  </si>
  <si>
    <t>Gwasanaethau cyfiawnder ieuenctid eraill</t>
  </si>
  <si>
    <t>Social services - adults aged under 65</t>
  </si>
  <si>
    <t>Social services - children and families</t>
  </si>
  <si>
    <t>Gwasanaethau cymdeithasol - plant a teuluoedd</t>
  </si>
  <si>
    <t>Social services - older people</t>
  </si>
  <si>
    <t>Gwasanaethau cymdeithasol - pobl hŷn</t>
  </si>
  <si>
    <t>Leaving care support services</t>
  </si>
  <si>
    <t>Gwasanaethau cymorth gadael gofal</t>
  </si>
  <si>
    <t>Other community services</t>
  </si>
  <si>
    <t>Gwasanaethau cymunedol eraill</t>
  </si>
  <si>
    <t>Other support services</t>
  </si>
  <si>
    <t>Gwasanaethau cymorth eraill</t>
  </si>
  <si>
    <t>Cultural and heritage services</t>
  </si>
  <si>
    <t>Gwasanaethau diwylliant a threftadaeth</t>
  </si>
  <si>
    <t>Advocacy services for children looked after</t>
  </si>
  <si>
    <t>Gwasanaethau eiriolaeth ar gyfer plant sy'n derbyn gofal</t>
  </si>
  <si>
    <t>Other children looked after services</t>
  </si>
  <si>
    <t>Gwasanaethau eraill ar gyfer plant sy'n derbyn gofal</t>
  </si>
  <si>
    <t>Other children looked after services.</t>
  </si>
  <si>
    <t>Other family support services</t>
  </si>
  <si>
    <t>Gwasanaethau eraill cymorth i deuluoedd</t>
  </si>
  <si>
    <t>Other adult services</t>
  </si>
  <si>
    <t>Gwasanaethau eraill i oedolion</t>
  </si>
  <si>
    <t>Police services</t>
  </si>
  <si>
    <t>Gwasanaethau heddlu</t>
  </si>
  <si>
    <t>Police central services:</t>
  </si>
  <si>
    <t>Gwasanaethau heddlu canolog:</t>
  </si>
  <si>
    <t>Welfare services</t>
  </si>
  <si>
    <t>Gwasanaethau lles</t>
  </si>
  <si>
    <t>Adoption services</t>
  </si>
  <si>
    <t>Gwasanaethau mabwysiadu</t>
  </si>
  <si>
    <t>Fostering services</t>
  </si>
  <si>
    <t>Gwasanaethau maethu</t>
  </si>
  <si>
    <t>Gwasanaethau masnachu eraill</t>
  </si>
  <si>
    <t>Cemetery, cremation and mortuary services</t>
  </si>
  <si>
    <t xml:space="preserve">Gwasanaethau mynwentydd, amlosgfeydd a chorffdai </t>
  </si>
  <si>
    <t>National parks services</t>
  </si>
  <si>
    <t>Gwasanaethau parciau cenedlaethol</t>
  </si>
  <si>
    <t>Gwasanaethau rheoleiddio (Iechyd yr amgylchedd)</t>
  </si>
  <si>
    <t>Gwasanaethau rheoleiddio (Safonau Masnach)</t>
  </si>
  <si>
    <t>Fire services</t>
  </si>
  <si>
    <t>Gwasanaethau tân</t>
  </si>
  <si>
    <t>Fire-fighting and rescue operations</t>
  </si>
  <si>
    <t>Gwasanaethau ymladd tân a gweithrediadau achub</t>
  </si>
  <si>
    <t>Fire central services:</t>
  </si>
  <si>
    <t>Gwasanaethau tân canolog:</t>
  </si>
  <si>
    <t>Targeted services for young people</t>
  </si>
  <si>
    <t>Gwasanaethau wedi'u targedu ar gyfer pobl ifanc</t>
  </si>
  <si>
    <t xml:space="preserve">Safeguarding children and young people's services </t>
  </si>
  <si>
    <t>Gwasanaethu amddiffyn plant a pobl ifanc</t>
  </si>
  <si>
    <t>Waste</t>
  </si>
  <si>
    <t>Gwastraff</t>
  </si>
  <si>
    <t>Trade waste</t>
  </si>
  <si>
    <t>Gwastraff masnach</t>
  </si>
  <si>
    <t>Surpluses/deficits on internal trading accounts</t>
  </si>
  <si>
    <t>Gwargedau/diffygion ar gyfrifon masnachu mewnol</t>
  </si>
  <si>
    <t>Central administration:</t>
  </si>
  <si>
    <t>Gweinyddiaeth ganolog:</t>
  </si>
  <si>
    <t>Housing benefit administration</t>
  </si>
  <si>
    <t>Gweinyddu budd-dâl tai</t>
  </si>
  <si>
    <t>Central administration and other revenue</t>
  </si>
  <si>
    <t>Gweinyddu canolog a refeniw arall</t>
  </si>
  <si>
    <t>Gweinyddu cyffredinol</t>
  </si>
  <si>
    <t>Art activities and facilities</t>
  </si>
  <si>
    <t>Gweithgareddau a chyfleusterau celfyddydau</t>
  </si>
  <si>
    <t>Specialist operations</t>
  </si>
  <si>
    <t>Gweithrediadau arbenigol</t>
  </si>
  <si>
    <t>Internal drainage board</t>
  </si>
  <si>
    <t xml:space="preserve">Bwrdd Draeniad Mewnol </t>
  </si>
  <si>
    <t>School improvement</t>
  </si>
  <si>
    <t>School improvement - special</t>
  </si>
  <si>
    <t>School improvement - middle</t>
  </si>
  <si>
    <t>Gwella ysgolion - Ysgolion canol</t>
  </si>
  <si>
    <t>School improvement - primary</t>
  </si>
  <si>
    <t>School improvement - nursery</t>
  </si>
  <si>
    <t>School improvement - secondary</t>
  </si>
  <si>
    <t>Gwiriadau dilysu</t>
  </si>
  <si>
    <t>account</t>
  </si>
  <si>
    <t>cyfrif</t>
  </si>
  <si>
    <t>Police</t>
  </si>
  <si>
    <t>Yr heddlu</t>
  </si>
  <si>
    <t>All education</t>
  </si>
  <si>
    <t xml:space="preserve">Popeth - Addysg </t>
  </si>
  <si>
    <t xml:space="preserve">All special education </t>
  </si>
  <si>
    <t xml:space="preserve">Popeth - Addysg arbennig </t>
  </si>
  <si>
    <t>All continuing education</t>
  </si>
  <si>
    <t>Popeth - Addysg barhaus</t>
  </si>
  <si>
    <t>All agriculture and fisheries</t>
  </si>
  <si>
    <t>Popeth - Amaethyddiaeth a physgodfeydd</t>
  </si>
  <si>
    <t>All elderly people</t>
  </si>
  <si>
    <t>Popeth - Pobl oedrannus</t>
  </si>
  <si>
    <t>All council tax benefit, administration and local tax collection</t>
  </si>
  <si>
    <t>Popeth - Budd-dâl y dreth gyngor, gweinyddu a chasglu'r dreth leol</t>
  </si>
  <si>
    <t>All sports and recreation</t>
  </si>
  <si>
    <t xml:space="preserve">Popeth - Chwaraeon a hamdden </t>
  </si>
  <si>
    <t>Total structural maintenance</t>
  </si>
  <si>
    <t>Popeth - Cynnal a chadw adeileddol</t>
  </si>
  <si>
    <t>All planning and economic development</t>
  </si>
  <si>
    <t>Popeth - Cynllunio a datblygu economaidd</t>
  </si>
  <si>
    <t>All non-current expenditure</t>
  </si>
  <si>
    <t>Popeth - Gwariant anghyfredol</t>
  </si>
  <si>
    <t>All operational expenditure</t>
  </si>
  <si>
    <t xml:space="preserve">Popeth - Gwariant gweithredol </t>
  </si>
  <si>
    <t>All fire operational expenditure</t>
  </si>
  <si>
    <t>Popeth - Gwariant gweithredol tân</t>
  </si>
  <si>
    <t>All police expenditure</t>
  </si>
  <si>
    <t>Popeth - Gwariant yr heddlu</t>
  </si>
  <si>
    <t>All other revenue expenditure</t>
  </si>
  <si>
    <t>Popeth - Gwariant refeniw arall</t>
  </si>
  <si>
    <t>All fire expenditure</t>
  </si>
  <si>
    <t xml:space="preserve">Popeth - Gwariant tân </t>
  </si>
  <si>
    <t>All other environmental services</t>
  </si>
  <si>
    <t>Popeth - Gwasanaethau amgylcheddol eraill</t>
  </si>
  <si>
    <t>All local environmental services</t>
  </si>
  <si>
    <t>Popeth - Gwasanaethau amgylcheddol lleol</t>
  </si>
  <si>
    <t>All central administration</t>
  </si>
  <si>
    <t>Popeth - Gweinyddiaeth ganolog</t>
  </si>
  <si>
    <t>All libraries, culture and heritage</t>
  </si>
  <si>
    <t>Popeth - Llyfrgelloedd, diwylliant a threftadaeth</t>
  </si>
  <si>
    <t>All libraries, culture and heritage, sport and recreation</t>
  </si>
  <si>
    <t>Popeth - Llyfrgelloedd, diwylliant a threftadaeth, chwaraeon a hamdden</t>
  </si>
  <si>
    <t>All children and families</t>
  </si>
  <si>
    <t>Popeth - Plant a theuluoedd</t>
  </si>
  <si>
    <t>All highways and roads</t>
  </si>
  <si>
    <t>Popeth - Prffyrdd a ffyrdd</t>
  </si>
  <si>
    <t>All roads and transport</t>
  </si>
  <si>
    <t xml:space="preserve">Popeth - Ffyrdd a thrafnidiaeth </t>
  </si>
  <si>
    <t>All housing</t>
  </si>
  <si>
    <t>Popeth - Tai</t>
  </si>
  <si>
    <t>All council fund housing and housing benefit</t>
  </si>
  <si>
    <t>Popeth - Tai cronfa'r cynghorau a budd-dal tai</t>
  </si>
  <si>
    <t>Total capital charges relating to construction projects</t>
  </si>
  <si>
    <t>Popeth - Taliadau cyfalaf sy'n ymwneud â phrosiectau adeiladu</t>
  </si>
  <si>
    <t>All transport</t>
  </si>
  <si>
    <t>Popeth - Trafnidiaeth</t>
  </si>
  <si>
    <t xml:space="preserve">Total transport </t>
  </si>
  <si>
    <t>Cyfanswm trafnidiaeth</t>
  </si>
  <si>
    <t>All police central services</t>
  </si>
  <si>
    <t>Popeth - Gwasanaethau canolog yr heddlu</t>
  </si>
  <si>
    <t>All law, order and protective services</t>
  </si>
  <si>
    <t>Popeth - Cyfraith, trefn a gwasanaethau diogelu</t>
  </si>
  <si>
    <t>Promoting understanding</t>
  </si>
  <si>
    <t>Hyrwyddo dealltwriaeth</t>
  </si>
  <si>
    <t>to</t>
  </si>
  <si>
    <t>i</t>
  </si>
  <si>
    <t>Environmental health</t>
  </si>
  <si>
    <t>Iechyd amgylcheddol</t>
  </si>
  <si>
    <t>Other services to adults aged under 65 with mental health needs</t>
  </si>
  <si>
    <t>Gwasanaethau eraill i oedolion o dan 65 oed ag anghenion iechyd meddwl</t>
  </si>
  <si>
    <t>Other income (excluding joint arrangements)</t>
  </si>
  <si>
    <t>Incwm arall (ac eithrio trefniadau ar y cyd)</t>
  </si>
  <si>
    <t>Levies income from county and county borough councils (b)</t>
  </si>
  <si>
    <t>Incwm ardollau o gynghorau sir a chynghorau bwrdeistref sirol (b)</t>
  </si>
  <si>
    <t>Income from joint arrangements with non-local authority bodies</t>
  </si>
  <si>
    <t>Incwm o drefniadau ar y cyd â chyrff heblaw awdurdodau lleol</t>
  </si>
  <si>
    <t>Income from joint arrangements with other local authorities</t>
  </si>
  <si>
    <t>Incwm o drefniadau ar y cyd ag awdurdodau lleol eraill</t>
  </si>
  <si>
    <t>Income from sales, fees and charges</t>
  </si>
  <si>
    <t>Incwm o werthiannau, ffioedd a thaliadau</t>
  </si>
  <si>
    <t>School income within LA accounts (excluding school catering income and insurance payouts)</t>
  </si>
  <si>
    <t>Incwm ysgolion mewn cyfrifon ALl (ac eithrio incwm arlwyo ysgolion a thaliadau yswiriant)</t>
  </si>
  <si>
    <t>Other environmental health</t>
  </si>
  <si>
    <t>Iechyd amgylcheddol arall</t>
  </si>
  <si>
    <t>less police grant allocation under principal formula</t>
  </si>
  <si>
    <t xml:space="preserve">wedi tynnu dyraniad grant yr heddlu o dan fformiwla prifswm </t>
  </si>
  <si>
    <t>less council tax benefit grant</t>
  </si>
  <si>
    <t>wedi tynnu grant budd-dâl y dreth gyngor</t>
  </si>
  <si>
    <t>less revenue support grant</t>
  </si>
  <si>
    <t>wedi tynnu grant cynnal refeniw</t>
  </si>
  <si>
    <t>less specific and special grants</t>
  </si>
  <si>
    <t>wedi tynnu grantiau penodol ac arbennig</t>
  </si>
  <si>
    <t>less redistributed non-domestic rates income</t>
  </si>
  <si>
    <t>wedi tynnu incwm ardrethi annomestig wedi'i ailddosbarthu</t>
  </si>
  <si>
    <t>Open spaces</t>
  </si>
  <si>
    <t>Mannau agored</t>
  </si>
  <si>
    <t>Nursing care placements</t>
  </si>
  <si>
    <t>Lleoliadau gofal nyrsio</t>
  </si>
  <si>
    <t>Residential care placements</t>
  </si>
  <si>
    <t>Lleoliadau gofal preswyl</t>
  </si>
  <si>
    <t>Supported and other accommodation</t>
  </si>
  <si>
    <t>Llety â chymorth a llety arall</t>
  </si>
  <si>
    <t>Secure accommodation (justice)</t>
  </si>
  <si>
    <t>Llety diogel (cyfiawnder)</t>
  </si>
  <si>
    <t>Line 4 as a % of budgeted amount: (line 4 / line 7 x 100)</t>
  </si>
  <si>
    <t>Llinell 4 fel % o'r swm yn y gyllideb: (llinell 4 / llinell 7 x 100)</t>
  </si>
  <si>
    <t>External interest</t>
  </si>
  <si>
    <t>External interest on provision for credit liabilities</t>
  </si>
  <si>
    <t xml:space="preserve">Llog allanol ar ddarpariath ar gyfer atebolrwydd credyd  </t>
  </si>
  <si>
    <t>Libraries, culture and heritage:</t>
  </si>
  <si>
    <t>Llyfrgelloedd, diwylliant a threftadaeth:</t>
  </si>
  <si>
    <t xml:space="preserve">Libraries, culture and heritage, sport and recreation: </t>
  </si>
  <si>
    <t>Llyfrgelloedd, diwylliant, threftadaeth, chwaraeon a hamdden:</t>
  </si>
  <si>
    <t>Llysoedd y crwneriaid</t>
  </si>
  <si>
    <t>Mae croeso i chi ychwanegu unrhyw sylwadau</t>
  </si>
  <si>
    <t xml:space="preserve">Mae Llywodraeth Cymru yn monitro'r baich o lenwi'r ffurflen casglu data hon. </t>
  </si>
  <si>
    <t>Editable area</t>
  </si>
  <si>
    <t>Maes y gellir ei olygu</t>
  </si>
  <si>
    <t>Nursery (d)</t>
  </si>
  <si>
    <t>Meithrinfa (d)</t>
  </si>
  <si>
    <t>Environmental initiatives</t>
  </si>
  <si>
    <t>Meysydd awyr</t>
  </si>
  <si>
    <t>Airports, harbours and toll facilities</t>
  </si>
  <si>
    <t>Meysydd awyr, harbwrs a chyfleusterau toll</t>
  </si>
  <si>
    <t>Airports, harbours and tolled facilities</t>
  </si>
  <si>
    <t>Access to education</t>
  </si>
  <si>
    <t>Mynediad at addysg</t>
  </si>
  <si>
    <t>Access to education (excluding transport) - special</t>
  </si>
  <si>
    <t>Mynediad at addysg (heb gynnwys trafnidiaeth) - Ysgolion arbennig</t>
  </si>
  <si>
    <t>Access to education (excluding transport) - middle</t>
  </si>
  <si>
    <t>Mynediad at addysg (heb gynnwys trafnidiaeth) - Ysgolion canol</t>
  </si>
  <si>
    <t>Access to education (excluding transport) - primary</t>
  </si>
  <si>
    <t>Mynediad at addysg (heb gynnwys trafnidiaeth) - Ysgolion cynradd</t>
  </si>
  <si>
    <t>Access to education (excluding transport) - nursery</t>
  </si>
  <si>
    <t>Mynediad at addysg (heb gynnwys trafnidiaeth) - ysgolion meithrin</t>
  </si>
  <si>
    <t>Access to education (excluding transport) - secondary</t>
  </si>
  <si>
    <t>Mynediad at addysg (heb gynnwystrafnidiaeth) - Ysgolion uwchradd</t>
  </si>
  <si>
    <t>Access to Education (excluding transport) - non-school</t>
  </si>
  <si>
    <t>Mynediad at addysg (heb gynnwys trafnidiaeth - heblaw ysgol</t>
  </si>
  <si>
    <t>Cemeteries and crematoria</t>
  </si>
  <si>
    <t>Mynwentydd ac amlosgfeydd</t>
  </si>
  <si>
    <t>Appropriations to (+) / from (-) financial reserves</t>
  </si>
  <si>
    <t>Dyraniadau i (+)/ o (-) gronfeydd wrth gefn</t>
  </si>
  <si>
    <t>Appropriations to (+) / from (-) financial reserves (d)</t>
  </si>
  <si>
    <t>Dyraniadau i (+)/ o (-) gronfeydd wrth gefn (d)</t>
  </si>
  <si>
    <t>All amounts are to be net of council tax benefits (see notes)</t>
  </si>
  <si>
    <t>Dylai'r holl symiau fod yn rhai nad ydynt yn cynnwys budd-daliadau'r dreth gyngor (gweler y nodiadau)</t>
  </si>
  <si>
    <t>Nifer yr oriau</t>
  </si>
  <si>
    <t xml:space="preserve">Nodwch yr amser a gymerwyd gennych chi (ac unrhyw gydweithwyr) i baratoi ac anfon y ffurflen. </t>
  </si>
  <si>
    <t>Arrears brought forward</t>
  </si>
  <si>
    <t>Ôl-ddyledion a gafodd eu dwyn ymlaen</t>
  </si>
  <si>
    <t>Council tax arrears</t>
  </si>
  <si>
    <t>Ôl-ddyledion y dreth gyngor</t>
  </si>
  <si>
    <t>ARREARS OF COUNCIL TAX</t>
  </si>
  <si>
    <t>ÔL-DDYLEDION Y DRETH GYNGOR</t>
  </si>
  <si>
    <t>Parciau a mannau agored</t>
  </si>
  <si>
    <t>Parking</t>
  </si>
  <si>
    <t>Parcio</t>
  </si>
  <si>
    <t>Parking of vehicles</t>
  </si>
  <si>
    <t>Parcio cerbydau</t>
  </si>
  <si>
    <t>Local Flood Defence Committees</t>
  </si>
  <si>
    <t>Pwyllgorau Amddiffyn rhag Llifogydd</t>
  </si>
  <si>
    <t>Children and families:</t>
  </si>
  <si>
    <t>Plant a theuluoedd:</t>
  </si>
  <si>
    <t>Unaccompanied children</t>
  </si>
  <si>
    <t>Plant ar eu pen eu hunain</t>
  </si>
  <si>
    <t>Children placed with family and friends</t>
  </si>
  <si>
    <t>Plant wedi'u lleoli gyda theulu a ffrindiau</t>
  </si>
  <si>
    <t>Asylum seeking children looked after</t>
  </si>
  <si>
    <t>Plant sy'n ceisio lloches ac sy'n derbyn gofal</t>
  </si>
  <si>
    <t>National policing</t>
  </si>
  <si>
    <t>Plismona cenedlaethol</t>
  </si>
  <si>
    <t>Local policing</t>
  </si>
  <si>
    <t>Plismona lleol</t>
  </si>
  <si>
    <t>Road policing</t>
  </si>
  <si>
    <t>Plismona'r ffyrdd</t>
  </si>
  <si>
    <t>plus discretionary non-domestic rate relief</t>
  </si>
  <si>
    <t>plws rhyddhad ardreth annomestig dewisiol</t>
  </si>
  <si>
    <t>All management and support services</t>
  </si>
  <si>
    <t>Pob gwasanaeth rheoli a chynnal</t>
  </si>
  <si>
    <t>All fire central services</t>
  </si>
  <si>
    <t xml:space="preserve">Pob gwasanaeth tân canolog </t>
  </si>
  <si>
    <t>All services</t>
  </si>
  <si>
    <t>Pob gwasanaeth</t>
  </si>
  <si>
    <t>All schools</t>
  </si>
  <si>
    <t>Pob ysgol</t>
  </si>
  <si>
    <t>Other services to older people</t>
  </si>
  <si>
    <t>Gwasanaethau eraill i bobl hŷn</t>
  </si>
  <si>
    <t>Elderly people:</t>
  </si>
  <si>
    <t>Pobl oedrannus:</t>
  </si>
  <si>
    <t>Planning policy</t>
  </si>
  <si>
    <t>Bridges and culverts</t>
  </si>
  <si>
    <t>Pontydd a chwlfertau</t>
  </si>
  <si>
    <t xml:space="preserve">Tolled road bridges, tunnels and ferries, public </t>
  </si>
  <si>
    <t>Pontydd ffyrdd â tholl, twnneli a fferïau</t>
  </si>
  <si>
    <t>Local authorities ports and piers</t>
  </si>
  <si>
    <t>Porthladdoedd a phierau yr awdurdodau lleol</t>
  </si>
  <si>
    <t>Porthladdoedd a phierau yr awdurdod lleol</t>
  </si>
  <si>
    <t>Premia and discounts on debt rescheduling</t>
  </si>
  <si>
    <t>Premiymau a disgowntiau ar aildrefnu dyled</t>
  </si>
  <si>
    <t>Praeseptiau cyngor cymunedol</t>
  </si>
  <si>
    <t>Principal roads</t>
  </si>
  <si>
    <t>Prif ffyrdd</t>
  </si>
  <si>
    <t>Highways and roads</t>
  </si>
  <si>
    <t>Priffyrdd a ffyrdd</t>
  </si>
  <si>
    <t>Highways and roads:</t>
  </si>
  <si>
    <t>Priffyrdd a ffyrdd:</t>
  </si>
  <si>
    <t>Child death review process</t>
  </si>
  <si>
    <t xml:space="preserve">Proses adolygu marwolaeth plentyn </t>
  </si>
  <si>
    <t>Meals</t>
  </si>
  <si>
    <t>Prydau</t>
  </si>
  <si>
    <t>Development control</t>
  </si>
  <si>
    <t>Rheoli datblygiad</t>
  </si>
  <si>
    <t>Corporate management</t>
  </si>
  <si>
    <t>Rheoli corfforaethol</t>
  </si>
  <si>
    <t>Recreation management and transport</t>
  </si>
  <si>
    <t>Rheoli hamdden a thrafnidiaeth</t>
  </si>
  <si>
    <t>Management and administration</t>
  </si>
  <si>
    <t>Rheoli a gweinyddu</t>
  </si>
  <si>
    <t>Strategic management</t>
  </si>
  <si>
    <t>Strategic management of non-school services</t>
  </si>
  <si>
    <t>Rheoli strategol - heblaw gwasanaethau ysgolion</t>
  </si>
  <si>
    <t>Strategic management - special</t>
  </si>
  <si>
    <t>Strategic management - middle</t>
  </si>
  <si>
    <t>Rheoli strategol - Ysgolion canol</t>
  </si>
  <si>
    <t>Strategic management - primary</t>
  </si>
  <si>
    <t>Strategic management - nursery</t>
  </si>
  <si>
    <t>Strategic management - secondary</t>
  </si>
  <si>
    <t>Traffic management</t>
  </si>
  <si>
    <t>Rheoli traffig</t>
  </si>
  <si>
    <t>Traffic management and road safety (e)</t>
  </si>
  <si>
    <t>Rheoli traffig a diogelwch ar y ffyrdd (e)</t>
  </si>
  <si>
    <t>Building control</t>
  </si>
  <si>
    <t>Rheoli adeiladu</t>
  </si>
  <si>
    <t>row 2 &gt;= row 7</t>
  </si>
  <si>
    <t>rhes 2 &gt;= rhes 7</t>
  </si>
  <si>
    <t>Please Comment</t>
  </si>
  <si>
    <t>Rhowch sylw</t>
  </si>
  <si>
    <t>Rhowch sylw isod os oes angen</t>
  </si>
  <si>
    <t>Residual pension liabilities: further education</t>
  </si>
  <si>
    <t>Residual pension liabilities: other non-school services</t>
  </si>
  <si>
    <t xml:space="preserve">Rydym bob amser yn ceisio gwella'r ffurflen i'w gwneud yn haws i'w llenwi, gan barhau i sicrhau cywirdeb data a chysondeb ar gyfer yr holl awdurdodau. Os oes gennych unrhyw sylwadau neu awgrymiadau a allai fod yn ddefnyddiol, nodwch nhw isod: </t>
  </si>
  <si>
    <t>Trading standards</t>
  </si>
  <si>
    <t>Safonau masnach</t>
  </si>
  <si>
    <t>Staff - special</t>
  </si>
  <si>
    <t>Staff - middle</t>
  </si>
  <si>
    <t>Staff - Ysgolion canol</t>
  </si>
  <si>
    <t>Staff - primary</t>
  </si>
  <si>
    <t>Staff - nursery</t>
  </si>
  <si>
    <t>Staff - secondary</t>
  </si>
  <si>
    <t>Teaching staff</t>
  </si>
  <si>
    <t>Support staff</t>
  </si>
  <si>
    <t>Service strategy and regulation</t>
  </si>
  <si>
    <t>Strategaeth a gwaith rheoli gwasanaethau</t>
  </si>
  <si>
    <t>Service strategy - adult services</t>
  </si>
  <si>
    <t>Strategaeth gwasanaeth - gwasanaethau oedolion</t>
  </si>
  <si>
    <t>Amount to be raised from council tax payers</t>
  </si>
  <si>
    <t>Swm i'w godi gan dalwyr treth cyngor</t>
  </si>
  <si>
    <t>Central commissioning function</t>
  </si>
  <si>
    <t>Swyddogaeth comisiynu canolog</t>
  </si>
  <si>
    <t>LA functions in relation to child protection</t>
  </si>
  <si>
    <t>Swyddogaethau awdurdodau lleol sy'n gysylltiedig ag amddiffyn plant</t>
  </si>
  <si>
    <t>Sylwadau cyffredinol</t>
  </si>
  <si>
    <t>Council fund housing and housing benefit:</t>
  </si>
  <si>
    <t>Tai cronfa'r cynghorau a budd-dal tai:</t>
  </si>
  <si>
    <t>Council fund housing</t>
  </si>
  <si>
    <t>Tai cronfa'r cyngor</t>
  </si>
  <si>
    <t>Tai cronfa'r cyngor arall</t>
  </si>
  <si>
    <t>Housing:</t>
  </si>
  <si>
    <t>Tai:</t>
  </si>
  <si>
    <t>External interest receipts on HRA balances</t>
  </si>
  <si>
    <t>Derbyniadau llog allanol ar falansau HRA</t>
  </si>
  <si>
    <t>Housing benefit payments</t>
  </si>
  <si>
    <t>Taliadau budd-dâl tai</t>
  </si>
  <si>
    <t>Capital charges relating to construction projects:</t>
  </si>
  <si>
    <t>Taliadau cyfalaf yn ymwneud â phrosiectau adeiladu:</t>
  </si>
  <si>
    <t>Capital charges relating to construction projects (other roads)</t>
  </si>
  <si>
    <t>Taliadau cyfalaf yn ymwneud â phrosiectau adeiladu (ffyrdd eraill)</t>
  </si>
  <si>
    <t xml:space="preserve">Capital charges relating to construction projects  </t>
  </si>
  <si>
    <t xml:space="preserve">Taliadau cyfalaf yn ymwneud â phrosiectau adeiladu </t>
  </si>
  <si>
    <t>Capital charges relating to construction projects (bridges and culverts)</t>
  </si>
  <si>
    <t>Taliadau cyfalaf yn ymwneud â phrosiectau adeiladu (pontydd a chwlfertau)</t>
  </si>
  <si>
    <t>Capital charges relating to construction projects (principal roads)</t>
  </si>
  <si>
    <t>Taliadau cyfalaf yn ymwneud â phrosiectau adeiladu (prif ffyrdd)</t>
  </si>
  <si>
    <t>Payments to/from fire authorities</t>
  </si>
  <si>
    <t>Taliadau i/o awdurdodau tân</t>
  </si>
  <si>
    <t>External interest payments</t>
  </si>
  <si>
    <t>Taliadau llog allanol</t>
  </si>
  <si>
    <t>Leasing payment</t>
  </si>
  <si>
    <t>Leasing payments</t>
  </si>
  <si>
    <t>Direct payments</t>
  </si>
  <si>
    <t>Taliadau uniongyrchol</t>
  </si>
  <si>
    <t>HRA 'item 8' interest payments/receipts</t>
  </si>
  <si>
    <t>Theatres and public entertainment</t>
  </si>
  <si>
    <t>Theatrau ac adloniant cyhoeddus</t>
  </si>
  <si>
    <t>Heritage</t>
  </si>
  <si>
    <t>Threftadaeth</t>
  </si>
  <si>
    <t>Youth offender teams</t>
  </si>
  <si>
    <t>Timau troseddwyr ifanc</t>
  </si>
  <si>
    <t>Derelict land reclamation</t>
  </si>
  <si>
    <t xml:space="preserve">Adfer tir diffaith </t>
  </si>
  <si>
    <t>Concessionary fares</t>
  </si>
  <si>
    <t>Tocynnau teithio rhatach</t>
  </si>
  <si>
    <t>Draenio tir ac atal llifogydd</t>
  </si>
  <si>
    <t>Transport planning, policy and strategy</t>
  </si>
  <si>
    <t>Cynllunio, polisi a strategaeth trafnidiaeth</t>
  </si>
  <si>
    <t>Public passenger transport (bus)</t>
  </si>
  <si>
    <t>Trafnidiaeth teithwyr cyhoeddus (bysiau)</t>
  </si>
  <si>
    <t>Public passenger transport (rail)</t>
  </si>
  <si>
    <t>Trafnidiaeth teithwyr cyhoeddus (rheilffyrdd)</t>
  </si>
  <si>
    <t>Transport:</t>
  </si>
  <si>
    <t>Trafnidiaeth:</t>
  </si>
  <si>
    <t>Criminal justice arrangements</t>
  </si>
  <si>
    <t>Trefniadau cyfiawnder troseddol</t>
  </si>
  <si>
    <t>Indirect employee expenses</t>
  </si>
  <si>
    <t xml:space="preserve">Appropriations to(+) / from(-) financial instruments </t>
  </si>
  <si>
    <t>Dyraniadau i (+) / o (-) gyfrif offerynnau ariannol</t>
  </si>
  <si>
    <t xml:space="preserve">Appropriations to(+) / from(-) unequal pay back </t>
  </si>
  <si>
    <t>Dyraniadau i (+) / o (-) gyfrif ôl-dalu tâl anghyfartal</t>
  </si>
  <si>
    <t>Appropriations to(+) / from(-) unallocated financial</t>
  </si>
  <si>
    <t>Dyraniadau i(+) / o(-) gronfeydd arian heb eu clustnodi</t>
  </si>
  <si>
    <t>Appropriations to(+) / from(-) earmarked financial</t>
  </si>
  <si>
    <t>Dyraniadau i(+) / o(-) gronfeydd arian wedi'u clustnodi</t>
  </si>
  <si>
    <t>Licensing of private sector landlords</t>
  </si>
  <si>
    <t>Trwyddedu landlordiaid y sector preifat</t>
  </si>
  <si>
    <t>Tourism</t>
  </si>
  <si>
    <t>Twristiaeth</t>
  </si>
  <si>
    <t>Secure accommodation (welfare)</t>
  </si>
  <si>
    <t>Llety diogel (lles)</t>
  </si>
  <si>
    <t>Secondary</t>
  </si>
  <si>
    <t>Uwchradd</t>
  </si>
  <si>
    <t>Y Baich o Ymateb i'r Arolwg</t>
  </si>
  <si>
    <t>In-year council tax</t>
  </si>
  <si>
    <t>Y dreth gyngor yn ystod y flwyddyn</t>
  </si>
  <si>
    <t>Budget requirement (lines 90 to 93)</t>
  </si>
  <si>
    <t>Gofyniad cyllidebol (llinell 90 i 93)</t>
  </si>
  <si>
    <t>Library service</t>
  </si>
  <si>
    <t>Law, order and protective services:</t>
  </si>
  <si>
    <t>Y gyfraith, trefn a gwasanaethau diogelu:</t>
  </si>
  <si>
    <t>Housing Strategy</t>
  </si>
  <si>
    <t>Y strategaeth dai</t>
  </si>
  <si>
    <t>Amount received as a % of amount due with BR1 equivalent</t>
  </si>
  <si>
    <t>Y swm a gafwyd fel % o'r swm sy'n ddyledus gyfwerth â BR1</t>
  </si>
  <si>
    <t>Amount received as a % of amount due, 2014-15 and 2015-16</t>
  </si>
  <si>
    <t>Y swm a gafwyd fel % o'r swm sy'n ddyledus, 2014-15 a 2015-16</t>
  </si>
  <si>
    <t>Amount received as a percentage of amount due</t>
  </si>
  <si>
    <t>Y swm a gafwyd fel canran o'r swm sy'n ddyledus</t>
  </si>
  <si>
    <t>Amount received compared to amount originally budgeted to be collected</t>
  </si>
  <si>
    <t>Y swm a gafwyd o gymharu â'r swm i'w gasglu o'r gyllideb wreiddiol</t>
  </si>
  <si>
    <t>Amount originally budgeted to be collected for the year when the council tax was set</t>
  </si>
  <si>
    <t xml:space="preserve">Y swm yn y gyllideb yn wreiddiol i'w gasglu ar gyfer y flwyddyn pan osodwyd y dreth gyngor </t>
  </si>
  <si>
    <t>Economic research</t>
  </si>
  <si>
    <t>Ymchwil economaidd</t>
  </si>
  <si>
    <t>Specialist investigation</t>
  </si>
  <si>
    <t>Ymchwilio arbenigol</t>
  </si>
  <si>
    <t>Special schools</t>
  </si>
  <si>
    <t>Middle schools</t>
  </si>
  <si>
    <t>Ysgolion canol</t>
  </si>
  <si>
    <t>Primary schools</t>
  </si>
  <si>
    <t>Nursery schools</t>
  </si>
  <si>
    <t>Secondary schools</t>
  </si>
  <si>
    <t>Schools:</t>
  </si>
  <si>
    <t>Ysgolion:</t>
  </si>
  <si>
    <t>Street sweeping and cleaning</t>
  </si>
  <si>
    <t>Ysgubo a glanhau strydoedd</t>
  </si>
  <si>
    <t>Line 30.1 + line 30.2</t>
  </si>
  <si>
    <t>Llinell 30.1 + Llinell 30.2</t>
  </si>
  <si>
    <t>Line 35</t>
  </si>
  <si>
    <t>Llinell 35</t>
  </si>
  <si>
    <t>Line 33</t>
  </si>
  <si>
    <t>Llinell 33</t>
  </si>
  <si>
    <t>Line 38</t>
  </si>
  <si>
    <t>Llinell 38</t>
  </si>
  <si>
    <t>Line 39</t>
  </si>
  <si>
    <t>Llinell 39</t>
  </si>
  <si>
    <t>Line 38 + line 39</t>
  </si>
  <si>
    <t>Llinell 38 + Llinell 39</t>
  </si>
  <si>
    <t>Line 40</t>
  </si>
  <si>
    <t>Llinell 40</t>
  </si>
  <si>
    <t>Line 43</t>
  </si>
  <si>
    <t>Llinell 43</t>
  </si>
  <si>
    <t>Line 41</t>
  </si>
  <si>
    <t>Llinell 41</t>
  </si>
  <si>
    <t>Line 42</t>
  </si>
  <si>
    <t>Llinell 42</t>
  </si>
  <si>
    <t>Line 44</t>
  </si>
  <si>
    <t>Llinell 44</t>
  </si>
  <si>
    <t>Line 45</t>
  </si>
  <si>
    <t>Llinell 45</t>
  </si>
  <si>
    <t>Line 47</t>
  </si>
  <si>
    <t>Llinell 47</t>
  </si>
  <si>
    <t>Line 46</t>
  </si>
  <si>
    <t>Llinell 46</t>
  </si>
  <si>
    <t>Line 41 + line 42</t>
  </si>
  <si>
    <t>Llinell 41 + Llinell 42</t>
  </si>
  <si>
    <t>Line 37</t>
  </si>
  <si>
    <t>Llinell 37</t>
  </si>
  <si>
    <t>Line 48</t>
  </si>
  <si>
    <t>Llinell 48</t>
  </si>
  <si>
    <t>Line 49</t>
  </si>
  <si>
    <t>Llinell 49</t>
  </si>
  <si>
    <t>OK</t>
  </si>
  <si>
    <t>iawn</t>
  </si>
  <si>
    <t>Environmental and Regulatory Services</t>
  </si>
  <si>
    <t>gwasanaethau amgylcheddol a rheoleiddiol</t>
  </si>
  <si>
    <t>Fire and rescue services</t>
  </si>
  <si>
    <t xml:space="preserve">Gwasanaethau tan ac schub </t>
  </si>
  <si>
    <t>Record as negative</t>
  </si>
  <si>
    <t>Cofnodwch yn negyddol</t>
  </si>
  <si>
    <t>Costau gweithwyr</t>
  </si>
  <si>
    <t>Planning, development and court services</t>
  </si>
  <si>
    <t>Cynllunio, datblygu a gwasanaethau llys</t>
  </si>
  <si>
    <t>Council fund housing services</t>
  </si>
  <si>
    <t>Gwasanaethau tai cronfa'r cyngor</t>
  </si>
  <si>
    <t>Revenue expenditure summary</t>
  </si>
  <si>
    <t>Crynodeb gwariant refeniw</t>
  </si>
  <si>
    <t>Provision for repayment of principal (before application of the commutation adjustment)</t>
  </si>
  <si>
    <t>Darpariaeth ar gyfer ad-daliad y prifswm (cyn gosod yr addasiad cyfnewid)</t>
  </si>
  <si>
    <t>Commutation adjustment (enter as a negative any adjustment which reduces MRP and vice versa)</t>
  </si>
  <si>
    <t>Addasiad cyfnewid (nodwch rhif negyddol ar gyfer unrhyw addasiad sy'n gostwng yr MRP ac i'r gwrthwyneb)</t>
  </si>
  <si>
    <t>Specific &amp; special govt grants</t>
  </si>
  <si>
    <t>Grantiau penodol ac arbennig y llywodraeth</t>
  </si>
  <si>
    <t>(£K 3 decimals)</t>
  </si>
  <si>
    <t>(£K i 3 lle degol)</t>
  </si>
  <si>
    <t>Er gwybodaeth</t>
  </si>
  <si>
    <t>Unitary authorities only</t>
  </si>
  <si>
    <t>Awdurdodau unedol yn unig</t>
  </si>
  <si>
    <t>Unitary and Fire authorities only</t>
  </si>
  <si>
    <t>Awdurdodau unedol a thân yn unig</t>
  </si>
  <si>
    <t>Unitary and National Park authorities only</t>
  </si>
  <si>
    <t>Awdurdodau unedol a Pharc Cenedlaethol yn unig</t>
  </si>
  <si>
    <t>OPCCs only</t>
  </si>
  <si>
    <t xml:space="preserve">Swyddfeydd Comisiynydd Heddlu a Throsedd yn unig </t>
  </si>
  <si>
    <t>Unitary authorities and OPCCs only</t>
  </si>
  <si>
    <t>Awdurdodau unedol  a Swyddfeydd Comisiynydd Heddlu a Throsedd yn unig</t>
  </si>
  <si>
    <t>select your authority</t>
  </si>
  <si>
    <t>Revenue Grants</t>
  </si>
  <si>
    <t>Grantiau Refeniw</t>
  </si>
  <si>
    <t>Please note "other" lines - 198, 298 etc. are now automatically populated from the specification list at the bottom of the page.</t>
  </si>
  <si>
    <t>Nodwch llinellau "eraill" -198, 298 ayb maent bellach yn cael eu poblogi yn awtomatig o'r rhestr ar waelod y dudalen.</t>
  </si>
  <si>
    <t>RG row</t>
  </si>
  <si>
    <t xml:space="preserve">Rhes RG </t>
  </si>
  <si>
    <t>Details of grants</t>
  </si>
  <si>
    <t>Manylion y grantiau</t>
  </si>
  <si>
    <t>Revenue grants</t>
  </si>
  <si>
    <t>Grantiau refeniw</t>
  </si>
  <si>
    <t>Capital financing grants and capital element of PFI</t>
  </si>
  <si>
    <t>Grantiau ariannu cyfalaf ac elfen gyfalaf y fenter cyllid preifat</t>
  </si>
  <si>
    <t>Current grants</t>
  </si>
  <si>
    <t>Grantiau cyfredol</t>
  </si>
  <si>
    <t>Included in</t>
  </si>
  <si>
    <t>Wedi’i cynnwys yn</t>
  </si>
  <si>
    <t>5 x 60</t>
  </si>
  <si>
    <t>Cymunedau’n Gyntaf (Addysg)</t>
  </si>
  <si>
    <t>Grant Gwella addysg ar gyfer ysgolion</t>
  </si>
  <si>
    <t>Cymunedau’n Gyntaf (gwasanaethau cymdeithasol)</t>
  </si>
  <si>
    <t>Grant Gwasanaethau Cam-drin Domestig  - Cydlynwyr cam-drin domestig a chynghorwyr annibynnol ar drais domestig</t>
  </si>
  <si>
    <t xml:space="preserve">Cronfa Atal Troseddu Ieuenctid </t>
  </si>
  <si>
    <t>Cyflwyno Trawsnewid</t>
  </si>
  <si>
    <t xml:space="preserve">Gofal plant tu allan i'r ysgol </t>
  </si>
  <si>
    <t>Ad-daliadau rhent a roddwyd i denantiaid cyfrif refeniw tai</t>
  </si>
  <si>
    <t>Eraill o'r Swyddfa Gartref, yr Adran Materion Cyfansoddiadol a Gweinyddiaeth Llysoedd Unedig (nodwch ar dudalen olaf)</t>
  </si>
  <si>
    <t>Cyfanswm y Swyddfa Gartref, yr Adran Materion Cyfansoddiadol a Gweinyddiaeth Llysoedd Unedig</t>
  </si>
  <si>
    <t>Llifogydd ac erydu arfordirol</t>
  </si>
  <si>
    <t>Land Reclamation S16</t>
  </si>
  <si>
    <t>Adennill tir S16</t>
  </si>
  <si>
    <t>Town Centre Partnerships</t>
  </si>
  <si>
    <t>Partneriaethau Canol Tref</t>
  </si>
  <si>
    <t>Grant cymorth strategaeth gwaith ieuenctid</t>
  </si>
  <si>
    <t>CT1</t>
  </si>
  <si>
    <t>COUNCIL TAX DWELLINGS RETURN FOR</t>
  </si>
  <si>
    <t>FFURFLEN ANHEDDAU'R DRETH GYNGOR AR GYFER</t>
  </si>
  <si>
    <t>Please select your authority and if necessary, amend any incorrect details</t>
  </si>
  <si>
    <t>Dewiswch eich awdurdod a cywirwch eich cyfeiriad os oes angen</t>
  </si>
  <si>
    <t>please amend any incorrect contact details below:</t>
  </si>
  <si>
    <t>Os oes ange,cywirwch enw a rhif ffôn ein cyswllt mewn achos ymholiadau:-</t>
  </si>
  <si>
    <t>E-bost (nodwch N/A os nad oes ar gael):</t>
  </si>
  <si>
    <t>Ffôn: Côd STD:</t>
  </si>
  <si>
    <t>Authorities are required to calculate the council tax base for 2017-18 with reference to dwellings shown on the valuation list for the authority as at 31 October 2016 supplied to the authority under section 22B(7) of the Local Government Finance Act 1992.</t>
  </si>
  <si>
    <t xml:space="preserve">Mae angen i awdurdodau gyfrifo'r sylfaen dreth gyngor ar gyfer 2017-18 drwy gyfeirio at yr anheddau a ddangosir ar restr brisio'r awdurdod ar gyfer 31 Hydref 2016 a gyflenwyd i'r awdurdod o dan adran 22B(7) o Ddeddf Cyllid Llywodraeth Leol 1992. </t>
  </si>
  <si>
    <t xml:space="preserve">The figures should also take account of changes to the valuation list that appear likely to occur during 2017-18. </t>
  </si>
  <si>
    <t xml:space="preserve">Dylai'r ffigurau hefyd gymryd i ystyriaeth newidiadau i'r rhestr brisio sy'n debygol o ddigwydd yn ystod 2017-18. </t>
  </si>
  <si>
    <t>The information requested on this return must be submitted to the Welsh Government under section 68 of the Local Government Finance Act 1992.</t>
  </si>
  <si>
    <t xml:space="preserve">Mae'n rhaid cyflwyno'r wybodaeth y gofynnir amdani ar y ffurflen hon i Cynulliad Llywodraeth Cymru o dan adran 68 o Ddeddf Cyllid Llywodraeth Leol 1992. </t>
  </si>
  <si>
    <t>Forms should be returned to the address below, according to the following timetable:</t>
  </si>
  <si>
    <t>Dylir ddychwelyd ffurflenni i'r cyfeiriad isod, yn ôl yr amserlen canlynol</t>
  </si>
  <si>
    <t xml:space="preserve">certified signed copy and spreadsheet                     </t>
  </si>
  <si>
    <t xml:space="preserve">llofnodi copi ardystiedig a taenlen                 </t>
  </si>
  <si>
    <t>Local Government Financial Statistics Unit</t>
  </si>
  <si>
    <t>CP2</t>
  </si>
  <si>
    <t>Queries on completion of the form or spreadsheet should be sent to:</t>
  </si>
  <si>
    <t>Dylid cyfeirio ymholiadau ynghylch cwblhau'r daenlen drwy ffôn neu e-bost,  fel a  ddangosir isod.</t>
  </si>
  <si>
    <t>E-mail:</t>
  </si>
  <si>
    <t>E-bost:</t>
  </si>
  <si>
    <t>Telephone:</t>
  </si>
  <si>
    <t>Part A: Chargeable dwellings</t>
  </si>
  <si>
    <t>Rhan A: Anheddau trethadwy</t>
  </si>
  <si>
    <t>All chargeable dwellings</t>
  </si>
  <si>
    <t>Holl anheddau trethadwy</t>
  </si>
  <si>
    <t>Dwellings subject to disability reduction (included in line A1)</t>
  </si>
  <si>
    <t>Anheddau sy'n derbyn gostyngiad anabledd ( sy'n gynwysedig yn llinell A1 )</t>
  </si>
  <si>
    <t>Adjusted chargeable dwellings (taking into account disability reductions)</t>
  </si>
  <si>
    <t>Cyfanswm yr anheddau trethadwy wedi'i addasu ( gan gymryd i ystyriaeth y gostyngiadau anabledd )</t>
  </si>
  <si>
    <t>Part B: Adjusted chargeable dwellings  (see note 4)</t>
  </si>
  <si>
    <t>Rhan B: Cyfanswm yr anheddau trethadwy wedi'i addasu ( gweler nodyn 4 )</t>
  </si>
  <si>
    <t>Dwellings with no discount</t>
  </si>
  <si>
    <t>Anheddau heb disgownt</t>
  </si>
  <si>
    <t>Dwellings with a 25% discount</t>
  </si>
  <si>
    <t>Anheddau â gostyngiad o 25%</t>
  </si>
  <si>
    <t>Dwellings with a 50% discount</t>
  </si>
  <si>
    <t>Anheddau â gostyngiad o 50%</t>
  </si>
  <si>
    <t>Dwellings with a discount other than 25% or 50% (Part G line 11)</t>
  </si>
  <si>
    <t>Anheddau â gostyngiad ar wahan i 25% neu 50% ( Rhan G, llinell 11 )</t>
  </si>
  <si>
    <t>Total adjusted chargeable dwellings  (=B1+B2+B3+B3a=A3)</t>
  </si>
  <si>
    <t>Cyfanswm yr anheddau trethadwy wedi'i addasu ( = B1 + B2 + B3 + B3a = A3 )</t>
  </si>
  <si>
    <t>Total variable discounts  (=Part G line 12)</t>
  </si>
  <si>
    <t>Holl disgowntiau newidiol ( =Rhan G, llinell 12 )</t>
  </si>
  <si>
    <t>Validation check: B4 should equal A3 (failure = difference, pass =0)</t>
  </si>
  <si>
    <t>Gwiriad dilysu: dylai B4 fod yn gyfartal ag A3</t>
  </si>
  <si>
    <t>Part C: Calculation of discounted chargeable dwellings</t>
  </si>
  <si>
    <t>allan o ddefnydd</t>
  </si>
  <si>
    <t xml:space="preserve">Total discounted dwellings  (=A3-(B2x0.25-B3x0.5)-B5)  (see note 5) </t>
  </si>
  <si>
    <t xml:space="preserve">Holl anheddau â disgownt  ( = A3- ( B2  x 0.25 - B3 x 0.5 ) - B5 )  ( gweler nodyn 5 ) </t>
  </si>
  <si>
    <t>Ratio to band D</t>
  </si>
  <si>
    <t>Cymhareb â band D</t>
  </si>
  <si>
    <t>Band D equivalents  (=C2xC3)  (rounded to 2 decimal places)</t>
  </si>
  <si>
    <t>Cyfwerthoedd Band D  ( = C2 x C3 )  ( wedi'u talgrynnu i ddau le degol )</t>
  </si>
  <si>
    <t xml:space="preserve">Exempt dwellings Classes A to N and P to W 
(not included in sections A to C above) </t>
  </si>
  <si>
    <t>Anheddau ag eithriadau Dosbarthiadau A i N a P i W 
( heb eu cynnwys yn adrannau A i C uchod )  ( gweler nodyn 6 )</t>
  </si>
  <si>
    <t xml:space="preserve">Exempt dwellings Class O 
(not included in sections A to C above) </t>
  </si>
  <si>
    <t>Anheddau ag eithriad dosbarth O 
( heb eu cynnwys yn adrannau A i C uchod ) ( gweler nodiadau 6 a 7 )</t>
  </si>
  <si>
    <t>All dwellings in class A prescribed under Section 12 
(included in section B above)  (see note 8)</t>
  </si>
  <si>
    <t>Holl anheddau dosbarth A sydd wedi'u pennu o dan Adran 12 (1) 
( wedi'u cynnwys yn adran B uchod ) ( gweler nodyn 8 )</t>
  </si>
  <si>
    <t>Discount for each dwelling in prescribed class A 
(enter percentage applied)  (see note 9)</t>
  </si>
  <si>
    <t>Holl anheddau dosbarth B sydd wedi'u pennu o dan Adran 12 (1) 
( wedi'u cynnwys yn rhan B uchod ) ( gweler nodyn 8 )</t>
  </si>
  <si>
    <t>All dwellings in class B prescribed under Section 12 
(included in section B above)  (see note 8)</t>
  </si>
  <si>
    <t>Disgownt i bob annedd wedi'u pennu i ddosbarth B 
( nodwch y canran cymhwysol ) ( gweler nodyn 9 )</t>
  </si>
  <si>
    <t>Discount for each dwelling in prescribed class B  
(enter percentage applied)  (see note 9)</t>
  </si>
  <si>
    <t>Holl anheddau dosbarth C sydd wedi'u pennu o dan Adran 12 (1) 
( wedi'u cynnwys yn rhan B uchod ) ( gweler nodyn 8 )</t>
  </si>
  <si>
    <t>All dwellings in class C prescribed under Section 12 
(included in section B above)  (see note 8)</t>
  </si>
  <si>
    <t>Disgownt i bob annedd wedi'u pennu i ddosbarth C 
( nodwch y canran cymhwysol ) ( gweler nodyn 9 )</t>
  </si>
  <si>
    <t>Discount for each dwelling in prescribed class C  
(enter percentage applied)  (see note 9)</t>
  </si>
  <si>
    <t>Disgownt i bob annedd wedi'u pennu i ddosbarth A 
( nodwch y canran cymhwysol ) ( gweler nodyn 9 )</t>
  </si>
  <si>
    <t>Validation check: D4=0, or between 0% and 50%</t>
  </si>
  <si>
    <t>Gwiriad dilysu: D4=0, neu rhwng 0% a 50%</t>
  </si>
  <si>
    <t>Validation check: D6=0, or between 0% and 50%</t>
  </si>
  <si>
    <t>Validation check: D8=0, or between 0% and 50%</t>
  </si>
  <si>
    <t>Valuation band</t>
  </si>
  <si>
    <t>band priso</t>
  </si>
  <si>
    <t>Total (= sum of band figures)</t>
  </si>
  <si>
    <t>Cyfanswm ( = swm ffigurau pob band )</t>
  </si>
  <si>
    <t>(sum of individual bands - carry to E1)</t>
  </si>
  <si>
    <t>( swm y bandiau unigol - cario i E1 )</t>
  </si>
  <si>
    <t>Part E: Calculation of council tax base</t>
  </si>
  <si>
    <t>Rhan E: Cyfrifo'r sylfaen dreth gyngor</t>
  </si>
  <si>
    <t>Chargeable dwellings: band D equivalents  (=C4 total)</t>
  </si>
  <si>
    <t>Anheddau trethadwy: cyfwerthoedd band D ( = cyfanswm C4 )</t>
  </si>
  <si>
    <t>Collection rate (please enter to 2 decimal places)</t>
  </si>
  <si>
    <t>Cyfradd gasglu ( wedi'i thalgrynnu i ddau le degol )</t>
  </si>
  <si>
    <t>= E1 x E2 (rounded to 2 decimal places)</t>
  </si>
  <si>
    <t>= E1 x E2 ( wedi'i dalgrynnu i ddau le degol )</t>
  </si>
  <si>
    <t>Class O exempt dwellings: band D equivalents  (please enter to 2 decimal places)</t>
  </si>
  <si>
    <t xml:space="preserve">Anheddau Dosbarth O wedi'u heithrio: cyfwerthoedd band D </t>
  </si>
  <si>
    <t>(see note 10)</t>
  </si>
  <si>
    <t>( nodwch i ddau le degol ) ( gweler nodyn 10 )</t>
  </si>
  <si>
    <t>Council tax base for tax-setting purposes  (=E3+E4)</t>
  </si>
  <si>
    <t>Y sylfaen dreth gyngor at ddiben pennu'r dreth ( = E3 + E4 )</t>
  </si>
  <si>
    <t>100% council tax base for calculating revenue support grant (=E5a+E4)</t>
  </si>
  <si>
    <t>100% o'r sylfaen dreth gyngor ar gyfer cyfrifo'r grant cynnal refeniw ( =E5a+E4)</t>
  </si>
  <si>
    <t>Part F: Exempt dwellings by class of exemption</t>
  </si>
  <si>
    <t>Rhan F: Anheddau wedi'u heithrio yn ôl dosbarth</t>
  </si>
  <si>
    <t>Class</t>
  </si>
  <si>
    <t>Dosbarth</t>
  </si>
  <si>
    <t>Total all classes</t>
  </si>
  <si>
    <t>Cyfanswm pob dosbarth</t>
  </si>
  <si>
    <t>(must match total of lines D1 and D2)</t>
  </si>
  <si>
    <t>( rhaid cyfateb i gyfanswm llinellau D1 a D2 )</t>
  </si>
  <si>
    <t>Validation check</t>
  </si>
  <si>
    <t xml:space="preserve">Gwiriad dilysu: </t>
  </si>
  <si>
    <t>Part G : Variable discounts</t>
  </si>
  <si>
    <t xml:space="preserve">Rhan G: Disgowntiau newidiol </t>
  </si>
  <si>
    <t>Area</t>
  </si>
  <si>
    <t>Ardal</t>
  </si>
  <si>
    <t>Enter the name of area</t>
  </si>
  <si>
    <t>Cofnodwch enw ardal</t>
  </si>
  <si>
    <t>* this may be 'whole authority', a single community area or a number of community areas</t>
  </si>
  <si>
    <t>* gall hyn fod yr 'awdurdod gyfan', ardal cymuned unigol neu nifer o ardaloedd cymunedol</t>
  </si>
  <si>
    <t>I certify that the council tax base shown in sections A to E above has been calculated by my authority in accordance with the Local Authorities (Calculation of Council Tax Base) Regulations 1995 (Wales) (SI 1995/2561) as amended.   Where indicated below, the figures have been approved, in accordance with section 67 of the Local Government Finance Act 1992, as amended by section 84 of the Local Government Act 2003.</t>
  </si>
  <si>
    <t>Tystiaf fod fy awdurdod wedi cyfrifo'r sylfaen dreth gyngor a'r ffigurau eraill a nodir ar y ffurflen hon yn unol â Rheoliadau Llywodraeth Leol (Cyfrifo Sylfaen Treth Gyngor) 1995 (Cymru) (OS 1995/2561) fel y'u diwygiwyd. Lle nodir isod, mae'r ffigurau wedi'u cymeradwyo, yn unol ag adran 67 o Ddeddf Cyllid Llywodraeth Leol 1992, fel y'u diwygiwyd gan adran 84 o Ddeddf Llywodraeth Leol 2003.</t>
  </si>
  <si>
    <t>Please tick the appropriate box</t>
  </si>
  <si>
    <t>Nodwch tic yn y blwch proiodol</t>
  </si>
  <si>
    <t>The figures have not yet been approved;</t>
  </si>
  <si>
    <t>Nid yw'r ffigurau wedi'u cymeradwyo eto;</t>
  </si>
  <si>
    <t>the figures have been approved by executive decision;</t>
  </si>
  <si>
    <t>mae'r ffigurau wedi'u cymeradwyo trwy benderfyniad gweithredol;</t>
  </si>
  <si>
    <t>or</t>
  </si>
  <si>
    <t>neu</t>
  </si>
  <si>
    <t>the figures have been approved by the full council.</t>
  </si>
  <si>
    <t>mae'r ffigurau wedi'u cymeradwyo trwy gan y cyngor llawn.</t>
  </si>
  <si>
    <t xml:space="preserve">Chief Financial Officer:   </t>
  </si>
  <si>
    <t>Prif Swyddog Cyllid</t>
  </si>
  <si>
    <t>Dyddiad:</t>
  </si>
  <si>
    <t>Discount pecentage applied</t>
  </si>
  <si>
    <t>Canran disgownt wedi'i gymhwyso</t>
  </si>
  <si>
    <t>Properties</t>
  </si>
  <si>
    <t>Eiddo</t>
  </si>
  <si>
    <t>Discounts</t>
  </si>
  <si>
    <t>Disgowntiau</t>
  </si>
  <si>
    <t>Number of properties</t>
  </si>
  <si>
    <t>Nifer o eiddo</t>
  </si>
  <si>
    <t>Total number of properties</t>
  </si>
  <si>
    <t>Cyfanswm nifer o eiddo</t>
  </si>
  <si>
    <t>Band</t>
  </si>
  <si>
    <t>Rhowch sylwadau</t>
  </si>
  <si>
    <t>Part D: Memorandum items</t>
  </si>
  <si>
    <t>Rhan D: Eitemau Memorandwm</t>
  </si>
  <si>
    <t>Line</t>
  </si>
  <si>
    <t>Llinio</t>
  </si>
  <si>
    <t>Cod</t>
  </si>
  <si>
    <t>Blwyddyn</t>
  </si>
  <si>
    <t>final ratified taxbase</t>
  </si>
  <si>
    <t>Sylfaen treth derfynol wedi'i chadarnhau</t>
  </si>
  <si>
    <t>Any queries on completion of the form or spreadsheet should be directed in the first instance, via telephone or e-mail, as directed below:</t>
  </si>
  <si>
    <t>Dylech gyfeirio unrhyw ymholiadau ynghylch sut i gwblhau'r ffurflen, yn y lle cyntaf, drwy ffon neu e-bost, gan ddilyn y cyfarwyddyd isod:</t>
  </si>
  <si>
    <t>ID No</t>
  </si>
  <si>
    <t>Rhif ID</t>
  </si>
  <si>
    <t>Value</t>
  </si>
  <si>
    <t>Gwerth</t>
  </si>
  <si>
    <t>Status</t>
  </si>
  <si>
    <t>Statws</t>
  </si>
  <si>
    <t>Problem</t>
  </si>
  <si>
    <t>Valuation Office Agency Check</t>
  </si>
  <si>
    <t>Gwiriad Asiantaeth y  Swyddfa Brisio</t>
  </si>
  <si>
    <t>Dwellings with no discount (including empty properties and second homes with no discount)</t>
  </si>
  <si>
    <t>Anheddau heb ddisgownt (gan gynnwys eiddo gwag ac ail gartrefi heb ddisgownt)</t>
  </si>
  <si>
    <t>Dwellings with a 25% discount (excluding empty properties and second homes)</t>
  </si>
  <si>
    <t>Anheddau gyda disgownt o 25% (ag eithrio eiddo gwag ac ail gartrefi heb ddisgownt)</t>
  </si>
  <si>
    <t>Dwellings with a 50% discount (excluding empty properties and second homes)</t>
  </si>
  <si>
    <t>Anheddau gyda disgownt o 50% (ag eithrio eiddo gwag ac ail gartrefi heb ddisgownt)</t>
  </si>
  <si>
    <t>Dwellings with a variable discount other than 25% or 50% (Part G line 11)</t>
  </si>
  <si>
    <t>Anheddau gyda disgownt amrywiol ag eithrio 25% neu 50% (Rhan G llinell 11)</t>
  </si>
  <si>
    <t>Dwellings with an empty property or second homes discount</t>
  </si>
  <si>
    <t>Anheddau gyda disgownt eiddo gwag neu ail gartref</t>
  </si>
  <si>
    <t>Dwellings with an empty property or second homes premium</t>
  </si>
  <si>
    <t>Anheddau gyda phremiwm eiddo gwag neu ail gartref</t>
  </si>
  <si>
    <t>Total adjusted chargeable dwellings  (sum of B1 toB3c=A3)</t>
  </si>
  <si>
    <t>Cyfanswm yr anheddau a addaswyd sydd yn daladwy (cyfanswm o B1iB3c=A3)</t>
  </si>
  <si>
    <t>Empty property and second homes discount adjustment</t>
  </si>
  <si>
    <t>Addasiad disgownt eiddo gwag neu ail gartref</t>
  </si>
  <si>
    <t>Empty property and second homes premium adjustment</t>
  </si>
  <si>
    <t>Addasiad premiwm eiddo gwag neu ail gartref</t>
  </si>
  <si>
    <t>Part C: Calculation of chargeable dwellings with discounts and premiums</t>
  </si>
  <si>
    <t>Rhan C: Cyfrifiad o anheddau sy'n daladwy gyda disgowntiau a phremiymau</t>
  </si>
  <si>
    <t xml:space="preserve">Total dwellings including discounts and premiums  (=A3-(B2ax0.25)-(B2bx0.5)-B5-B6+B7)  </t>
  </si>
  <si>
    <t xml:space="preserve">Cyfanswm anheddau gan gynnwys disgowntiau a phremiymau (=A3-(B2ax0.25)-(B2bx0.5)-B5-B6+B7)  </t>
  </si>
  <si>
    <t>Discounted chargeable dwellings excluding premium adjustment</t>
  </si>
  <si>
    <t>Anheddau disgowntiedig sydd yn daladwy ag eithrio addasiad premiwm</t>
  </si>
  <si>
    <t>Please enter actual dwelling numbers</t>
  </si>
  <si>
    <t>Cofnodwch y nifer gwirioneddol o anheddau</t>
  </si>
  <si>
    <t xml:space="preserve">If the value of percentage discount/premium is not shown in the table please add the percentage value to the bottom row of the "Percentage discount or "Percentage premium" column. </t>
  </si>
  <si>
    <t>Os nad yw gwerth y ganran disgownt/premiwm wedi ei ddangos yn y tabl, ychwanegwch y gwerth canran i  res waelod y golofn "Canran disgownt" neu "Canran premiwm"</t>
  </si>
  <si>
    <t xml:space="preserve">Band D equivalents excluding premium adjustment </t>
  </si>
  <si>
    <t>Cyfwerthoedd Band D ag eithrio addasiad premiwm</t>
  </si>
  <si>
    <t>Discount and premium adjustments</t>
  </si>
  <si>
    <t>Addasiadau disgownt a phremiwm</t>
  </si>
  <si>
    <t>Chargeable empty properties with no discount or premium</t>
  </si>
  <si>
    <t>Eiddo gwag sydd yn daladwy heb ddisgownt na phremiwm</t>
  </si>
  <si>
    <t>Chargeable second homes with no discount or premium</t>
  </si>
  <si>
    <t>Ail gartrefi sydd yn daladwy heb ddisgownt na phremiwm</t>
  </si>
  <si>
    <t>Empty Property Discount</t>
  </si>
  <si>
    <t>Disgownt eiddo gwag</t>
  </si>
  <si>
    <t>Please enter by band and percentage discount, the number of dwellings that are empty as at 31 October 2016.</t>
  </si>
  <si>
    <t>Cofnodwch, yn ôl band a'r ganran disgownt, nifer yr anheddau sydd yn wag ar 31 Hydref 2016</t>
  </si>
  <si>
    <t>Percentage Discount</t>
  </si>
  <si>
    <t>Canran disgownt</t>
  </si>
  <si>
    <t>Empty Property Premium</t>
  </si>
  <si>
    <t>Premiwm eiddo gwag</t>
  </si>
  <si>
    <t>Please enter by band and percentage the premium your authority charges for empty properties and not included in table above.</t>
  </si>
  <si>
    <t>Cofnodwch, yn ôl band a chanran, y premiwm y mae eich awdurdod yn ei godi ar gyfer eiddo gwag nad yw wedi ei  gynnwys yn y tabl uchod</t>
  </si>
  <si>
    <t>Percentage Premium</t>
  </si>
  <si>
    <t>Canran premiwm</t>
  </si>
  <si>
    <t>Second Homes Discount</t>
  </si>
  <si>
    <t>Disgownt ail gartref</t>
  </si>
  <si>
    <t>Please enter by band and percentage the discount your authority awards for dwellings registered as second homes</t>
  </si>
  <si>
    <t>Cofnodwch, yn ôl band a chanran, y disgownt y mae eich awdurdod yn ei ddyfarnu ar gyfer anheddau a gofrestrir fel ail gartrefi</t>
  </si>
  <si>
    <t>Second Homes Premium</t>
  </si>
  <si>
    <t>Premiwm ail gartref</t>
  </si>
  <si>
    <t>Please enter by band and percentage the premium your authority charges for dwellings registered as second homes and not included in table above.</t>
  </si>
  <si>
    <t>Cofnodwch, yn ôl band a chanran, y premiwm y mae eich awdurdod yn ei godi ar gyfer anheddau a gofrestrir fel ail gartrefi nad yw wedi ei gynnwys yn y tabl uchod</t>
  </si>
  <si>
    <t>Total chargeable empty properties</t>
  </si>
  <si>
    <t>Cyfanswm eiddo gwag sy'n daladwy</t>
  </si>
  <si>
    <t>Total chargeable second homes</t>
  </si>
  <si>
    <t>Cyfanswm ail gartrefi sy'n daladwy</t>
  </si>
  <si>
    <t>Dwelling equivalents</t>
  </si>
  <si>
    <t xml:space="preserve"> </t>
  </si>
  <si>
    <t>Cyfwerthoedd anheddau</t>
  </si>
  <si>
    <t>Reduction due to Empty Property Discount</t>
  </si>
  <si>
    <t>Gostyngiad oherwydd disgownt eiddo gwag</t>
  </si>
  <si>
    <t>Increase due to Empty Property Premium</t>
  </si>
  <si>
    <t>Cynnydd oherwydd disgownt eiddo gwag</t>
  </si>
  <si>
    <t>Reduction due to Second Homes discount</t>
  </si>
  <si>
    <t>Gostyngiad oherwydd disgownt ail gartref</t>
  </si>
  <si>
    <t>Increase due Second Homes Premium</t>
  </si>
  <si>
    <t>Cynnydd oherwydd disgownt ail gartref</t>
  </si>
  <si>
    <t>Please check the validation sheet before sending the form.</t>
  </si>
  <si>
    <t>Gwiriwch y daenlen ddilysu cyn anfon y  ffurflen</t>
  </si>
  <si>
    <t>Part H: Empty and second homes - chargeable only - exclude exemptions</t>
  </si>
  <si>
    <t>Rhan H: Cartrefi gwag ac ail gartrefi - taladwy yn unig - ag eithrio eithriadau</t>
  </si>
  <si>
    <t xml:space="preserve">Total discounted dwellings excluding premium adjustment </t>
  </si>
  <si>
    <t>Cyfanswm yr anheddau disgowntiedig ag eithrio addasiad premiwm</t>
  </si>
  <si>
    <t>Validation checks  -  please insert comments where requested</t>
  </si>
  <si>
    <t>Gwiriadau dilysu - ychwanegwch sylwadau lle gofynnir am hynny</t>
  </si>
  <si>
    <t>Text Conversion Tables</t>
  </si>
  <si>
    <t>Row Ref</t>
  </si>
  <si>
    <t>English Text</t>
  </si>
  <si>
    <t>Welsh Text</t>
  </si>
  <si>
    <t>Display Text</t>
  </si>
  <si>
    <t>FrontPage</t>
  </si>
  <si>
    <t>tolerance</t>
  </si>
  <si>
    <t>Budget Requirement Return</t>
  </si>
  <si>
    <t>This form must be returned within 7 days of calculating your Budget Requirement.</t>
  </si>
  <si>
    <t>The information on this form must be submitted under section 64 of the Local Government Finance Act 1992, as amended.</t>
  </si>
  <si>
    <t>UAName (W)</t>
  </si>
  <si>
    <t>Cyngor Bwrdeistref Sirol Conwy</t>
  </si>
  <si>
    <t>Cyngor Sir Ddinbych</t>
  </si>
  <si>
    <t>Cyngor Sir y Fflint</t>
  </si>
  <si>
    <t>Cyngor Bwrdeistref Sirol Wrecsam</t>
  </si>
  <si>
    <t>Cyngor Sir Powys</t>
  </si>
  <si>
    <t>Cyngor Sir Ceredigion</t>
  </si>
  <si>
    <t>Cyngor Sir Penfro</t>
  </si>
  <si>
    <t>Cyngor Sir Gaerfyrddin</t>
  </si>
  <si>
    <t>Cyngor Dinas a Sir Abertawe</t>
  </si>
  <si>
    <t>Cyngor Bwrdeistref Sirol Castell-Nedd Port Talbot</t>
  </si>
  <si>
    <t>Cyngor Bwrdeistref Sirol Pen-y-Bont ar Ogwr</t>
  </si>
  <si>
    <t>Cyngor Bro Morgannwg</t>
  </si>
  <si>
    <t>Cyngor Bwrdeistref Sirol Rhondda Cynon Taf</t>
  </si>
  <si>
    <t>Cyngor Bwrdeistref Sirol Merthyr Tudful</t>
  </si>
  <si>
    <t>Cyngor Bwrdeistref Sirol Caerffili</t>
  </si>
  <si>
    <t>Cyngor Bwrdeistref Sirol Blaenau Gwent</t>
  </si>
  <si>
    <t>Cyngor Bwrdeistref Sirol Torfaen</t>
  </si>
  <si>
    <t>Cyngor Sir Fynwy</t>
  </si>
  <si>
    <t>Cyngor Dinas Casnewydd</t>
  </si>
  <si>
    <t>Cyngor Dinas Caerdydd</t>
  </si>
  <si>
    <t>Isle of Anglesey County Council</t>
  </si>
  <si>
    <t>Gwynedd Council</t>
  </si>
  <si>
    <t>DO NOT DELETE - List for Language Drop-Down</t>
  </si>
  <si>
    <t>English / Saesneg</t>
  </si>
  <si>
    <t>UA Drop-down box (FrontPage)</t>
  </si>
  <si>
    <t>Language Drop-down box (FrontPage)</t>
  </si>
  <si>
    <t>Marc Jones</t>
  </si>
  <si>
    <t>Dave Jarrett</t>
  </si>
  <si>
    <t>davejarrett@monmouthshire.gov.uk</t>
  </si>
  <si>
    <t>List for Authority Drop-Down</t>
  </si>
  <si>
    <t>The latest date for return is</t>
  </si>
  <si>
    <t>Latest Return Date</t>
  </si>
  <si>
    <t>Selected Authority Name</t>
  </si>
  <si>
    <t>I certify that, to the best of my knowledge and belief, the information provided on this form is correct and consistent with the estimates and calculations made by my authority for the purposes of making its calculations under sections 32 and 33 of the Local Government Finance Act 1992, as amended.</t>
  </si>
  <si>
    <t xml:space="preserve"> (Lines 15 + 17)</t>
  </si>
  <si>
    <t xml:space="preserve"> (Lines 3 + 4)</t>
  </si>
  <si>
    <t>Amount to be collected from the council tax</t>
  </si>
  <si>
    <t xml:space="preserve"> (Lines 1 + 2 - 19)</t>
  </si>
  <si>
    <t>Council tax base for tax-setting purposes</t>
  </si>
  <si>
    <t>Council tax excluding community council precepts</t>
  </si>
  <si>
    <t xml:space="preserve">  (line 10 - 23)</t>
  </si>
  <si>
    <t xml:space="preserve"> (line 15 / line 9)</t>
  </si>
  <si>
    <t>Council tax calculated under s33</t>
  </si>
  <si>
    <t xml:space="preserve">  (line 5 / line 9)</t>
  </si>
  <si>
    <t>Council tax of police authority in billing authority's area</t>
  </si>
  <si>
    <t xml:space="preserve">  (line 16 / line 9)</t>
  </si>
  <si>
    <t>Average council tax for area of billing authority</t>
  </si>
  <si>
    <t xml:space="preserve"> (line 10 + 11)</t>
  </si>
  <si>
    <t>Total Central government support (calculated)</t>
  </si>
  <si>
    <t>Council tax base before collection rate adjustment</t>
  </si>
  <si>
    <t>Collection rate assumed</t>
  </si>
  <si>
    <t>Class O exempt dwellings</t>
  </si>
  <si>
    <t>Budget requirement</t>
  </si>
  <si>
    <t>excluding community council precepts</t>
  </si>
  <si>
    <t>including community council precepts</t>
  </si>
  <si>
    <t>number</t>
  </si>
  <si>
    <t>£ to nearest penny</t>
  </si>
  <si>
    <t>Gofyniad cyllidebol</t>
  </si>
  <si>
    <t>budget requirement</t>
  </si>
  <si>
    <t>Gwariant ac incwm</t>
  </si>
  <si>
    <t>discretionary non-domestic rate relief</t>
  </si>
  <si>
    <t>nifer</t>
  </si>
  <si>
    <t>calculated</t>
  </si>
  <si>
    <t>gan gynnwys praeseptau cynghorau cymuned</t>
  </si>
  <si>
    <t>Swm i'w casglu o'r dreth gyngor</t>
  </si>
  <si>
    <t>mewnbwn</t>
  </si>
  <si>
    <t>input</t>
  </si>
  <si>
    <t>adjustable</t>
  </si>
  <si>
    <t>locked</t>
  </si>
  <si>
    <t>addasadwy</t>
  </si>
  <si>
    <t xml:space="preserve"> (lines 6 x 7 + 8)</t>
  </si>
  <si>
    <t xml:space="preserve"> (Llinellau 15 + 17)</t>
  </si>
  <si>
    <t xml:space="preserve"> (Llinellau 3 + 4)</t>
  </si>
  <si>
    <t xml:space="preserve"> (Llinellau 1 + 2 - 19)</t>
  </si>
  <si>
    <t xml:space="preserve"> (Llinellau 6 x 7 + 8)</t>
  </si>
  <si>
    <t xml:space="preserve"> (Llinell 10 - 23)</t>
  </si>
  <si>
    <t xml:space="preserve"> (Llinell 15 / linell 9)</t>
  </si>
  <si>
    <t xml:space="preserve"> (Llinell 5 / llinell 9)</t>
  </si>
  <si>
    <t xml:space="preserve"> (Llinell 16 / llinell 9)</t>
  </si>
  <si>
    <t xml:space="preserve"> (Llinell 10 + 11)</t>
  </si>
  <si>
    <t>Awdurdodau bilio yn unig</t>
  </si>
  <si>
    <t>From our CT1:</t>
  </si>
  <si>
    <t>Setliadau Llywodraeth Leol</t>
  </si>
  <si>
    <t xml:space="preserve">Local Government Settlement </t>
  </si>
  <si>
    <t>Anheddau cyfwerth â Band D</t>
  </si>
  <si>
    <t>wedi cyfrifo</t>
  </si>
  <si>
    <t>heb gynnwys praeseptau cynghorau cymuned</t>
  </si>
  <si>
    <t>Cyfanswm cymorth llywodraeth ganolog (wedi cyfrifo)</t>
  </si>
  <si>
    <t>£ am bob annedd cyfwerth â Band D</t>
  </si>
  <si>
    <t>Ail-ddosbarthu ardrethi annomestig</t>
  </si>
  <si>
    <t>£ i'r geiniog agosaf</t>
  </si>
  <si>
    <t>wedi cloi</t>
  </si>
  <si>
    <t>Llofnod y Prif Swyddog Cyllid:</t>
  </si>
  <si>
    <t>Ffurflen Gofynion y Gyllideb</t>
  </si>
  <si>
    <t>Rhaid cyflwyno'r wybodaeth ar y ffurflen hon o dan adran 64 o Ddeddf Cyllid Llywodraeth Leol 1992, fel y'i diwygiwyd.</t>
  </si>
  <si>
    <t xml:space="preserve">Rhaid dychwelyd y ffurflen hon o fewn 7 diwrnod i gyfrifo Gofynion y Gyllideb. </t>
  </si>
  <si>
    <t>Y dyddiad hwyraf ar gyfer dychwelyd yw</t>
  </si>
  <si>
    <t>Yr wyf yn ardystio, hyd eithaf fy ngwybodaeth a’m cred, bod yr wybodaeth sy'n cael ei darparu ar y ffurflen hon yn gywir ac yn gyson gyda'r amcangyfrifon a'r cyfrifon a wnaed gan fy awdurdod at ddibenion ei gyfrifon dan adrannau 32 a 33 o Ddeddf Cyllid Llywodraeth Leol 1992, fel y'i diwygiwyd.</t>
  </si>
  <si>
    <t>March</t>
  </si>
  <si>
    <t>Mawrth</t>
  </si>
  <si>
    <t>Cells J14 and J15 above come from the Local Government Settlement, they must be repeated in cells G14 and G15 which is why those cells are locked.</t>
  </si>
  <si>
    <t>Daw celloedd J14 a J15 uchod oddi wrth y Setliad Lywodraeth Leol, rhaid eu hailadrodd yng nghelloedd G14 a G15, a dyna pam mae'r celloedd hynny wedi'u cloi.</t>
  </si>
  <si>
    <t>Please select your authority on the FrontPage</t>
  </si>
  <si>
    <t>Police authority precept</t>
  </si>
  <si>
    <t>Praesept awdurdod yr heddlu</t>
  </si>
  <si>
    <t xml:space="preserve">Hyperddolen canllawiau / Notes for guidance hyperlink </t>
  </si>
  <si>
    <t>Rhyddhad ardrethi annomestig dewisiol</t>
  </si>
  <si>
    <t>Sylfaen y dreth gyngor at ddiben pennu'r dreth</t>
  </si>
  <si>
    <t>Y dreth gyngor a gyfrifwyd o dan adran 33</t>
  </si>
  <si>
    <t>Treth gyngor awdurdod yr heddlu yn ardal yr awdurdod bilio</t>
  </si>
  <si>
    <t>Y dreth gyngor gyfartalog ar gyfer ardal awdurdod bilio</t>
  </si>
  <si>
    <t>Y dreth gyngor heb gynnwys praeseptau cynghorau cymuned</t>
  </si>
  <si>
    <t>Pounds</t>
  </si>
  <si>
    <t>Once certified, please send the following:</t>
  </si>
  <si>
    <t>Ar ôl ardystio dylech anfon y canlynol atom:</t>
  </si>
  <si>
    <t>YCLLL.trosglwyddo@llyw.cymru</t>
  </si>
  <si>
    <t>030 0025 5673 / 030 0025 9169</t>
  </si>
  <si>
    <t>●</t>
  </si>
  <si>
    <t>KEY</t>
  </si>
  <si>
    <t>Update from tables in web link</t>
  </si>
  <si>
    <t>DO NOT DELETE</t>
  </si>
  <si>
    <t>Update from DB query for correct year</t>
  </si>
  <si>
    <t>DataY1</t>
  </si>
  <si>
    <t>DataY2</t>
  </si>
  <si>
    <t>DataY3</t>
  </si>
  <si>
    <t>Auto</t>
  </si>
  <si>
    <t>Mark</t>
  </si>
  <si>
    <t>Check</t>
  </si>
  <si>
    <t>Your Comments</t>
  </si>
  <si>
    <t>Our Comments</t>
  </si>
  <si>
    <t>Initials</t>
  </si>
  <si>
    <t>Date</t>
  </si>
  <si>
    <t>YOYOut</t>
  </si>
  <si>
    <t>YOYIn</t>
  </si>
  <si>
    <t>%</t>
  </si>
  <si>
    <t>DataIn</t>
  </si>
  <si>
    <t>StandDesc</t>
  </si>
  <si>
    <t>Budget requirement (including community council precepts)</t>
  </si>
  <si>
    <t>Precept of police authority</t>
  </si>
  <si>
    <t>Budget requirement (excluding community council precepts)</t>
  </si>
  <si>
    <t>Total Central government support</t>
  </si>
  <si>
    <t>Community Council Precepts - Band D</t>
  </si>
  <si>
    <t>Column1</t>
  </si>
  <si>
    <t>AllRows Copy/pasted to filter out T/E rows from validations</t>
  </si>
  <si>
    <t>Short E</t>
  </si>
  <si>
    <t>StandWelsh</t>
  </si>
  <si>
    <t>Short W</t>
  </si>
  <si>
    <t>type</t>
  </si>
  <si>
    <t>auto</t>
  </si>
  <si>
    <t>mark</t>
  </si>
  <si>
    <t>check</t>
  </si>
  <si>
    <t>status</t>
  </si>
  <si>
    <t>date</t>
  </si>
  <si>
    <t>YOY Figures</t>
  </si>
  <si>
    <t>zero?</t>
  </si>
  <si>
    <t>difference</t>
  </si>
  <si>
    <t>"V"</t>
  </si>
  <si>
    <t>Bilingual text for text boxes on BR1 page</t>
  </si>
  <si>
    <t>The line tolerance limits (columns M and N) are either pre-set or can be adjusted manually (currently set at 50 and 5% - cells M7 and N7).</t>
  </si>
  <si>
    <t xml:space="preserve">Mae’r terfynau goddefiant llinell (colofnau M ac N) naill ai wedi eu bennu ymlaen llaw, neu gellir addasu eich hun (ar hyn o bryd wedi eu gosod at 50 a 5%-celloedd M7 a N7).   </t>
  </si>
  <si>
    <t xml:space="preserve">If you wish to add supporting information to any row please put it in ‘Your Comments’, otherwise an email confirming that you are happy with the figures will do. </t>
  </si>
  <si>
    <t xml:space="preserve">Os ydych am ychwanegu gwybodaeth ategol i unrhyw res, rhowch yn 'Eich sylwadau', fel arall bydd e-bost yn cadarnhau eich bod yn fodlon ar y ffigurau yn ddigon. </t>
  </si>
  <si>
    <t>After receiving the completed form - we will mark any rows that we think need to be cleared using the 'Check' column along with adding any comments and/or</t>
  </si>
  <si>
    <t xml:space="preserve">Ar ôl derbyn y ffurflen wedi'i chwblhau - bydden yn nodi unrhyw rhesi y credwn y mae angen eu clirio gan ddefnyddio y golofn 'Gwirio' ynghyd ag ychwanegu unrhyw sylwadau a/neu </t>
  </si>
  <si>
    <t xml:space="preserve">any relevant previous comments provided by your authority in the 'Our Comments' column. We may ask you for further information if required. </t>
  </si>
  <si>
    <t>unrhyw sylwadau blaenorol perthnasol a ddarperir gan eich awdurdod yn y golofn 'Ein sylwadau’. Gallem ofyn i chi am ragor o wybodaeth os oes angen.</t>
  </si>
  <si>
    <t>Displayed Text</t>
  </si>
  <si>
    <t>Please follow the instructions below when completing this page:</t>
  </si>
  <si>
    <t>Bilingual text for YOY Validation Table</t>
  </si>
  <si>
    <t>select</t>
  </si>
  <si>
    <t>dewiswch</t>
  </si>
  <si>
    <t>row</t>
  </si>
  <si>
    <t>rhes</t>
  </si>
  <si>
    <t>column</t>
  </si>
  <si>
    <t>colofn</t>
  </si>
  <si>
    <t>row description (sum lines shown in bold)</t>
  </si>
  <si>
    <t>disgrifiad rhes (Llinellau swm a ddangosir mewn print trwm)</t>
  </si>
  <si>
    <t>value</t>
  </si>
  <si>
    <t>prisio</t>
  </si>
  <si>
    <t>deipio</t>
  </si>
  <si>
    <t>awto</t>
  </si>
  <si>
    <t>marcio</t>
  </si>
  <si>
    <t>wirio</t>
  </si>
  <si>
    <t>statws</t>
  </si>
  <si>
    <t>arwydd gan</t>
  </si>
  <si>
    <t>dyddiad</t>
  </si>
  <si>
    <t>gwahaniaeth</t>
  </si>
  <si>
    <t>sero?</t>
  </si>
  <si>
    <t>TYPE FIELD KEY</t>
  </si>
  <si>
    <t>2.  % only breach</t>
  </si>
  <si>
    <t>3. both breached</t>
  </si>
  <si>
    <t>1. value only breach</t>
  </si>
  <si>
    <t>9. either figure zero</t>
  </si>
  <si>
    <t>ALLWEDD MATH O FAES</t>
  </si>
  <si>
    <t xml:space="preserve">1. Toriad gwerth unig </t>
  </si>
  <si>
    <t>3. Toriad yn y ddau</t>
  </si>
  <si>
    <t>9. Naill ai ffigur yn sero</t>
  </si>
  <si>
    <t>STATUS FIELD KEY</t>
  </si>
  <si>
    <t>A - to be actioned by WG</t>
  </si>
  <si>
    <t>C - Cleared</t>
  </si>
  <si>
    <t>NB - Important</t>
  </si>
  <si>
    <t>U - Unresolved</t>
  </si>
  <si>
    <t>W - Waiting for action from LA</t>
  </si>
  <si>
    <t>ALLWEDD STATWS MAES</t>
  </si>
  <si>
    <t>A - i gael eu gweithredu gan LlC</t>
  </si>
  <si>
    <t xml:space="preserve">C - wedi’i glirio </t>
  </si>
  <si>
    <t>NB - pwysig</t>
  </si>
  <si>
    <t xml:space="preserve">U - heb eu datrys </t>
  </si>
  <si>
    <t>W - yn aros ar gyfer gweithrediad gan All</t>
  </si>
  <si>
    <t>Dilynwch y cyfarwyddiadau isod wrth lenwi'r dudalen hon:</t>
  </si>
  <si>
    <t>Revenue support grant (including floor funding)</t>
  </si>
  <si>
    <t>Grant cynnal refeniw (gan gynnwys cyllido gwaelodol)</t>
  </si>
  <si>
    <t>LGFS.Transfer@gov.wales</t>
  </si>
  <si>
    <t>Eich sylwadau</t>
  </si>
  <si>
    <t>Ein sylwadau</t>
  </si>
  <si>
    <t>Our comments</t>
  </si>
  <si>
    <t>Your comments</t>
  </si>
  <si>
    <t>signed by</t>
  </si>
  <si>
    <t>After completing the form - check any flagged figures (marked ‘1’ in the ‘Auto’ column) that are either outside tolerance (&gt;5%) or not equal to zero (see ‘Arithmetic Checks’ section)</t>
  </si>
  <si>
    <t xml:space="preserve">Ar ôl cwblhau’r ffurflen - gwiriwch unrhyw ffigurau sydd gyda fflag eu bod tu hwnt i’r goddefiant (&gt;5%) neu ddim yn hafal i sero wedi'i farcio '1' yn y golofn 'Awtomatig'(gweler yr adran ‘Gwiriadau Rhifyddol’). </t>
  </si>
  <si>
    <t>4. total not = zero</t>
  </si>
  <si>
    <t>4. gyfanswmiau nad sy’n = sero</t>
  </si>
  <si>
    <t>Gwiriadau Rhifyddol</t>
  </si>
  <si>
    <t>Ffigyrau blwyddyn-wrth-flwyddyn</t>
  </si>
  <si>
    <t>Arithmetic Checks</t>
  </si>
  <si>
    <t xml:space="preserve">2. Toriad % yn unig </t>
  </si>
  <si>
    <t>Cymraeg / Welsh</t>
  </si>
  <si>
    <t>tolerance:</t>
  </si>
  <si>
    <t>goddefiant:</t>
  </si>
  <si>
    <t>Any totals not = zero in column "V" will be flagged in 'auto' column and highlighted in red.</t>
  </si>
  <si>
    <t>Bydd unrhyw gyfanswmiau nad sy’n = sero yng ngholofn ‘V’ yn  cael ei farcio yn y golofn ‘Awtomatig’ a’I amlinellu yn goch.</t>
  </si>
  <si>
    <t>Any cleared items will be marked 'C' in the 'Status' column (column AA).</t>
  </si>
  <si>
    <t>Bydd unrhyw eitem sydd wedi'i glirio wedi’i marcio 'C' yn y golofn 'Statws' (Colofn AA).</t>
  </si>
  <si>
    <t>Input / Output</t>
  </si>
  <si>
    <t>Protect and hide page?</t>
  </si>
  <si>
    <t>Page</t>
  </si>
  <si>
    <t>Type (?)</t>
  </si>
  <si>
    <t>Action</t>
  </si>
  <si>
    <t>Range name</t>
  </si>
  <si>
    <t>Range</t>
  </si>
  <si>
    <t>Details</t>
  </si>
  <si>
    <t>active</t>
  </si>
  <si>
    <t>update</t>
  </si>
  <si>
    <t>year</t>
  </si>
  <si>
    <t>A1</t>
  </si>
  <si>
    <t>A6:E29</t>
  </si>
  <si>
    <t>I7:T29</t>
  </si>
  <si>
    <t>AD5:AG30</t>
  </si>
  <si>
    <t>AI5:AK30</t>
  </si>
  <si>
    <t>AM5:AO30</t>
  </si>
  <si>
    <t>AQ5:AS30</t>
  </si>
  <si>
    <t>C2</t>
  </si>
  <si>
    <t>passive</t>
  </si>
  <si>
    <t>see suggestion at Q7</t>
  </si>
  <si>
    <t>see suggestion at Q8</t>
  </si>
  <si>
    <t>move F46 from Details to Text?</t>
  </si>
  <si>
    <t>change?</t>
  </si>
  <si>
    <t>C8</t>
  </si>
  <si>
    <t>E13</t>
  </si>
  <si>
    <t>E14</t>
  </si>
  <si>
    <t>K16, K17, K24 to K27</t>
  </si>
  <si>
    <t>E12</t>
  </si>
  <si>
    <t>Text Box</t>
  </si>
  <si>
    <t>Transfer</t>
  </si>
  <si>
    <t>Text</t>
  </si>
  <si>
    <t>B65</t>
  </si>
  <si>
    <t>Translate</t>
  </si>
  <si>
    <t>ValData</t>
  </si>
  <si>
    <t>Ranges</t>
  </si>
  <si>
    <t>_tab1</t>
  </si>
  <si>
    <t>A1:F19</t>
  </si>
  <si>
    <t>C9:G35</t>
  </si>
  <si>
    <t>AQ8:AR30</t>
  </si>
  <si>
    <t>Ctax_support</t>
  </si>
  <si>
    <t>AV8:AY30</t>
  </si>
  <si>
    <t>no longer used</t>
  </si>
  <si>
    <t>V8:AA29</t>
  </si>
  <si>
    <t>this is a version of TaxBasePivot</t>
  </si>
  <si>
    <t>AM8:AN30</t>
  </si>
  <si>
    <t>letter</t>
  </si>
  <si>
    <t>J1:K100</t>
  </si>
  <si>
    <t>LineData</t>
  </si>
  <si>
    <t>O12:AE35</t>
  </si>
  <si>
    <t>AI8:AJ30</t>
  </si>
  <si>
    <t>AD8:AF30</t>
  </si>
  <si>
    <t>ValYOY</t>
  </si>
  <si>
    <t>B3:Q20</t>
  </si>
  <si>
    <t>A3:D1387</t>
  </si>
  <si>
    <t>B4:Q20</t>
  </si>
  <si>
    <t>S4:AB16</t>
  </si>
  <si>
    <t>AE4:AL795</t>
  </si>
  <si>
    <t>AllRows</t>
  </si>
  <si>
    <t>T22:Y39</t>
  </si>
  <si>
    <t>these five above can be just one query</t>
  </si>
  <si>
    <t>Community Council Precepts</t>
  </si>
  <si>
    <t>Top-up Funding</t>
  </si>
  <si>
    <t xml:space="preserve">Isle of Anglesey </t>
  </si>
  <si>
    <t xml:space="preserve">Wrexham </t>
  </si>
  <si>
    <t xml:space="preserve">Swansea </t>
  </si>
  <si>
    <t xml:space="preserve">Neath Port Talbot </t>
  </si>
  <si>
    <t xml:space="preserve">Bridgend </t>
  </si>
  <si>
    <t xml:space="preserve">Total unitary authorities </t>
  </si>
  <si>
    <t>P:\stats\sd3\Contact Details.mdb</t>
  </si>
  <si>
    <t>Query for BR1 form</t>
  </si>
  <si>
    <t>Glyn Newnes</t>
  </si>
  <si>
    <t>GlynNewnes@ynysmon.gov.uk; BethanOwen2@ynysmon.gov.uk</t>
  </si>
  <si>
    <t>Iwan Atherton</t>
  </si>
  <si>
    <t>iwan.atherton@conwy.gov.uk</t>
  </si>
  <si>
    <t>Gary.Ferguson@flintshire.gov.uk</t>
  </si>
  <si>
    <t>Jane Thomas</t>
  </si>
  <si>
    <t>Justin Davies</t>
  </si>
  <si>
    <t>Justin.Davies@ceredigion.gov.uk</t>
  </si>
  <si>
    <t>Ben Smith</t>
  </si>
  <si>
    <t>CF31 4WB</t>
  </si>
  <si>
    <t>Mr Barrie Davies</t>
  </si>
  <si>
    <t>Matthew Phillips</t>
  </si>
  <si>
    <t>Matthew.D.Phillips@rctcbc.gov.uk</t>
  </si>
  <si>
    <t>Rhian Hayden</t>
  </si>
  <si>
    <t>Cymraeg / Welsh (tabl 5)</t>
  </si>
  <si>
    <t>English / Saesneg (table 5)</t>
  </si>
  <si>
    <t>=Transfer!$A$2:$F$20</t>
  </si>
  <si>
    <t>_UA2</t>
  </si>
  <si>
    <t>='\\Hba59\erdms_sjlg\Local Government Finance\SSA calculations 2017-18\Models\[Non-Financial_2016-17_Provisional_Yr1.xls]UA_details'!$A$1:$B$22</t>
  </si>
  <si>
    <t>='U:\DefaultHome\Objects\[BR1 Return 2019-20 DELETE.xlsx]Details'!$I$7:$T$29</t>
  </si>
  <si>
    <t>='U:\DefaultHome\Objects\[BR1 Return 2019-20 DELETE.xlsx]Details'!$A$6:$E$29</t>
  </si>
  <si>
    <t>='U:\DefaultHome\Objects\[BR1 Return 2019-20 DELETE.xlsx]BR1'!$C$9:$G$35</t>
  </si>
  <si>
    <t>='U:\DefaultHome\Objects\[BR1 Return 2019-20 DELETE.xlsx]Details'!$AQ$8:$AR$30</t>
  </si>
  <si>
    <t>component</t>
  </si>
  <si>
    <t>='\\Hba59\erdms_sjlg\Local Government Finance\SSA calculations 2017-18\Models\[Non-Financial_2016-17_Provisional_Yr1.xls]Types'!$A$1:$B$78</t>
  </si>
  <si>
    <t>CTax_support</t>
  </si>
  <si>
    <t>=Details!#REF!</t>
  </si>
  <si>
    <t>='U:\DefaultHome\Objects\[BR1 Return 2019-20 DELETE.xlsx]Details'!$V$8:$AA$29</t>
  </si>
  <si>
    <t>='U:\DefaultHome\Objects\[BR1 Return 2019-20 DELETE.xlsx]Details'!$AM$8:$AN$30</t>
  </si>
  <si>
    <t>IBA</t>
  </si>
  <si>
    <t>='\\Hba59\erdms_sjlg\Local Government Finance\SSA calculations 2012-13\SAS SSA run\test runs\[SasRun1213_06_Final.xls]Data'!$E$4:$I$1320</t>
  </si>
  <si>
    <t>='U:\DefaultHome\Objects\[BR1 Return 2019-20 DELETE.xlsx]Transfer'!$J$2:$K$101</t>
  </si>
  <si>
    <t>='U:\DefaultHome\Objects\[BR1 Return 2019-20 DELETE.xlsx]BR1'!$O$12:$AE$35</t>
  </si>
  <si>
    <t>PandPUpliftd</t>
  </si>
  <si>
    <t>='\\Hba59\erdms_sjlg\Local Government Finance\SSA calculations 2017-18\Models\[Non-Financial_2016-17_Provisional_Yr1.xls]_PREC_DRAIN'!$C$37</t>
  </si>
  <si>
    <t>='U:\DefaultHome\Objects\[BR1 Return 2019-20 DELETE.xlsx]Details'!$AI$8:$AJ$30</t>
  </si>
  <si>
    <t>Provorfin</t>
  </si>
  <si>
    <t>='\\Hba59\erdms_sjlg\Local Government Finance\SSA calculations 2017-18\Models\[Capital_2017-18_Provisional.xls]Intro'!$E$12</t>
  </si>
  <si>
    <t>Services</t>
  </si>
  <si>
    <t>='\\Hba59\erdms_sjlg\Local Government Finance\SSA calculations 2014-15\SAS SSA run\test runs\[SasRun1415_09_Provisional.xls]Data'!$L$4:$S$62</t>
  </si>
  <si>
    <t>Table5</t>
  </si>
  <si>
    <t>=#REF!#REF!</t>
  </si>
  <si>
    <t>='U:\DefaultHome\Objects\[BR1 Return 2019-20 DELETE.xlsx]Details'!$AD$8:$AF$30</t>
  </si>
  <si>
    <t>UA</t>
  </si>
  <si>
    <t>='\\Hba59\erdms_sjlg\Local Government Finance\SSA calculations 2017-18\Models\[Non-Financial_2016-17_Provisional_Yr1.xls]UA_details'!$B$1:$C$22</t>
  </si>
  <si>
    <t>='U:\DefaultHome\Objects\[BR1 Return 2019-20 DELETE.xlsx]Details'!$C$2</t>
  </si>
  <si>
    <t>=ValData!$B$3:$Q$20</t>
  </si>
  <si>
    <t>='U:\DefaultHome\Objects\[BR1 Return 2019-20 DELETE.xlsx]Details'!$A$1</t>
  </si>
  <si>
    <t>YearLess1</t>
  </si>
  <si>
    <t>='\\Hba59\erdms_sjlg\Local Government Finance\SSA calculations 2016-17\Models\[Capital_2016-17_Provisional.xls]MODEL'!$B$8</t>
  </si>
  <si>
    <t>Certificate of the Chief Financial Officer:</t>
  </si>
  <si>
    <t>Ardystiad Y Prif Swyddog Cyllid:</t>
  </si>
  <si>
    <t>Signature of the Chief Financial Officer:</t>
  </si>
  <si>
    <t xml:space="preserve">Year: </t>
  </si>
  <si>
    <t>For Welsh Government use only</t>
  </si>
  <si>
    <t>At ddefnydd Llywodraeth Cymru yn unig</t>
  </si>
  <si>
    <t xml:space="preserve"> 2 decimal places)</t>
  </si>
  <si>
    <t>Council tax base before collection rate adjustment (adjustable,</t>
  </si>
  <si>
    <t>Collection rate assumed (adjustable,</t>
  </si>
  <si>
    <t>Class O exempt dwellings (adjustable,</t>
  </si>
  <si>
    <t xml:space="preserve"> 2 le degol)</t>
  </si>
  <si>
    <t>collection rate assumed (adjustable,</t>
  </si>
  <si>
    <t>Cyfradd gasglu dybiedig (addasadwy,</t>
  </si>
  <si>
    <t>Anheddau Dosbarth O wedi'u heithrio (addasadwy,</t>
  </si>
  <si>
    <t xml:space="preserve">Sylfaen y dreth gyngor cyn addasiad gyfradd casglu (addasadwy, </t>
  </si>
  <si>
    <t>Steve Gadd</t>
  </si>
  <si>
    <t>Randal Hemingway</t>
  </si>
  <si>
    <t>RHemingway@carmarthenshire.gov.uk</t>
  </si>
  <si>
    <t>Carolyn Michael</t>
  </si>
  <si>
    <t>CMichael@valeofglamorgan.gov.uk</t>
  </si>
  <si>
    <t>Stephen Harris</t>
  </si>
  <si>
    <t>Peter Davies</t>
  </si>
  <si>
    <t>Mr Christopher Lee</t>
  </si>
  <si>
    <t>Sally Ormiston, Maria Maddar</t>
  </si>
  <si>
    <t>872290 (x/est. 72290)</t>
  </si>
  <si>
    <t>sormiston@cardiff.gov.uk; MAMaddar@cardiff.gov.uk</t>
  </si>
  <si>
    <t>Cells K19 and K20 above come from the Local Government Settlement, they must be repeated in cells H19 and H20 which is why those cells are locked.</t>
  </si>
  <si>
    <t>Daw celloedd K19 a K20 uchod oddi wrth ein cydweithwyr polisi Cyllid Llywodraeth Leol yn Llywodraeth Cymru. Rhaid eu hailadrodd yng nghelloedd H19 a H20, a dyna pam mae'r celloedd hynny wedi'u cloi.</t>
  </si>
  <si>
    <t>Cell H37 is calculated but it can be over written to allow for minor rounding adjustments.</t>
  </si>
  <si>
    <t>Mae Cell H37 wedi'i chyfrifo ond gellir ysgrifennu drosti er mwyn caniatáu ar gyfer mân addasiadau talgrynnu.</t>
  </si>
  <si>
    <t>Key for cells in column H:</t>
  </si>
  <si>
    <t>Allwedd ar gyfer celloedd yng ngholofn H:</t>
  </si>
  <si>
    <t>(1)</t>
  </si>
  <si>
    <t>CT1:</t>
  </si>
  <si>
    <t xml:space="preserve"> = 1 + 2</t>
  </si>
  <si>
    <r>
      <t>_tab1</t>
    </r>
    <r>
      <rPr>
        <sz val="12"/>
        <rFont val="Arial"/>
        <family val="2"/>
      </rPr>
      <t xml:space="preserve">  (range A3:F21)</t>
    </r>
  </si>
  <si>
    <r>
      <t>Letter</t>
    </r>
    <r>
      <rPr>
        <sz val="12"/>
        <rFont val="Arial"/>
        <family val="2"/>
      </rPr>
      <t xml:space="preserve">  (range K3:L102)</t>
    </r>
  </si>
  <si>
    <t>An electronic copy of the spreadsheet, preferably with an image of the CFO signature and date added.</t>
  </si>
  <si>
    <t>Or an electronic copy and a separate, signed copy (preferably as a PDF, or a hard copy by post).</t>
  </si>
  <si>
    <t>N.B. The signed copy figures must match the electronic copy. We’ll need another signed copy if they don’t.</t>
  </si>
  <si>
    <t>Copi electronig o'r daenlen, yn ddelfrydol gyda delwedd o lofnod y PSC a'r dyddiad wedi'u hychwanegu.</t>
  </si>
  <si>
    <t>Neu gopi electronig a chopi ar wahân wedi'i lofnodi (fel PDF yn ddelfrydol, neu gopi caled trwy'r post).</t>
  </si>
  <si>
    <t>Noder. Rhaid i'r ffigurau ar y copi wedi'i lofnodi cyd-fynd â'r copi electronig. Bydd angen copi arall wedi'i lofnodi arnom os nad ydyn nhw.</t>
  </si>
  <si>
    <t>Figures in Y8:Z30 are in full pounds !</t>
  </si>
  <si>
    <t>Number</t>
  </si>
  <si>
    <t>Version</t>
  </si>
  <si>
    <r>
      <t xml:space="preserve">Daw cell K30 o’ch ffurflen Anheddau Treth Gyngor (CT1), </t>
    </r>
    <r>
      <rPr>
        <b/>
        <sz val="10"/>
        <color indexed="62"/>
        <rFont val="Arial"/>
        <family val="2"/>
      </rPr>
      <t>2023-24</t>
    </r>
    <r>
      <rPr>
        <sz val="10"/>
        <rFont val="Arial"/>
        <family val="2"/>
      </rPr>
      <t>, rhan E, llinell 26.  Rhaid i gell H30 gyfateb â hi.</t>
    </r>
  </si>
  <si>
    <t>Updated</t>
  </si>
  <si>
    <t>By</t>
  </si>
  <si>
    <t>Date Updated</t>
  </si>
  <si>
    <t>FK</t>
  </si>
  <si>
    <t>Mr Dewi Aeron Morgan</t>
  </si>
  <si>
    <t>Amanda Hughes</t>
  </si>
  <si>
    <t>Mr Richard Weigh</t>
  </si>
  <si>
    <t>Karen Edwards</t>
  </si>
  <si>
    <t>Karen.Edwards@wrexham.gov.uk</t>
  </si>
  <si>
    <t>Anne Phillips</t>
  </si>
  <si>
    <t>treasurymanagement@powys.gov.uk; anne.phillips2@powys.gov.uk</t>
  </si>
  <si>
    <t>Mr Duncan Hall</t>
  </si>
  <si>
    <t>Mr Huw Jones</t>
  </si>
  <si>
    <t>Nicole Blackmore</t>
  </si>
  <si>
    <t>n.l.blackmore@npt.gov.uk</t>
  </si>
  <si>
    <t>Deborah Exton</t>
  </si>
  <si>
    <t>deborah.exton@bridgend.gov.uk</t>
  </si>
  <si>
    <t>???Carys Lord</t>
  </si>
  <si>
    <t>Rhondda Cynon Taf County Borough Council</t>
  </si>
  <si>
    <t>Adele Lewis, Steve Jones</t>
  </si>
  <si>
    <t>725368 / 725000</t>
  </si>
  <si>
    <t>Adele.Lewis@Merthyr.gov.uk; steve.jones@merthyr.gov.uk</t>
  </si>
  <si>
    <t>Gina Taylor</t>
  </si>
  <si>
    <t>gina.taylor@blaenau-gwent.gov.uk</t>
  </si>
  <si>
    <t>Y39:Z61</t>
  </si>
  <si>
    <t>AA39:AA61</t>
  </si>
  <si>
    <t>return date</t>
  </si>
  <si>
    <t>G5</t>
  </si>
  <si>
    <t>E8:F8</t>
  </si>
  <si>
    <t>E12:F12</t>
  </si>
  <si>
    <t xml:space="preserve">Set queries below to relevant year:  </t>
  </si>
  <si>
    <t>CT1 Percent</t>
  </si>
  <si>
    <t>CT1 Class O</t>
  </si>
  <si>
    <t xml:space="preserve">CT1 Discount Dwellings </t>
  </si>
  <si>
    <r>
      <t xml:space="preserve">Cell K30 comes from your Council Tax Dwellings (CT1) return, </t>
    </r>
    <r>
      <rPr>
        <b/>
        <sz val="10"/>
        <color indexed="62"/>
        <rFont val="Arial"/>
        <family val="2"/>
      </rPr>
      <t>2024-25</t>
    </r>
    <r>
      <rPr>
        <sz val="10"/>
        <rFont val="Arial"/>
        <family val="2"/>
      </rPr>
      <t>, part E, line 26.  Cell H30 must match it.</t>
    </r>
  </si>
  <si>
    <t>CT1 TaxBase Pivot</t>
  </si>
  <si>
    <t>8  Class O exempt dwellings (2 dp)</t>
  </si>
  <si>
    <t>6  CT base before collection rate adj. (2dp)</t>
  </si>
  <si>
    <t>7  Collection rate assumed (2 dp)</t>
  </si>
  <si>
    <t>9  CT base for tax-setting purposes (lines 6 x 7 + 8)</t>
  </si>
  <si>
    <t/>
  </si>
  <si>
    <t>01248</t>
  </si>
  <si>
    <t>752602</t>
  </si>
  <si>
    <t>Ffion Madog Evans, Heledd Gwilym Thomas</t>
  </si>
  <si>
    <t>01286</t>
  </si>
  <si>
    <t>679406</t>
  </si>
  <si>
    <t>FfionMadogEvans@gwynedd.llyw.cymru; heleddgwilymthomas@gwynedd.llyw.cymru</t>
  </si>
  <si>
    <t>01492</t>
  </si>
  <si>
    <t>576185</t>
  </si>
  <si>
    <t>Sian Jackson, Catrin Evans</t>
  </si>
  <si>
    <t>01824</t>
  </si>
  <si>
    <t>712594</t>
  </si>
  <si>
    <t>sian.jackson@denbighshire.gov.uk; Catrin.F.Evans@denbighshire.gov.uk</t>
  </si>
  <si>
    <t>01352</t>
  </si>
  <si>
    <t>702287</t>
  </si>
  <si>
    <t>01978</t>
  </si>
  <si>
    <t>292406</t>
  </si>
  <si>
    <t>01597</t>
  </si>
  <si>
    <t>826342</t>
  </si>
  <si>
    <t>01970</t>
  </si>
  <si>
    <t>633120</t>
  </si>
  <si>
    <t>Jonathan Haswell, Sarah Edwards</t>
  </si>
  <si>
    <t>01437</t>
  </si>
  <si>
    <t>775637</t>
  </si>
  <si>
    <t>jonathan.haswell@pembrokeshire.gov.uk; Sarah.Edwards@pembrokeshire.gov.uk</t>
  </si>
  <si>
    <t>01267</t>
  </si>
  <si>
    <t>224886</t>
  </si>
  <si>
    <t>01792</t>
  </si>
  <si>
    <t>636415</t>
  </si>
  <si>
    <t>01639</t>
  </si>
  <si>
    <t>763551</t>
  </si>
  <si>
    <t>01656</t>
  </si>
  <si>
    <t>643604</t>
  </si>
  <si>
    <t>01446</t>
  </si>
  <si>
    <t>709152</t>
  </si>
  <si>
    <t>01443</t>
  </si>
  <si>
    <t>680539</t>
  </si>
  <si>
    <t>01685</t>
  </si>
  <si>
    <t>863214</t>
  </si>
  <si>
    <t>01495</t>
  </si>
  <si>
    <t>355143  Mob. 07555363480</t>
  </si>
  <si>
    <t>766105</t>
  </si>
  <si>
    <t>01633</t>
  </si>
  <si>
    <t>644657</t>
  </si>
  <si>
    <t>Robert Green, Amie Garwood Pask</t>
  </si>
  <si>
    <t>210874</t>
  </si>
  <si>
    <t>Robert.Green@Newport.gov.uk; Amie.GarwoodPask@newport.gov.uk</t>
  </si>
  <si>
    <t>02920</t>
  </si>
  <si>
    <t xml:space="preserve">  Adresses updated on 24.01.24  fk</t>
  </si>
  <si>
    <t>this doesn't change often but still needs to be checked.</t>
  </si>
  <si>
    <t>Line 26, Council tax base for tax-setting purposes, E5  (=E3+E4).</t>
  </si>
  <si>
    <t>Line 23, Collection rate, E2.</t>
  </si>
  <si>
    <t>CT1, line 22,  Discounted chargeable dwellings: band D equivalents (=C4 total), E1.</t>
  </si>
  <si>
    <t>CT1, line 25,  Class O exempt dwellings: band D equivalents, E4.</t>
  </si>
  <si>
    <t>Table 5: Details of principal council funding, by Unitary Authority, 2024-25 (£000)</t>
  </si>
  <si>
    <t>This worksheet contains one table. Some cells refer to notes which can be found on the notes worksheet.</t>
  </si>
  <si>
    <t>Unitary Authority</t>
  </si>
  <si>
    <t>100% tax base [Note 1]</t>
  </si>
  <si>
    <t>Standard Spending Assessment</t>
  </si>
  <si>
    <t>Council tax [Note 2]</t>
  </si>
  <si>
    <t>Top Up Funding</t>
  </si>
  <si>
    <t>Aggregate External Finance [Note 3]</t>
  </si>
  <si>
    <t>provisional</t>
  </si>
  <si>
    <t>https://www.gov.wales/local-government-finance</t>
  </si>
  <si>
    <t>tblmainBR</t>
  </si>
  <si>
    <t>Top Up Funding [Note 4]</t>
  </si>
  <si>
    <t>figs copied from settlement: tbl 5 Principal Council Funding delete, added 27.2.24 FK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</si>
</sst>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7">
    <numFmt numFmtId="43" formatCode="_-* #,##0.00_-;\-* #,##0.00_-;_-* &quot;-&quot;??_-;_-@_-"/>
    <numFmt numFmtId="164" formatCode="#,##0_ ;[Red]\-#,##0\ "/>
    <numFmt numFmtId="165" formatCode="#,##0.000"/>
    <numFmt numFmtId="166" formatCode="#,##0.00_ ;[Red]\-#,##0.00\ "/>
    <numFmt numFmtId="167" formatCode="0.00000"/>
    <numFmt numFmtId="168" formatCode="[$-809]dd\ mmmm\ yyyy;@"/>
    <numFmt numFmtId="169" formatCode="#,##0.000_ ;[Red]\-#,##0.000\ "/>
    <numFmt numFmtId="170" formatCode="0000"/>
    <numFmt numFmtId="171" formatCode="dd/mm/yy;@"/>
    <numFmt numFmtId="172" formatCode="[$£-809]#,##0;[Red]&quot;-&quot;[$£-809]#,##0;;@"/>
    <numFmt numFmtId="173" formatCode="0.0,"/>
    <numFmt numFmtId="174" formatCode="&quot; &quot;#,##0.00&quot; &quot;;&quot;-&quot;#,##0.00&quot; &quot;;&quot; -&quot;00&quot; &quot;;&quot; &quot;@&quot; &quot;"/>
    <numFmt numFmtId="175" formatCode="&quot; &quot;[$£-809]#,##0.00&quot; &quot;;&quot;-&quot;[$£-809]#,##0.00&quot; &quot;;&quot; &quot;[$£-809]&quot;-&quot;00&quot; &quot;;&quot; &quot;@&quot; &quot;"/>
    <numFmt numFmtId="176" formatCode="#,##0;&quot;-&quot;#,##0"/>
    <numFmt numFmtId="177" formatCode="#,##0,&quot; &quot;;&quot;(&quot;#,##0,&quot;)&quot;"/>
    <numFmt numFmtId="178" formatCode="#,##0.0,"/>
    <numFmt numFmtId="179" formatCode="0&quot; &quot;;&quot;(&quot;0&quot;)&quot;"/>
    <numFmt numFmtId="180" formatCode="#,##0;[Red]&quot;-&quot;#,##0;;@"/>
    <numFmt numFmtId="181" formatCode="#,##0.0;[Red]&quot;-&quot;#,##0.0;;@"/>
    <numFmt numFmtId="182" formatCode="[&gt;0.1]0.0%&quot;Verify&quot;;[Red][&lt;-0.1]&quot;(&quot;0.0%&quot;)Verify&quot;;0.0%"/>
    <numFmt numFmtId="183" formatCode="[&gt;0.2]0.0%&quot;Verify&quot;;[Red][&lt;-0.2]&quot;(&quot;0.0%&quot;)Verify&quot;;0.0%"/>
    <numFmt numFmtId="184" formatCode="&quot; &quot;#,##0&quot; &quot;;&quot;-&quot;#,##0&quot; &quot;;&quot; -&quot;00&quot; &quot;;&quot; &quot;@&quot; &quot;"/>
    <numFmt numFmtId="185" formatCode="[&gt;250]&quot;N/A&quot;;[&lt;0]0;0"/>
    <numFmt numFmtId="186" formatCode="[&gt;250]&quot;N/A&quot;;[&lt;0]&quot;-&quot;0;&quot; &quot;0"/>
    <numFmt numFmtId="187" formatCode="0.0"/>
    <numFmt numFmtId="188" formatCode="#,##0,"/>
    <numFmt numFmtId="189" formatCode="#,##0.000,"/>
  </numFmts>
  <fonts count="96" x14ac:knownFonts="1">
    <font>
      <sz val="12"/>
      <name val="Arial"/>
    </font>
    <font>
      <sz val="12"/>
      <name val="Arial"/>
      <family val="2"/>
    </font>
    <font>
      <b/>
      <sz val="10"/>
      <name val="Arial"/>
      <family val="2"/>
    </font>
    <font>
      <sz val="10"/>
      <name val="Arial"/>
      <family val="2"/>
    </font>
    <font>
      <sz val="10"/>
      <color indexed="8"/>
      <name val="MS Sans Serif"/>
      <family val="2"/>
    </font>
    <font>
      <sz val="10"/>
      <color indexed="9"/>
      <name val="Arial"/>
      <family val="2"/>
    </font>
    <font>
      <sz val="8"/>
      <name val="Arial"/>
      <family val="2"/>
    </font>
    <font>
      <b/>
      <sz val="8"/>
      <name val="Arial"/>
      <family val="2"/>
    </font>
    <font>
      <b/>
      <sz val="10"/>
      <color indexed="18"/>
      <name val="Arial"/>
      <family val="2"/>
    </font>
    <font>
      <b/>
      <i/>
      <sz val="8"/>
      <name val="Arial"/>
      <family val="2"/>
    </font>
    <font>
      <sz val="10"/>
      <color indexed="10"/>
      <name val="Arial"/>
      <family val="2"/>
    </font>
    <font>
      <sz val="8"/>
      <name val="Arial"/>
      <family val="2"/>
    </font>
    <font>
      <u/>
      <sz val="6"/>
      <color indexed="12"/>
      <name val="Arial"/>
      <family val="2"/>
    </font>
    <font>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12"/>
      <name val="Arial"/>
      <family val="2"/>
    </font>
    <font>
      <sz val="12"/>
      <name val="Arial"/>
      <family val="2"/>
    </font>
    <font>
      <sz val="10"/>
      <color indexed="81"/>
      <name val="Arial"/>
      <family val="2"/>
    </font>
    <font>
      <sz val="20"/>
      <name val="Arial"/>
      <family val="2"/>
    </font>
    <font>
      <b/>
      <sz val="14"/>
      <name val="Arial"/>
      <family val="2"/>
    </font>
    <font>
      <b/>
      <sz val="9"/>
      <name val="Arial"/>
      <family val="2"/>
    </font>
    <font>
      <sz val="11"/>
      <name val="Arial"/>
      <family val="2"/>
    </font>
    <font>
      <i/>
      <sz val="11"/>
      <name val="Arial"/>
      <family val="2"/>
    </font>
    <font>
      <b/>
      <sz val="11"/>
      <name val="Arial"/>
      <family val="2"/>
    </font>
    <font>
      <u/>
      <sz val="9"/>
      <color indexed="12"/>
      <name val="Arial"/>
      <family val="2"/>
    </font>
    <font>
      <sz val="9"/>
      <name val="Arial"/>
      <family val="2"/>
    </font>
    <font>
      <sz val="10"/>
      <name val="Arial"/>
      <family val="2"/>
    </font>
    <font>
      <sz val="12"/>
      <name val="Arial"/>
      <family val="2"/>
    </font>
    <font>
      <u/>
      <sz val="12"/>
      <color indexed="12"/>
      <name val="Arial"/>
      <family val="2"/>
    </font>
    <font>
      <sz val="10"/>
      <name val="Arial"/>
      <family val="2"/>
    </font>
    <font>
      <i/>
      <sz val="10"/>
      <name val="Arial"/>
      <family val="2"/>
    </font>
    <font>
      <b/>
      <sz val="10"/>
      <color indexed="62"/>
      <name val="Arial"/>
      <family val="2"/>
    </font>
    <font>
      <sz val="8"/>
      <color rgb="FF0000FF"/>
      <name val="Arial"/>
      <family val="2"/>
    </font>
    <font>
      <b/>
      <sz val="8"/>
      <color rgb="FF0000FF"/>
      <name val="Arial"/>
      <family val="2"/>
    </font>
    <font>
      <sz val="10"/>
      <color theme="1"/>
      <name val="Arial"/>
      <family val="2"/>
    </font>
    <font>
      <sz val="10"/>
      <color rgb="FFFF0000"/>
      <name val="Arial"/>
      <family val="2"/>
    </font>
    <font>
      <u/>
      <sz val="8"/>
      <color rgb="FF7030A0"/>
      <name val="Arial"/>
      <family val="2"/>
    </font>
    <font>
      <b/>
      <sz val="12"/>
      <color rgb="FFFF0000"/>
      <name val="Arial"/>
      <family val="2"/>
    </font>
    <font>
      <b/>
      <sz val="12"/>
      <color theme="3" tint="0.39997558519241921"/>
      <name val="Arial"/>
      <family val="2"/>
    </font>
    <font>
      <b/>
      <sz val="16"/>
      <color theme="3" tint="0.39997558519241921"/>
      <name val="Arial"/>
      <family val="2"/>
    </font>
    <font>
      <b/>
      <sz val="10"/>
      <color theme="3" tint="0.39997558519241921"/>
      <name val="Arial"/>
      <family val="2"/>
    </font>
    <font>
      <b/>
      <sz val="12"/>
      <color rgb="FF0000FF"/>
      <name val="Arial"/>
      <family val="2"/>
    </font>
    <font>
      <b/>
      <sz val="12"/>
      <color rgb="FF7030A0"/>
      <name val="Arial"/>
      <family val="2"/>
    </font>
    <font>
      <sz val="10"/>
      <color rgb="FFCCFFFF"/>
      <name val="Arial"/>
      <family val="2"/>
    </font>
    <font>
      <u/>
      <sz val="12"/>
      <color rgb="FF7030A0"/>
      <name val="Arial"/>
      <family val="2"/>
    </font>
    <font>
      <b/>
      <sz val="9"/>
      <color theme="0"/>
      <name val="Arial"/>
      <family val="2"/>
    </font>
    <font>
      <b/>
      <sz val="8"/>
      <color theme="0"/>
      <name val="Arial"/>
      <family val="2"/>
    </font>
    <font>
      <sz val="8"/>
      <color theme="1"/>
      <name val="Arial"/>
      <family val="2"/>
    </font>
    <font>
      <sz val="9"/>
      <name val="Calibri"/>
      <family val="2"/>
      <scheme val="minor"/>
    </font>
    <font>
      <sz val="12"/>
      <color indexed="81"/>
      <name val="Arial"/>
      <family val="2"/>
    </font>
    <font>
      <sz val="12"/>
      <color rgb="FF0000FF"/>
      <name val="Arial"/>
      <family val="2"/>
    </font>
    <font>
      <sz val="12"/>
      <color rgb="FF000000"/>
      <name val="Arial"/>
      <family val="2"/>
    </font>
    <font>
      <b/>
      <sz val="12"/>
      <color rgb="FF000000"/>
      <name val="Arial"/>
      <family val="2"/>
    </font>
    <font>
      <u/>
      <sz val="12"/>
      <color rgb="FF0000FF"/>
      <name val="Arial"/>
      <family val="2"/>
    </font>
    <font>
      <sz val="10"/>
      <color rgb="FF000000"/>
      <name val="Arial"/>
      <family val="2"/>
    </font>
    <font>
      <b/>
      <sz val="10"/>
      <color rgb="FF000000"/>
      <name val="Arial"/>
      <family val="2"/>
    </font>
    <font>
      <sz val="12"/>
      <color rgb="FF000000"/>
      <name val="Times New Roman"/>
      <family val="1"/>
    </font>
    <font>
      <b/>
      <sz val="14"/>
      <color rgb="FF000000"/>
      <name val="Arial"/>
      <family val="2"/>
    </font>
    <font>
      <sz val="10"/>
      <color rgb="FF000000"/>
      <name val="Lucida Sans"/>
      <family val="2"/>
    </font>
    <font>
      <sz val="10"/>
      <color rgb="FF000000"/>
      <name val="Calibri"/>
      <family val="2"/>
    </font>
    <font>
      <sz val="12"/>
      <color rgb="FF00FF00"/>
      <name val="Arial"/>
      <family val="2"/>
    </font>
    <font>
      <sz val="10"/>
      <color indexed="18"/>
      <name val="Arial"/>
      <family val="2"/>
    </font>
    <font>
      <sz val="12"/>
      <color indexed="18"/>
      <name val="Arial"/>
      <family val="2"/>
    </font>
    <font>
      <sz val="14"/>
      <name val="Arial"/>
      <family val="2"/>
    </font>
    <font>
      <sz val="10"/>
      <color rgb="FF0000FF"/>
      <name val="Arial"/>
      <family val="2"/>
    </font>
    <font>
      <b/>
      <u/>
      <sz val="10"/>
      <name val="Arial"/>
      <family val="2"/>
    </font>
    <font>
      <sz val="10"/>
      <name val="Arial"/>
      <family val="2"/>
    </font>
    <font>
      <sz val="10"/>
      <color theme="1"/>
      <name val="Arial"/>
      <family val="2"/>
    </font>
    <font>
      <u/>
      <sz val="11"/>
      <color indexed="12"/>
      <name val="Arial"/>
      <family val="2"/>
    </font>
    <font>
      <b/>
      <sz val="11"/>
      <color indexed="18"/>
      <name val="Arial"/>
      <family val="2"/>
    </font>
    <font>
      <sz val="11"/>
      <color indexed="10"/>
      <name val="Arial"/>
      <family val="2"/>
    </font>
    <font>
      <b/>
      <sz val="16"/>
      <color rgb="FF7030A0"/>
      <name val="Arial"/>
      <family val="2"/>
    </font>
    <font>
      <u/>
      <sz val="10"/>
      <color rgb="FF7030A0"/>
      <name val="Arial"/>
      <family val="2"/>
    </font>
    <font>
      <b/>
      <sz val="10"/>
      <color rgb="FF0000FF"/>
      <name val="Arial"/>
      <family val="2"/>
    </font>
    <font>
      <b/>
      <sz val="10"/>
      <color rgb="FF7030A0"/>
      <name val="Arial"/>
      <family val="2"/>
    </font>
    <font>
      <b/>
      <sz val="12"/>
      <color theme="1"/>
      <name val="Arial"/>
      <family val="2"/>
    </font>
    <font>
      <b/>
      <sz val="12"/>
      <color indexed="18"/>
      <name val="Arial"/>
      <family val="2"/>
    </font>
    <font>
      <sz val="10"/>
      <name val="Arial"/>
    </font>
    <font>
      <b/>
      <i/>
      <sz val="8"/>
      <color rgb="FF7030A0"/>
      <name val="Arial"/>
      <family val="2"/>
    </font>
  </fonts>
  <fills count="44">
    <fill>
      <patternFill patternType="none"/>
    </fill>
    <fill>
      <patternFill patternType="gray125"/>
    </fill>
    <fill>
      <patternFill patternType="solid">
        <fgColor indexed="22"/>
      </patternFill>
    </fill>
    <fill>
      <patternFill patternType="solid">
        <fgColor indexed="47"/>
      </patternFill>
    </fill>
    <fill>
      <patternFill patternType="solid">
        <fgColor indexed="43"/>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indexed="9"/>
      </patternFill>
    </fill>
    <fill>
      <patternFill patternType="solid">
        <fgColor indexed="9"/>
        <bgColor indexed="64"/>
      </patternFill>
    </fill>
    <fill>
      <patternFill patternType="solid">
        <fgColor indexed="55"/>
      </patternFill>
    </fill>
    <fill>
      <patternFill patternType="solid">
        <fgColor indexed="42"/>
      </patternFill>
    </fill>
    <fill>
      <patternFill patternType="solid">
        <fgColor indexed="23"/>
        <bgColor indexed="64"/>
      </patternFill>
    </fill>
    <fill>
      <patternFill patternType="solid">
        <fgColor indexed="44"/>
        <bgColor indexed="64"/>
      </patternFill>
    </fill>
    <fill>
      <patternFill patternType="solid">
        <fgColor rgb="FFCCFFCC"/>
        <bgColor indexed="64"/>
      </patternFill>
    </fill>
    <fill>
      <patternFill patternType="solid">
        <fgColor theme="0" tint="-0.14999847407452621"/>
        <bgColor indexed="64"/>
      </patternFill>
    </fill>
    <fill>
      <patternFill patternType="solid">
        <fgColor rgb="FFFFFF00"/>
        <bgColor indexed="64"/>
      </patternFill>
    </fill>
    <fill>
      <patternFill patternType="solid">
        <fgColor theme="5" tint="0.59999389629810485"/>
        <bgColor indexed="64"/>
      </patternFill>
    </fill>
    <fill>
      <patternFill patternType="solid">
        <fgColor rgb="FFFFC000"/>
        <bgColor indexed="64"/>
      </patternFill>
    </fill>
    <fill>
      <patternFill patternType="solid">
        <fgColor theme="3" tint="0.59999389629810485"/>
        <bgColor indexed="64"/>
      </patternFill>
    </fill>
    <fill>
      <patternFill patternType="solid">
        <fgColor theme="9" tint="0.59999389629810485"/>
        <bgColor indexed="64"/>
      </patternFill>
    </fill>
    <fill>
      <patternFill patternType="solid">
        <fgColor rgb="FFFFFFCC"/>
        <bgColor indexed="64"/>
      </patternFill>
    </fill>
    <fill>
      <patternFill patternType="solid">
        <fgColor rgb="FF7030A0"/>
        <bgColor indexed="64"/>
      </patternFill>
    </fill>
    <fill>
      <patternFill patternType="solid">
        <fgColor theme="0"/>
        <bgColor indexed="64"/>
      </patternFill>
    </fill>
    <fill>
      <patternFill patternType="solid">
        <fgColor theme="4" tint="0.59999389629810485"/>
        <bgColor indexed="64"/>
      </patternFill>
    </fill>
    <fill>
      <patternFill patternType="solid">
        <fgColor theme="4"/>
        <bgColor theme="4"/>
      </patternFill>
    </fill>
    <fill>
      <patternFill patternType="solid">
        <fgColor theme="4" tint="0.79998168889431442"/>
        <bgColor theme="4" tint="0.79998168889431442"/>
      </patternFill>
    </fill>
    <fill>
      <patternFill patternType="solid">
        <fgColor rgb="FF99CCFF"/>
        <bgColor indexed="64"/>
      </patternFill>
    </fill>
    <fill>
      <patternFill patternType="solid">
        <fgColor theme="7" tint="0.59999389629810485"/>
        <bgColor indexed="64"/>
      </patternFill>
    </fill>
    <fill>
      <patternFill patternType="solid">
        <fgColor rgb="FFFFCC99"/>
        <bgColor indexed="64"/>
      </patternFill>
    </fill>
    <fill>
      <patternFill patternType="solid">
        <fgColor rgb="FFCCFFFF"/>
        <bgColor indexed="64"/>
      </patternFill>
    </fill>
    <fill>
      <patternFill patternType="solid">
        <fgColor rgb="FFFFCCFF"/>
        <bgColor indexed="64"/>
      </patternFill>
    </fill>
    <fill>
      <patternFill patternType="solid">
        <fgColor rgb="FFFFFF99"/>
        <bgColor rgb="FFFFFF99"/>
      </patternFill>
    </fill>
    <fill>
      <patternFill patternType="solid">
        <fgColor rgb="FF99CCFF"/>
        <bgColor rgb="FF99CCFF"/>
      </patternFill>
    </fill>
    <fill>
      <patternFill patternType="solid">
        <fgColor rgb="FF800080"/>
        <bgColor rgb="FF800080"/>
      </patternFill>
    </fill>
    <fill>
      <patternFill patternType="solid">
        <fgColor rgb="FFC0C0C0"/>
        <bgColor rgb="FFC0C0C0"/>
      </patternFill>
    </fill>
    <fill>
      <patternFill patternType="solid">
        <fgColor rgb="FF99FF99"/>
        <bgColor indexed="64"/>
      </patternFill>
    </fill>
    <fill>
      <patternFill patternType="solid">
        <fgColor rgb="FFE5F5FF"/>
        <bgColor indexed="64"/>
      </patternFill>
    </fill>
    <fill>
      <patternFill patternType="solid">
        <fgColor rgb="FFCCECFF"/>
        <bgColor indexed="64"/>
      </patternFill>
    </fill>
    <fill>
      <patternFill patternType="solid">
        <fgColor rgb="FF8DB4E2"/>
        <bgColor indexed="64"/>
      </patternFill>
    </fill>
  </fills>
  <borders count="72">
    <border>
      <left/>
      <right/>
      <top/>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22"/>
      </bottom>
      <diagonal/>
    </border>
    <border>
      <left/>
      <right/>
      <top/>
      <bottom style="double">
        <color indexed="52"/>
      </bottom>
      <diagonal/>
    </border>
    <border>
      <left style="thin">
        <color indexed="55"/>
      </left>
      <right style="thin">
        <color indexed="55"/>
      </right>
      <top style="thin">
        <color indexed="55"/>
      </top>
      <bottom style="thin">
        <color indexed="55"/>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diagonal/>
    </border>
    <border>
      <left/>
      <right style="thin">
        <color indexed="64"/>
      </right>
      <top style="thin">
        <color indexed="64"/>
      </top>
      <bottom style="thin">
        <color indexed="64"/>
      </bottom>
      <diagonal/>
    </border>
    <border>
      <left style="thin">
        <color indexed="18"/>
      </left>
      <right/>
      <top/>
      <bottom/>
      <diagonal/>
    </border>
    <border>
      <left/>
      <right style="thin">
        <color indexed="18"/>
      </right>
      <top/>
      <bottom/>
      <diagonal/>
    </border>
    <border>
      <left style="thin">
        <color indexed="18"/>
      </left>
      <right/>
      <top/>
      <bottom style="thin">
        <color indexed="18"/>
      </bottom>
      <diagonal/>
    </border>
    <border>
      <left/>
      <right/>
      <top/>
      <bottom style="thin">
        <color indexed="18"/>
      </bottom>
      <diagonal/>
    </border>
    <border>
      <left/>
      <right style="thin">
        <color indexed="18"/>
      </right>
      <top/>
      <bottom style="thin">
        <color indexed="18"/>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18"/>
      </left>
      <right/>
      <top style="thin">
        <color indexed="18"/>
      </top>
      <bottom style="thin">
        <color indexed="18"/>
      </bottom>
      <diagonal/>
    </border>
    <border>
      <left/>
      <right/>
      <top style="thin">
        <color indexed="18"/>
      </top>
      <bottom style="thin">
        <color indexed="18"/>
      </bottom>
      <diagonal/>
    </border>
    <border>
      <left/>
      <right style="thin">
        <color indexed="18"/>
      </right>
      <top style="thin">
        <color indexed="18"/>
      </top>
      <bottom style="thin">
        <color indexed="18"/>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bottom/>
      <diagonal/>
    </border>
    <border>
      <left style="thin">
        <color indexed="64"/>
      </left>
      <right/>
      <top style="thin">
        <color indexed="65"/>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theme="4" tint="0.39997558519241921"/>
      </left>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right/>
      <top/>
      <bottom style="thin">
        <color rgb="FF000000"/>
      </bottom>
      <diagonal/>
    </border>
    <border>
      <left/>
      <right/>
      <top style="thin">
        <color rgb="FF000000"/>
      </top>
      <bottom style="thin">
        <color rgb="FF000000"/>
      </bottom>
      <diagonal/>
    </border>
    <border>
      <left style="thin">
        <color rgb="FF000000"/>
      </left>
      <right style="thin">
        <color rgb="FF000000"/>
      </right>
      <top/>
      <bottom/>
      <diagonal/>
    </border>
    <border>
      <left/>
      <right/>
      <top/>
      <bottom style="medium">
        <color rgb="FF7030A0"/>
      </bottom>
      <diagonal/>
    </border>
    <border>
      <left/>
      <right style="thin">
        <color rgb="FF002060"/>
      </right>
      <top/>
      <bottom/>
      <diagonal/>
    </border>
    <border>
      <left style="thin">
        <color indexed="65"/>
      </left>
      <right style="thin">
        <color indexed="64"/>
      </right>
      <top style="thin">
        <color indexed="64"/>
      </top>
      <bottom/>
      <diagonal/>
    </border>
    <border>
      <left style="thin">
        <color indexed="65"/>
      </left>
      <right style="thin">
        <color indexed="64"/>
      </right>
      <top style="thin">
        <color indexed="65"/>
      </top>
      <bottom/>
      <diagonal/>
    </border>
    <border>
      <left style="thin">
        <color indexed="64"/>
      </left>
      <right style="thin">
        <color indexed="64"/>
      </right>
      <top style="thin">
        <color indexed="65"/>
      </top>
      <bottom/>
      <diagonal/>
    </border>
    <border>
      <left style="thin">
        <color indexed="64"/>
      </left>
      <right style="thin">
        <color indexed="64"/>
      </right>
      <top style="thin">
        <color indexed="65"/>
      </top>
      <bottom style="thin">
        <color indexed="64"/>
      </bottom>
      <diagonal/>
    </border>
    <border>
      <left style="thin">
        <color rgb="FFABABAB"/>
      </left>
      <right style="thin">
        <color indexed="64"/>
      </right>
      <top style="thin">
        <color indexed="65"/>
      </top>
      <bottom/>
      <diagonal/>
    </border>
    <border>
      <left style="thin">
        <color rgb="FFABABAB"/>
      </left>
      <right style="thin">
        <color indexed="64"/>
      </right>
      <top style="thin">
        <color rgb="FFABABAB"/>
      </top>
      <bottom/>
      <diagonal/>
    </border>
    <border>
      <left style="thin">
        <color rgb="FFABABAB"/>
      </left>
      <right style="thin">
        <color indexed="64"/>
      </right>
      <top/>
      <bottom/>
      <diagonal/>
    </border>
    <border>
      <left style="thin">
        <color rgb="FFABABAB"/>
      </left>
      <right style="thin">
        <color indexed="64"/>
      </right>
      <top/>
      <bottom style="thin">
        <color indexed="64"/>
      </bottom>
      <diagonal/>
    </border>
    <border>
      <left/>
      <right style="medium">
        <color indexed="64"/>
      </right>
      <top/>
      <bottom style="thin">
        <color indexed="64"/>
      </bottom>
      <diagonal/>
    </border>
    <border>
      <left style="thin">
        <color rgb="FF999999"/>
      </left>
      <right style="thin">
        <color indexed="64"/>
      </right>
      <top style="thin">
        <color indexed="65"/>
      </top>
      <bottom/>
      <diagonal/>
    </border>
    <border>
      <left style="thin">
        <color rgb="FF999999"/>
      </left>
      <right style="thin">
        <color indexed="64"/>
      </right>
      <top style="thin">
        <color rgb="FF999999"/>
      </top>
      <bottom/>
      <diagonal/>
    </border>
    <border>
      <left style="thin">
        <color rgb="FF999999"/>
      </left>
      <right style="thin">
        <color indexed="64"/>
      </right>
      <top/>
      <bottom/>
      <diagonal/>
    </border>
    <border>
      <left style="thin">
        <color rgb="FF999999"/>
      </left>
      <right style="thin">
        <color indexed="64"/>
      </right>
      <top/>
      <bottom style="thin">
        <color indexed="64"/>
      </bottom>
      <diagonal/>
    </border>
    <border>
      <left style="thin">
        <color indexed="64"/>
      </left>
      <right style="thin">
        <color indexed="64"/>
      </right>
      <top style="thin">
        <color rgb="FF999999"/>
      </top>
      <bottom/>
      <diagonal/>
    </border>
    <border>
      <left style="thin">
        <color indexed="64"/>
      </left>
      <right style="thin">
        <color indexed="64"/>
      </right>
      <top style="thin">
        <color rgb="FF999999"/>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s>
  <cellStyleXfs count="120">
    <xf numFmtId="0" fontId="0" fillId="0" borderId="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2" borderId="0" applyNumberFormat="0" applyBorder="0" applyAlignment="0" applyProtection="0"/>
    <xf numFmtId="0" fontId="14" fillId="5" borderId="0" applyNumberFormat="0" applyBorder="0" applyAlignment="0" applyProtection="0"/>
    <xf numFmtId="0" fontId="14" fillId="3" borderId="0" applyNumberFormat="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3" borderId="0" applyNumberFormat="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2" borderId="0" applyNumberFormat="0" applyBorder="0" applyAlignment="0" applyProtection="0"/>
    <xf numFmtId="0" fontId="15" fillId="6" borderId="0" applyNumberFormat="0" applyBorder="0" applyAlignment="0" applyProtection="0"/>
    <xf numFmtId="0" fontId="15" fillId="3"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6" borderId="0" applyNumberFormat="0" applyBorder="0" applyAlignment="0" applyProtection="0"/>
    <xf numFmtId="0" fontId="15" fillId="10" borderId="0" applyNumberFormat="0" applyBorder="0" applyAlignment="0" applyProtection="0"/>
    <xf numFmtId="0" fontId="16" fillId="11" borderId="0" applyNumberFormat="0" applyBorder="0" applyAlignment="0" applyProtection="0"/>
    <xf numFmtId="0" fontId="17" fillId="12" borderId="1" applyNumberFormat="0" applyAlignment="0" applyProtection="0"/>
    <xf numFmtId="170" fontId="3" fillId="13" borderId="2">
      <alignment horizontal="right" vertical="top"/>
    </xf>
    <xf numFmtId="0" fontId="3" fillId="13" borderId="2">
      <alignment horizontal="left" indent="5"/>
    </xf>
    <xf numFmtId="3" fontId="3" fillId="13" borderId="2">
      <alignment horizontal="right"/>
    </xf>
    <xf numFmtId="170" fontId="3" fillId="13" borderId="3" applyNumberFormat="0">
      <alignment horizontal="right" vertical="top"/>
    </xf>
    <xf numFmtId="0" fontId="3" fillId="13" borderId="3">
      <alignment horizontal="left" indent="3"/>
    </xf>
    <xf numFmtId="3" fontId="3" fillId="13" borderId="3">
      <alignment horizontal="right"/>
    </xf>
    <xf numFmtId="170" fontId="2" fillId="13" borderId="3" applyNumberFormat="0">
      <alignment horizontal="right" vertical="top"/>
    </xf>
    <xf numFmtId="0" fontId="2" fillId="13" borderId="3">
      <alignment horizontal="left" indent="1"/>
    </xf>
    <xf numFmtId="3" fontId="2" fillId="13" borderId="3">
      <alignment horizontal="right"/>
    </xf>
    <xf numFmtId="0" fontId="3" fillId="13" borderId="4" applyFont="0" applyFill="0" applyAlignment="0"/>
    <xf numFmtId="0" fontId="2" fillId="13" borderId="3">
      <alignment horizontal="right" vertical="top"/>
    </xf>
    <xf numFmtId="0" fontId="2" fillId="13" borderId="3">
      <alignment horizontal="left" indent="2"/>
    </xf>
    <xf numFmtId="3" fontId="2" fillId="13" borderId="3">
      <alignment horizontal="right"/>
    </xf>
    <xf numFmtId="170" fontId="3" fillId="13" borderId="3" applyNumberFormat="0">
      <alignment horizontal="right" vertical="top"/>
    </xf>
    <xf numFmtId="0" fontId="3" fillId="13" borderId="3">
      <alignment horizontal="left" indent="3"/>
    </xf>
    <xf numFmtId="3" fontId="3" fillId="13" borderId="3">
      <alignment horizontal="right"/>
    </xf>
    <xf numFmtId="0" fontId="18" fillId="14" borderId="5" applyNumberFormat="0" applyAlignment="0" applyProtection="0"/>
    <xf numFmtId="0" fontId="20" fillId="0" borderId="0" applyNumberFormat="0" applyFill="0" applyBorder="0" applyAlignment="0" applyProtection="0"/>
    <xf numFmtId="0" fontId="21" fillId="15" borderId="0" applyNumberFormat="0" applyBorder="0" applyAlignment="0" applyProtection="0"/>
    <xf numFmtId="0" fontId="22" fillId="0" borderId="6" applyNumberFormat="0" applyFill="0" applyAlignment="0" applyProtection="0"/>
    <xf numFmtId="0" fontId="23" fillId="0" borderId="7" applyNumberFormat="0" applyFill="0" applyAlignment="0" applyProtection="0"/>
    <xf numFmtId="0" fontId="24" fillId="0" borderId="8" applyNumberFormat="0" applyFill="0" applyAlignment="0" applyProtection="0"/>
    <xf numFmtId="0" fontId="24" fillId="0" borderId="0" applyNumberFormat="0" applyFill="0" applyBorder="0" applyAlignment="0" applyProtection="0"/>
    <xf numFmtId="0" fontId="12" fillId="0" borderId="0" applyNumberFormat="0" applyFill="0" applyBorder="0" applyAlignment="0" applyProtection="0">
      <alignment vertical="top"/>
      <protection locked="0"/>
    </xf>
    <xf numFmtId="0" fontId="45"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41" fillId="0" borderId="0" applyNumberFormat="0" applyFill="0" applyBorder="0" applyAlignment="0" applyProtection="0">
      <alignment vertical="top"/>
      <protection locked="0"/>
    </xf>
    <xf numFmtId="0" fontId="25" fillId="3" borderId="1" applyNumberFormat="0" applyAlignment="0" applyProtection="0"/>
    <xf numFmtId="0" fontId="26" fillId="0" borderId="9" applyNumberFormat="0" applyFill="0" applyAlignment="0" applyProtection="0"/>
    <xf numFmtId="0" fontId="27" fillId="3" borderId="0" applyNumberFormat="0" applyBorder="0" applyAlignment="0" applyProtection="0"/>
    <xf numFmtId="0" fontId="3" fillId="13" borderId="0"/>
    <xf numFmtId="0" fontId="1" fillId="0" borderId="0"/>
    <xf numFmtId="0" fontId="1" fillId="0" borderId="0"/>
    <xf numFmtId="0" fontId="4" fillId="0" borderId="0"/>
    <xf numFmtId="0" fontId="1" fillId="0" borderId="0"/>
    <xf numFmtId="0" fontId="4" fillId="0" borderId="0"/>
    <xf numFmtId="0" fontId="13" fillId="0" borderId="0"/>
    <xf numFmtId="0" fontId="4" fillId="0" borderId="0"/>
    <xf numFmtId="0" fontId="19" fillId="0" borderId="0"/>
    <xf numFmtId="0" fontId="3" fillId="4" borderId="10" applyNumberFormat="0" applyFont="0" applyAlignment="0" applyProtection="0"/>
    <xf numFmtId="0" fontId="28" fillId="12" borderId="11" applyNumberFormat="0" applyAlignment="0" applyProtection="0"/>
    <xf numFmtId="9" fontId="1" fillId="0" borderId="0" applyFont="0" applyFill="0" applyBorder="0" applyAlignment="0" applyProtection="0"/>
    <xf numFmtId="9" fontId="1" fillId="0" borderId="0" applyFont="0" applyFill="0" applyBorder="0" applyAlignment="0" applyProtection="0"/>
    <xf numFmtId="0" fontId="3" fillId="0" borderId="0"/>
    <xf numFmtId="0" fontId="29" fillId="0" borderId="0" applyNumberFormat="0" applyFill="0" applyBorder="0" applyAlignment="0" applyProtection="0"/>
    <xf numFmtId="0" fontId="30" fillId="0" borderId="12" applyNumberFormat="0" applyFill="0" applyAlignment="0" applyProtection="0"/>
    <xf numFmtId="0" fontId="31" fillId="0" borderId="0" applyNumberFormat="0" applyFill="0" applyBorder="0" applyAlignment="0" applyProtection="0"/>
    <xf numFmtId="0" fontId="68" fillId="0" borderId="0"/>
    <xf numFmtId="0" fontId="70" fillId="0" borderId="0" applyNumberFormat="0" applyFill="0" applyBorder="0" applyAlignment="0" applyProtection="0"/>
    <xf numFmtId="172" fontId="68" fillId="0" borderId="0" applyFont="0" applyFill="0" applyBorder="0" applyAlignment="0" applyProtection="0"/>
    <xf numFmtId="173" fontId="73" fillId="0" borderId="0" applyFill="0" applyBorder="0" applyProtection="0"/>
    <xf numFmtId="0" fontId="71" fillId="36" borderId="0" applyNumberFormat="0" applyBorder="0">
      <protection locked="0"/>
    </xf>
    <xf numFmtId="0" fontId="68" fillId="0" borderId="43" applyNumberFormat="0" applyFont="0" applyFill="0" applyAlignment="0" applyProtection="0"/>
    <xf numFmtId="0" fontId="68" fillId="0" borderId="43" applyNumberFormat="0" applyFont="0" applyFill="0" applyAlignment="0" applyProtection="0"/>
    <xf numFmtId="0" fontId="68" fillId="0" borderId="43" applyNumberFormat="0" applyFont="0" applyFill="0" applyAlignment="0" applyProtection="0"/>
    <xf numFmtId="0" fontId="68" fillId="0" borderId="43" applyNumberFormat="0" applyFont="0" applyFill="0" applyAlignment="0" applyProtection="0"/>
    <xf numFmtId="0" fontId="68" fillId="0" borderId="43" applyNumberFormat="0" applyFont="0" applyFill="0" applyAlignment="0" applyProtection="0"/>
    <xf numFmtId="0" fontId="68" fillId="0" borderId="43" applyNumberFormat="0" applyFont="0" applyFill="0" applyAlignment="0" applyProtection="0"/>
    <xf numFmtId="0" fontId="68" fillId="0" borderId="43" applyNumberFormat="0" applyFont="0" applyFill="0" applyAlignment="0" applyProtection="0"/>
    <xf numFmtId="0" fontId="68" fillId="0" borderId="43" applyNumberFormat="0" applyFont="0" applyFill="0" applyAlignment="0" applyProtection="0"/>
    <xf numFmtId="0" fontId="71" fillId="37" borderId="45" applyNumberFormat="0">
      <alignment horizontal="center" vertical="center"/>
      <protection locked="0"/>
    </xf>
    <xf numFmtId="174" fontId="68" fillId="0" borderId="0" applyFont="0" applyFill="0" applyBorder="0" applyAlignment="0" applyProtection="0"/>
    <xf numFmtId="175" fontId="68" fillId="0" borderId="0" applyFont="0" applyFill="0" applyBorder="0" applyAlignment="0" applyProtection="0"/>
    <xf numFmtId="0" fontId="72" fillId="0" borderId="0" applyNumberFormat="0" applyBorder="0" applyProtection="0"/>
    <xf numFmtId="0" fontId="71" fillId="38" borderId="0" applyNumberFormat="0" applyBorder="0">
      <protection locked="0"/>
    </xf>
    <xf numFmtId="0" fontId="72" fillId="37" borderId="0" applyNumberFormat="0" applyBorder="0">
      <alignment vertical="center"/>
      <protection locked="0"/>
    </xf>
    <xf numFmtId="0" fontId="72" fillId="0" borderId="0" applyNumberFormat="0" applyBorder="0">
      <protection locked="0"/>
    </xf>
    <xf numFmtId="176" fontId="69" fillId="39" borderId="0" applyBorder="0" applyProtection="0"/>
    <xf numFmtId="177" fontId="69" fillId="39" borderId="0" applyBorder="0" applyProtection="0"/>
    <xf numFmtId="178" fontId="69" fillId="39" borderId="0" applyBorder="0" applyProtection="0"/>
    <xf numFmtId="0" fontId="74" fillId="0" borderId="0" applyNumberFormat="0" applyBorder="0">
      <protection locked="0"/>
    </xf>
    <xf numFmtId="0" fontId="72" fillId="0" borderId="0" applyNumberFormat="0" applyBorder="0" applyProtection="0"/>
    <xf numFmtId="179" fontId="68" fillId="0" borderId="0" applyFont="0" applyFill="0" applyBorder="0" applyAlignment="0" applyProtection="0"/>
    <xf numFmtId="0" fontId="75" fillId="0" borderId="0" applyNumberFormat="0" applyBorder="0" applyProtection="0"/>
    <xf numFmtId="0" fontId="76" fillId="0" borderId="0" applyNumberFormat="0" applyBorder="0" applyProtection="0"/>
    <xf numFmtId="180" fontId="68" fillId="0" borderId="0" applyFont="0" applyFill="0" applyBorder="0" applyAlignment="0" applyProtection="0"/>
    <xf numFmtId="181" fontId="68" fillId="0" borderId="0" applyFont="0" applyFill="0" applyBorder="0" applyAlignment="0" applyProtection="0"/>
    <xf numFmtId="181" fontId="68" fillId="0" borderId="0" applyFont="0" applyFill="0" applyBorder="0" applyAlignment="0" applyProtection="0"/>
    <xf numFmtId="180" fontId="68" fillId="0" borderId="0" applyFont="0" applyFill="0" applyBorder="0" applyAlignment="0" applyProtection="0"/>
    <xf numFmtId="182" fontId="68" fillId="0" borderId="0" applyFont="0" applyBorder="0" applyAlignment="0" applyProtection="0"/>
    <xf numFmtId="183" fontId="68" fillId="0" borderId="0" applyFont="0" applyFill="0" applyBorder="0" applyAlignment="0" applyProtection="0"/>
    <xf numFmtId="0" fontId="71" fillId="0" borderId="0" applyNumberFormat="0" applyBorder="0" applyProtection="0">
      <alignment textRotation="90"/>
    </xf>
    <xf numFmtId="0" fontId="71" fillId="37" borderId="44" applyNumberFormat="0">
      <alignment vertical="center"/>
      <protection locked="0"/>
    </xf>
    <xf numFmtId="0" fontId="71" fillId="0" borderId="0" applyNumberFormat="0" applyBorder="0" applyProtection="0"/>
    <xf numFmtId="0" fontId="69" fillId="0" borderId="0" applyNumberFormat="0" applyBorder="0" applyProtection="0"/>
    <xf numFmtId="0" fontId="71" fillId="36" borderId="0" applyNumberFormat="0" applyBorder="0">
      <protection locked="0"/>
    </xf>
    <xf numFmtId="173" fontId="68" fillId="0" borderId="0" applyFont="0" applyFill="0" applyBorder="0" applyProtection="0"/>
    <xf numFmtId="184" fontId="67" fillId="0" borderId="0" applyBorder="0" applyProtection="0"/>
    <xf numFmtId="184" fontId="77" fillId="0" borderId="0" applyFill="0" applyBorder="0" applyAlignment="0" applyProtection="0"/>
    <xf numFmtId="0" fontId="72" fillId="0" borderId="0" applyNumberFormat="0" applyBorder="0" applyProtection="0"/>
    <xf numFmtId="185" fontId="68" fillId="0" borderId="0" applyFont="0" applyFill="0" applyBorder="0" applyAlignment="0" applyProtection="0"/>
    <xf numFmtId="186" fontId="68" fillId="0" borderId="0" applyFont="0" applyFill="0" applyBorder="0" applyAlignment="0" applyProtection="0"/>
    <xf numFmtId="43" fontId="1" fillId="0" borderId="0" applyFont="0" applyFill="0" applyBorder="0" applyAlignment="0" applyProtection="0"/>
  </cellStyleXfs>
  <cellXfs count="663">
    <xf numFmtId="0" fontId="0" fillId="0" borderId="0" xfId="0"/>
    <xf numFmtId="3" fontId="3" fillId="0" borderId="3" xfId="0" applyNumberFormat="1" applyFont="1" applyBorder="1" applyAlignment="1" applyProtection="1">
      <alignment horizontal="right" vertical="center"/>
      <protection locked="0"/>
    </xf>
    <xf numFmtId="0" fontId="6" fillId="0" borderId="0" xfId="0" applyFont="1" applyAlignment="1">
      <alignment vertical="top"/>
    </xf>
    <xf numFmtId="0" fontId="6" fillId="0" borderId="0" xfId="0" applyFont="1"/>
    <xf numFmtId="0" fontId="9" fillId="0" borderId="0" xfId="0" applyFont="1"/>
    <xf numFmtId="0" fontId="7" fillId="0" borderId="0" xfId="0" applyFont="1"/>
    <xf numFmtId="0" fontId="6" fillId="0" borderId="0" xfId="0" applyFont="1" applyAlignment="1">
      <alignment horizontal="center"/>
    </xf>
    <xf numFmtId="0" fontId="3" fillId="0" borderId="3" xfId="65" applyFont="1" applyBorder="1" applyAlignment="1" applyProtection="1">
      <alignment horizontal="right" vertical="center"/>
      <protection locked="0"/>
    </xf>
    <xf numFmtId="0" fontId="1" fillId="0" borderId="0" xfId="0" applyFont="1"/>
    <xf numFmtId="0" fontId="33" fillId="0" borderId="0" xfId="0" applyFont="1"/>
    <xf numFmtId="0" fontId="6" fillId="0" borderId="13" xfId="0" applyFont="1" applyBorder="1" applyAlignment="1">
      <alignment horizontal="center"/>
    </xf>
    <xf numFmtId="0" fontId="6" fillId="0" borderId="17" xfId="0" applyFont="1" applyBorder="1"/>
    <xf numFmtId="0" fontId="6" fillId="0" borderId="14" xfId="0" applyFont="1" applyBorder="1"/>
    <xf numFmtId="0" fontId="6" fillId="0" borderId="15" xfId="0" applyFont="1" applyBorder="1"/>
    <xf numFmtId="0" fontId="6" fillId="0" borderId="20" xfId="0" applyFont="1" applyBorder="1"/>
    <xf numFmtId="0" fontId="0" fillId="0" borderId="0" xfId="0" applyProtection="1">
      <protection locked="0"/>
    </xf>
    <xf numFmtId="0" fontId="3" fillId="0" borderId="0" xfId="0" applyFont="1" applyProtection="1">
      <protection locked="0"/>
    </xf>
    <xf numFmtId="0" fontId="7" fillId="18" borderId="21" xfId="0" applyFont="1" applyFill="1" applyBorder="1" applyAlignment="1">
      <alignment horizontal="left"/>
    </xf>
    <xf numFmtId="0" fontId="7" fillId="0" borderId="0" xfId="0" applyFont="1" applyAlignment="1">
      <alignment horizontal="left"/>
    </xf>
    <xf numFmtId="0" fontId="50" fillId="0" borderId="0" xfId="0" applyFont="1" applyAlignment="1">
      <alignment horizontal="center"/>
    </xf>
    <xf numFmtId="0" fontId="50" fillId="0" borderId="15" xfId="0" applyFont="1" applyBorder="1" applyAlignment="1">
      <alignment horizontal="center"/>
    </xf>
    <xf numFmtId="0" fontId="3" fillId="16" borderId="13" xfId="65" applyFont="1" applyFill="1" applyBorder="1" applyAlignment="1" applyProtection="1">
      <alignment horizontal="right" vertical="center"/>
      <protection hidden="1"/>
    </xf>
    <xf numFmtId="0" fontId="3" fillId="16" borderId="0" xfId="65" applyFont="1" applyFill="1" applyAlignment="1" applyProtection="1">
      <alignment horizontal="right" vertical="center"/>
      <protection hidden="1"/>
    </xf>
    <xf numFmtId="0" fontId="33" fillId="16" borderId="17" xfId="65" applyFont="1" applyFill="1" applyBorder="1" applyAlignment="1" applyProtection="1">
      <alignment horizontal="right" vertical="center"/>
      <protection hidden="1"/>
    </xf>
    <xf numFmtId="0" fontId="3" fillId="16" borderId="14" xfId="65" applyFont="1" applyFill="1" applyBorder="1" applyAlignment="1" applyProtection="1">
      <alignment horizontal="right" vertical="center"/>
      <protection hidden="1"/>
    </xf>
    <xf numFmtId="0" fontId="3" fillId="16" borderId="15" xfId="65" applyFont="1" applyFill="1" applyBorder="1" applyAlignment="1" applyProtection="1">
      <alignment horizontal="right" vertical="center"/>
      <protection hidden="1"/>
    </xf>
    <xf numFmtId="0" fontId="33" fillId="16" borderId="18" xfId="65" applyFont="1" applyFill="1" applyBorder="1" applyAlignment="1" applyProtection="1">
      <alignment horizontal="right" vertical="center"/>
      <protection hidden="1"/>
    </xf>
    <xf numFmtId="0" fontId="2" fillId="0" borderId="0" xfId="58" applyFont="1"/>
    <xf numFmtId="0" fontId="3" fillId="0" borderId="0" xfId="58" applyFont="1"/>
    <xf numFmtId="0" fontId="2" fillId="0" borderId="0" xfId="58" applyFont="1" applyAlignment="1">
      <alignment vertical="top"/>
    </xf>
    <xf numFmtId="0" fontId="51" fillId="0" borderId="0" xfId="58" applyFont="1" applyAlignment="1">
      <alignment vertical="top" wrapText="1"/>
    </xf>
    <xf numFmtId="0" fontId="3" fillId="0" borderId="0" xfId="58" applyFont="1" applyAlignment="1">
      <alignment vertical="top" wrapText="1"/>
    </xf>
    <xf numFmtId="0" fontId="3" fillId="0" borderId="0" xfId="58" applyFont="1" applyAlignment="1">
      <alignment vertical="top"/>
    </xf>
    <xf numFmtId="0" fontId="52" fillId="0" borderId="0" xfId="58" applyFont="1" applyAlignment="1">
      <alignment vertical="top" wrapText="1"/>
    </xf>
    <xf numFmtId="0" fontId="3" fillId="0" borderId="0" xfId="0" applyFont="1" applyAlignment="1">
      <alignment vertical="top"/>
    </xf>
    <xf numFmtId="0" fontId="51" fillId="20" borderId="0" xfId="58" applyFont="1" applyFill="1" applyAlignment="1">
      <alignment vertical="top" wrapText="1"/>
    </xf>
    <xf numFmtId="0" fontId="3" fillId="20" borderId="0" xfId="58" applyFont="1" applyFill="1" applyAlignment="1">
      <alignment vertical="top" wrapText="1"/>
    </xf>
    <xf numFmtId="0" fontId="3" fillId="0" borderId="0" xfId="58" quotePrefix="1" applyFont="1" applyAlignment="1">
      <alignment vertical="top" wrapText="1"/>
    </xf>
    <xf numFmtId="0" fontId="2" fillId="0" borderId="0" xfId="0" applyFont="1" applyAlignment="1" applyProtection="1">
      <alignment horizontal="left" vertical="top"/>
      <protection hidden="1"/>
    </xf>
    <xf numFmtId="0" fontId="3" fillId="0" borderId="0" xfId="0" applyFont="1" applyAlignment="1">
      <alignment vertical="top" wrapText="1"/>
    </xf>
    <xf numFmtId="0" fontId="3" fillId="0" borderId="0" xfId="0" applyFont="1" applyAlignment="1" applyProtection="1">
      <alignment horizontal="left" vertical="top" wrapText="1"/>
      <protection hidden="1"/>
    </xf>
    <xf numFmtId="0" fontId="2" fillId="0" borderId="0" xfId="0" applyFont="1" applyAlignment="1">
      <alignment vertical="top"/>
    </xf>
    <xf numFmtId="0" fontId="2" fillId="0" borderId="0" xfId="0" applyFont="1" applyAlignment="1" applyProtection="1">
      <alignment horizontal="left" vertical="top" wrapText="1"/>
      <protection hidden="1"/>
    </xf>
    <xf numFmtId="0" fontId="2" fillId="22" borderId="0" xfId="0" applyFont="1" applyFill="1" applyAlignment="1" applyProtection="1">
      <alignment horizontal="center" vertical="top" wrapText="1"/>
      <protection hidden="1"/>
    </xf>
    <xf numFmtId="0" fontId="3" fillId="22" borderId="0" xfId="0" applyFont="1" applyFill="1" applyAlignment="1" applyProtection="1">
      <alignment horizontal="left" vertical="top" wrapText="1"/>
      <protection hidden="1"/>
    </xf>
    <xf numFmtId="0" fontId="2" fillId="0" borderId="0" xfId="0" applyFont="1" applyAlignment="1" applyProtection="1">
      <alignment horizontal="center" vertical="top" wrapText="1"/>
      <protection hidden="1"/>
    </xf>
    <xf numFmtId="0" fontId="3" fillId="0" borderId="0" xfId="0" applyFont="1" applyAlignment="1">
      <alignment horizontal="left" vertical="top"/>
    </xf>
    <xf numFmtId="0" fontId="2" fillId="22" borderId="0" xfId="0" applyFont="1" applyFill="1" applyAlignment="1">
      <alignment vertical="top"/>
    </xf>
    <xf numFmtId="0" fontId="3" fillId="22" borderId="0" xfId="0" applyFont="1" applyFill="1" applyAlignment="1">
      <alignment vertical="top" wrapText="1"/>
    </xf>
    <xf numFmtId="0" fontId="53" fillId="0" borderId="0" xfId="0" applyFont="1" applyAlignment="1">
      <alignment horizontal="center"/>
    </xf>
    <xf numFmtId="0" fontId="36" fillId="23" borderId="20" xfId="58" applyFont="1" applyFill="1" applyBorder="1" applyAlignment="1" applyProtection="1">
      <alignment horizontal="center" vertical="center" wrapText="1"/>
      <protection hidden="1"/>
    </xf>
    <xf numFmtId="0" fontId="3" fillId="16" borderId="0" xfId="58" applyFont="1" applyFill="1"/>
    <xf numFmtId="0" fontId="3" fillId="16" borderId="0" xfId="58" applyFont="1" applyFill="1" applyProtection="1">
      <protection locked="0" hidden="1"/>
    </xf>
    <xf numFmtId="0" fontId="38" fillId="16" borderId="0" xfId="58" applyFont="1" applyFill="1"/>
    <xf numFmtId="0" fontId="38" fillId="16" borderId="0" xfId="58" applyFont="1" applyFill="1" applyProtection="1">
      <protection hidden="1"/>
    </xf>
    <xf numFmtId="0" fontId="39" fillId="16" borderId="0" xfId="58" applyFont="1" applyFill="1" applyProtection="1">
      <protection hidden="1"/>
    </xf>
    <xf numFmtId="0" fontId="38" fillId="16" borderId="0" xfId="58" applyFont="1" applyFill="1" applyAlignment="1">
      <alignment horizontal="right" vertical="center"/>
    </xf>
    <xf numFmtId="0" fontId="40" fillId="16" borderId="0" xfId="58" applyFont="1" applyFill="1" applyAlignment="1">
      <alignment horizontal="right" vertical="center"/>
    </xf>
    <xf numFmtId="0" fontId="3" fillId="16" borderId="0" xfId="58" applyFont="1" applyFill="1" applyProtection="1">
      <protection hidden="1"/>
    </xf>
    <xf numFmtId="0" fontId="3" fillId="16" borderId="0" xfId="58" applyFont="1" applyFill="1" applyAlignment="1" applyProtection="1">
      <alignment horizontal="left" wrapText="1"/>
      <protection hidden="1"/>
    </xf>
    <xf numFmtId="0" fontId="38" fillId="16" borderId="0" xfId="58" applyFont="1" applyFill="1" applyAlignment="1" applyProtection="1">
      <alignment horizontal="left" wrapText="1"/>
      <protection hidden="1"/>
    </xf>
    <xf numFmtId="0" fontId="38" fillId="16" borderId="0" xfId="58" applyFont="1" applyFill="1" applyAlignment="1">
      <alignment horizontal="left" wrapText="1"/>
    </xf>
    <xf numFmtId="0" fontId="3" fillId="16" borderId="0" xfId="58" applyFont="1" applyFill="1" applyAlignment="1">
      <alignment horizontal="left" wrapText="1"/>
    </xf>
    <xf numFmtId="0" fontId="3" fillId="16" borderId="0" xfId="65" applyFont="1" applyFill="1" applyAlignment="1">
      <alignment vertical="center"/>
    </xf>
    <xf numFmtId="0" fontId="3" fillId="0" borderId="0" xfId="0" applyFont="1" applyAlignment="1">
      <alignment horizontal="left" vertical="top" wrapText="1"/>
    </xf>
    <xf numFmtId="3" fontId="2" fillId="24" borderId="0" xfId="0" applyNumberFormat="1" applyFont="1" applyFill="1"/>
    <xf numFmtId="3" fontId="3" fillId="24" borderId="0" xfId="0" applyNumberFormat="1" applyFont="1" applyFill="1"/>
    <xf numFmtId="0" fontId="2" fillId="24" borderId="0" xfId="0" applyFont="1" applyFill="1"/>
    <xf numFmtId="0" fontId="32" fillId="24" borderId="27" xfId="0" applyFont="1" applyFill="1" applyBorder="1" applyAlignment="1">
      <alignment horizontal="center"/>
    </xf>
    <xf numFmtId="0" fontId="7" fillId="24" borderId="16" xfId="0" applyFont="1" applyFill="1" applyBorder="1"/>
    <xf numFmtId="0" fontId="7" fillId="24" borderId="20" xfId="0" applyFont="1" applyFill="1" applyBorder="1"/>
    <xf numFmtId="0" fontId="7" fillId="24" borderId="19" xfId="0" applyFont="1" applyFill="1" applyBorder="1"/>
    <xf numFmtId="0" fontId="6" fillId="24" borderId="13" xfId="0" applyFont="1" applyFill="1" applyBorder="1"/>
    <xf numFmtId="0" fontId="6" fillId="24" borderId="0" xfId="0" applyFont="1" applyFill="1"/>
    <xf numFmtId="0" fontId="6" fillId="24" borderId="17" xfId="0" applyFont="1" applyFill="1" applyBorder="1"/>
    <xf numFmtId="0" fontId="6" fillId="24" borderId="14" xfId="0" applyFont="1" applyFill="1" applyBorder="1"/>
    <xf numFmtId="0" fontId="6" fillId="24" borderId="15" xfId="0" applyFont="1" applyFill="1" applyBorder="1"/>
    <xf numFmtId="0" fontId="6" fillId="24" borderId="18" xfId="0" applyFont="1" applyFill="1" applyBorder="1"/>
    <xf numFmtId="0" fontId="3" fillId="16" borderId="0" xfId="58" applyFont="1" applyFill="1" applyAlignment="1">
      <alignment vertical="center"/>
    </xf>
    <xf numFmtId="0" fontId="55" fillId="16" borderId="0" xfId="58" applyFont="1" applyFill="1" applyAlignment="1">
      <alignment vertical="center"/>
    </xf>
    <xf numFmtId="0" fontId="55" fillId="16" borderId="0" xfId="58" applyFont="1" applyFill="1"/>
    <xf numFmtId="0" fontId="56" fillId="16" borderId="0" xfId="58" applyFont="1" applyFill="1" applyAlignment="1">
      <alignment horizontal="right" vertical="center"/>
    </xf>
    <xf numFmtId="0" fontId="0" fillId="0" borderId="0" xfId="58" applyFont="1" applyAlignment="1">
      <alignment vertical="top"/>
    </xf>
    <xf numFmtId="0" fontId="42" fillId="0" borderId="0" xfId="0" applyFont="1" applyAlignment="1" applyProtection="1">
      <alignment horizontal="left" vertical="top" wrapText="1"/>
      <protection hidden="1"/>
    </xf>
    <xf numFmtId="0" fontId="37" fillId="0" borderId="0" xfId="0" applyFont="1" applyAlignment="1" applyProtection="1">
      <alignment horizontal="left" vertical="top" wrapText="1"/>
      <protection hidden="1"/>
    </xf>
    <xf numFmtId="0" fontId="42" fillId="22" borderId="0" xfId="0" applyFont="1" applyFill="1" applyAlignment="1" applyProtection="1">
      <alignment horizontal="left" vertical="top" wrapText="1"/>
      <protection hidden="1"/>
    </xf>
    <xf numFmtId="0" fontId="42" fillId="0" borderId="0" xfId="0" applyFont="1" applyAlignment="1">
      <alignment vertical="top" wrapText="1"/>
    </xf>
    <xf numFmtId="0" fontId="43" fillId="0" borderId="0" xfId="58" applyFont="1" applyAlignment="1">
      <alignment vertical="top"/>
    </xf>
    <xf numFmtId="0" fontId="44" fillId="20" borderId="0" xfId="58" applyFont="1" applyFill="1" applyAlignment="1">
      <alignment vertical="top"/>
    </xf>
    <xf numFmtId="0" fontId="3" fillId="20" borderId="0" xfId="58" applyFont="1" applyFill="1"/>
    <xf numFmtId="0" fontId="3" fillId="21" borderId="0" xfId="58" applyFont="1" applyFill="1" applyAlignment="1">
      <alignment horizontal="left" vertical="top" wrapText="1"/>
    </xf>
    <xf numFmtId="49" fontId="3" fillId="21" borderId="0" xfId="0" applyNumberFormat="1" applyFont="1" applyFill="1" applyAlignment="1">
      <alignment horizontal="left" vertical="top" wrapText="1"/>
    </xf>
    <xf numFmtId="0" fontId="51" fillId="0" borderId="0" xfId="58" applyFont="1" applyAlignment="1">
      <alignment horizontal="left" vertical="top" wrapText="1"/>
    </xf>
    <xf numFmtId="0" fontId="3" fillId="0" borderId="0" xfId="58" applyFont="1" applyAlignment="1">
      <alignment horizontal="left" vertical="top" wrapText="1"/>
    </xf>
    <xf numFmtId="0" fontId="3" fillId="20" borderId="0" xfId="58" applyFont="1" applyFill="1" applyAlignment="1">
      <alignment horizontal="left" vertical="top" wrapText="1"/>
    </xf>
    <xf numFmtId="0" fontId="35" fillId="0" borderId="0" xfId="58" applyFont="1" applyAlignment="1">
      <alignment horizontal="left" vertical="top" wrapText="1"/>
    </xf>
    <xf numFmtId="49" fontId="3" fillId="0" borderId="0" xfId="58" applyNumberFormat="1" applyFont="1" applyAlignment="1">
      <alignment horizontal="left" vertical="top" wrapText="1"/>
    </xf>
    <xf numFmtId="0" fontId="3" fillId="16" borderId="0" xfId="58" applyFont="1" applyFill="1" applyProtection="1">
      <protection locked="0"/>
    </xf>
    <xf numFmtId="0" fontId="3" fillId="0" borderId="0" xfId="0" applyFont="1"/>
    <xf numFmtId="0" fontId="3" fillId="16" borderId="22" xfId="0" applyFont="1" applyFill="1" applyBorder="1"/>
    <xf numFmtId="0" fontId="3" fillId="16" borderId="0" xfId="0" applyFont="1" applyFill="1"/>
    <xf numFmtId="0" fontId="3" fillId="16" borderId="23" xfId="0" applyFont="1" applyFill="1" applyBorder="1"/>
    <xf numFmtId="0" fontId="3" fillId="16" borderId="13" xfId="0" applyFont="1" applyFill="1" applyBorder="1"/>
    <xf numFmtId="0" fontId="8" fillId="16" borderId="0" xfId="0" applyFont="1" applyFill="1" applyAlignment="1">
      <alignment horizontal="left"/>
    </xf>
    <xf numFmtId="0" fontId="3" fillId="16" borderId="0" xfId="0" applyFont="1" applyFill="1" applyAlignment="1">
      <alignment horizontal="center"/>
    </xf>
    <xf numFmtId="0" fontId="10" fillId="16" borderId="23" xfId="0" applyFont="1" applyFill="1" applyBorder="1"/>
    <xf numFmtId="0" fontId="3" fillId="16" borderId="0" xfId="0" applyFont="1" applyFill="1" applyAlignment="1">
      <alignment horizontal="left"/>
    </xf>
    <xf numFmtId="0" fontId="8" fillId="16" borderId="0" xfId="0" quotePrefix="1" applyFont="1" applyFill="1" applyAlignment="1">
      <alignment horizontal="center"/>
    </xf>
    <xf numFmtId="0" fontId="8" fillId="16" borderId="0" xfId="0" applyFont="1" applyFill="1"/>
    <xf numFmtId="0" fontId="8" fillId="16" borderId="23" xfId="0" quotePrefix="1" applyFont="1" applyFill="1" applyBorder="1" applyAlignment="1">
      <alignment horizontal="center"/>
    </xf>
    <xf numFmtId="0" fontId="2" fillId="16" borderId="22" xfId="0" applyFont="1" applyFill="1" applyBorder="1" applyAlignment="1">
      <alignment horizontal="left"/>
    </xf>
    <xf numFmtId="3" fontId="3" fillId="16" borderId="0" xfId="0" applyNumberFormat="1" applyFont="1" applyFill="1" applyAlignment="1">
      <alignment horizontal="left" vertical="center"/>
    </xf>
    <xf numFmtId="0" fontId="3" fillId="16" borderId="0" xfId="0" applyFont="1" applyFill="1" applyAlignment="1">
      <alignment vertical="center"/>
    </xf>
    <xf numFmtId="0" fontId="3" fillId="16" borderId="0" xfId="0" applyFont="1" applyFill="1" applyAlignment="1">
      <alignment vertical="center" wrapText="1"/>
    </xf>
    <xf numFmtId="3" fontId="3" fillId="16" borderId="23" xfId="0" applyNumberFormat="1" applyFont="1" applyFill="1" applyBorder="1" applyAlignment="1">
      <alignment horizontal="right" vertical="center"/>
    </xf>
    <xf numFmtId="3" fontId="3" fillId="16" borderId="23" xfId="0" quotePrefix="1" applyNumberFormat="1" applyFont="1" applyFill="1" applyBorder="1" applyAlignment="1">
      <alignment horizontal="right" vertical="center" wrapText="1"/>
    </xf>
    <xf numFmtId="3" fontId="3" fillId="16" borderId="23" xfId="0" applyNumberFormat="1" applyFont="1" applyFill="1" applyBorder="1" applyAlignment="1">
      <alignment horizontal="right" vertical="center" wrapText="1"/>
    </xf>
    <xf numFmtId="3" fontId="3" fillId="16" borderId="23" xfId="0" applyNumberFormat="1" applyFont="1" applyFill="1" applyBorder="1" applyAlignment="1">
      <alignment vertical="center" wrapText="1"/>
    </xf>
    <xf numFmtId="0" fontId="3" fillId="16" borderId="0" xfId="0" applyFont="1" applyFill="1" applyAlignment="1">
      <alignment horizontal="left" vertical="center"/>
    </xf>
    <xf numFmtId="0" fontId="2" fillId="16" borderId="22" xfId="0" applyFont="1" applyFill="1" applyBorder="1" applyAlignment="1">
      <alignment horizontal="left" vertical="center"/>
    </xf>
    <xf numFmtId="4" fontId="3" fillId="16" borderId="23" xfId="0" applyNumberFormat="1" applyFont="1" applyFill="1" applyBorder="1" applyAlignment="1">
      <alignment horizontal="right" vertical="center"/>
    </xf>
    <xf numFmtId="10" fontId="3" fillId="16" borderId="23" xfId="0" applyNumberFormat="1" applyFont="1" applyFill="1" applyBorder="1" applyAlignment="1">
      <alignment horizontal="right" vertical="center"/>
    </xf>
    <xf numFmtId="166" fontId="3" fillId="17" borderId="3" xfId="0" applyNumberFormat="1" applyFont="1" applyFill="1" applyBorder="1" applyAlignment="1">
      <alignment horizontal="right" vertical="center"/>
    </xf>
    <xf numFmtId="4" fontId="3" fillId="16" borderId="23" xfId="0" applyNumberFormat="1" applyFont="1" applyFill="1" applyBorder="1" applyAlignment="1">
      <alignment horizontal="right" vertical="center" wrapText="1"/>
    </xf>
    <xf numFmtId="0" fontId="2" fillId="16" borderId="0" xfId="0" applyFont="1" applyFill="1" applyAlignment="1">
      <alignment horizontal="left"/>
    </xf>
    <xf numFmtId="0" fontId="3" fillId="16" borderId="24" xfId="0" applyFont="1" applyFill="1" applyBorder="1"/>
    <xf numFmtId="0" fontId="3" fillId="16" borderId="25" xfId="0" applyFont="1" applyFill="1" applyBorder="1" applyAlignment="1">
      <alignment horizontal="right"/>
    </xf>
    <xf numFmtId="0" fontId="3" fillId="16" borderId="25" xfId="0" applyFont="1" applyFill="1" applyBorder="1"/>
    <xf numFmtId="0" fontId="3" fillId="16" borderId="25" xfId="0" applyFont="1" applyFill="1" applyBorder="1" applyAlignment="1">
      <alignment horizontal="left"/>
    </xf>
    <xf numFmtId="0" fontId="3" fillId="16" borderId="26" xfId="0" applyFont="1" applyFill="1" applyBorder="1"/>
    <xf numFmtId="0" fontId="59" fillId="18" borderId="29" xfId="0" applyFont="1" applyFill="1" applyBorder="1" applyAlignment="1">
      <alignment horizontal="left"/>
    </xf>
    <xf numFmtId="0" fontId="59" fillId="18" borderId="3" xfId="0" applyFont="1" applyFill="1" applyBorder="1" applyAlignment="1">
      <alignment horizontal="center"/>
    </xf>
    <xf numFmtId="0" fontId="3" fillId="0" borderId="0" xfId="0" applyFont="1" applyAlignment="1" applyProtection="1">
      <alignment horizontal="left" vertical="top" wrapText="1"/>
      <protection locked="0"/>
    </xf>
    <xf numFmtId="0" fontId="38" fillId="16" borderId="0" xfId="58" applyFont="1" applyFill="1" applyAlignment="1" applyProtection="1">
      <alignment horizontal="left"/>
      <protection hidden="1"/>
    </xf>
    <xf numFmtId="0" fontId="38" fillId="16" borderId="0" xfId="58" applyFont="1" applyFill="1" applyAlignment="1">
      <alignment horizontal="left"/>
    </xf>
    <xf numFmtId="0" fontId="46" fillId="0" borderId="0" xfId="58" applyFont="1" applyAlignment="1">
      <alignment horizontal="left" vertical="top" wrapText="1"/>
    </xf>
    <xf numFmtId="0" fontId="46" fillId="0" borderId="0" xfId="58" applyFont="1" applyAlignment="1">
      <alignment vertical="top"/>
    </xf>
    <xf numFmtId="0" fontId="3" fillId="16" borderId="0" xfId="58" applyFont="1" applyFill="1" applyAlignment="1" applyProtection="1">
      <alignment horizontal="left" vertical="center" wrapText="1"/>
      <protection hidden="1"/>
    </xf>
    <xf numFmtId="0" fontId="33" fillId="0" borderId="0" xfId="65" applyFont="1" applyAlignment="1" applyProtection="1">
      <alignment horizontal="right" vertical="center"/>
      <protection hidden="1"/>
    </xf>
    <xf numFmtId="0" fontId="3" fillId="23" borderId="21" xfId="0" applyFont="1" applyFill="1" applyBorder="1" applyAlignment="1">
      <alignment vertical="center"/>
    </xf>
    <xf numFmtId="0" fontId="2" fillId="23" borderId="29" xfId="0" applyFont="1" applyFill="1" applyBorder="1" applyAlignment="1">
      <alignment vertical="center"/>
    </xf>
    <xf numFmtId="0" fontId="32" fillId="23" borderId="30" xfId="0" applyFont="1" applyFill="1" applyBorder="1" applyAlignment="1">
      <alignment horizontal="right" vertical="center"/>
    </xf>
    <xf numFmtId="0" fontId="2" fillId="23" borderId="29" xfId="65" applyFont="1" applyFill="1" applyBorder="1" applyAlignment="1" applyProtection="1">
      <alignment horizontal="left" vertical="center"/>
      <protection hidden="1"/>
    </xf>
    <xf numFmtId="0" fontId="2" fillId="23" borderId="30" xfId="65" applyFont="1" applyFill="1" applyBorder="1" applyAlignment="1" applyProtection="1">
      <alignment horizontal="left" vertical="center"/>
      <protection hidden="1"/>
    </xf>
    <xf numFmtId="0" fontId="3" fillId="23" borderId="30" xfId="65" applyFont="1" applyFill="1" applyBorder="1" applyAlignment="1" applyProtection="1">
      <alignment horizontal="right" vertical="center"/>
      <protection hidden="1"/>
    </xf>
    <xf numFmtId="0" fontId="1" fillId="0" borderId="0" xfId="61" applyProtection="1">
      <protection locked="0"/>
    </xf>
    <xf numFmtId="0" fontId="3" fillId="0" borderId="0" xfId="61" applyFont="1" applyProtection="1">
      <protection locked="0"/>
    </xf>
    <xf numFmtId="0" fontId="33" fillId="0" borderId="0" xfId="65" applyFont="1" applyAlignment="1" applyProtection="1">
      <alignment horizontal="right" vertical="center"/>
      <protection locked="0"/>
    </xf>
    <xf numFmtId="0" fontId="33" fillId="0" borderId="0" xfId="0" applyFont="1" applyProtection="1">
      <protection locked="0"/>
    </xf>
    <xf numFmtId="0" fontId="1" fillId="0" borderId="0" xfId="65" applyFont="1" applyAlignment="1" applyProtection="1">
      <alignment horizontal="right" vertical="center"/>
      <protection locked="0"/>
    </xf>
    <xf numFmtId="0" fontId="2" fillId="23" borderId="31" xfId="58" applyFont="1" applyFill="1" applyBorder="1" applyAlignment="1" applyProtection="1">
      <alignment horizontal="left" vertical="center"/>
      <protection hidden="1"/>
    </xf>
    <xf numFmtId="0" fontId="2" fillId="23" borderId="32" xfId="58" applyFont="1" applyFill="1" applyBorder="1" applyAlignment="1" applyProtection="1">
      <alignment horizontal="left" vertical="center"/>
      <protection hidden="1"/>
    </xf>
    <xf numFmtId="0" fontId="2" fillId="23" borderId="33" xfId="58" applyFont="1" applyFill="1" applyBorder="1" applyAlignment="1" applyProtection="1">
      <alignment horizontal="left" vertical="center"/>
      <protection hidden="1"/>
    </xf>
    <xf numFmtId="0" fontId="3" fillId="16" borderId="22" xfId="65" applyFont="1" applyFill="1" applyBorder="1" applyAlignment="1" applyProtection="1">
      <alignment vertical="center"/>
      <protection hidden="1"/>
    </xf>
    <xf numFmtId="0" fontId="8" fillId="16" borderId="0" xfId="58" applyFont="1" applyFill="1" applyAlignment="1" applyProtection="1">
      <alignment horizontal="left"/>
      <protection hidden="1"/>
    </xf>
    <xf numFmtId="0" fontId="2" fillId="16" borderId="0" xfId="65" applyFont="1" applyFill="1" applyAlignment="1" applyProtection="1">
      <alignment vertical="center"/>
      <protection hidden="1"/>
    </xf>
    <xf numFmtId="0" fontId="3" fillId="16" borderId="23" xfId="65" applyFont="1" applyFill="1" applyBorder="1" applyAlignment="1" applyProtection="1">
      <alignment vertical="center"/>
      <protection hidden="1"/>
    </xf>
    <xf numFmtId="0" fontId="32" fillId="16" borderId="0" xfId="65" applyFont="1" applyFill="1" applyAlignment="1" applyProtection="1">
      <alignment vertical="center"/>
      <protection hidden="1"/>
    </xf>
    <xf numFmtId="0" fontId="3" fillId="16" borderId="0" xfId="65" applyFont="1" applyFill="1" applyAlignment="1" applyProtection="1">
      <alignment vertical="center"/>
      <protection hidden="1"/>
    </xf>
    <xf numFmtId="0" fontId="3" fillId="16" borderId="0" xfId="65" applyFont="1" applyFill="1" applyAlignment="1" applyProtection="1">
      <alignment horizontal="left" vertical="center" wrapText="1"/>
      <protection hidden="1"/>
    </xf>
    <xf numFmtId="0" fontId="3" fillId="16" borderId="23" xfId="65" applyFont="1" applyFill="1" applyBorder="1" applyAlignment="1" applyProtection="1">
      <alignment horizontal="left" vertical="center" wrapText="1"/>
      <protection hidden="1"/>
    </xf>
    <xf numFmtId="0" fontId="3" fillId="16" borderId="0" xfId="65" applyFont="1" applyFill="1" applyAlignment="1" applyProtection="1">
      <alignment horizontal="left" vertical="center"/>
      <protection hidden="1"/>
    </xf>
    <xf numFmtId="0" fontId="3" fillId="16" borderId="24" xfId="65" applyFont="1" applyFill="1" applyBorder="1" applyAlignment="1" applyProtection="1">
      <alignment vertical="center"/>
      <protection hidden="1"/>
    </xf>
    <xf numFmtId="0" fontId="3" fillId="16" borderId="25" xfId="65" applyFont="1" applyFill="1" applyBorder="1" applyAlignment="1" applyProtection="1">
      <alignment vertical="center"/>
      <protection hidden="1"/>
    </xf>
    <xf numFmtId="0" fontId="3" fillId="16" borderId="26" xfId="65" applyFont="1" applyFill="1" applyBorder="1" applyAlignment="1" applyProtection="1">
      <alignment vertical="center"/>
      <protection hidden="1"/>
    </xf>
    <xf numFmtId="0" fontId="3" fillId="16" borderId="23" xfId="65" applyFont="1" applyFill="1" applyBorder="1" applyAlignment="1" applyProtection="1">
      <alignment horizontal="center" vertical="center"/>
      <protection hidden="1"/>
    </xf>
    <xf numFmtId="0" fontId="3" fillId="16" borderId="0" xfId="65" applyFont="1" applyFill="1" applyAlignment="1" applyProtection="1">
      <alignment horizontal="center" vertical="center"/>
      <protection hidden="1"/>
    </xf>
    <xf numFmtId="0" fontId="3" fillId="16" borderId="0" xfId="61" applyFont="1" applyFill="1" applyProtection="1">
      <protection hidden="1"/>
    </xf>
    <xf numFmtId="164" fontId="6" fillId="0" borderId="0" xfId="0" applyNumberFormat="1" applyFont="1"/>
    <xf numFmtId="0" fontId="60" fillId="16" borderId="0" xfId="58" applyFont="1" applyFill="1" applyProtection="1">
      <protection hidden="1"/>
    </xf>
    <xf numFmtId="0" fontId="2" fillId="22" borderId="0" xfId="0" applyFont="1" applyFill="1" applyAlignment="1">
      <alignment horizontal="left" vertical="top"/>
    </xf>
    <xf numFmtId="49" fontId="3" fillId="0" borderId="0" xfId="0" applyNumberFormat="1" applyFont="1" applyAlignment="1">
      <alignment vertical="top" wrapText="1"/>
    </xf>
    <xf numFmtId="0" fontId="3" fillId="26" borderId="0" xfId="0" applyFont="1" applyFill="1" applyAlignment="1">
      <alignment vertical="top"/>
    </xf>
    <xf numFmtId="0" fontId="3" fillId="0" borderId="0" xfId="58" applyFont="1" applyAlignment="1">
      <alignment horizontal="left" vertical="top"/>
    </xf>
    <xf numFmtId="0" fontId="32" fillId="0" borderId="35" xfId="0" applyFont="1" applyBorder="1"/>
    <xf numFmtId="168" fontId="32" fillId="24" borderId="35" xfId="0" applyNumberFormat="1" applyFont="1" applyFill="1" applyBorder="1" applyAlignment="1">
      <alignment horizontal="center"/>
    </xf>
    <xf numFmtId="0" fontId="6" fillId="0" borderId="27" xfId="0" applyFont="1" applyBorder="1"/>
    <xf numFmtId="0" fontId="7" fillId="24" borderId="27" xfId="0" applyFont="1" applyFill="1" applyBorder="1"/>
    <xf numFmtId="0" fontId="36" fillId="0" borderId="0" xfId="0" applyFont="1" applyAlignment="1">
      <alignment horizontal="center"/>
    </xf>
    <xf numFmtId="0" fontId="6" fillId="21" borderId="17" xfId="0" applyFont="1" applyFill="1" applyBorder="1"/>
    <xf numFmtId="0" fontId="6" fillId="21" borderId="15" xfId="0" applyFont="1" applyFill="1" applyBorder="1"/>
    <xf numFmtId="0" fontId="6" fillId="21" borderId="15" xfId="63" applyFont="1" applyFill="1" applyBorder="1"/>
    <xf numFmtId="0" fontId="6" fillId="21" borderId="18" xfId="0" applyFont="1" applyFill="1" applyBorder="1"/>
    <xf numFmtId="0" fontId="62" fillId="29" borderId="40" xfId="0" applyFont="1" applyFill="1" applyBorder="1"/>
    <xf numFmtId="0" fontId="62" fillId="29" borderId="41" xfId="0" applyFont="1" applyFill="1" applyBorder="1"/>
    <xf numFmtId="0" fontId="63" fillId="29" borderId="41" xfId="0" applyFont="1" applyFill="1" applyBorder="1" applyAlignment="1">
      <alignment horizontal="center"/>
    </xf>
    <xf numFmtId="0" fontId="63" fillId="29" borderId="41" xfId="0" applyFont="1" applyFill="1" applyBorder="1"/>
    <xf numFmtId="0" fontId="62" fillId="29" borderId="41" xfId="0" applyFont="1" applyFill="1" applyBorder="1" applyAlignment="1">
      <alignment horizontal="left"/>
    </xf>
    <xf numFmtId="0" fontId="62" fillId="29" borderId="42" xfId="0" applyFont="1" applyFill="1" applyBorder="1"/>
    <xf numFmtId="0" fontId="64" fillId="30" borderId="40" xfId="0" applyFont="1" applyFill="1" applyBorder="1" applyAlignment="1">
      <alignment horizontal="left" vertical="center"/>
    </xf>
    <xf numFmtId="0" fontId="64" fillId="30" borderId="41" xfId="0" applyFont="1" applyFill="1" applyBorder="1" applyAlignment="1">
      <alignment horizontal="left" vertical="center"/>
    </xf>
    <xf numFmtId="0" fontId="64" fillId="30" borderId="41" xfId="0" applyFont="1" applyFill="1" applyBorder="1" applyAlignment="1">
      <alignment horizontal="right"/>
    </xf>
    <xf numFmtId="171" fontId="64" fillId="30" borderId="41" xfId="0" applyNumberFormat="1" applyFont="1" applyFill="1" applyBorder="1" applyAlignment="1">
      <alignment horizontal="right"/>
    </xf>
    <xf numFmtId="0" fontId="32" fillId="0" borderId="0" xfId="0" applyFont="1"/>
    <xf numFmtId="0" fontId="54" fillId="0" borderId="0" xfId="0" applyFont="1"/>
    <xf numFmtId="3" fontId="6" fillId="0" borderId="0" xfId="0" applyNumberFormat="1" applyFont="1"/>
    <xf numFmtId="171" fontId="6" fillId="0" borderId="0" xfId="0" applyNumberFormat="1" applyFont="1"/>
    <xf numFmtId="0" fontId="3" fillId="0" borderId="0" xfId="0" applyFont="1" applyAlignment="1">
      <alignment horizontal="center"/>
    </xf>
    <xf numFmtId="0" fontId="32" fillId="0" borderId="0" xfId="0" applyFont="1" applyAlignment="1">
      <alignment vertical="center"/>
    </xf>
    <xf numFmtId="3" fontId="3" fillId="0" borderId="0" xfId="0" applyNumberFormat="1" applyFont="1" applyProtection="1">
      <protection locked="0"/>
    </xf>
    <xf numFmtId="166" fontId="3" fillId="0" borderId="0" xfId="0" applyNumberFormat="1" applyFont="1"/>
    <xf numFmtId="0" fontId="3" fillId="25" borderId="3" xfId="0" applyFont="1" applyFill="1" applyBorder="1"/>
    <xf numFmtId="3" fontId="3" fillId="25" borderId="0" xfId="0" applyNumberFormat="1" applyFont="1" applyFill="1" applyProtection="1">
      <protection locked="0"/>
    </xf>
    <xf numFmtId="164" fontId="64" fillId="30" borderId="41" xfId="0" applyNumberFormat="1" applyFont="1" applyFill="1" applyBorder="1" applyAlignment="1">
      <alignment horizontal="right"/>
    </xf>
    <xf numFmtId="164" fontId="64" fillId="0" borderId="41" xfId="0" applyNumberFormat="1" applyFont="1" applyBorder="1" applyAlignment="1">
      <alignment horizontal="right"/>
    </xf>
    <xf numFmtId="0" fontId="2" fillId="0" borderId="0" xfId="0" applyFont="1" applyAlignment="1">
      <alignment horizontal="left"/>
    </xf>
    <xf numFmtId="49" fontId="64" fillId="30" borderId="41" xfId="0" applyNumberFormat="1" applyFont="1" applyFill="1" applyBorder="1" applyAlignment="1">
      <alignment horizontal="right"/>
    </xf>
    <xf numFmtId="164" fontId="3" fillId="0" borderId="0" xfId="0" applyNumberFormat="1" applyFont="1"/>
    <xf numFmtId="0" fontId="1" fillId="0" borderId="3" xfId="0" applyFont="1" applyBorder="1" applyAlignment="1">
      <alignment horizontal="center"/>
    </xf>
    <xf numFmtId="0" fontId="1" fillId="0" borderId="0" xfId="0" applyFont="1" applyAlignment="1">
      <alignment horizontal="center"/>
    </xf>
    <xf numFmtId="0" fontId="2" fillId="0" borderId="0" xfId="0" applyFont="1"/>
    <xf numFmtId="0" fontId="3" fillId="0" borderId="3" xfId="0" applyFont="1" applyBorder="1"/>
    <xf numFmtId="0" fontId="32" fillId="0" borderId="0" xfId="0" applyFont="1" applyAlignment="1">
      <alignment horizontal="left" vertical="center"/>
    </xf>
    <xf numFmtId="0" fontId="3" fillId="20" borderId="0" xfId="0" applyFont="1" applyFill="1"/>
    <xf numFmtId="0" fontId="3" fillId="0" borderId="28" xfId="0" applyFont="1" applyBorder="1"/>
    <xf numFmtId="0" fontId="3" fillId="20" borderId="3" xfId="0" applyFont="1" applyFill="1" applyBorder="1"/>
    <xf numFmtId="0" fontId="38" fillId="0" borderId="3" xfId="0" applyFont="1" applyBorder="1"/>
    <xf numFmtId="0" fontId="54" fillId="0" borderId="3" xfId="0" applyFont="1" applyBorder="1" applyAlignment="1">
      <alignment horizontal="center" vertical="center"/>
    </xf>
    <xf numFmtId="0" fontId="2" fillId="0" borderId="3" xfId="0" applyFont="1" applyBorder="1" applyAlignment="1">
      <alignment horizontal="center" vertical="center"/>
    </xf>
    <xf numFmtId="0" fontId="38" fillId="0" borderId="0" xfId="0" applyFont="1"/>
    <xf numFmtId="0" fontId="54" fillId="0" borderId="0" xfId="0" applyFont="1" applyAlignment="1">
      <alignment horizontal="center" vertical="center"/>
    </xf>
    <xf numFmtId="0" fontId="2" fillId="0" borderId="17" xfId="0" applyFont="1" applyBorder="1" applyAlignment="1">
      <alignment horizontal="center" vertical="center"/>
    </xf>
    <xf numFmtId="0" fontId="3" fillId="0" borderId="21" xfId="0" applyFont="1" applyBorder="1"/>
    <xf numFmtId="0" fontId="47" fillId="0" borderId="0" xfId="0" applyFont="1"/>
    <xf numFmtId="0" fontId="3" fillId="0" borderId="0" xfId="0" applyFont="1" applyAlignment="1">
      <alignment horizontal="left"/>
    </xf>
    <xf numFmtId="0" fontId="1" fillId="0" borderId="0" xfId="0" applyFont="1" applyProtection="1">
      <protection locked="0"/>
    </xf>
    <xf numFmtId="0" fontId="6" fillId="0" borderId="0" xfId="0" applyFont="1" applyProtection="1">
      <protection locked="0"/>
    </xf>
    <xf numFmtId="166" fontId="3" fillId="17" borderId="3" xfId="0" applyNumberFormat="1" applyFont="1" applyFill="1" applyBorder="1" applyAlignment="1">
      <alignment vertical="center"/>
    </xf>
    <xf numFmtId="166" fontId="3" fillId="31" borderId="3" xfId="0" applyNumberFormat="1" applyFont="1" applyFill="1" applyBorder="1" applyAlignment="1">
      <alignment horizontal="right" vertical="center"/>
    </xf>
    <xf numFmtId="10" fontId="3" fillId="31" borderId="3" xfId="0" applyNumberFormat="1" applyFont="1" applyFill="1" applyBorder="1" applyAlignment="1">
      <alignment horizontal="right" vertical="center"/>
    </xf>
    <xf numFmtId="164" fontId="3" fillId="0" borderId="3" xfId="0" applyNumberFormat="1" applyFont="1" applyBorder="1" applyAlignment="1" applyProtection="1">
      <alignment horizontal="right" vertical="center" wrapText="1"/>
      <protection locked="0"/>
    </xf>
    <xf numFmtId="164" fontId="3" fillId="17" borderId="3" xfId="0" applyNumberFormat="1" applyFont="1" applyFill="1" applyBorder="1" applyAlignment="1">
      <alignment horizontal="right" vertical="center" wrapText="1"/>
    </xf>
    <xf numFmtId="0" fontId="3" fillId="0" borderId="0" xfId="0" applyFont="1" applyAlignment="1">
      <alignment horizontal="right"/>
    </xf>
    <xf numFmtId="164" fontId="0" fillId="0" borderId="0" xfId="0" applyNumberFormat="1"/>
    <xf numFmtId="0" fontId="65" fillId="0" borderId="0" xfId="0" applyFont="1" applyAlignment="1">
      <alignment horizontal="left" vertical="top"/>
    </xf>
    <xf numFmtId="0" fontId="65" fillId="25" borderId="3" xfId="0" applyFont="1" applyFill="1" applyBorder="1" applyAlignment="1">
      <alignment horizontal="left" vertical="top"/>
    </xf>
    <xf numFmtId="0" fontId="65" fillId="25" borderId="3" xfId="0" applyFont="1" applyFill="1" applyBorder="1" applyAlignment="1" applyProtection="1">
      <alignment horizontal="left" vertical="top"/>
      <protection locked="0"/>
    </xf>
    <xf numFmtId="0" fontId="0" fillId="0" borderId="15" xfId="0" applyBorder="1"/>
    <xf numFmtId="0" fontId="1" fillId="0" borderId="15" xfId="0" applyFont="1" applyBorder="1"/>
    <xf numFmtId="0" fontId="0" fillId="0" borderId="0" xfId="0" applyAlignment="1">
      <alignment horizontal="center"/>
    </xf>
    <xf numFmtId="0" fontId="0" fillId="25" borderId="3" xfId="0" applyFill="1" applyBorder="1"/>
    <xf numFmtId="0" fontId="1" fillId="33" borderId="28" xfId="0" applyFont="1" applyFill="1" applyBorder="1" applyAlignment="1">
      <alignment horizontal="center"/>
    </xf>
    <xf numFmtId="0" fontId="0" fillId="0" borderId="3" xfId="0" applyBorder="1"/>
    <xf numFmtId="0" fontId="0" fillId="33" borderId="36" xfId="0" applyFill="1" applyBorder="1"/>
    <xf numFmtId="0" fontId="0" fillId="33" borderId="34" xfId="0" applyFill="1" applyBorder="1"/>
    <xf numFmtId="0" fontId="0" fillId="18" borderId="28" xfId="0" applyFill="1" applyBorder="1" applyAlignment="1">
      <alignment horizontal="center"/>
    </xf>
    <xf numFmtId="0" fontId="0" fillId="18" borderId="36" xfId="0" applyFill="1" applyBorder="1" applyAlignment="1">
      <alignment horizontal="center"/>
    </xf>
    <xf numFmtId="0" fontId="0" fillId="18" borderId="34" xfId="0" applyFill="1" applyBorder="1" applyAlignment="1">
      <alignment horizontal="center"/>
    </xf>
    <xf numFmtId="0" fontId="1" fillId="0" borderId="15" xfId="0" applyFont="1" applyBorder="1" applyAlignment="1">
      <alignment horizontal="center"/>
    </xf>
    <xf numFmtId="0" fontId="0" fillId="25" borderId="14" xfId="0" applyFill="1" applyBorder="1" applyAlignment="1">
      <alignment horizontal="center"/>
    </xf>
    <xf numFmtId="0" fontId="0" fillId="25" borderId="18" xfId="0" applyFill="1" applyBorder="1"/>
    <xf numFmtId="0" fontId="0" fillId="18" borderId="16" xfId="0" applyFill="1" applyBorder="1" applyAlignment="1">
      <alignment horizontal="center"/>
    </xf>
    <xf numFmtId="0" fontId="0" fillId="18" borderId="19" xfId="0" applyFill="1" applyBorder="1"/>
    <xf numFmtId="0" fontId="0" fillId="18" borderId="13" xfId="0" applyFill="1" applyBorder="1" applyAlignment="1">
      <alignment horizontal="center"/>
    </xf>
    <xf numFmtId="0" fontId="0" fillId="18" borderId="17" xfId="0" applyFill="1" applyBorder="1"/>
    <xf numFmtId="0" fontId="0" fillId="34" borderId="29" xfId="0" applyFill="1" applyBorder="1" applyAlignment="1">
      <alignment horizontal="center"/>
    </xf>
    <xf numFmtId="0" fontId="0" fillId="34" borderId="21" xfId="0" applyFill="1" applyBorder="1"/>
    <xf numFmtId="0" fontId="0" fillId="0" borderId="28" xfId="0" applyBorder="1"/>
    <xf numFmtId="0" fontId="0" fillId="18" borderId="14" xfId="0" applyFill="1" applyBorder="1" applyAlignment="1">
      <alignment horizontal="center"/>
    </xf>
    <xf numFmtId="0" fontId="0" fillId="18" borderId="18" xfId="0" applyFill="1" applyBorder="1"/>
    <xf numFmtId="0" fontId="0" fillId="25" borderId="29" xfId="0" applyFill="1" applyBorder="1" applyAlignment="1">
      <alignment horizontal="center"/>
    </xf>
    <xf numFmtId="0" fontId="0" fillId="25" borderId="21" xfId="0" applyFill="1" applyBorder="1"/>
    <xf numFmtId="0" fontId="0" fillId="0" borderId="34" xfId="0" applyBorder="1"/>
    <xf numFmtId="0" fontId="0" fillId="35" borderId="29" xfId="0" applyFill="1" applyBorder="1" applyAlignment="1">
      <alignment horizontal="center"/>
    </xf>
    <xf numFmtId="0" fontId="0" fillId="35" borderId="21" xfId="0" applyFill="1" applyBorder="1"/>
    <xf numFmtId="0" fontId="0" fillId="33" borderId="29" xfId="0" applyFill="1" applyBorder="1" applyAlignment="1">
      <alignment horizontal="center"/>
    </xf>
    <xf numFmtId="0" fontId="0" fillId="33" borderId="21" xfId="0" applyFill="1" applyBorder="1"/>
    <xf numFmtId="0" fontId="0" fillId="35" borderId="16" xfId="0" applyFill="1" applyBorder="1" applyAlignment="1">
      <alignment horizontal="center"/>
    </xf>
    <xf numFmtId="0" fontId="0" fillId="35" borderId="19" xfId="0" applyFill="1" applyBorder="1"/>
    <xf numFmtId="0" fontId="0" fillId="35" borderId="13" xfId="0" applyFill="1" applyBorder="1" applyAlignment="1">
      <alignment horizontal="center"/>
    </xf>
    <xf numFmtId="0" fontId="0" fillId="35" borderId="17" xfId="0" applyFill="1" applyBorder="1"/>
    <xf numFmtId="0" fontId="0" fillId="35" borderId="14" xfId="0" applyFill="1" applyBorder="1" applyAlignment="1">
      <alignment horizontal="center"/>
    </xf>
    <xf numFmtId="0" fontId="0" fillId="35" borderId="18" xfId="0" applyFill="1" applyBorder="1"/>
    <xf numFmtId="0" fontId="0" fillId="0" borderId="29" xfId="0" applyBorder="1"/>
    <xf numFmtId="0" fontId="0" fillId="0" borderId="30" xfId="0" applyBorder="1"/>
    <xf numFmtId="0" fontId="0" fillId="0" borderId="21" xfId="0" applyBorder="1"/>
    <xf numFmtId="0" fontId="32" fillId="27" borderId="20" xfId="58" applyFont="1" applyFill="1" applyBorder="1" applyAlignment="1" applyProtection="1">
      <alignment vertical="center"/>
      <protection locked="0"/>
    </xf>
    <xf numFmtId="0" fontId="0" fillId="0" borderId="15" xfId="0" applyBorder="1" applyAlignment="1">
      <alignment horizontal="center"/>
    </xf>
    <xf numFmtId="0" fontId="2" fillId="0" borderId="16" xfId="0" applyFont="1" applyBorder="1" applyAlignment="1">
      <alignment horizontal="right" shrinkToFit="1"/>
    </xf>
    <xf numFmtId="0" fontId="2" fillId="0" borderId="20" xfId="0" applyFont="1" applyBorder="1" applyAlignment="1">
      <alignment horizontal="right" shrinkToFit="1"/>
    </xf>
    <xf numFmtId="0" fontId="2" fillId="0" borderId="19" xfId="0" applyFont="1" applyBorder="1" applyAlignment="1">
      <alignment horizontal="right" shrinkToFit="1"/>
    </xf>
    <xf numFmtId="0" fontId="2" fillId="0" borderId="0" xfId="0" applyFont="1" applyAlignment="1">
      <alignment horizontal="right" shrinkToFit="1"/>
    </xf>
    <xf numFmtId="0" fontId="3" fillId="0" borderId="16" xfId="0" applyFont="1" applyBorder="1"/>
    <xf numFmtId="0" fontId="3" fillId="0" borderId="19" xfId="0" applyFont="1" applyBorder="1"/>
    <xf numFmtId="0" fontId="2" fillId="19" borderId="0" xfId="0" applyFont="1" applyFill="1"/>
    <xf numFmtId="3" fontId="3" fillId="0" borderId="0" xfId="0" applyNumberFormat="1" applyFont="1"/>
    <xf numFmtId="3" fontId="3" fillId="0" borderId="0" xfId="0" applyNumberFormat="1" applyFont="1" applyAlignment="1">
      <alignment shrinkToFit="1"/>
    </xf>
    <xf numFmtId="164" fontId="3" fillId="0" borderId="17" xfId="0" applyNumberFormat="1" applyFont="1" applyBorder="1"/>
    <xf numFmtId="165" fontId="3" fillId="0" borderId="0" xfId="0" applyNumberFormat="1" applyFont="1"/>
    <xf numFmtId="167" fontId="3" fillId="0" borderId="0" xfId="0" applyNumberFormat="1" applyFont="1"/>
    <xf numFmtId="0" fontId="3" fillId="0" borderId="13" xfId="0" applyFont="1" applyBorder="1"/>
    <xf numFmtId="0" fontId="3" fillId="0" borderId="17" xfId="0" applyFont="1" applyBorder="1"/>
    <xf numFmtId="0" fontId="3" fillId="19" borderId="0" xfId="0" applyFont="1" applyFill="1"/>
    <xf numFmtId="169" fontId="3" fillId="0" borderId="17" xfId="0" applyNumberFormat="1" applyFont="1" applyBorder="1"/>
    <xf numFmtId="0" fontId="3" fillId="0" borderId="15" xfId="0" applyFont="1" applyBorder="1"/>
    <xf numFmtId="3" fontId="3" fillId="0" borderId="15" xfId="0" applyNumberFormat="1" applyFont="1" applyBorder="1"/>
    <xf numFmtId="3" fontId="3" fillId="0" borderId="15" xfId="0" applyNumberFormat="1" applyFont="1" applyBorder="1" applyAlignment="1">
      <alignment shrinkToFit="1"/>
    </xf>
    <xf numFmtId="164" fontId="3" fillId="0" borderId="18" xfId="0" applyNumberFormat="1" applyFont="1" applyBorder="1"/>
    <xf numFmtId="11" fontId="3" fillId="19" borderId="0" xfId="0" applyNumberFormat="1" applyFont="1" applyFill="1"/>
    <xf numFmtId="0" fontId="3" fillId="0" borderId="14" xfId="0" applyFont="1" applyBorder="1"/>
    <xf numFmtId="0" fontId="3" fillId="0" borderId="18" xfId="0" applyFont="1" applyBorder="1"/>
    <xf numFmtId="0" fontId="1" fillId="33" borderId="3" xfId="0" applyFont="1" applyFill="1" applyBorder="1" applyAlignment="1">
      <alignment horizontal="center"/>
    </xf>
    <xf numFmtId="0" fontId="32" fillId="40" borderId="15" xfId="0" applyFont="1" applyFill="1" applyBorder="1" applyAlignment="1">
      <alignment horizontal="center"/>
    </xf>
    <xf numFmtId="0" fontId="3" fillId="40" borderId="13" xfId="0" applyFont="1" applyFill="1" applyBorder="1"/>
    <xf numFmtId="0" fontId="3" fillId="40" borderId="14" xfId="0" applyFont="1" applyFill="1" applyBorder="1"/>
    <xf numFmtId="0" fontId="58" fillId="40" borderId="29" xfId="0" applyFont="1" applyFill="1" applyBorder="1" applyAlignment="1">
      <alignment horizontal="left"/>
    </xf>
    <xf numFmtId="0" fontId="49" fillId="40" borderId="21" xfId="0" applyFont="1" applyFill="1" applyBorder="1"/>
    <xf numFmtId="0" fontId="32" fillId="40" borderId="21" xfId="0" applyFont="1" applyFill="1" applyBorder="1" applyAlignment="1">
      <alignment horizontal="center"/>
    </xf>
    <xf numFmtId="0" fontId="58" fillId="40" borderId="3" xfId="0" applyFont="1" applyFill="1" applyBorder="1" applyAlignment="1">
      <alignment horizontal="center"/>
    </xf>
    <xf numFmtId="0" fontId="1" fillId="0" borderId="29" xfId="0" applyFont="1" applyBorder="1"/>
    <xf numFmtId="0" fontId="6" fillId="0" borderId="30" xfId="0" applyFont="1" applyBorder="1"/>
    <xf numFmtId="0" fontId="1" fillId="0" borderId="21" xfId="0" applyFont="1" applyBorder="1"/>
    <xf numFmtId="0" fontId="58" fillId="40" borderId="3" xfId="0" applyFont="1" applyFill="1" applyBorder="1" applyAlignment="1">
      <alignment horizontal="left"/>
    </xf>
    <xf numFmtId="0" fontId="3" fillId="40" borderId="0" xfId="0" applyFont="1" applyFill="1" applyAlignment="1">
      <alignment vertical="top" wrapText="1"/>
    </xf>
    <xf numFmtId="0" fontId="3" fillId="40" borderId="0" xfId="58" applyFont="1" applyFill="1" applyAlignment="1">
      <alignment horizontal="left" vertical="top" wrapText="1"/>
    </xf>
    <xf numFmtId="0" fontId="51" fillId="40" borderId="0" xfId="58" applyFont="1" applyFill="1" applyAlignment="1">
      <alignment vertical="top" wrapText="1"/>
    </xf>
    <xf numFmtId="0" fontId="3" fillId="40" borderId="0" xfId="58" applyFont="1" applyFill="1" applyAlignment="1">
      <alignment vertical="top"/>
    </xf>
    <xf numFmtId="0" fontId="78" fillId="16" borderId="0" xfId="0" applyFont="1" applyFill="1" applyAlignment="1">
      <alignment horizontal="left" vertical="center"/>
    </xf>
    <xf numFmtId="0" fontId="79" fillId="16" borderId="0" xfId="0" applyFont="1" applyFill="1" applyAlignment="1">
      <alignment horizontal="right" vertical="center"/>
    </xf>
    <xf numFmtId="166" fontId="3" fillId="34" borderId="3" xfId="0" applyNumberFormat="1" applyFont="1" applyFill="1" applyBorder="1" applyAlignment="1" applyProtection="1">
      <alignment horizontal="right" vertical="center"/>
      <protection locked="0"/>
    </xf>
    <xf numFmtId="10" fontId="3" fillId="34" borderId="3" xfId="0" applyNumberFormat="1" applyFont="1" applyFill="1" applyBorder="1" applyAlignment="1" applyProtection="1">
      <alignment horizontal="right" vertical="center"/>
      <protection locked="0"/>
    </xf>
    <xf numFmtId="0" fontId="3" fillId="40" borderId="0" xfId="58" applyFont="1" applyFill="1" applyAlignment="1">
      <alignment vertical="top" wrapText="1"/>
    </xf>
    <xf numFmtId="0" fontId="0" fillId="0" borderId="46" xfId="0" applyBorder="1"/>
    <xf numFmtId="169" fontId="3" fillId="31" borderId="3" xfId="0" applyNumberFormat="1" applyFont="1" applyFill="1" applyBorder="1" applyAlignment="1">
      <alignment horizontal="right" vertical="center"/>
    </xf>
    <xf numFmtId="0" fontId="1" fillId="0" borderId="0" xfId="0" applyFont="1" applyAlignment="1">
      <alignment horizontal="right"/>
    </xf>
    <xf numFmtId="0" fontId="36" fillId="16" borderId="0" xfId="58" applyFont="1" applyFill="1"/>
    <xf numFmtId="0" fontId="3" fillId="16" borderId="13" xfId="58" applyFont="1" applyFill="1" applyBorder="1"/>
    <xf numFmtId="0" fontId="38" fillId="16" borderId="17" xfId="58" applyFont="1" applyFill="1" applyBorder="1" applyAlignment="1">
      <alignment vertical="center"/>
    </xf>
    <xf numFmtId="0" fontId="38" fillId="16" borderId="17" xfId="58" applyFont="1" applyFill="1" applyBorder="1" applyAlignment="1">
      <alignment horizontal="right" vertical="center"/>
    </xf>
    <xf numFmtId="0" fontId="3" fillId="16" borderId="47" xfId="0" applyFont="1" applyFill="1" applyBorder="1"/>
    <xf numFmtId="0" fontId="2" fillId="23" borderId="30" xfId="0" applyFont="1" applyFill="1" applyBorder="1" applyAlignment="1">
      <alignment vertical="center"/>
    </xf>
    <xf numFmtId="0" fontId="0" fillId="0" borderId="13" xfId="0" applyBorder="1" applyProtection="1">
      <protection locked="0"/>
    </xf>
    <xf numFmtId="0" fontId="0" fillId="0" borderId="17" xfId="0" applyBorder="1" applyProtection="1">
      <protection locked="0"/>
    </xf>
    <xf numFmtId="0" fontId="32" fillId="0" borderId="17" xfId="0" applyFont="1" applyBorder="1" applyAlignment="1" applyProtection="1">
      <alignment horizontal="center"/>
      <protection locked="0"/>
    </xf>
    <xf numFmtId="0" fontId="67" fillId="0" borderId="0" xfId="0" applyFont="1"/>
    <xf numFmtId="0" fontId="67" fillId="0" borderId="3" xfId="0" applyFont="1" applyBorder="1" applyAlignment="1">
      <alignment horizontal="center"/>
    </xf>
    <xf numFmtId="0" fontId="2" fillId="16" borderId="0" xfId="0" quotePrefix="1" applyFont="1" applyFill="1" applyAlignment="1">
      <alignment horizontal="center"/>
    </xf>
    <xf numFmtId="0" fontId="81" fillId="0" borderId="3" xfId="0" applyFont="1" applyBorder="1" applyAlignment="1">
      <alignment horizontal="center"/>
    </xf>
    <xf numFmtId="0" fontId="32" fillId="0" borderId="0" xfId="0" applyFont="1" applyAlignment="1">
      <alignment horizontal="left"/>
    </xf>
    <xf numFmtId="0" fontId="61" fillId="0" borderId="16" xfId="0" applyFont="1" applyBorder="1" applyAlignment="1">
      <alignment horizontal="left"/>
    </xf>
    <xf numFmtId="0" fontId="61" fillId="0" borderId="20" xfId="0" applyFont="1" applyBorder="1" applyAlignment="1">
      <alignment horizontal="left"/>
    </xf>
    <xf numFmtId="0" fontId="6" fillId="18" borderId="21" xfId="0" applyFont="1" applyFill="1" applyBorder="1"/>
    <xf numFmtId="0" fontId="3" fillId="0" borderId="15" xfId="0" applyFont="1" applyBorder="1" applyAlignment="1">
      <alignment horizontal="center" wrapText="1"/>
    </xf>
    <xf numFmtId="0" fontId="6" fillId="21" borderId="13" xfId="0" applyFont="1" applyFill="1" applyBorder="1" applyAlignment="1">
      <alignment horizontal="left"/>
    </xf>
    <xf numFmtId="0" fontId="6" fillId="21" borderId="14" xfId="0" applyFont="1" applyFill="1" applyBorder="1" applyAlignment="1">
      <alignment horizontal="left"/>
    </xf>
    <xf numFmtId="0" fontId="6" fillId="0" borderId="15" xfId="0" applyFont="1" applyBorder="1" applyAlignment="1">
      <alignment vertical="center"/>
    </xf>
    <xf numFmtId="0" fontId="32" fillId="0" borderId="13" xfId="0" applyFont="1" applyBorder="1" applyAlignment="1">
      <alignment vertical="center"/>
    </xf>
    <xf numFmtId="164" fontId="81" fillId="0" borderId="0" xfId="0" applyNumberFormat="1" applyFont="1"/>
    <xf numFmtId="0" fontId="7" fillId="0" borderId="0" xfId="62" applyFont="1" applyAlignment="1">
      <alignment horizontal="right"/>
    </xf>
    <xf numFmtId="0" fontId="9" fillId="0" borderId="20" xfId="0" applyFont="1" applyBorder="1"/>
    <xf numFmtId="0" fontId="9" fillId="0" borderId="19" xfId="0" applyFont="1" applyBorder="1"/>
    <xf numFmtId="0" fontId="3" fillId="0" borderId="0" xfId="0" quotePrefix="1" applyFont="1" applyAlignment="1">
      <alignment horizontal="center"/>
    </xf>
    <xf numFmtId="0" fontId="3" fillId="0" borderId="15" xfId="0" quotePrefix="1" applyFont="1" applyBorder="1" applyAlignment="1">
      <alignment horizontal="center"/>
    </xf>
    <xf numFmtId="0" fontId="6" fillId="0" borderId="14" xfId="0" applyFont="1" applyBorder="1" applyAlignment="1">
      <alignment vertical="center"/>
    </xf>
    <xf numFmtId="0" fontId="82" fillId="0" borderId="0" xfId="0" applyFont="1" applyAlignment="1">
      <alignment horizontal="left"/>
    </xf>
    <xf numFmtId="0" fontId="6" fillId="0" borderId="0" xfId="0" applyFont="1" applyAlignment="1">
      <alignment horizontal="left"/>
    </xf>
    <xf numFmtId="0" fontId="1" fillId="0" borderId="0" xfId="0" applyFont="1" applyAlignment="1" applyProtection="1">
      <alignment horizontal="left"/>
      <protection locked="0"/>
    </xf>
    <xf numFmtId="0" fontId="8" fillId="16" borderId="23" xfId="0" quotePrefix="1" applyFont="1" applyFill="1" applyBorder="1" applyAlignment="1">
      <alignment horizontal="left"/>
    </xf>
    <xf numFmtId="164" fontId="3" fillId="0" borderId="0" xfId="0" applyNumberFormat="1" applyFont="1" applyAlignment="1">
      <alignment horizontal="left"/>
    </xf>
    <xf numFmtId="0" fontId="1" fillId="0" borderId="0" xfId="0" applyFont="1" applyAlignment="1">
      <alignment horizontal="left"/>
    </xf>
    <xf numFmtId="0" fontId="0" fillId="0" borderId="0" xfId="0" applyAlignment="1" applyProtection="1">
      <alignment horizontal="left"/>
      <protection locked="0"/>
    </xf>
    <xf numFmtId="0" fontId="32" fillId="23" borderId="32" xfId="58" applyFont="1" applyFill="1" applyBorder="1" applyAlignment="1" applyProtection="1">
      <alignment horizontal="left" vertical="center"/>
      <protection hidden="1"/>
    </xf>
    <xf numFmtId="0" fontId="32" fillId="23" borderId="32" xfId="58" applyFont="1" applyFill="1" applyBorder="1" applyAlignment="1" applyProtection="1">
      <alignment horizontal="right" vertical="center"/>
      <protection hidden="1"/>
    </xf>
    <xf numFmtId="0" fontId="32" fillId="23" borderId="30" xfId="65" applyFont="1" applyFill="1" applyBorder="1" applyAlignment="1" applyProtection="1">
      <alignment horizontal="left" vertical="center"/>
      <protection hidden="1"/>
    </xf>
    <xf numFmtId="0" fontId="32" fillId="23" borderId="30" xfId="65" applyFont="1" applyFill="1" applyBorder="1" applyAlignment="1" applyProtection="1">
      <alignment horizontal="right" vertical="center"/>
      <protection hidden="1"/>
    </xf>
    <xf numFmtId="0" fontId="1" fillId="0" borderId="0" xfId="58" applyProtection="1">
      <protection locked="0"/>
    </xf>
    <xf numFmtId="0" fontId="83" fillId="0" borderId="0" xfId="58" applyFont="1" applyAlignment="1">
      <alignment horizontal="left" vertical="top" wrapText="1"/>
    </xf>
    <xf numFmtId="0" fontId="84" fillId="0" borderId="0" xfId="58" applyFont="1" applyAlignment="1">
      <alignment vertical="top" wrapText="1"/>
    </xf>
    <xf numFmtId="0" fontId="83" fillId="0" borderId="0" xfId="58" applyFont="1" applyAlignment="1">
      <alignment vertical="top"/>
    </xf>
    <xf numFmtId="0" fontId="38" fillId="16" borderId="0" xfId="0" applyFont="1" applyFill="1" applyAlignment="1">
      <alignment horizontal="center"/>
    </xf>
    <xf numFmtId="0" fontId="86" fillId="16" borderId="0" xfId="0" applyFont="1" applyFill="1" applyAlignment="1">
      <alignment horizontal="right" vertical="center"/>
    </xf>
    <xf numFmtId="0" fontId="38" fillId="16" borderId="0" xfId="0" applyFont="1" applyFill="1"/>
    <xf numFmtId="0" fontId="86" fillId="16" borderId="0" xfId="0" applyFont="1" applyFill="1" applyAlignment="1">
      <alignment horizontal="left"/>
    </xf>
    <xf numFmtId="0" fontId="87" fillId="16" borderId="0" xfId="0" applyFont="1" applyFill="1"/>
    <xf numFmtId="0" fontId="38" fillId="27" borderId="3" xfId="0" applyFont="1" applyFill="1" applyBorder="1" applyAlignment="1" applyProtection="1">
      <alignment horizontal="center" vertical="top" wrapText="1"/>
      <protection locked="0"/>
    </xf>
    <xf numFmtId="0" fontId="38" fillId="16" borderId="0" xfId="0" applyFont="1" applyFill="1" applyAlignment="1">
      <alignment horizontal="left"/>
    </xf>
    <xf numFmtId="14" fontId="38" fillId="27" borderId="3" xfId="0" applyNumberFormat="1" applyFont="1" applyFill="1" applyBorder="1" applyProtection="1">
      <protection locked="0"/>
    </xf>
    <xf numFmtId="0" fontId="3" fillId="23" borderId="16" xfId="58" applyFont="1" applyFill="1" applyBorder="1"/>
    <xf numFmtId="0" fontId="3" fillId="23" borderId="20" xfId="58" applyFont="1" applyFill="1" applyBorder="1"/>
    <xf numFmtId="0" fontId="55" fillId="23" borderId="20" xfId="58" applyFont="1" applyFill="1" applyBorder="1" applyAlignment="1">
      <alignment vertical="center"/>
    </xf>
    <xf numFmtId="0" fontId="3" fillId="16" borderId="17" xfId="58" applyFont="1" applyFill="1" applyBorder="1"/>
    <xf numFmtId="0" fontId="57" fillId="16" borderId="17" xfId="58" applyFont="1" applyFill="1" applyBorder="1"/>
    <xf numFmtId="0" fontId="3" fillId="16" borderId="13" xfId="58" applyFont="1" applyFill="1" applyBorder="1" applyAlignment="1">
      <alignment vertical="center"/>
    </xf>
    <xf numFmtId="0" fontId="3" fillId="16" borderId="17" xfId="58" applyFont="1" applyFill="1" applyBorder="1" applyAlignment="1">
      <alignment vertical="center"/>
    </xf>
    <xf numFmtId="0" fontId="3" fillId="16" borderId="14" xfId="58" applyFont="1" applyFill="1" applyBorder="1"/>
    <xf numFmtId="0" fontId="3" fillId="16" borderId="15" xfId="58" applyFont="1" applyFill="1" applyBorder="1"/>
    <xf numFmtId="0" fontId="3" fillId="16" borderId="18" xfId="58" applyFont="1" applyFill="1" applyBorder="1"/>
    <xf numFmtId="0" fontId="0" fillId="0" borderId="15" xfId="0" applyBorder="1" applyProtection="1">
      <protection locked="0"/>
    </xf>
    <xf numFmtId="0" fontId="2" fillId="0" borderId="29" xfId="0" applyFont="1" applyBorder="1"/>
    <xf numFmtId="0" fontId="2" fillId="0" borderId="15" xfId="0" applyFont="1" applyBorder="1"/>
    <xf numFmtId="0" fontId="38" fillId="0" borderId="34" xfId="0" applyFont="1" applyBorder="1"/>
    <xf numFmtId="0" fontId="1" fillId="0" borderId="34" xfId="0" applyFont="1" applyBorder="1" applyAlignment="1">
      <alignment horizontal="center"/>
    </xf>
    <xf numFmtId="0" fontId="37" fillId="22" borderId="3" xfId="0" applyFont="1" applyFill="1" applyBorder="1" applyAlignment="1">
      <alignment horizontal="center"/>
    </xf>
    <xf numFmtId="0" fontId="65" fillId="25" borderId="34" xfId="0" applyFont="1" applyFill="1" applyBorder="1" applyAlignment="1" applyProtection="1">
      <alignment horizontal="left" vertical="top"/>
      <protection locked="0"/>
    </xf>
    <xf numFmtId="0" fontId="65" fillId="25" borderId="34" xfId="0" applyFont="1" applyFill="1" applyBorder="1" applyAlignment="1">
      <alignment horizontal="left" vertical="top"/>
    </xf>
    <xf numFmtId="0" fontId="2" fillId="0" borderId="34" xfId="0" applyFont="1" applyBorder="1" applyAlignment="1">
      <alignment horizontal="center"/>
    </xf>
    <xf numFmtId="0" fontId="2" fillId="0" borderId="3" xfId="0" applyFont="1" applyBorder="1" applyAlignment="1">
      <alignment horizontal="center" wrapText="1"/>
    </xf>
    <xf numFmtId="0" fontId="37" fillId="0" borderId="3" xfId="0" applyFont="1" applyBorder="1" applyAlignment="1">
      <alignment horizontal="center" wrapText="1"/>
    </xf>
    <xf numFmtId="0" fontId="2" fillId="0" borderId="3" xfId="0" applyFont="1" applyBorder="1" applyAlignment="1">
      <alignment horizontal="center"/>
    </xf>
    <xf numFmtId="164" fontId="3" fillId="42" borderId="34" xfId="0" applyNumberFormat="1" applyFont="1" applyFill="1" applyBorder="1"/>
    <xf numFmtId="164" fontId="3" fillId="42" borderId="3" xfId="0" applyNumberFormat="1" applyFont="1" applyFill="1" applyBorder="1"/>
    <xf numFmtId="164" fontId="3" fillId="27" borderId="34" xfId="0" applyNumberFormat="1" applyFont="1" applyFill="1" applyBorder="1"/>
    <xf numFmtId="164" fontId="3" fillId="27" borderId="3" xfId="0" applyNumberFormat="1" applyFont="1" applyFill="1" applyBorder="1"/>
    <xf numFmtId="166" fontId="3" fillId="42" borderId="3" xfId="0" applyNumberFormat="1" applyFont="1" applyFill="1" applyBorder="1"/>
    <xf numFmtId="166" fontId="3" fillId="27" borderId="3" xfId="0" applyNumberFormat="1" applyFont="1" applyFill="1" applyBorder="1"/>
    <xf numFmtId="171" fontId="65" fillId="25" borderId="3" xfId="0" applyNumberFormat="1" applyFont="1" applyFill="1" applyBorder="1" applyAlignment="1">
      <alignment horizontal="left" vertical="top"/>
    </xf>
    <xf numFmtId="166" fontId="3" fillId="27" borderId="34" xfId="0" applyNumberFormat="1" applyFont="1" applyFill="1" applyBorder="1"/>
    <xf numFmtId="0" fontId="32" fillId="22" borderId="3" xfId="0" applyFont="1" applyFill="1" applyBorder="1" applyAlignment="1">
      <alignment horizontal="center"/>
    </xf>
    <xf numFmtId="0" fontId="3" fillId="16" borderId="15" xfId="0" applyFont="1" applyFill="1" applyBorder="1"/>
    <xf numFmtId="0" fontId="2" fillId="0" borderId="30" xfId="0" applyFont="1" applyBorder="1"/>
    <xf numFmtId="0" fontId="32" fillId="0" borderId="29" xfId="0" applyFont="1" applyBorder="1" applyAlignment="1">
      <alignment horizontal="center"/>
    </xf>
    <xf numFmtId="0" fontId="3" fillId="25" borderId="34" xfId="0" applyFont="1" applyFill="1" applyBorder="1"/>
    <xf numFmtId="0" fontId="37" fillId="0" borderId="29" xfId="0" applyFont="1" applyBorder="1"/>
    <xf numFmtId="0" fontId="2" fillId="0" borderId="21" xfId="0" applyFont="1" applyBorder="1"/>
    <xf numFmtId="0" fontId="2" fillId="0" borderId="21" xfId="0" applyFont="1" applyBorder="1" applyAlignment="1">
      <alignment horizontal="left"/>
    </xf>
    <xf numFmtId="0" fontId="37" fillId="22" borderId="28" xfId="0" applyFont="1" applyFill="1" applyBorder="1" applyAlignment="1">
      <alignment horizontal="center"/>
    </xf>
    <xf numFmtId="0" fontId="3" fillId="0" borderId="34" xfId="0" applyFont="1" applyBorder="1"/>
    <xf numFmtId="0" fontId="54" fillId="0" borderId="34" xfId="0" applyFont="1" applyBorder="1" applyAlignment="1">
      <alignment horizontal="center" vertical="center"/>
    </xf>
    <xf numFmtId="0" fontId="2" fillId="0" borderId="34" xfId="0" applyFont="1" applyBorder="1" applyAlignment="1">
      <alignment horizontal="center" vertical="center"/>
    </xf>
    <xf numFmtId="0" fontId="37" fillId="22" borderId="19" xfId="0" applyFont="1" applyFill="1" applyBorder="1" applyAlignment="1">
      <alignment horizontal="center"/>
    </xf>
    <xf numFmtId="0" fontId="38" fillId="27" borderId="16" xfId="58" applyFont="1" applyFill="1" applyBorder="1" applyProtection="1">
      <protection locked="0"/>
    </xf>
    <xf numFmtId="0" fontId="38" fillId="27" borderId="19" xfId="58" applyFont="1" applyFill="1" applyBorder="1" applyProtection="1">
      <protection locked="0"/>
    </xf>
    <xf numFmtId="0" fontId="38" fillId="27" borderId="13" xfId="58" applyFont="1" applyFill="1" applyBorder="1" applyProtection="1">
      <protection locked="0"/>
    </xf>
    <xf numFmtId="0" fontId="38" fillId="27" borderId="0" xfId="58" applyFont="1" applyFill="1" applyProtection="1">
      <protection locked="0"/>
    </xf>
    <xf numFmtId="0" fontId="38" fillId="27" borderId="17" xfId="58" applyFont="1" applyFill="1" applyBorder="1" applyProtection="1">
      <protection locked="0"/>
    </xf>
    <xf numFmtId="0" fontId="38" fillId="27" borderId="14" xfId="58" applyFont="1" applyFill="1" applyBorder="1" applyProtection="1">
      <protection locked="0"/>
    </xf>
    <xf numFmtId="0" fontId="38" fillId="27" borderId="15" xfId="58" applyFont="1" applyFill="1" applyBorder="1" applyProtection="1">
      <protection locked="0"/>
    </xf>
    <xf numFmtId="0" fontId="38" fillId="27" borderId="18" xfId="58" applyFont="1" applyFill="1" applyBorder="1" applyProtection="1">
      <protection locked="0"/>
    </xf>
    <xf numFmtId="0" fontId="2" fillId="0" borderId="3" xfId="0" applyFont="1" applyBorder="1" applyAlignment="1">
      <alignment horizontal="left"/>
    </xf>
    <xf numFmtId="166" fontId="2" fillId="34" borderId="3" xfId="0" applyNumberFormat="1" applyFont="1" applyFill="1" applyBorder="1" applyAlignment="1">
      <alignment horizontal="left"/>
    </xf>
    <xf numFmtId="164" fontId="2" fillId="31" borderId="3" xfId="0" applyNumberFormat="1" applyFont="1" applyFill="1" applyBorder="1" applyAlignment="1">
      <alignment horizontal="left"/>
    </xf>
    <xf numFmtId="0" fontId="32" fillId="40" borderId="30" xfId="0" applyFont="1" applyFill="1" applyBorder="1" applyAlignment="1">
      <alignment horizontal="center"/>
    </xf>
    <xf numFmtId="0" fontId="32" fillId="40" borderId="29" xfId="0" applyFont="1" applyFill="1" applyBorder="1" applyAlignment="1">
      <alignment horizontal="center"/>
    </xf>
    <xf numFmtId="0" fontId="88" fillId="25" borderId="3" xfId="0" applyFont="1" applyFill="1" applyBorder="1" applyAlignment="1">
      <alignment horizontal="center"/>
    </xf>
    <xf numFmtId="0" fontId="88" fillId="25" borderId="14" xfId="0" applyFont="1" applyFill="1" applyBorder="1"/>
    <xf numFmtId="0" fontId="6" fillId="25" borderId="15" xfId="0" applyFont="1" applyFill="1" applyBorder="1"/>
    <xf numFmtId="0" fontId="6" fillId="25" borderId="18" xfId="0" applyFont="1" applyFill="1" applyBorder="1"/>
    <xf numFmtId="0" fontId="3" fillId="16" borderId="36" xfId="0" applyFont="1" applyFill="1" applyBorder="1"/>
    <xf numFmtId="0" fontId="3" fillId="16" borderId="34" xfId="0" applyFont="1" applyFill="1" applyBorder="1" applyAlignment="1">
      <alignment horizontal="center" vertical="center" wrapText="1"/>
    </xf>
    <xf numFmtId="0" fontId="3" fillId="16" borderId="14" xfId="0" applyFont="1" applyFill="1" applyBorder="1" applyAlignment="1">
      <alignment horizontal="left"/>
    </xf>
    <xf numFmtId="0" fontId="78" fillId="16" borderId="18" xfId="0" applyFont="1" applyFill="1" applyBorder="1" applyAlignment="1">
      <alignment horizontal="right" vertical="center"/>
    </xf>
    <xf numFmtId="0" fontId="78" fillId="16" borderId="0" xfId="0" applyFont="1" applyFill="1" applyAlignment="1">
      <alignment horizontal="right" vertical="center"/>
    </xf>
    <xf numFmtId="0" fontId="5" fillId="41" borderId="13" xfId="58" applyFont="1" applyFill="1" applyBorder="1"/>
    <xf numFmtId="0" fontId="3" fillId="41" borderId="17" xfId="58" applyFont="1" applyFill="1" applyBorder="1"/>
    <xf numFmtId="0" fontId="38" fillId="41" borderId="0" xfId="58" applyFont="1" applyFill="1" applyAlignment="1" applyProtection="1">
      <alignment horizontal="left" vertical="center" wrapText="1"/>
      <protection hidden="1"/>
    </xf>
    <xf numFmtId="0" fontId="38" fillId="41" borderId="0" xfId="0" applyFont="1" applyFill="1" applyAlignment="1">
      <alignment horizontal="left"/>
    </xf>
    <xf numFmtId="0" fontId="38" fillId="41" borderId="0" xfId="58" applyFont="1" applyFill="1" applyAlignment="1" applyProtection="1">
      <alignment horizontal="center" vertical="center" wrapText="1"/>
      <protection hidden="1"/>
    </xf>
    <xf numFmtId="0" fontId="5" fillId="41" borderId="0" xfId="58" applyFont="1" applyFill="1"/>
    <xf numFmtId="0" fontId="32" fillId="41" borderId="0" xfId="0" applyFont="1" applyFill="1" applyAlignment="1">
      <alignment horizontal="center"/>
    </xf>
    <xf numFmtId="0" fontId="32" fillId="43" borderId="30" xfId="0" applyFont="1" applyFill="1" applyBorder="1" applyAlignment="1">
      <alignment vertical="center"/>
    </xf>
    <xf numFmtId="0" fontId="3" fillId="43" borderId="30" xfId="0" applyFont="1" applyFill="1" applyBorder="1" applyAlignment="1">
      <alignment vertical="center"/>
    </xf>
    <xf numFmtId="164" fontId="3" fillId="31" borderId="3" xfId="0" applyNumberFormat="1" applyFont="1" applyFill="1" applyBorder="1" applyAlignment="1">
      <alignment horizontal="right" vertical="center"/>
    </xf>
    <xf numFmtId="0" fontId="2" fillId="27" borderId="3" xfId="0" applyFont="1" applyFill="1" applyBorder="1" applyAlignment="1">
      <alignment horizontal="center"/>
    </xf>
    <xf numFmtId="0" fontId="2" fillId="43" borderId="32" xfId="58" applyFont="1" applyFill="1" applyBorder="1" applyAlignment="1" applyProtection="1">
      <alignment horizontal="left" vertical="center"/>
      <protection hidden="1"/>
    </xf>
    <xf numFmtId="0" fontId="32" fillId="43" borderId="32" xfId="58" applyFont="1" applyFill="1" applyBorder="1" applyAlignment="1" applyProtection="1">
      <alignment horizontal="right" vertical="center"/>
      <protection hidden="1"/>
    </xf>
    <xf numFmtId="0" fontId="3" fillId="43" borderId="30" xfId="65" applyFont="1" applyFill="1" applyBorder="1" applyAlignment="1" applyProtection="1">
      <alignment horizontal="right" vertical="center"/>
      <protection hidden="1"/>
    </xf>
    <xf numFmtId="0" fontId="32" fillId="43" borderId="21" xfId="65" applyFont="1" applyFill="1" applyBorder="1" applyAlignment="1" applyProtection="1">
      <alignment horizontal="right" vertical="center"/>
      <protection hidden="1"/>
    </xf>
    <xf numFmtId="0" fontId="2" fillId="20" borderId="3" xfId="0" applyFont="1" applyFill="1" applyBorder="1" applyAlignment="1">
      <alignment horizontal="center"/>
    </xf>
    <xf numFmtId="0" fontId="85" fillId="41" borderId="15" xfId="50" applyFont="1" applyFill="1" applyBorder="1" applyAlignment="1" applyProtection="1">
      <alignment horizontal="center" vertical="center"/>
    </xf>
    <xf numFmtId="0" fontId="32" fillId="16" borderId="0" xfId="0" applyFont="1" applyFill="1" applyAlignment="1">
      <alignment horizontal="left"/>
    </xf>
    <xf numFmtId="0" fontId="38" fillId="16" borderId="28" xfId="0" applyFont="1" applyFill="1" applyBorder="1" applyAlignment="1">
      <alignment horizontal="center" wrapText="1"/>
    </xf>
    <xf numFmtId="14" fontId="0" fillId="0" borderId="0" xfId="0" applyNumberFormat="1"/>
    <xf numFmtId="0" fontId="1" fillId="33" borderId="36" xfId="0" applyFont="1" applyFill="1" applyBorder="1" applyAlignment="1">
      <alignment horizontal="center"/>
    </xf>
    <xf numFmtId="0" fontId="89" fillId="0" borderId="20" xfId="0" applyFont="1" applyBorder="1" applyAlignment="1">
      <alignment horizontal="left"/>
    </xf>
    <xf numFmtId="0" fontId="2" fillId="0" borderId="0" xfId="60" applyFont="1" applyAlignment="1">
      <alignment horizontal="center"/>
    </xf>
    <xf numFmtId="0" fontId="2" fillId="0" borderId="17" xfId="60" applyFont="1" applyBorder="1" applyAlignment="1">
      <alignment horizontal="center"/>
    </xf>
    <xf numFmtId="4" fontId="81" fillId="24" borderId="17" xfId="0" applyNumberFormat="1" applyFont="1" applyFill="1" applyBorder="1"/>
    <xf numFmtId="0" fontId="2" fillId="0" borderId="16" xfId="0" applyFont="1" applyBorder="1"/>
    <xf numFmtId="0" fontId="3" fillId="0" borderId="20" xfId="0" applyFont="1" applyBorder="1"/>
    <xf numFmtId="0" fontId="2" fillId="0" borderId="13" xfId="60" applyFont="1" applyBorder="1" applyAlignment="1">
      <alignment horizontal="left"/>
    </xf>
    <xf numFmtId="0" fontId="2" fillId="0" borderId="0" xfId="60" applyFont="1" applyAlignment="1">
      <alignment horizontal="center" wrapText="1"/>
    </xf>
    <xf numFmtId="0" fontId="2" fillId="0" borderId="0" xfId="60" applyFont="1" applyAlignment="1">
      <alignment horizontal="left"/>
    </xf>
    <xf numFmtId="3" fontId="3" fillId="40" borderId="0" xfId="0" applyNumberFormat="1" applyFont="1" applyFill="1"/>
    <xf numFmtId="3" fontId="90" fillId="40" borderId="15" xfId="64" applyNumberFormat="1" applyFont="1" applyFill="1" applyBorder="1"/>
    <xf numFmtId="0" fontId="3" fillId="24" borderId="13" xfId="60" applyFont="1" applyFill="1" applyBorder="1" applyAlignment="1">
      <alignment horizontal="left"/>
    </xf>
    <xf numFmtId="0" fontId="3" fillId="24" borderId="0" xfId="60" applyFont="1" applyFill="1"/>
    <xf numFmtId="0" fontId="3" fillId="0" borderId="13" xfId="0" applyFont="1" applyBorder="1" applyAlignment="1">
      <alignment horizontal="left"/>
    </xf>
    <xf numFmtId="0" fontId="3" fillId="21" borderId="28" xfId="0" applyFont="1" applyFill="1" applyBorder="1" applyAlignment="1">
      <alignment horizontal="center"/>
    </xf>
    <xf numFmtId="0" fontId="3" fillId="21" borderId="50" xfId="0" applyFont="1" applyFill="1" applyBorder="1" applyAlignment="1">
      <alignment horizontal="center"/>
    </xf>
    <xf numFmtId="0" fontId="3" fillId="21" borderId="51" xfId="0" applyFont="1" applyFill="1" applyBorder="1" applyAlignment="1">
      <alignment horizontal="center"/>
    </xf>
    <xf numFmtId="0" fontId="3" fillId="21" borderId="3" xfId="0" applyFont="1" applyFill="1" applyBorder="1" applyAlignment="1">
      <alignment horizontal="center"/>
    </xf>
    <xf numFmtId="0" fontId="3" fillId="21" borderId="28" xfId="0" applyFont="1" applyFill="1" applyBorder="1" applyAlignment="1">
      <alignment horizontal="left" wrapText="1"/>
    </xf>
    <xf numFmtId="3" fontId="3" fillId="21" borderId="28" xfId="0" applyNumberFormat="1" applyFont="1" applyFill="1" applyBorder="1" applyAlignment="1">
      <alignment horizontal="center"/>
    </xf>
    <xf numFmtId="0" fontId="3" fillId="21" borderId="3" xfId="0" applyFont="1" applyFill="1" applyBorder="1" applyAlignment="1">
      <alignment horizontal="left" wrapText="1"/>
    </xf>
    <xf numFmtId="3" fontId="3" fillId="21" borderId="3" xfId="0" applyNumberFormat="1" applyFont="1" applyFill="1" applyBorder="1" applyAlignment="1">
      <alignment horizontal="center"/>
    </xf>
    <xf numFmtId="0" fontId="3" fillId="21" borderId="28" xfId="0" applyFont="1" applyFill="1" applyBorder="1" applyAlignment="1">
      <alignment horizontal="left"/>
    </xf>
    <xf numFmtId="3" fontId="3" fillId="21" borderId="28" xfId="0" applyNumberFormat="1" applyFont="1" applyFill="1" applyBorder="1" applyAlignment="1">
      <alignment horizontal="left"/>
    </xf>
    <xf numFmtId="4" fontId="3" fillId="21" borderId="28" xfId="0" applyNumberFormat="1" applyFont="1" applyFill="1" applyBorder="1" applyAlignment="1">
      <alignment horizontal="center"/>
    </xf>
    <xf numFmtId="0" fontId="3" fillId="21" borderId="36" xfId="0" applyFont="1" applyFill="1" applyBorder="1" applyAlignment="1">
      <alignment horizontal="left"/>
    </xf>
    <xf numFmtId="3" fontId="3" fillId="21" borderId="36" xfId="0" applyNumberFormat="1" applyFont="1" applyFill="1" applyBorder="1" applyAlignment="1">
      <alignment horizontal="left"/>
    </xf>
    <xf numFmtId="4" fontId="3" fillId="21" borderId="36" xfId="0" applyNumberFormat="1" applyFont="1" applyFill="1" applyBorder="1" applyAlignment="1">
      <alignment horizontal="center"/>
    </xf>
    <xf numFmtId="3" fontId="3" fillId="21" borderId="34" xfId="0" applyNumberFormat="1" applyFont="1" applyFill="1" applyBorder="1" applyAlignment="1">
      <alignment horizontal="left"/>
    </xf>
    <xf numFmtId="4" fontId="91" fillId="21" borderId="34" xfId="0" applyNumberFormat="1" applyFont="1" applyFill="1" applyBorder="1" applyAlignment="1">
      <alignment horizontal="center"/>
    </xf>
    <xf numFmtId="0" fontId="3" fillId="21" borderId="34" xfId="0" applyFont="1" applyFill="1" applyBorder="1" applyAlignment="1">
      <alignment horizontal="left"/>
    </xf>
    <xf numFmtId="0" fontId="90" fillId="0" borderId="0" xfId="0" applyFont="1" applyAlignment="1">
      <alignment horizontal="center"/>
    </xf>
    <xf numFmtId="0" fontId="90" fillId="0" borderId="15" xfId="0" applyFont="1" applyBorder="1" applyAlignment="1">
      <alignment horizontal="center"/>
    </xf>
    <xf numFmtId="0" fontId="3" fillId="28" borderId="27" xfId="0" applyFont="1" applyFill="1" applyBorder="1"/>
    <xf numFmtId="0" fontId="3" fillId="24" borderId="27" xfId="0" applyFont="1" applyFill="1" applyBorder="1"/>
    <xf numFmtId="0" fontId="3" fillId="21" borderId="27" xfId="0" applyFont="1" applyFill="1" applyBorder="1"/>
    <xf numFmtId="0" fontId="92" fillId="0" borderId="0" xfId="0" applyFont="1"/>
    <xf numFmtId="0" fontId="32" fillId="16" borderId="0" xfId="65" applyFont="1" applyFill="1" applyAlignment="1" applyProtection="1">
      <alignment horizontal="left" vertical="center"/>
      <protection hidden="1"/>
    </xf>
    <xf numFmtId="0" fontId="1" fillId="16" borderId="0" xfId="65" applyFont="1" applyFill="1" applyAlignment="1" applyProtection="1">
      <alignment vertical="center"/>
      <protection hidden="1"/>
    </xf>
    <xf numFmtId="0" fontId="1" fillId="16" borderId="0" xfId="58" applyFill="1" applyProtection="1">
      <protection hidden="1"/>
    </xf>
    <xf numFmtId="0" fontId="93" fillId="16" borderId="0" xfId="0" applyFont="1" applyFill="1" applyAlignment="1">
      <alignment horizontal="left" vertical="center"/>
    </xf>
    <xf numFmtId="0" fontId="6" fillId="21" borderId="16" xfId="0" applyFont="1" applyFill="1" applyBorder="1" applyAlignment="1">
      <alignment horizontal="left"/>
    </xf>
    <xf numFmtId="0" fontId="3" fillId="21" borderId="28" xfId="0" applyFont="1" applyFill="1" applyBorder="1"/>
    <xf numFmtId="3" fontId="3" fillId="21" borderId="28" xfId="0" applyNumberFormat="1" applyFont="1" applyFill="1" applyBorder="1"/>
    <xf numFmtId="0" fontId="3" fillId="21" borderId="52" xfId="0" applyFont="1" applyFill="1" applyBorder="1"/>
    <xf numFmtId="0" fontId="3" fillId="21" borderId="53" xfId="0" applyFont="1" applyFill="1" applyBorder="1"/>
    <xf numFmtId="0" fontId="3" fillId="21" borderId="54" xfId="0" applyFont="1" applyFill="1" applyBorder="1"/>
    <xf numFmtId="0" fontId="3" fillId="21" borderId="3" xfId="0" applyFont="1" applyFill="1" applyBorder="1"/>
    <xf numFmtId="0" fontId="3" fillId="21" borderId="55" xfId="0" applyFont="1" applyFill="1" applyBorder="1"/>
    <xf numFmtId="3" fontId="3" fillId="21" borderId="36" xfId="0" applyNumberFormat="1" applyFont="1" applyFill="1" applyBorder="1"/>
    <xf numFmtId="3" fontId="3" fillId="21" borderId="34" xfId="0" applyNumberFormat="1" applyFont="1" applyFill="1" applyBorder="1"/>
    <xf numFmtId="3" fontId="3" fillId="21" borderId="3" xfId="0" applyNumberFormat="1" applyFont="1" applyFill="1" applyBorder="1"/>
    <xf numFmtId="4" fontId="3" fillId="21" borderId="36" xfId="0" applyNumberFormat="1" applyFont="1" applyFill="1" applyBorder="1"/>
    <xf numFmtId="4" fontId="3" fillId="21" borderId="34" xfId="0" applyNumberFormat="1" applyFont="1" applyFill="1" applyBorder="1"/>
    <xf numFmtId="0" fontId="6" fillId="21" borderId="20" xfId="0" applyFont="1" applyFill="1" applyBorder="1"/>
    <xf numFmtId="0" fontId="6" fillId="21" borderId="20" xfId="63" applyFont="1" applyFill="1" applyBorder="1"/>
    <xf numFmtId="0" fontId="6" fillId="21" borderId="19" xfId="0" applyFont="1" applyFill="1" applyBorder="1"/>
    <xf numFmtId="0" fontId="6" fillId="21" borderId="0" xfId="0" applyFont="1" applyFill="1"/>
    <xf numFmtId="0" fontId="6" fillId="21" borderId="0" xfId="63" applyFont="1" applyFill="1"/>
    <xf numFmtId="187" fontId="3" fillId="0" borderId="0" xfId="0" applyNumberFormat="1" applyFont="1"/>
    <xf numFmtId="164" fontId="2" fillId="0" borderId="0" xfId="0" applyNumberFormat="1" applyFont="1"/>
    <xf numFmtId="164" fontId="90" fillId="0" borderId="0" xfId="0" applyNumberFormat="1" applyFont="1"/>
    <xf numFmtId="164" fontId="3" fillId="0" borderId="15" xfId="0" applyNumberFormat="1" applyFont="1" applyBorder="1"/>
    <xf numFmtId="164" fontId="81" fillId="0" borderId="15" xfId="0" applyNumberFormat="1" applyFont="1" applyBorder="1"/>
    <xf numFmtId="164" fontId="3" fillId="25" borderId="0" xfId="0" applyNumberFormat="1" applyFont="1" applyFill="1"/>
    <xf numFmtId="164" fontId="3" fillId="25" borderId="15" xfId="0" applyNumberFormat="1" applyFont="1" applyFill="1" applyBorder="1"/>
    <xf numFmtId="0" fontId="3" fillId="0" borderId="27" xfId="0" applyFont="1" applyBorder="1" applyAlignment="1">
      <alignment horizontal="center" wrapText="1"/>
    </xf>
    <xf numFmtId="0" fontId="81" fillId="0" borderId="27" xfId="0" applyFont="1" applyBorder="1" applyAlignment="1">
      <alignment horizontal="center" wrapText="1"/>
    </xf>
    <xf numFmtId="0" fontId="3" fillId="0" borderId="56" xfId="0" applyFont="1" applyBorder="1"/>
    <xf numFmtId="0" fontId="70" fillId="0" borderId="0" xfId="50" applyFont="1" applyAlignment="1" applyProtection="1"/>
    <xf numFmtId="0" fontId="58" fillId="20" borderId="0" xfId="0" applyFont="1" applyFill="1"/>
    <xf numFmtId="164" fontId="2" fillId="25" borderId="0" xfId="0" applyNumberFormat="1" applyFont="1" applyFill="1"/>
    <xf numFmtId="4" fontId="90" fillId="24" borderId="18" xfId="64" applyNumberFormat="1" applyFont="1" applyFill="1" applyBorder="1"/>
    <xf numFmtId="0" fontId="94" fillId="21" borderId="16" xfId="0" applyFont="1" applyFill="1" applyBorder="1" applyAlignment="1">
      <alignment horizontal="left"/>
    </xf>
    <xf numFmtId="0" fontId="94" fillId="21" borderId="48" xfId="0" applyFont="1" applyFill="1" applyBorder="1" applyAlignment="1">
      <alignment horizontal="left"/>
    </xf>
    <xf numFmtId="0" fontId="94" fillId="21" borderId="28" xfId="0" applyFont="1" applyFill="1" applyBorder="1"/>
    <xf numFmtId="3" fontId="94" fillId="21" borderId="28" xfId="0" applyNumberFormat="1" applyFont="1" applyFill="1" applyBorder="1"/>
    <xf numFmtId="0" fontId="94" fillId="21" borderId="37" xfId="0" applyFont="1" applyFill="1" applyBorder="1" applyAlignment="1">
      <alignment horizontal="left"/>
    </xf>
    <xf numFmtId="0" fontId="94" fillId="21" borderId="49" xfId="0" applyFont="1" applyFill="1" applyBorder="1" applyAlignment="1">
      <alignment horizontal="left"/>
    </xf>
    <xf numFmtId="0" fontId="94" fillId="21" borderId="28" xfId="0" applyFont="1" applyFill="1" applyBorder="1" applyAlignment="1">
      <alignment horizontal="center"/>
    </xf>
    <xf numFmtId="0" fontId="94" fillId="21" borderId="57" xfId="0" applyFont="1" applyFill="1" applyBorder="1"/>
    <xf numFmtId="0" fontId="94" fillId="21" borderId="28" xfId="0" applyFont="1" applyFill="1" applyBorder="1" applyAlignment="1">
      <alignment horizontal="left" wrapText="1"/>
    </xf>
    <xf numFmtId="0" fontId="94" fillId="21" borderId="28" xfId="0" applyFont="1" applyFill="1" applyBorder="1" applyAlignment="1">
      <alignment wrapText="1"/>
    </xf>
    <xf numFmtId="0" fontId="94" fillId="21" borderId="28" xfId="0" applyFont="1" applyFill="1" applyBorder="1" applyAlignment="1">
      <alignment horizontal="left"/>
    </xf>
    <xf numFmtId="4" fontId="94" fillId="21" borderId="28" xfId="0" applyNumberFormat="1" applyFont="1" applyFill="1" applyBorder="1"/>
    <xf numFmtId="0" fontId="94" fillId="21" borderId="58" xfId="0" applyFont="1" applyFill="1" applyBorder="1"/>
    <xf numFmtId="0" fontId="94" fillId="21" borderId="61" xfId="0" applyFont="1" applyFill="1" applyBorder="1" applyAlignment="1">
      <alignment horizontal="left"/>
    </xf>
    <xf numFmtId="4" fontId="94" fillId="21" borderId="61" xfId="0" applyNumberFormat="1" applyFont="1" applyFill="1" applyBorder="1"/>
    <xf numFmtId="0" fontId="94" fillId="21" borderId="59" xfId="0" applyFont="1" applyFill="1" applyBorder="1"/>
    <xf numFmtId="0" fontId="94" fillId="21" borderId="62" xfId="0" applyFont="1" applyFill="1" applyBorder="1" applyAlignment="1">
      <alignment horizontal="left"/>
    </xf>
    <xf numFmtId="0" fontId="94" fillId="21" borderId="3" xfId="0" applyFont="1" applyFill="1" applyBorder="1"/>
    <xf numFmtId="4" fontId="94" fillId="21" borderId="62" xfId="0" applyNumberFormat="1" applyFont="1" applyFill="1" applyBorder="1"/>
    <xf numFmtId="0" fontId="94" fillId="21" borderId="60" xfId="0" applyFont="1" applyFill="1" applyBorder="1"/>
    <xf numFmtId="164" fontId="52" fillId="0" borderId="0" xfId="0" applyNumberFormat="1" applyFont="1"/>
    <xf numFmtId="188" fontId="1" fillId="27" borderId="35" xfId="0" applyNumberFormat="1" applyFont="1" applyFill="1" applyBorder="1"/>
    <xf numFmtId="188" fontId="1" fillId="19" borderId="63" xfId="0" applyNumberFormat="1" applyFont="1" applyFill="1" applyBorder="1"/>
    <xf numFmtId="188" fontId="1" fillId="27" borderId="63" xfId="0" applyNumberFormat="1" applyFont="1" applyFill="1" applyBorder="1"/>
    <xf numFmtId="188" fontId="1" fillId="19" borderId="64" xfId="0" applyNumberFormat="1" applyFont="1" applyFill="1" applyBorder="1"/>
    <xf numFmtId="189" fontId="32" fillId="27" borderId="27" xfId="0" applyNumberFormat="1" applyFont="1" applyFill="1" applyBorder="1"/>
    <xf numFmtId="188" fontId="32" fillId="27" borderId="27" xfId="0" applyNumberFormat="1" applyFont="1" applyFill="1" applyBorder="1"/>
    <xf numFmtId="0" fontId="2" fillId="27" borderId="27" xfId="0" applyFont="1" applyFill="1" applyBorder="1" applyAlignment="1">
      <alignment horizontal="right" vertical="center" wrapText="1"/>
    </xf>
    <xf numFmtId="0" fontId="59" fillId="0" borderId="65" xfId="0" applyFont="1" applyBorder="1"/>
    <xf numFmtId="0" fontId="59" fillId="0" borderId="66" xfId="0" applyFont="1" applyBorder="1"/>
    <xf numFmtId="0" fontId="95" fillId="0" borderId="66" xfId="0" applyFont="1" applyBorder="1"/>
    <xf numFmtId="0" fontId="95" fillId="0" borderId="67" xfId="0" applyFont="1" applyBorder="1"/>
    <xf numFmtId="0" fontId="6" fillId="0" borderId="68" xfId="0" applyFont="1" applyBorder="1"/>
    <xf numFmtId="164" fontId="52" fillId="0" borderId="69" xfId="0" applyNumberFormat="1" applyFont="1" applyBorder="1"/>
    <xf numFmtId="164" fontId="52" fillId="0" borderId="70" xfId="0" applyNumberFormat="1" applyFont="1" applyBorder="1"/>
    <xf numFmtId="164" fontId="52" fillId="0" borderId="71" xfId="0" applyNumberFormat="1" applyFont="1" applyBorder="1"/>
    <xf numFmtId="187" fontId="36" fillId="23" borderId="20" xfId="58" applyNumberFormat="1" applyFont="1" applyFill="1" applyBorder="1" applyAlignment="1" applyProtection="1">
      <alignment horizontal="left" vertical="center" wrapText="1"/>
      <protection hidden="1"/>
    </xf>
    <xf numFmtId="187" fontId="80" fillId="23" borderId="19" xfId="0" applyNumberFormat="1" applyFont="1" applyFill="1" applyBorder="1" applyAlignment="1">
      <alignment horizontal="left" vertical="center" wrapText="1"/>
    </xf>
    <xf numFmtId="0" fontId="36" fillId="43" borderId="20" xfId="58" applyFont="1" applyFill="1" applyBorder="1" applyAlignment="1" applyProtection="1">
      <alignment horizontal="left" vertical="center" wrapText="1"/>
      <protection hidden="1"/>
    </xf>
    <xf numFmtId="0" fontId="38" fillId="0" borderId="16" xfId="58" applyFont="1" applyBorder="1" applyAlignment="1" applyProtection="1">
      <alignment horizontal="left" vertical="top" wrapText="1"/>
      <protection locked="0"/>
    </xf>
    <xf numFmtId="0" fontId="38" fillId="0" borderId="20" xfId="58" applyFont="1" applyBorder="1" applyAlignment="1" applyProtection="1">
      <alignment horizontal="left" vertical="top" wrapText="1"/>
      <protection locked="0"/>
    </xf>
    <xf numFmtId="0" fontId="38" fillId="0" borderId="19" xfId="58" applyFont="1" applyBorder="1" applyAlignment="1" applyProtection="1">
      <alignment horizontal="left" vertical="top" wrapText="1"/>
      <protection locked="0"/>
    </xf>
    <xf numFmtId="0" fontId="38" fillId="0" borderId="14" xfId="58" applyFont="1" applyBorder="1" applyAlignment="1" applyProtection="1">
      <alignment horizontal="left" vertical="top" wrapText="1"/>
      <protection locked="0"/>
    </xf>
    <xf numFmtId="0" fontId="38" fillId="0" borderId="15" xfId="58" applyFont="1" applyBorder="1" applyAlignment="1" applyProtection="1">
      <alignment horizontal="left" vertical="top" wrapText="1"/>
      <protection locked="0"/>
    </xf>
    <xf numFmtId="0" fontId="38" fillId="0" borderId="18" xfId="58" applyFont="1" applyBorder="1" applyAlignment="1" applyProtection="1">
      <alignment horizontal="left" vertical="top" wrapText="1"/>
      <protection locked="0"/>
    </xf>
    <xf numFmtId="0" fontId="32" fillId="41" borderId="0" xfId="58" applyFont="1" applyFill="1" applyAlignment="1" applyProtection="1">
      <alignment horizontal="center" vertical="center" wrapText="1"/>
      <protection hidden="1"/>
    </xf>
    <xf numFmtId="0" fontId="38" fillId="16" borderId="0" xfId="58" applyFont="1" applyFill="1" applyAlignment="1" applyProtection="1">
      <alignment horizontal="left" vertical="top" wrapText="1"/>
      <protection hidden="1"/>
    </xf>
    <xf numFmtId="0" fontId="38" fillId="0" borderId="0" xfId="0" applyFont="1" applyAlignment="1">
      <alignment horizontal="left" vertical="top" wrapText="1"/>
    </xf>
    <xf numFmtId="0" fontId="38" fillId="16" borderId="0" xfId="58" applyFont="1" applyFill="1" applyAlignment="1" applyProtection="1">
      <alignment horizontal="left" vertical="center" wrapText="1"/>
      <protection hidden="1"/>
    </xf>
    <xf numFmtId="0" fontId="38" fillId="0" borderId="0" xfId="0" applyFont="1" applyAlignment="1">
      <alignment horizontal="left" vertical="center" wrapText="1"/>
    </xf>
    <xf numFmtId="0" fontId="38" fillId="41" borderId="0" xfId="58" applyFont="1" applyFill="1" applyAlignment="1" applyProtection="1">
      <alignment horizontal="left" vertical="center" wrapText="1"/>
      <protection hidden="1"/>
    </xf>
    <xf numFmtId="0" fontId="32" fillId="41" borderId="29" xfId="58" applyFont="1" applyFill="1" applyBorder="1" applyAlignment="1" applyProtection="1">
      <alignment horizontal="center" vertical="center" wrapText="1"/>
      <protection hidden="1"/>
    </xf>
    <xf numFmtId="0" fontId="32" fillId="41" borderId="30" xfId="58" applyFont="1" applyFill="1" applyBorder="1" applyAlignment="1" applyProtection="1">
      <alignment horizontal="center" vertical="center" wrapText="1"/>
      <protection hidden="1"/>
    </xf>
    <xf numFmtId="0" fontId="32" fillId="41" borderId="21" xfId="58" applyFont="1" applyFill="1" applyBorder="1" applyAlignment="1" applyProtection="1">
      <alignment horizontal="center" vertical="center" wrapText="1"/>
      <protection hidden="1"/>
    </xf>
    <xf numFmtId="0" fontId="40" fillId="41" borderId="0" xfId="0" applyFont="1" applyFill="1" applyAlignment="1">
      <alignment horizontal="center" vertical="center" wrapText="1"/>
    </xf>
    <xf numFmtId="0" fontId="40" fillId="41" borderId="0" xfId="58" applyFont="1" applyFill="1" applyAlignment="1" applyProtection="1">
      <alignment horizontal="left" vertical="center" wrapText="1"/>
      <protection hidden="1"/>
    </xf>
    <xf numFmtId="0" fontId="38" fillId="41" borderId="0" xfId="58" applyFont="1" applyFill="1" applyAlignment="1" applyProtection="1">
      <alignment horizontal="center" vertical="center" wrapText="1"/>
      <protection hidden="1"/>
    </xf>
    <xf numFmtId="0" fontId="38" fillId="41" borderId="0" xfId="58" applyFont="1" applyFill="1" applyAlignment="1" applyProtection="1">
      <alignment horizontal="center" vertical="center"/>
      <protection hidden="1"/>
    </xf>
    <xf numFmtId="0" fontId="2" fillId="24" borderId="3" xfId="0" applyFont="1" applyFill="1" applyBorder="1" applyAlignment="1">
      <alignment horizontal="center" vertical="center" textRotation="180"/>
    </xf>
    <xf numFmtId="0" fontId="0" fillId="0" borderId="3" xfId="0" applyBorder="1"/>
    <xf numFmtId="0" fontId="37" fillId="40" borderId="3" xfId="0" applyFont="1" applyFill="1" applyBorder="1" applyAlignment="1">
      <alignment horizontal="center" vertical="center" textRotation="180"/>
    </xf>
    <xf numFmtId="0" fontId="0" fillId="40" borderId="3" xfId="0" applyFill="1" applyBorder="1"/>
    <xf numFmtId="0" fontId="7" fillId="0" borderId="29" xfId="0" applyFont="1" applyBorder="1" applyAlignment="1">
      <alignment horizontal="center"/>
    </xf>
    <xf numFmtId="0" fontId="7" fillId="0" borderId="21" xfId="0" applyFont="1" applyBorder="1" applyAlignment="1">
      <alignment horizontal="center"/>
    </xf>
    <xf numFmtId="0" fontId="2" fillId="32" borderId="3" xfId="0" applyFont="1" applyFill="1" applyBorder="1" applyAlignment="1">
      <alignment horizontal="left" vertical="center" textRotation="180"/>
    </xf>
    <xf numFmtId="0" fontId="2" fillId="0" borderId="3" xfId="0" applyFont="1" applyBorder="1" applyAlignment="1">
      <alignment horizontal="left" vertical="center" textRotation="180"/>
    </xf>
    <xf numFmtId="0" fontId="2" fillId="28" borderId="3" xfId="0" applyFont="1" applyFill="1" applyBorder="1" applyAlignment="1">
      <alignment horizontal="left" vertical="center" textRotation="180"/>
    </xf>
    <xf numFmtId="0" fontId="38" fillId="41" borderId="16" xfId="0" applyFont="1" applyFill="1" applyBorder="1" applyAlignment="1">
      <alignment horizontal="center" vertical="center"/>
    </xf>
    <xf numFmtId="0" fontId="38" fillId="41" borderId="20" xfId="0" applyFont="1" applyFill="1" applyBorder="1" applyAlignment="1">
      <alignment horizontal="center" vertical="center"/>
    </xf>
    <xf numFmtId="0" fontId="38" fillId="41" borderId="19" xfId="0" applyFont="1" applyFill="1" applyBorder="1" applyAlignment="1">
      <alignment horizontal="center" vertical="center"/>
    </xf>
    <xf numFmtId="0" fontId="2" fillId="27" borderId="16" xfId="0" applyFont="1" applyFill="1" applyBorder="1" applyAlignment="1">
      <alignment horizontal="left" vertical="center" wrapText="1"/>
    </xf>
    <xf numFmtId="0" fontId="2" fillId="27" borderId="13" xfId="0" applyFont="1" applyFill="1" applyBorder="1" applyAlignment="1">
      <alignment horizontal="left" vertical="center" wrapText="1"/>
    </xf>
    <xf numFmtId="0" fontId="2" fillId="27" borderId="14" xfId="0" applyFont="1" applyFill="1" applyBorder="1" applyAlignment="1">
      <alignment horizontal="left" vertical="center" wrapText="1"/>
    </xf>
    <xf numFmtId="0" fontId="3" fillId="16" borderId="0" xfId="0" applyFont="1" applyFill="1" applyAlignment="1">
      <alignment horizontal="left" vertical="top" wrapText="1"/>
    </xf>
    <xf numFmtId="0" fontId="85" fillId="16" borderId="0" xfId="50" applyFont="1" applyFill="1" applyBorder="1" applyAlignment="1" applyProtection="1">
      <alignment horizontal="center" vertical="center"/>
      <protection hidden="1"/>
    </xf>
    <xf numFmtId="0" fontId="38" fillId="0" borderId="16" xfId="0" applyFont="1" applyBorder="1" applyAlignment="1">
      <alignment horizontal="left" vertical="center" wrapText="1"/>
    </xf>
    <xf numFmtId="0" fontId="38" fillId="0" borderId="19" xfId="0" applyFont="1" applyBorder="1" applyAlignment="1">
      <alignment horizontal="left" vertical="center" wrapText="1"/>
    </xf>
    <xf numFmtId="0" fontId="38" fillId="0" borderId="13" xfId="0" applyFont="1" applyBorder="1" applyAlignment="1">
      <alignment horizontal="left" vertical="center" wrapText="1"/>
    </xf>
    <xf numFmtId="0" fontId="38" fillId="0" borderId="17" xfId="0" applyFont="1" applyBorder="1" applyAlignment="1">
      <alignment horizontal="left" vertical="center" wrapText="1"/>
    </xf>
    <xf numFmtId="0" fontId="38" fillId="0" borderId="14" xfId="0" applyFont="1" applyBorder="1" applyAlignment="1">
      <alignment horizontal="left" vertical="center" wrapText="1"/>
    </xf>
    <xf numFmtId="0" fontId="38" fillId="0" borderId="18" xfId="0" applyFont="1" applyBorder="1" applyAlignment="1">
      <alignment horizontal="left" vertical="center" wrapText="1"/>
    </xf>
    <xf numFmtId="0" fontId="1" fillId="16" borderId="0" xfId="0" applyFont="1" applyFill="1" applyAlignment="1">
      <alignment horizontal="right" vertical="center" wrapText="1"/>
    </xf>
    <xf numFmtId="0" fontId="1" fillId="16" borderId="17" xfId="0" applyFont="1" applyFill="1" applyBorder="1" applyAlignment="1">
      <alignment horizontal="right" vertical="center" wrapText="1"/>
    </xf>
    <xf numFmtId="4" fontId="2" fillId="27" borderId="3" xfId="0" applyNumberFormat="1" applyFont="1" applyFill="1" applyBorder="1" applyAlignment="1">
      <alignment horizontal="center" wrapText="1"/>
    </xf>
    <xf numFmtId="0" fontId="3" fillId="27" borderId="16" xfId="0" applyFont="1" applyFill="1" applyBorder="1" applyAlignment="1">
      <alignment horizontal="left" vertical="center" wrapText="1" shrinkToFit="1"/>
    </xf>
    <xf numFmtId="0" fontId="3" fillId="27" borderId="19" xfId="0" applyFont="1" applyFill="1" applyBorder="1" applyAlignment="1">
      <alignment horizontal="left" vertical="center" wrapText="1" shrinkToFit="1"/>
    </xf>
    <xf numFmtId="0" fontId="3" fillId="27" borderId="13" xfId="0" applyFont="1" applyFill="1" applyBorder="1" applyAlignment="1">
      <alignment horizontal="left" vertical="center" wrapText="1" shrinkToFit="1"/>
    </xf>
    <xf numFmtId="0" fontId="3" fillId="27" borderId="17" xfId="0" applyFont="1" applyFill="1" applyBorder="1" applyAlignment="1">
      <alignment horizontal="left" vertical="center" wrapText="1" shrinkToFit="1"/>
    </xf>
    <xf numFmtId="0" fontId="3" fillId="27" borderId="14" xfId="0" applyFont="1" applyFill="1" applyBorder="1" applyAlignment="1">
      <alignment horizontal="left" vertical="center" wrapText="1" shrinkToFit="1"/>
    </xf>
    <xf numFmtId="0" fontId="3" fillId="27" borderId="18" xfId="0" applyFont="1" applyFill="1" applyBorder="1" applyAlignment="1">
      <alignment horizontal="left" vertical="center" wrapText="1" shrinkToFit="1"/>
    </xf>
    <xf numFmtId="0" fontId="38" fillId="27" borderId="16" xfId="0" applyFont="1" applyFill="1" applyBorder="1" applyAlignment="1">
      <alignment horizontal="left" vertical="center" wrapText="1"/>
    </xf>
    <xf numFmtId="0" fontId="38" fillId="27" borderId="19" xfId="0" applyFont="1" applyFill="1" applyBorder="1" applyAlignment="1">
      <alignment horizontal="left" vertical="center" wrapText="1"/>
    </xf>
    <xf numFmtId="0" fontId="38" fillId="27" borderId="13" xfId="0" applyFont="1" applyFill="1" applyBorder="1" applyAlignment="1">
      <alignment horizontal="left" vertical="center" wrapText="1"/>
    </xf>
    <xf numFmtId="0" fontId="38" fillId="27" borderId="17" xfId="0" applyFont="1" applyFill="1" applyBorder="1" applyAlignment="1">
      <alignment horizontal="left" vertical="center" wrapText="1"/>
    </xf>
    <xf numFmtId="0" fontId="38" fillId="27" borderId="14" xfId="0" applyFont="1" applyFill="1" applyBorder="1" applyAlignment="1">
      <alignment horizontal="left" vertical="center" wrapText="1"/>
    </xf>
    <xf numFmtId="0" fontId="38" fillId="27" borderId="18" xfId="0" applyFont="1" applyFill="1" applyBorder="1" applyAlignment="1">
      <alignment horizontal="left" vertical="center" wrapText="1"/>
    </xf>
    <xf numFmtId="0" fontId="38" fillId="34" borderId="16" xfId="0" applyFont="1" applyFill="1" applyBorder="1" applyAlignment="1">
      <alignment horizontal="left" vertical="center" wrapText="1"/>
    </xf>
    <xf numFmtId="0" fontId="38" fillId="34" borderId="19" xfId="0" applyFont="1" applyFill="1" applyBorder="1" applyAlignment="1">
      <alignment horizontal="left" vertical="center" wrapText="1"/>
    </xf>
    <xf numFmtId="0" fontId="38" fillId="34" borderId="13" xfId="0" applyFont="1" applyFill="1" applyBorder="1" applyAlignment="1">
      <alignment horizontal="left" vertical="center" wrapText="1"/>
    </xf>
    <xf numFmtId="0" fontId="38" fillId="34" borderId="17" xfId="0" applyFont="1" applyFill="1" applyBorder="1" applyAlignment="1">
      <alignment horizontal="left" vertical="center" wrapText="1"/>
    </xf>
    <xf numFmtId="0" fontId="38" fillId="34" borderId="14" xfId="0" applyFont="1" applyFill="1" applyBorder="1" applyAlignment="1">
      <alignment horizontal="left" vertical="center" wrapText="1"/>
    </xf>
    <xf numFmtId="0" fontId="38" fillId="34" borderId="18" xfId="0" applyFont="1" applyFill="1" applyBorder="1" applyAlignment="1">
      <alignment horizontal="left" vertical="center" wrapText="1"/>
    </xf>
    <xf numFmtId="0" fontId="3" fillId="13" borderId="29" xfId="65" applyFont="1" applyFill="1" applyBorder="1" applyAlignment="1" applyProtection="1">
      <alignment horizontal="left" vertical="top"/>
      <protection locked="0"/>
    </xf>
    <xf numFmtId="0" fontId="3" fillId="13" borderId="30" xfId="65" applyFont="1" applyFill="1" applyBorder="1" applyAlignment="1" applyProtection="1">
      <alignment horizontal="left" vertical="top"/>
      <protection locked="0"/>
    </xf>
    <xf numFmtId="0" fontId="3" fillId="13" borderId="21" xfId="65" applyFont="1" applyFill="1" applyBorder="1" applyAlignment="1" applyProtection="1">
      <alignment horizontal="left" vertical="top"/>
      <protection locked="0"/>
    </xf>
    <xf numFmtId="0" fontId="3" fillId="16" borderId="0" xfId="65" applyFont="1" applyFill="1" applyAlignment="1" applyProtection="1">
      <alignment horizontal="left" vertical="center" wrapText="1"/>
      <protection hidden="1"/>
    </xf>
    <xf numFmtId="0" fontId="0" fillId="0" borderId="0" xfId="0" applyAlignment="1" applyProtection="1">
      <alignment horizontal="left" vertical="center" wrapText="1"/>
      <protection hidden="1"/>
    </xf>
    <xf numFmtId="0" fontId="61" fillId="0" borderId="29" xfId="0" applyFont="1" applyBorder="1" applyAlignment="1">
      <alignment horizontal="center"/>
    </xf>
    <xf numFmtId="0" fontId="61" fillId="0" borderId="30" xfId="0" applyFont="1" applyBorder="1" applyAlignment="1">
      <alignment horizontal="center"/>
    </xf>
    <xf numFmtId="0" fontId="61" fillId="0" borderId="21" xfId="0" applyFont="1" applyBorder="1" applyAlignment="1">
      <alignment horizontal="center"/>
    </xf>
    <xf numFmtId="0" fontId="32" fillId="24" borderId="39" xfId="0" applyFont="1" applyFill="1" applyBorder="1" applyAlignment="1">
      <alignment horizontal="center"/>
    </xf>
    <xf numFmtId="0" fontId="0" fillId="0" borderId="38" xfId="0" applyBorder="1" applyAlignment="1">
      <alignment horizontal="center"/>
    </xf>
    <xf numFmtId="0" fontId="3" fillId="0" borderId="0" xfId="0" applyFont="1" applyAlignment="1">
      <alignment horizontal="left" vertical="top" wrapText="1"/>
    </xf>
    <xf numFmtId="0" fontId="3" fillId="0" borderId="15" xfId="0" applyFont="1" applyBorder="1" applyAlignment="1">
      <alignment horizontal="left" vertical="top" wrapText="1"/>
    </xf>
    <xf numFmtId="0" fontId="1" fillId="0" borderId="0" xfId="0" applyFont="1" applyAlignment="1">
      <alignment horizontal="left" vertical="top" wrapText="1"/>
    </xf>
    <xf numFmtId="0" fontId="1" fillId="0" borderId="15" xfId="0" applyFont="1" applyBorder="1" applyAlignment="1">
      <alignment horizontal="left" vertical="top" wrapText="1"/>
    </xf>
    <xf numFmtId="0" fontId="3" fillId="0" borderId="17" xfId="0" applyFont="1" applyBorder="1" applyAlignment="1">
      <alignment horizontal="left" vertical="top" wrapText="1"/>
    </xf>
    <xf numFmtId="0" fontId="3" fillId="0" borderId="18" xfId="0" applyFont="1" applyBorder="1" applyAlignment="1">
      <alignment horizontal="left" vertical="top" wrapText="1"/>
    </xf>
    <xf numFmtId="0" fontId="3" fillId="0" borderId="0" xfId="0" applyFont="1" applyAlignment="1">
      <alignment horizontal="left" wrapText="1"/>
    </xf>
    <xf numFmtId="0" fontId="3" fillId="0" borderId="15" xfId="0" applyFont="1" applyBorder="1" applyAlignment="1">
      <alignment horizontal="left" wrapText="1"/>
    </xf>
    <xf numFmtId="0" fontId="88" fillId="25" borderId="29" xfId="0" applyFont="1" applyFill="1" applyBorder="1" applyAlignment="1">
      <alignment horizontal="center"/>
    </xf>
    <xf numFmtId="0" fontId="88" fillId="25" borderId="30" xfId="0" applyFont="1" applyFill="1" applyBorder="1" applyAlignment="1">
      <alignment horizontal="center"/>
    </xf>
    <xf numFmtId="0" fontId="88" fillId="25" borderId="21" xfId="0" applyFont="1" applyFill="1" applyBorder="1" applyAlignment="1">
      <alignment horizontal="center"/>
    </xf>
    <xf numFmtId="0" fontId="3" fillId="0" borderId="13" xfId="0" applyFont="1" applyBorder="1" applyAlignment="1">
      <alignment horizontal="left" vertical="top" wrapText="1"/>
    </xf>
    <xf numFmtId="0" fontId="3" fillId="0" borderId="14" xfId="0" applyFont="1" applyBorder="1" applyAlignment="1">
      <alignment horizontal="left" vertical="top" wrapText="1"/>
    </xf>
    <xf numFmtId="0" fontId="1" fillId="0" borderId="0" xfId="0" applyFont="1" applyAlignment="1">
      <alignment horizontal="center" wrapText="1"/>
    </xf>
    <xf numFmtId="0" fontId="1" fillId="0" borderId="15" xfId="0" applyFont="1" applyBorder="1" applyAlignment="1">
      <alignment horizontal="center" wrapText="1"/>
    </xf>
  </cellXfs>
  <cellStyles count="120">
    <cellStyle name="£" xfId="76" xr:uid="{00000000-0005-0000-0000-000000000000}"/>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byA" xfId="77" xr:uid="{00000000-0005-0000-0000-000013000000}"/>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ellBACode" xfId="27" xr:uid="{00000000-0005-0000-0000-00001C000000}"/>
    <cellStyle name="CellBAName" xfId="28" xr:uid="{00000000-0005-0000-0000-00001D000000}"/>
    <cellStyle name="CellBAValue" xfId="29" xr:uid="{00000000-0005-0000-0000-00001E000000}"/>
    <cellStyle name="CellMCCode" xfId="30" xr:uid="{00000000-0005-0000-0000-00001F000000}"/>
    <cellStyle name="CellMCName" xfId="31" xr:uid="{00000000-0005-0000-0000-000020000000}"/>
    <cellStyle name="CellMCValue" xfId="32" xr:uid="{00000000-0005-0000-0000-000021000000}"/>
    <cellStyle name="CellNationCode" xfId="33" xr:uid="{00000000-0005-0000-0000-000022000000}"/>
    <cellStyle name="CellNationName" xfId="34" xr:uid="{00000000-0005-0000-0000-000023000000}"/>
    <cellStyle name="CellNationValue" xfId="35" xr:uid="{00000000-0005-0000-0000-000024000000}"/>
    <cellStyle name="CellNormal" xfId="36" xr:uid="{00000000-0005-0000-0000-000025000000}"/>
    <cellStyle name="CellRegionCode" xfId="37" xr:uid="{00000000-0005-0000-0000-000026000000}"/>
    <cellStyle name="CellRegionName" xfId="38" xr:uid="{00000000-0005-0000-0000-000027000000}"/>
    <cellStyle name="CellRegionValue" xfId="39" xr:uid="{00000000-0005-0000-0000-000028000000}"/>
    <cellStyle name="cells" xfId="78" xr:uid="{00000000-0005-0000-0000-000029000000}"/>
    <cellStyle name="CellUACode" xfId="40" xr:uid="{00000000-0005-0000-0000-00002A000000}"/>
    <cellStyle name="CellUAName" xfId="41" xr:uid="{00000000-0005-0000-0000-00002B000000}"/>
    <cellStyle name="CellUAValue" xfId="42" xr:uid="{00000000-0005-0000-0000-00002C000000}"/>
    <cellStyle name="cf1" xfId="79" xr:uid="{00000000-0005-0000-0000-00002D000000}"/>
    <cellStyle name="cf2" xfId="80" xr:uid="{00000000-0005-0000-0000-00002E000000}"/>
    <cellStyle name="cf3" xfId="81" xr:uid="{00000000-0005-0000-0000-00002F000000}"/>
    <cellStyle name="cf4" xfId="82" xr:uid="{00000000-0005-0000-0000-000030000000}"/>
    <cellStyle name="cf5" xfId="83" xr:uid="{00000000-0005-0000-0000-000031000000}"/>
    <cellStyle name="cf6" xfId="84" xr:uid="{00000000-0005-0000-0000-000032000000}"/>
    <cellStyle name="cf7" xfId="85" xr:uid="{00000000-0005-0000-0000-000033000000}"/>
    <cellStyle name="cf8" xfId="86" xr:uid="{00000000-0005-0000-0000-000034000000}"/>
    <cellStyle name="Check Cell" xfId="43" builtinId="23" customBuiltin="1"/>
    <cellStyle name="column field" xfId="87" xr:uid="{00000000-0005-0000-0000-000036000000}"/>
    <cellStyle name="Comma 2" xfId="88" xr:uid="{00000000-0005-0000-0000-000037000000}"/>
    <cellStyle name="Comma 2 2" xfId="119" xr:uid="{00000000-0005-0000-0000-000038000000}"/>
    <cellStyle name="Currency 2" xfId="89" xr:uid="{00000000-0005-0000-0000-000039000000}"/>
    <cellStyle name="Data_Total" xfId="90" xr:uid="{00000000-0005-0000-0000-00003A000000}"/>
    <cellStyle name="Explanatory Text" xfId="44" builtinId="53" customBuiltin="1"/>
    <cellStyle name="field" xfId="91" xr:uid="{00000000-0005-0000-0000-00003C000000}"/>
    <cellStyle name="field names" xfId="92" xr:uid="{00000000-0005-0000-0000-00003D000000}"/>
    <cellStyle name="footer" xfId="93" xr:uid="{00000000-0005-0000-0000-00003E000000}"/>
    <cellStyle name="Good" xfId="45" builtinId="26" customBuiltin="1"/>
    <cellStyle name="Gray2" xfId="94" xr:uid="{00000000-0005-0000-0000-000040000000}"/>
    <cellStyle name="Gray2M" xfId="95" xr:uid="{00000000-0005-0000-0000-000041000000}"/>
    <cellStyle name="Gray2M1P" xfId="96" xr:uid="{00000000-0005-0000-0000-000042000000}"/>
    <cellStyle name="heading" xfId="97" xr:uid="{00000000-0005-0000-0000-000043000000}"/>
    <cellStyle name="Heading 1" xfId="46" builtinId="16" customBuiltin="1"/>
    <cellStyle name="Heading 2" xfId="47" builtinId="17" customBuiltin="1"/>
    <cellStyle name="Heading 3" xfId="48" builtinId="18" customBuiltin="1"/>
    <cellStyle name="Heading 4" xfId="49" builtinId="19" customBuiltin="1"/>
    <cellStyle name="Headings" xfId="98" xr:uid="{00000000-0005-0000-0000-000048000000}"/>
    <cellStyle name="Hyperlink" xfId="50" builtinId="8"/>
    <cellStyle name="Hyperlink 2" xfId="51" xr:uid="{00000000-0005-0000-0000-00004A000000}"/>
    <cellStyle name="Hyperlink 3" xfId="52" xr:uid="{00000000-0005-0000-0000-00004B000000}"/>
    <cellStyle name="Hyperlink 4" xfId="53" xr:uid="{00000000-0005-0000-0000-00004C000000}"/>
    <cellStyle name="Hyperlink 5" xfId="75" xr:uid="{00000000-0005-0000-0000-00004D000000}"/>
    <cellStyle name="Input" xfId="54" builtinId="20" customBuiltin="1"/>
    <cellStyle name="Integer" xfId="99" xr:uid="{00000000-0005-0000-0000-00004F000000}"/>
    <cellStyle name="Linked Cell" xfId="55" builtinId="24" customBuiltin="1"/>
    <cellStyle name="Neutral" xfId="56" builtinId="28" customBuiltin="1"/>
    <cellStyle name="Normal" xfId="0" builtinId="0"/>
    <cellStyle name="Normal 2" xfId="57" xr:uid="{00000000-0005-0000-0000-000053000000}"/>
    <cellStyle name="Normal 2 2" xfId="58" xr:uid="{00000000-0005-0000-0000-000054000000}"/>
    <cellStyle name="Normal 3" xfId="59" xr:uid="{00000000-0005-0000-0000-000055000000}"/>
    <cellStyle name="Normal 4" xfId="74" xr:uid="{00000000-0005-0000-0000-000056000000}"/>
    <cellStyle name="Normal 5" xfId="100" xr:uid="{00000000-0005-0000-0000-000057000000}"/>
    <cellStyle name="Normal 6" xfId="101" xr:uid="{00000000-0005-0000-0000-000058000000}"/>
    <cellStyle name="Normal_Addresses" xfId="60" xr:uid="{00000000-0005-0000-0000-000059000000}"/>
    <cellStyle name="Normal_BR1Form 201112" xfId="61" xr:uid="{00000000-0005-0000-0000-00005A000000}"/>
    <cellStyle name="Normal_Details" xfId="62" xr:uid="{00000000-0005-0000-0000-00005B000000}"/>
    <cellStyle name="Normal_Details_1" xfId="63" xr:uid="{00000000-0005-0000-0000-00005C000000}"/>
    <cellStyle name="Normal_Sheet1" xfId="64" xr:uid="{00000000-0005-0000-0000-00005D000000}"/>
    <cellStyle name="Normal_STOCK_512_2009_10_001" xfId="65" xr:uid="{00000000-0005-0000-0000-00005E000000}"/>
    <cellStyle name="Note" xfId="66" builtinId="10" customBuiltin="1"/>
    <cellStyle name="Num" xfId="102" xr:uid="{00000000-0005-0000-0000-000060000000}"/>
    <cellStyle name="Num 1D" xfId="103" xr:uid="{00000000-0005-0000-0000-000061000000}"/>
    <cellStyle name="Num 1D 2" xfId="104" xr:uid="{00000000-0005-0000-0000-000062000000}"/>
    <cellStyle name="Num 2" xfId="105" xr:uid="{00000000-0005-0000-0000-000063000000}"/>
    <cellStyle name="Output" xfId="67" builtinId="21" customBuiltin="1"/>
    <cellStyle name="P10Diff" xfId="106" xr:uid="{00000000-0005-0000-0000-000065000000}"/>
    <cellStyle name="P20Diff" xfId="107" xr:uid="{00000000-0005-0000-0000-000066000000}"/>
    <cellStyle name="Percent 2" xfId="68" xr:uid="{00000000-0005-0000-0000-000067000000}"/>
    <cellStyle name="Percent 3" xfId="69" xr:uid="{00000000-0005-0000-0000-000068000000}"/>
    <cellStyle name="Row_CategoryHeadings" xfId="108" xr:uid="{00000000-0005-0000-0000-000069000000}"/>
    <cellStyle name="rowfield" xfId="109" xr:uid="{00000000-0005-0000-0000-00006A000000}"/>
    <cellStyle name="Source" xfId="110" xr:uid="{00000000-0005-0000-0000-00006B000000}"/>
    <cellStyle name="Style 1" xfId="70" xr:uid="{00000000-0005-0000-0000-00006C000000}"/>
    <cellStyle name="Table_Name" xfId="111" xr:uid="{00000000-0005-0000-0000-00006D000000}"/>
    <cellStyle name="Test" xfId="112" xr:uid="{00000000-0005-0000-0000-00006E000000}"/>
    <cellStyle name="Title" xfId="71" builtinId="15" customBuiltin="1"/>
    <cellStyle name="Total" xfId="72" builtinId="25" customBuiltin="1"/>
    <cellStyle name="Tou_Rev" xfId="113" xr:uid="{00000000-0005-0000-0000-000071000000}"/>
    <cellStyle name="Toupdate" xfId="114" xr:uid="{00000000-0005-0000-0000-000072000000}"/>
    <cellStyle name="updated" xfId="115" xr:uid="{00000000-0005-0000-0000-000073000000}"/>
    <cellStyle name="Warning Text" xfId="73" builtinId="11" customBuiltin="1"/>
    <cellStyle name="Warnings" xfId="116" xr:uid="{00000000-0005-0000-0000-000075000000}"/>
    <cellStyle name="Xs% 250" xfId="117" xr:uid="{00000000-0005-0000-0000-000076000000}"/>
    <cellStyle name="Xs% -250" xfId="118" xr:uid="{00000000-0005-0000-0000-000077000000}"/>
  </cellStyles>
  <dxfs count="503">
    <dxf>
      <font>
        <color rgb="FFFFFFCC"/>
      </font>
      <fill>
        <patternFill>
          <bgColor rgb="FFFFFFCC"/>
        </patternFill>
      </fill>
    </dxf>
    <dxf>
      <font>
        <color rgb="FFFFFFCC"/>
      </font>
      <fill>
        <patternFill>
          <bgColor rgb="FFFFFFCC"/>
        </patternFill>
      </fill>
    </dxf>
    <dxf>
      <font>
        <color rgb="FFFFFFCC"/>
      </font>
      <fill>
        <patternFill>
          <bgColor rgb="FFFFFFCC"/>
        </patternFill>
      </fill>
    </dxf>
    <dxf>
      <font>
        <color rgb="FFFFFFCC"/>
      </font>
      <fill>
        <patternFill>
          <bgColor rgb="FFFFFFCC"/>
        </patternFill>
      </fill>
    </dxf>
    <dxf>
      <font>
        <color rgb="FFFFFFCC"/>
      </font>
      <fill>
        <patternFill>
          <bgColor rgb="FFFFFFCC"/>
        </patternFill>
      </fill>
    </dxf>
    <dxf>
      <font>
        <color rgb="FFFFFFCC"/>
      </font>
      <fill>
        <patternFill>
          <bgColor rgb="FFFFFFCC"/>
        </patternFill>
      </fill>
    </dxf>
    <dxf>
      <font>
        <b/>
        <i val="0"/>
        <color rgb="FFFF0000"/>
      </font>
      <fill>
        <patternFill>
          <bgColor theme="4" tint="0.59996337778862885"/>
        </patternFill>
      </fill>
    </dxf>
    <dxf>
      <font>
        <b/>
        <i val="0"/>
        <color rgb="FFFF0000"/>
      </font>
      <fill>
        <patternFill>
          <bgColor theme="4" tint="0.59996337778862885"/>
        </patternFill>
      </fill>
    </dxf>
    <dxf>
      <font>
        <b/>
        <i val="0"/>
        <color rgb="FFFF0000"/>
      </font>
      <fill>
        <patternFill>
          <bgColor theme="4" tint="0.59996337778862885"/>
        </patternFill>
      </fill>
    </dxf>
    <dxf>
      <font>
        <color theme="0"/>
      </font>
    </dxf>
    <dxf>
      <font>
        <color theme="0"/>
      </font>
    </dxf>
    <dxf>
      <font>
        <color theme="0"/>
      </font>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condense val="0"/>
        <extend val="0"/>
        <color indexed="63"/>
      </font>
      <border>
        <left style="thin">
          <color indexed="64"/>
        </left>
        <right style="thin">
          <color indexed="64"/>
        </right>
        <top style="thin">
          <color indexed="64"/>
        </top>
        <bottom/>
      </border>
    </dxf>
    <dxf>
      <font>
        <condense val="0"/>
        <extend val="0"/>
        <color indexed="63"/>
      </font>
      <border>
        <left style="thin">
          <color indexed="64"/>
        </left>
        <right style="thin">
          <color indexed="64"/>
        </right>
        <top style="thin">
          <color indexed="64"/>
        </top>
        <bottom/>
      </border>
    </dxf>
    <dxf>
      <font>
        <condense val="0"/>
        <extend val="0"/>
        <color indexed="63"/>
      </font>
      <border>
        <left style="thin">
          <color indexed="64"/>
        </left>
        <right style="thin">
          <color indexed="64"/>
        </right>
        <top style="thin">
          <color indexed="64"/>
        </top>
        <bottom/>
      </border>
    </dxf>
    <dxf>
      <font>
        <strike val="0"/>
        <outline val="0"/>
        <shadow val="0"/>
        <u val="none"/>
        <vertAlign val="baseline"/>
        <sz val="10"/>
        <color auto="1"/>
        <name val="Arial"/>
        <scheme val="none"/>
      </font>
      <numFmt numFmtId="0" formatCode="General"/>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0"/>
        <color auto="1"/>
        <name val="Arial"/>
        <scheme val="none"/>
      </font>
    </dxf>
    <dxf>
      <border outline="0">
        <left style="medium">
          <color indexed="64"/>
        </left>
        <right style="medium">
          <color indexed="64"/>
        </right>
        <top style="medium">
          <color indexed="64"/>
        </top>
        <bottom style="medium">
          <color indexed="64"/>
        </bottom>
      </border>
    </dxf>
    <dxf>
      <font>
        <b/>
        <i val="0"/>
        <strike val="0"/>
        <condense val="0"/>
        <extend val="0"/>
        <outline val="0"/>
        <shadow val="0"/>
        <u val="none"/>
        <vertAlign val="baseline"/>
        <sz val="12"/>
        <color auto="1"/>
        <name val="Arial"/>
        <scheme val="none"/>
      </font>
    </dxf>
    <dxf>
      <font>
        <strike val="0"/>
        <outline val="0"/>
        <shadow val="0"/>
        <u val="none"/>
        <vertAlign val="baseline"/>
        <sz val="10"/>
        <color auto="1"/>
        <name val="Arial"/>
        <family val="2"/>
        <scheme val="none"/>
      </font>
      <numFmt numFmtId="164" formatCode="#,##0_ ;[Red]\-#,##0\ "/>
    </dxf>
    <dxf>
      <font>
        <strike val="0"/>
        <outline val="0"/>
        <shadow val="0"/>
        <u val="none"/>
        <vertAlign val="baseline"/>
        <sz val="10"/>
        <color auto="1"/>
        <name val="Arial"/>
        <family val="2"/>
        <scheme val="none"/>
      </font>
    </dxf>
    <dxf>
      <font>
        <strike val="0"/>
        <outline val="0"/>
        <shadow val="0"/>
        <u val="none"/>
        <vertAlign val="baseline"/>
        <sz val="10"/>
        <color auto="1"/>
        <name val="Arial"/>
        <family val="2"/>
        <scheme val="none"/>
      </font>
    </dxf>
    <dxf>
      <font>
        <strike val="0"/>
        <outline val="0"/>
        <shadow val="0"/>
        <u val="none"/>
        <vertAlign val="baseline"/>
        <sz val="10"/>
        <color auto="1"/>
        <name val="Arial"/>
        <family val="2"/>
        <scheme val="none"/>
      </font>
    </dxf>
    <dxf>
      <font>
        <strike val="0"/>
        <outline val="0"/>
        <shadow val="0"/>
        <u val="none"/>
        <vertAlign val="baseline"/>
        <sz val="10"/>
        <color auto="1"/>
        <name val="Arial"/>
        <family val="2"/>
        <scheme val="none"/>
      </font>
    </dxf>
    <dxf>
      <font>
        <strike val="0"/>
        <outline val="0"/>
        <shadow val="0"/>
        <u val="none"/>
        <vertAlign val="baseline"/>
        <sz val="10"/>
        <color auto="1"/>
        <name val="Arial"/>
        <family val="2"/>
        <scheme val="none"/>
      </font>
    </dxf>
    <dxf>
      <font>
        <strike val="0"/>
        <outline val="0"/>
        <shadow val="0"/>
        <u val="none"/>
        <vertAlign val="baseline"/>
        <sz val="10"/>
        <color auto="1"/>
        <name val="Arial"/>
        <family val="2"/>
        <scheme val="none"/>
      </font>
    </dxf>
    <dxf>
      <font>
        <strike val="0"/>
        <outline val="0"/>
        <shadow val="0"/>
        <u val="none"/>
        <vertAlign val="baseline"/>
        <sz val="10"/>
        <color auto="1"/>
        <name val="Arial"/>
        <family val="2"/>
        <scheme val="none"/>
      </font>
      <numFmt numFmtId="0" formatCode="General"/>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numFmt numFmtId="171" formatCode="dd/mm/yy;@"/>
    </dxf>
    <dxf>
      <numFmt numFmtId="30" formatCode="@"/>
    </dxf>
    <dxf>
      <numFmt numFmtId="30" formatCode="@"/>
    </dxf>
    <dxf>
      <numFmt numFmtId="30" formatCode="@"/>
    </dxf>
    <dxf>
      <numFmt numFmtId="30" formatCode="@"/>
    </dxf>
    <dxf>
      <numFmt numFmtId="0" formatCode="General"/>
    </dxf>
    <dxf>
      <numFmt numFmtId="0" formatCode="General"/>
    </dxf>
    <dxf>
      <numFmt numFmtId="30" formatCode="@"/>
    </dxf>
    <dxf>
      <numFmt numFmtId="164" formatCode="#,##0_ ;[Red]\-#,##0\ "/>
    </dxf>
    <dxf>
      <numFmt numFmtId="164" formatCode="#,##0_ ;[Red]\-#,##0\ "/>
    </dxf>
    <dxf>
      <numFmt numFmtId="164" formatCode="#,##0_ ;[Red]\-#,##0\ "/>
    </dxf>
    <dxf>
      <font>
        <b val="0"/>
        <i val="0"/>
        <strike val="0"/>
        <condense val="0"/>
        <extend val="0"/>
        <outline val="0"/>
        <shadow val="0"/>
        <u val="none"/>
        <vertAlign val="baseline"/>
        <sz val="8"/>
        <color theme="1"/>
        <name val="Arial"/>
        <scheme val="none"/>
      </font>
      <numFmt numFmtId="0" formatCode="General"/>
      <fill>
        <patternFill patternType="solid">
          <fgColor theme="4" tint="0.79998168889431442"/>
          <bgColor theme="4" tint="0.79998168889431442"/>
        </patternFill>
      </fill>
      <alignment horizontal="left" vertical="center" textRotation="0" wrapText="0" indent="0" justifyLastLine="0" shrinkToFit="0" readingOrder="0"/>
      <border diagonalUp="0" diagonalDown="0">
        <left/>
        <right/>
        <top style="thin">
          <color theme="4" tint="0.39997558519241921"/>
        </top>
        <bottom style="thin">
          <color theme="4" tint="0.39997558519241921"/>
        </bottom>
      </border>
    </dxf>
    <dxf>
      <font>
        <b val="0"/>
        <i val="0"/>
        <strike val="0"/>
        <condense val="0"/>
        <extend val="0"/>
        <outline val="0"/>
        <shadow val="0"/>
        <u val="none"/>
        <vertAlign val="baseline"/>
        <sz val="8"/>
        <color theme="1"/>
        <name val="Arial"/>
        <scheme val="none"/>
      </font>
      <numFmt numFmtId="0" formatCode="General"/>
      <fill>
        <patternFill patternType="solid">
          <fgColor theme="4" tint="0.79998168889431442"/>
          <bgColor theme="4" tint="0.79998168889431442"/>
        </patternFill>
      </fill>
      <alignment horizontal="left" vertical="center" textRotation="0" wrapText="0" indent="0" justifyLastLine="0" shrinkToFit="0" readingOrder="0"/>
      <border diagonalUp="0" diagonalDown="0">
        <left/>
        <right/>
        <top style="thin">
          <color theme="4" tint="0.39997558519241921"/>
        </top>
        <bottom style="thin">
          <color theme="4" tint="0.39997558519241921"/>
        </bottom>
      </border>
    </dxf>
    <dxf>
      <font>
        <b val="0"/>
        <i val="0"/>
        <strike val="0"/>
        <condense val="0"/>
        <extend val="0"/>
        <outline val="0"/>
        <shadow val="0"/>
        <u val="none"/>
        <vertAlign val="baseline"/>
        <sz val="8"/>
        <color theme="1"/>
        <name val="Arial"/>
        <scheme val="none"/>
      </font>
      <numFmt numFmtId="0" formatCode="General"/>
      <fill>
        <patternFill patternType="solid">
          <fgColor theme="4" tint="0.79998168889431442"/>
          <bgColor theme="4" tint="0.79998168889431442"/>
        </patternFill>
      </fill>
      <alignment horizontal="left" vertical="center" textRotation="0" wrapText="0" indent="0" justifyLastLine="0" shrinkToFit="0" readingOrder="0"/>
      <border diagonalUp="0" diagonalDown="0">
        <left/>
        <right/>
        <top style="thin">
          <color theme="4" tint="0.39997558519241921"/>
        </top>
        <bottom style="thin">
          <color theme="4" tint="0.39997558519241921"/>
        </bottom>
      </border>
    </dxf>
    <dxf>
      <font>
        <b val="0"/>
        <i val="0"/>
        <strike val="0"/>
        <condense val="0"/>
        <extend val="0"/>
        <outline val="0"/>
        <shadow val="0"/>
        <u val="none"/>
        <vertAlign val="baseline"/>
        <sz val="8"/>
        <color theme="1"/>
        <name val="Arial"/>
        <scheme val="none"/>
      </font>
      <numFmt numFmtId="0" formatCode="General"/>
      <fill>
        <patternFill patternType="solid">
          <fgColor theme="4" tint="0.79998168889431442"/>
          <bgColor theme="4" tint="0.79998168889431442"/>
        </patternFill>
      </fill>
      <alignment horizontal="left" vertical="center" textRotation="0" wrapText="0" indent="0" justifyLastLine="0" shrinkToFit="0" readingOrder="0"/>
      <border diagonalUp="0" diagonalDown="0">
        <left/>
        <right/>
        <top style="thin">
          <color theme="4" tint="0.39997558519241921"/>
        </top>
        <bottom style="thin">
          <color theme="4" tint="0.39997558519241921"/>
        </bottom>
      </border>
    </dxf>
    <dxf>
      <font>
        <b val="0"/>
        <i val="0"/>
        <strike val="0"/>
        <condense val="0"/>
        <extend val="0"/>
        <outline val="0"/>
        <shadow val="0"/>
        <u val="none"/>
        <vertAlign val="baseline"/>
        <sz val="8"/>
        <color theme="1"/>
        <name val="Arial"/>
        <scheme val="none"/>
      </font>
      <numFmt numFmtId="0" formatCode="General"/>
      <fill>
        <patternFill patternType="solid">
          <fgColor theme="4" tint="0.79998168889431442"/>
          <bgColor theme="4" tint="0.79998168889431442"/>
        </patternFill>
      </fill>
      <alignment horizontal="left" vertical="center" textRotation="0" wrapText="0" indent="0" justifyLastLine="0" shrinkToFit="0" readingOrder="0"/>
      <border diagonalUp="0" diagonalDown="0">
        <left/>
        <right/>
        <top style="thin">
          <color theme="4" tint="0.39997558519241921"/>
        </top>
        <bottom style="thin">
          <color theme="4" tint="0.39997558519241921"/>
        </bottom>
      </border>
    </dxf>
    <dxf>
      <font>
        <b/>
        <i val="0"/>
        <strike val="0"/>
        <condense val="0"/>
        <extend val="0"/>
        <outline val="0"/>
        <shadow val="0"/>
        <u val="none"/>
        <vertAlign val="baseline"/>
        <sz val="9"/>
        <color theme="0"/>
        <name val="Arial"/>
        <scheme val="none"/>
      </font>
      <fill>
        <patternFill patternType="solid">
          <fgColor theme="4"/>
          <bgColor theme="4"/>
        </patternFill>
      </fill>
    </dxf>
    <dxf>
      <font>
        <strike val="0"/>
        <outline val="0"/>
        <shadow val="0"/>
        <u val="none"/>
        <vertAlign val="baseline"/>
        <sz val="10"/>
        <name val="Arial"/>
        <scheme val="none"/>
      </font>
      <fill>
        <patternFill patternType="none">
          <fgColor indexed="64"/>
          <bgColor indexed="65"/>
        </patternFill>
      </fill>
      <alignment horizontal="general" vertical="top" textRotation="0" indent="0" justifyLastLine="0" shrinkToFit="0" readingOrder="0"/>
    </dxf>
    <dxf>
      <font>
        <strike val="0"/>
        <outline val="0"/>
        <shadow val="0"/>
        <u val="none"/>
        <vertAlign val="baseline"/>
        <sz val="10"/>
        <color auto="1"/>
        <name val="Arial"/>
        <scheme val="none"/>
      </font>
      <fill>
        <patternFill patternType="none">
          <fgColor indexed="64"/>
          <bgColor indexed="65"/>
        </patternFill>
      </fill>
      <alignment horizontal="general" vertical="top" textRotation="0" indent="0" justifyLastLine="0" shrinkToFit="0" readingOrder="0"/>
    </dxf>
    <dxf>
      <font>
        <b val="0"/>
        <i val="0"/>
        <strike val="0"/>
        <condense val="0"/>
        <extend val="0"/>
        <outline val="0"/>
        <shadow val="0"/>
        <u val="none"/>
        <vertAlign val="baseline"/>
        <sz val="10"/>
        <color theme="1"/>
        <name val="Arial"/>
        <scheme val="none"/>
      </font>
      <alignment horizontal="general" vertical="top" textRotation="0" wrapText="1" indent="0" justifyLastLine="0" shrinkToFit="0" readingOrder="0"/>
    </dxf>
    <dxf>
      <font>
        <strike val="0"/>
        <outline val="0"/>
        <shadow val="0"/>
        <u val="none"/>
        <vertAlign val="baseline"/>
        <sz val="10"/>
        <color auto="1"/>
        <name val="Arial"/>
        <scheme val="none"/>
      </font>
      <fill>
        <patternFill patternType="none">
          <fgColor indexed="64"/>
          <bgColor indexed="65"/>
        </patternFill>
      </fill>
      <alignment horizontal="left" vertical="top" textRotation="0" wrapText="1" indent="0" justifyLastLine="0" shrinkToFit="0" readingOrder="0"/>
    </dxf>
    <dxf>
      <fill>
        <patternFill patternType="solid">
          <fgColor rgb="FFE6B8B7"/>
          <bgColor rgb="FF000000"/>
        </patternFill>
      </fill>
    </dxf>
    <dxf>
      <font>
        <strike val="0"/>
        <outline val="0"/>
        <shadow val="0"/>
        <u val="none"/>
        <vertAlign val="baseline"/>
        <sz val="10"/>
        <name val="Arial"/>
        <scheme val="none"/>
      </font>
      <fill>
        <patternFill patternType="none">
          <fgColor indexed="64"/>
          <bgColor indexed="65"/>
        </patternFill>
      </fill>
      <alignment horizontal="general" vertical="top" textRotation="0" indent="0" justifyLastLine="0" shrinkToFit="0" readingOrder="0"/>
    </dxf>
    <dxf>
      <font>
        <b/>
        <i val="0"/>
        <strike val="0"/>
        <condense val="0"/>
        <extend val="0"/>
        <outline val="0"/>
        <shadow val="0"/>
        <u val="none"/>
        <vertAlign val="baseline"/>
        <sz val="10"/>
        <color auto="1"/>
        <name val="Arial"/>
        <scheme val="none"/>
      </font>
      <alignment horizontal="general" vertical="top" textRotation="0" indent="0" justifyLastLine="0" shrinkToFit="0" readingOrder="0"/>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alignment horizontal="left" readingOrder="0"/>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alignment horizontal="general" readingOrder="0"/>
    </dxf>
    <dxf>
      <alignment horizontal="left" readingOrder="0"/>
    </dxf>
    <dxf>
      <alignment horizontal="left" readingOrder="0"/>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alignment horizontal="center" readingOrder="0"/>
    </dxf>
    <dxf>
      <alignment horizontal="center" readingOrder="0"/>
    </dxf>
    <dxf>
      <alignment horizontal="left" readingOrder="0"/>
    </dxf>
    <dxf>
      <border>
        <left style="thin">
          <color indexed="64"/>
        </left>
        <top style="thin">
          <color indexed="64"/>
        </top>
      </border>
    </dxf>
    <dxf>
      <border>
        <left style="thin">
          <color indexed="64"/>
        </left>
        <top style="thin">
          <color indexed="64"/>
        </top>
      </border>
    </dxf>
    <dxf>
      <border>
        <left style="thin">
          <color indexed="64"/>
        </left>
        <top style="thin">
          <color indexed="64"/>
        </top>
      </border>
    </dxf>
    <dxf>
      <border>
        <left style="thin">
          <color indexed="64"/>
        </left>
        <top style="thin">
          <color indexed="64"/>
        </top>
      </border>
    </dxf>
    <dxf>
      <border>
        <left style="thin">
          <color indexed="64"/>
        </left>
        <top style="thin">
          <color indexed="64"/>
        </top>
      </border>
    </dxf>
    <dxf>
      <border>
        <left style="thin">
          <color indexed="64"/>
        </left>
        <top style="thin">
          <color indexed="64"/>
        </top>
      </border>
    </dxf>
    <dxf>
      <border>
        <left style="thin">
          <color indexed="64"/>
        </left>
        <top style="thin">
          <color indexed="64"/>
        </top>
      </border>
    </dxf>
    <dxf>
      <border>
        <left style="thin">
          <color indexed="64"/>
        </left>
        <top style="thin">
          <color indexed="64"/>
        </top>
      </border>
    </dxf>
    <dxf>
      <border>
        <left style="thin">
          <color indexed="64"/>
        </left>
        <top style="thin">
          <color indexed="64"/>
        </top>
      </border>
    </dxf>
    <dxf>
      <border>
        <left style="thin">
          <color indexed="64"/>
        </left>
        <top style="thin">
          <color indexed="64"/>
        </top>
      </border>
    </dxf>
    <dxf>
      <border>
        <left style="thin">
          <color indexed="64"/>
        </left>
        <top style="thin">
          <color indexed="64"/>
        </top>
      </border>
    </dxf>
    <dxf>
      <border>
        <left style="thin">
          <color indexed="64"/>
        </left>
        <top style="thin">
          <color indexed="64"/>
        </top>
      </border>
    </dxf>
    <dxf>
      <border>
        <left style="thin">
          <color indexed="64"/>
        </left>
        <top style="thin">
          <color indexed="64"/>
        </top>
      </border>
    </dxf>
    <dxf>
      <border>
        <left style="thin">
          <color indexed="64"/>
        </left>
        <top style="thin">
          <color indexed="64"/>
        </top>
      </border>
    </dxf>
    <dxf>
      <border>
        <left style="thin">
          <color indexed="64"/>
        </left>
        <top style="thin">
          <color indexed="64"/>
        </top>
      </border>
    </dxf>
    <dxf>
      <border>
        <left style="thin">
          <color indexed="64"/>
        </left>
        <top style="thin">
          <color indexed="64"/>
        </top>
      </border>
    </dxf>
    <dxf>
      <border>
        <left style="thin">
          <color indexed="64"/>
        </left>
        <top style="thin">
          <color indexed="64"/>
        </top>
      </border>
    </dxf>
    <dxf>
      <border>
        <left style="thin">
          <color indexed="64"/>
        </left>
        <top style="thin">
          <color indexed="64"/>
        </top>
      </border>
    </dxf>
    <dxf>
      <border>
        <left style="thin">
          <color indexed="64"/>
        </left>
        <top style="thin">
          <color indexed="64"/>
        </top>
      </border>
    </dxf>
    <dxf>
      <border>
        <left style="thin">
          <color indexed="64"/>
        </left>
        <top style="thin">
          <color indexed="64"/>
        </top>
      </border>
    </dxf>
    <dxf>
      <border>
        <left style="thin">
          <color indexed="64"/>
        </left>
        <top style="thin">
          <color indexed="64"/>
        </top>
      </border>
    </dxf>
    <dxf>
      <border>
        <left style="thin">
          <color indexed="64"/>
        </left>
        <top style="thin">
          <color indexed="64"/>
        </top>
      </border>
    </dxf>
    <dxf>
      <border>
        <left style="thin">
          <color indexed="64"/>
        </left>
        <top style="thin">
          <color indexed="64"/>
        </top>
      </border>
    </dxf>
    <dxf>
      <border>
        <left style="thin">
          <color indexed="64"/>
        </left>
        <top style="thin">
          <color indexed="64"/>
        </top>
      </border>
    </dxf>
    <dxf>
      <border>
        <left style="thin">
          <color indexed="64"/>
        </left>
        <top style="thin">
          <color indexed="64"/>
        </top>
      </border>
    </dxf>
    <dxf>
      <border>
        <left style="thin">
          <color indexed="64"/>
        </left>
        <top style="thin">
          <color indexed="64"/>
        </top>
      </border>
    </dxf>
    <dxf>
      <border>
        <left style="thin">
          <color indexed="64"/>
        </left>
        <top style="thin">
          <color indexed="64"/>
        </top>
      </border>
    </dxf>
    <dxf>
      <border>
        <left style="thin">
          <color indexed="64"/>
        </left>
        <top style="thin">
          <color indexed="64"/>
        </top>
      </border>
    </dxf>
    <dxf>
      <border>
        <left style="thin">
          <color indexed="64"/>
        </left>
        <top style="thin">
          <color indexed="64"/>
        </top>
      </border>
    </dxf>
    <dxf>
      <border>
        <left style="thin">
          <color indexed="64"/>
        </left>
        <top style="thin">
          <color indexed="64"/>
        </top>
      </border>
    </dxf>
    <dxf>
      <border>
        <left style="thin">
          <color indexed="64"/>
        </left>
        <top style="thin">
          <color indexed="64"/>
        </top>
      </border>
    </dxf>
    <dxf>
      <border>
        <left style="thin">
          <color indexed="64"/>
        </left>
        <top style="thin">
          <color indexed="64"/>
        </top>
      </border>
    </dxf>
    <dxf>
      <border>
        <left style="thin">
          <color indexed="64"/>
        </left>
        <top style="thin">
          <color indexed="64"/>
        </top>
      </border>
    </dxf>
    <dxf>
      <numFmt numFmtId="4" formatCode="#,##0.00"/>
    </dxf>
    <dxf>
      <fill>
        <patternFill>
          <bgColor theme="5" tint="0.59999389629810485"/>
        </patternFill>
      </fill>
    </dxf>
    <dxf>
      <fill>
        <patternFill patternType="solid">
          <bgColor theme="9" tint="0.59999389629810485"/>
        </patternFill>
      </fill>
    </dxf>
    <dxf>
      <font>
        <sz val="8"/>
      </font>
    </dxf>
    <dxf>
      <border>
        <left style="thin">
          <color indexed="64"/>
        </left>
        <right style="thin">
          <color indexed="64"/>
        </right>
        <top style="thin">
          <color indexed="64"/>
        </top>
        <bottom style="thin">
          <color indexed="64"/>
        </bottom>
      </border>
    </dxf>
    <dxf>
      <alignment vertical="bottom" readingOrder="0"/>
    </dxf>
    <dxf>
      <border>
        <left style="thin">
          <color indexed="64"/>
        </left>
        <right style="thin">
          <color indexed="64"/>
        </right>
        <top style="thin">
          <color indexed="64"/>
        </top>
        <bottom style="thin">
          <color indexed="64"/>
        </bottom>
      </border>
    </dxf>
    <dxf>
      <font>
        <sz val="8"/>
      </font>
    </dxf>
    <dxf>
      <font>
        <color auto="1"/>
      </font>
    </dxf>
    <dxf>
      <fill>
        <patternFill patternType="none"/>
      </fill>
    </dxf>
    <dxf>
      <alignment horizontal="center" readingOrder="0"/>
    </dxf>
    <dxf>
      <alignment horizontal="center" readingOrder="0"/>
    </dxf>
    <dxf>
      <alignment horizontal="center" readingOrder="0"/>
    </dxf>
    <dxf>
      <alignment wrapText="1" readingOrder="0"/>
    </dxf>
    <dxf>
      <alignment wrapText="1" readingOrder="0"/>
    </dxf>
    <dxf>
      <numFmt numFmtId="3" formatCode="#,##0"/>
    </dxf>
    <dxf>
      <numFmt numFmtId="3" formatCode="#,##0"/>
    </dxf>
    <dxf>
      <numFmt numFmtId="3" formatCode="#,##0"/>
    </dxf>
    <dxf>
      <numFmt numFmtId="3" formatCode="#,##0"/>
    </dxf>
    <dxf>
      <numFmt numFmtId="3" formatCode="#,##0"/>
    </dxf>
    <dxf>
      <numFmt numFmtId="3" formatCode="#,##0"/>
    </dxf>
    <dxf>
      <font>
        <sz val="10"/>
      </font>
    </dxf>
    <dxf>
      <font>
        <sz val="10"/>
      </font>
    </dxf>
    <dxf>
      <font>
        <sz val="10"/>
      </font>
    </dxf>
    <dxf>
      <font>
        <sz val="10"/>
      </font>
    </dxf>
    <dxf>
      <font>
        <sz val="10"/>
      </font>
    </dxf>
    <dxf>
      <font>
        <sz val="10"/>
      </font>
    </dxf>
    <dxf>
      <font>
        <sz val="10"/>
      </font>
    </dxf>
    <dxf>
      <font>
        <sz val="10"/>
      </font>
    </dxf>
    <dxf>
      <font>
        <sz val="10"/>
      </font>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numFmt numFmtId="3" formatCode="#,##0"/>
    </dxf>
    <dxf>
      <numFmt numFmtId="190" formatCode="#,##0.0"/>
    </dxf>
    <dxf>
      <alignment horizontal="left" readingOrder="0"/>
    </dxf>
    <dxf>
      <alignment horizontal="left" readingOrder="0"/>
    </dxf>
    <dxf>
      <alignment horizontal="center" readingOrder="0"/>
    </dxf>
    <dxf>
      <alignment horizontal="center" readingOrder="0"/>
    </dxf>
    <dxf>
      <alignment horizontal="center" readingOrder="0"/>
    </dxf>
    <dxf>
      <alignment horizontal="center" readingOrder="0"/>
    </dxf>
    <dxf>
      <numFmt numFmtId="4" formatCode="#,##0.00"/>
    </dxf>
    <dxf>
      <numFmt numFmtId="190" formatCode="#,##0.0"/>
    </dxf>
    <dxf>
      <alignment horizontal="left" readingOrder="0"/>
    </dxf>
    <dxf>
      <alignment horizontal="left" readingOrder="0"/>
    </dxf>
    <dxf>
      <alignment horizontal="center" readingOrder="0"/>
    </dxf>
    <dxf>
      <alignment horizontal="center" readingOrder="0"/>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top style="thin">
          <color indexed="64"/>
        </top>
      </border>
    </dxf>
    <dxf>
      <border>
        <left style="thin">
          <color indexed="64"/>
        </left>
        <top style="thin">
          <color indexed="64"/>
        </top>
      </border>
    </dxf>
    <dxf>
      <border>
        <left style="thin">
          <color indexed="64"/>
        </left>
        <top style="thin">
          <color indexed="64"/>
        </top>
      </border>
    </dxf>
    <dxf>
      <border>
        <left style="thin">
          <color indexed="64"/>
        </left>
        <top style="thin">
          <color indexed="64"/>
        </top>
      </border>
    </dxf>
    <dxf>
      <border>
        <left style="thin">
          <color indexed="64"/>
        </left>
        <top style="thin">
          <color indexed="64"/>
        </top>
      </border>
    </dxf>
    <dxf>
      <border>
        <left style="thin">
          <color indexed="64"/>
        </left>
        <top style="thin">
          <color indexed="64"/>
        </top>
      </border>
    </dxf>
    <dxf>
      <border>
        <left style="thin">
          <color indexed="64"/>
        </left>
        <top style="thin">
          <color indexed="64"/>
        </top>
      </border>
    </dxf>
    <dxf>
      <border>
        <left style="thin">
          <color indexed="64"/>
        </left>
        <top style="thin">
          <color indexed="64"/>
        </top>
      </border>
    </dxf>
    <dxf>
      <border>
        <left style="thin">
          <color indexed="64"/>
        </left>
        <top style="thin">
          <color indexed="64"/>
        </top>
      </border>
    </dxf>
    <dxf>
      <numFmt numFmtId="4" formatCode="#,##0.00"/>
    </dxf>
    <dxf>
      <fill>
        <patternFill>
          <bgColor theme="5" tint="0.59999389629810485"/>
        </patternFill>
      </fill>
    </dxf>
    <dxf>
      <fill>
        <patternFill patternType="solid">
          <bgColor theme="9" tint="0.59999389629810485"/>
        </patternFill>
      </fill>
    </dxf>
    <dxf>
      <font>
        <sz val="8"/>
      </font>
    </dxf>
    <dxf>
      <border>
        <left style="thin">
          <color indexed="64"/>
        </left>
        <right style="thin">
          <color indexed="64"/>
        </right>
        <top style="thin">
          <color indexed="64"/>
        </top>
        <bottom style="thin">
          <color indexed="64"/>
        </bottom>
      </border>
    </dxf>
    <dxf>
      <font>
        <sz val="12"/>
      </font>
    </dxf>
    <dxf>
      <font>
        <b/>
      </font>
    </dxf>
    <dxf>
      <font>
        <color rgb="FF7030A0"/>
      </font>
    </dxf>
    <dxf>
      <alignment vertical="bottom" readingOrder="0"/>
    </dxf>
    <dxf>
      <border>
        <left style="thin">
          <color indexed="64"/>
        </left>
        <right style="thin">
          <color indexed="64"/>
        </right>
        <top style="thin">
          <color indexed="64"/>
        </top>
        <bottom style="thin">
          <color indexed="64"/>
        </bottom>
      </border>
    </dxf>
    <dxf>
      <font>
        <sz val="8"/>
      </font>
    </dxf>
    <dxf>
      <font>
        <color auto="1"/>
      </font>
    </dxf>
    <dxf>
      <fill>
        <patternFill patternType="none"/>
      </fill>
    </dxf>
    <dxf>
      <alignment horizontal="center" readingOrder="0"/>
    </dxf>
    <dxf>
      <alignment horizontal="center" readingOrder="0"/>
    </dxf>
    <dxf>
      <alignment horizontal="center" readingOrder="0"/>
    </dxf>
    <dxf>
      <alignment wrapText="1" readingOrder="0"/>
    </dxf>
    <dxf>
      <numFmt numFmtId="3" formatCode="#,##0"/>
    </dxf>
    <dxf>
      <numFmt numFmtId="3" formatCode="#,##0"/>
    </dxf>
    <dxf>
      <numFmt numFmtId="3" formatCode="#,##0"/>
    </dxf>
    <dxf>
      <numFmt numFmtId="3" formatCode="#,##0"/>
    </dxf>
    <dxf>
      <font>
        <sz val="10"/>
      </font>
    </dxf>
    <dxf>
      <font>
        <sz val="10"/>
      </font>
    </dxf>
    <dxf>
      <font>
        <sz val="10"/>
      </font>
    </dxf>
    <dxf>
      <font>
        <sz val="10"/>
      </font>
    </dxf>
    <dxf>
      <font>
        <sz val="10"/>
      </font>
    </dxf>
    <dxf>
      <font>
        <sz val="10"/>
      </font>
    </dxf>
    <dxf>
      <font>
        <sz val="10"/>
      </font>
    </dxf>
    <dxf>
      <font>
        <sz val="10"/>
      </font>
    </dxf>
    <dxf>
      <font>
        <sz val="10"/>
      </font>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numFmt numFmtId="3" formatCode="#,##0"/>
    </dxf>
    <dxf>
      <numFmt numFmtId="190" formatCode="#,##0.0"/>
    </dxf>
    <dxf>
      <numFmt numFmtId="3" formatCode="#,##0"/>
    </dxf>
    <dxf>
      <numFmt numFmtId="190" formatCode="#,##0.0"/>
    </dxf>
    <dxf>
      <alignment horizontal="center" readingOrder="0"/>
    </dxf>
    <dxf>
      <alignment horizontal="center" readingOrder="0"/>
    </dxf>
    <dxf>
      <alignment horizontal="left" readingOrder="0"/>
    </dxf>
    <dxf>
      <alignment horizontal="left" readingOrder="0"/>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top style="thin">
          <color indexed="64"/>
        </top>
      </border>
    </dxf>
    <dxf>
      <border>
        <left style="thin">
          <color indexed="64"/>
        </left>
        <top style="thin">
          <color indexed="64"/>
        </top>
      </border>
    </dxf>
    <dxf>
      <border>
        <left style="thin">
          <color indexed="64"/>
        </left>
        <top style="thin">
          <color indexed="64"/>
        </top>
      </border>
    </dxf>
    <dxf>
      <border>
        <left style="thin">
          <color indexed="64"/>
        </left>
        <top style="thin">
          <color indexed="64"/>
        </top>
      </border>
    </dxf>
    <dxf>
      <border>
        <left style="thin">
          <color indexed="64"/>
        </left>
        <top style="thin">
          <color indexed="64"/>
        </top>
      </border>
    </dxf>
    <dxf>
      <border>
        <left style="thin">
          <color indexed="64"/>
        </left>
        <top style="thin">
          <color indexed="64"/>
        </top>
      </border>
    </dxf>
    <dxf>
      <border>
        <left style="thin">
          <color indexed="64"/>
        </left>
        <top style="thin">
          <color indexed="64"/>
        </top>
      </border>
    </dxf>
    <dxf>
      <border>
        <left style="thin">
          <color indexed="64"/>
        </left>
        <top style="thin">
          <color indexed="64"/>
        </top>
      </border>
    </dxf>
    <dxf>
      <border>
        <left style="thin">
          <color indexed="64"/>
        </left>
        <top style="thin">
          <color indexed="64"/>
        </top>
      </border>
    </dxf>
    <dxf>
      <fill>
        <patternFill>
          <bgColor theme="5" tint="0.59999389629810485"/>
        </patternFill>
      </fill>
    </dxf>
    <dxf>
      <fill>
        <patternFill patternType="solid">
          <bgColor theme="9" tint="0.59999389629810485"/>
        </patternFill>
      </fill>
    </dxf>
    <dxf>
      <font>
        <sz val="8"/>
      </font>
    </dxf>
    <dxf>
      <border>
        <left style="thin">
          <color indexed="64"/>
        </left>
        <right style="thin">
          <color indexed="64"/>
        </right>
        <top style="thin">
          <color indexed="64"/>
        </top>
        <bottom style="thin">
          <color indexed="64"/>
        </bottom>
      </border>
    </dxf>
    <dxf>
      <alignment vertical="bottom" readingOrder="0"/>
    </dxf>
    <dxf>
      <border>
        <left style="thin">
          <color indexed="64"/>
        </left>
        <right style="thin">
          <color indexed="64"/>
        </right>
        <top style="thin">
          <color indexed="64"/>
        </top>
        <bottom style="thin">
          <color indexed="64"/>
        </bottom>
      </border>
    </dxf>
    <dxf>
      <font>
        <sz val="8"/>
      </font>
    </dxf>
    <dxf>
      <font>
        <color auto="1"/>
      </font>
    </dxf>
    <dxf>
      <fill>
        <patternFill patternType="none"/>
      </fill>
    </dxf>
    <dxf>
      <alignment horizontal="center" readingOrder="0"/>
    </dxf>
    <dxf>
      <alignment horizontal="center" readingOrder="0"/>
    </dxf>
    <dxf>
      <alignment horizontal="center" readingOrder="0"/>
    </dxf>
    <dxf>
      <alignment wrapText="1" readingOrder="0"/>
    </dxf>
    <dxf>
      <numFmt numFmtId="3" formatCode="#,##0"/>
    </dxf>
    <dxf>
      <numFmt numFmtId="3" formatCode="#,##0"/>
    </dxf>
    <dxf>
      <numFmt numFmtId="3" formatCode="#,##0"/>
    </dxf>
    <dxf>
      <numFmt numFmtId="3" formatCode="#,##0"/>
    </dxf>
    <dxf>
      <numFmt numFmtId="3" formatCode="#,##0"/>
    </dxf>
    <dxf>
      <font>
        <sz val="10"/>
      </font>
    </dxf>
    <dxf>
      <font>
        <sz val="10"/>
      </font>
    </dxf>
    <dxf>
      <font>
        <sz val="10"/>
      </font>
    </dxf>
    <dxf>
      <font>
        <sz val="10"/>
      </font>
    </dxf>
    <dxf>
      <font>
        <sz val="10"/>
      </font>
    </dxf>
    <dxf>
      <font>
        <sz val="10"/>
      </font>
    </dxf>
    <dxf>
      <font>
        <sz val="10"/>
      </font>
    </dxf>
    <dxf>
      <font>
        <sz val="10"/>
      </font>
    </dxf>
    <dxf>
      <font>
        <sz val="10"/>
      </font>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numFmt numFmtId="3" formatCode="#,##0"/>
    </dxf>
    <dxf>
      <numFmt numFmtId="0" formatCode="General"/>
    </dxf>
    <dxf>
      <border>
        <left style="thin">
          <color indexed="64"/>
        </left>
        <bottom style="thin">
          <color indexed="64"/>
        </bottom>
      </border>
    </dxf>
    <dxf>
      <border>
        <left style="thin">
          <color indexed="64"/>
        </left>
        <bottom style="thin">
          <color indexed="64"/>
        </bottom>
      </border>
    </dxf>
    <dxf>
      <border>
        <left style="thin">
          <color indexed="64"/>
        </left>
        <bottom style="thin">
          <color indexed="64"/>
        </bottom>
      </border>
    </dxf>
    <dxf>
      <border>
        <left style="thin">
          <color indexed="64"/>
        </left>
        <bottom style="thin">
          <color indexed="64"/>
        </bottom>
      </border>
    </dxf>
    <dxf>
      <border>
        <left style="thin">
          <color indexed="64"/>
        </left>
        <bottom style="thin">
          <color indexed="64"/>
        </bottom>
      </border>
    </dxf>
    <dxf>
      <border>
        <left style="thin">
          <color indexed="64"/>
        </left>
        <bottom style="thin">
          <color indexed="64"/>
        </bottom>
      </border>
    </dxf>
    <dxf>
      <border>
        <left style="thin">
          <color indexed="64"/>
        </left>
        <bottom style="thin">
          <color indexed="64"/>
        </bottom>
      </border>
    </dxf>
    <dxf>
      <border>
        <left style="thin">
          <color indexed="64"/>
        </left>
        <bottom style="thin">
          <color indexed="64"/>
        </bottom>
      </border>
    </dxf>
    <dxf>
      <border>
        <left style="thin">
          <color indexed="64"/>
        </left>
        <bottom style="thin">
          <color indexed="64"/>
        </bottom>
      </border>
    </dxf>
    <dxf>
      <border>
        <left/>
        <right/>
        <top/>
        <bottom/>
      </border>
    </dxf>
    <dxf>
      <border>
        <left/>
        <right/>
        <top/>
        <bottom/>
      </border>
    </dxf>
    <dxf>
      <numFmt numFmtId="0" formatCode="General"/>
    </dxf>
    <dxf>
      <alignment horizontal="center" readingOrder="0"/>
    </dxf>
    <dxf>
      <alignment horizontal="center" readingOrder="0"/>
    </dxf>
    <dxf>
      <alignment horizontal="left" readingOrder="0"/>
    </dxf>
    <dxf>
      <alignment horizontal="left" readingOrder="0"/>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top style="thin">
          <color indexed="64"/>
        </top>
      </border>
    </dxf>
    <dxf>
      <border>
        <left style="thin">
          <color indexed="64"/>
        </left>
        <top style="thin">
          <color indexed="64"/>
        </top>
      </border>
    </dxf>
    <dxf>
      <border>
        <left style="thin">
          <color indexed="64"/>
        </left>
        <top style="thin">
          <color indexed="64"/>
        </top>
      </border>
    </dxf>
    <dxf>
      <border>
        <left style="thin">
          <color indexed="64"/>
        </left>
        <top style="thin">
          <color indexed="64"/>
        </top>
      </border>
    </dxf>
    <dxf>
      <border>
        <left style="thin">
          <color indexed="64"/>
        </left>
        <top style="thin">
          <color indexed="64"/>
        </top>
      </border>
    </dxf>
    <dxf>
      <border>
        <left style="thin">
          <color indexed="64"/>
        </left>
        <top style="thin">
          <color indexed="64"/>
        </top>
      </border>
    </dxf>
    <dxf>
      <border>
        <left style="thin">
          <color indexed="64"/>
        </left>
        <top style="thin">
          <color indexed="64"/>
        </top>
      </border>
    </dxf>
    <dxf>
      <border>
        <left style="thin">
          <color indexed="64"/>
        </left>
        <top style="thin">
          <color indexed="64"/>
        </top>
      </border>
    </dxf>
    <dxf>
      <border>
        <left style="thin">
          <color indexed="64"/>
        </left>
        <top style="thin">
          <color indexed="64"/>
        </top>
      </border>
    </dxf>
    <dxf>
      <numFmt numFmtId="4" formatCode="#,##0.00"/>
    </dxf>
    <dxf>
      <fill>
        <patternFill>
          <bgColor theme="5" tint="0.59999389629810485"/>
        </patternFill>
      </fill>
    </dxf>
    <dxf>
      <fill>
        <patternFill patternType="solid">
          <bgColor theme="9" tint="0.59999389629810485"/>
        </patternFill>
      </fill>
    </dxf>
    <dxf>
      <font>
        <sz val="8"/>
      </font>
    </dxf>
    <dxf>
      <border>
        <left style="thin">
          <color indexed="64"/>
        </left>
        <right style="thin">
          <color indexed="64"/>
        </right>
        <top style="thin">
          <color indexed="64"/>
        </top>
        <bottom style="thin">
          <color indexed="64"/>
        </bottom>
      </border>
    </dxf>
    <dxf>
      <alignment vertical="bottom" readingOrder="0"/>
    </dxf>
    <dxf>
      <border>
        <left style="thin">
          <color indexed="64"/>
        </left>
        <right style="thin">
          <color indexed="64"/>
        </right>
        <top style="thin">
          <color indexed="64"/>
        </top>
        <bottom style="thin">
          <color indexed="64"/>
        </bottom>
      </border>
    </dxf>
    <dxf>
      <font>
        <sz val="8"/>
      </font>
    </dxf>
    <dxf>
      <font>
        <color auto="1"/>
      </font>
    </dxf>
    <dxf>
      <fill>
        <patternFill patternType="none"/>
      </fill>
    </dxf>
    <dxf>
      <alignment horizontal="center" readingOrder="0"/>
    </dxf>
    <dxf>
      <alignment horizontal="center" readingOrder="0"/>
    </dxf>
    <dxf>
      <alignment horizontal="center" readingOrder="0"/>
    </dxf>
    <dxf>
      <alignment wrapText="1" readingOrder="0"/>
    </dxf>
    <dxf>
      <numFmt numFmtId="3" formatCode="#,##0"/>
    </dxf>
    <dxf>
      <numFmt numFmtId="3" formatCode="#,##0"/>
    </dxf>
    <dxf>
      <numFmt numFmtId="3" formatCode="#,##0"/>
    </dxf>
    <dxf>
      <numFmt numFmtId="3" formatCode="#,##0"/>
    </dxf>
    <dxf>
      <numFmt numFmtId="0" formatCode="Genera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B8CED0"/>
      <rgbColor rgb="00E5F5FF"/>
      <rgbColor rgb="009999FF"/>
      <rgbColor rgb="00993366"/>
      <rgbColor rgb="00010000"/>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CC"/>
      <rgbColor rgb="0099CCFF"/>
      <rgbColor rgb="00FF99CC"/>
      <rgbColor rgb="00CC99FF"/>
      <rgbColor rgb="002B4F8F"/>
      <rgbColor rgb="003366FF"/>
      <rgbColor rgb="0033CCCC"/>
      <rgbColor rgb="0099CC00"/>
      <rgbColor rgb="00FFCC00"/>
      <rgbColor rgb="00FF9900"/>
      <rgbColor rgb="00FF6600"/>
      <rgbColor rgb="00666699"/>
      <rgbColor rgb="00969696"/>
      <rgbColor rgb="00BFC0C1"/>
      <rgbColor rgb="00339966"/>
      <rgbColor rgb="00C1C4C7"/>
      <rgbColor rgb="00333300"/>
      <rgbColor rgb="00993300"/>
      <rgbColor rgb="00993366"/>
      <rgbColor rgb="00333399"/>
      <rgbColor rgb="00333333"/>
    </indexedColors>
    <mruColors>
      <color rgb="FF0000FF"/>
      <color rgb="FFFFFFCC"/>
      <color rgb="FFE5F5FF"/>
      <color rgb="FFCCECFF"/>
      <color rgb="FFCCFFFF"/>
      <color rgb="FF99FF99"/>
      <color rgb="FFFFCC99"/>
      <color rgb="FFCC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pivotCacheDefinition" Target="pivotCache/pivotCacheDefinition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pivotCacheDefinition" Target="pivotCache/pivotCacheDefinition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onnections" Target="connections.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pivotCacheDefinition" Target="pivotCache/pivotCacheDefinition4.xml"/></Relationships>
</file>

<file path=xl/ctrlProps/ctrlProp1.xml><?xml version="1.0" encoding="utf-8"?>
<formControlPr xmlns="http://schemas.microsoft.com/office/spreadsheetml/2009/9/main" objectType="Drop" dropLines="23" dropStyle="combo" dx="16" fmlaLink="$F$12" fmlaRange="Details!$E$8:$E$30" noThreeD="1" sel="1" val="0"/>
</file>

<file path=xl/ctrlProps/ctrlProp2.xml><?xml version="1.0" encoding="utf-8"?>
<formControlPr xmlns="http://schemas.microsoft.com/office/spreadsheetml/2009/9/main" objectType="Drop" dropLines="2" dropStyle="combo" dx="16" fmlaLink="$E$7" fmlaRange="Details!$E$3:$E$4" noThreeD="1" sel="2" val="0"/>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76200</xdr:colOff>
      <xdr:row>2</xdr:row>
      <xdr:rowOff>85725</xdr:rowOff>
    </xdr:from>
    <xdr:to>
      <xdr:col>14</xdr:col>
      <xdr:colOff>76200</xdr:colOff>
      <xdr:row>6</xdr:row>
      <xdr:rowOff>142875</xdr:rowOff>
    </xdr:to>
    <xdr:pic>
      <xdr:nvPicPr>
        <xdr:cNvPr id="66158" name="Picture 3">
          <a:extLst>
            <a:ext uri="{FF2B5EF4-FFF2-40B4-BE49-F238E27FC236}">
              <a16:creationId xmlns:a16="http://schemas.microsoft.com/office/drawing/2014/main" id="{00000000-0008-0000-0000-00006E0201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514975" y="581025"/>
          <a:ext cx="230505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200025</xdr:colOff>
      <xdr:row>45</xdr:row>
      <xdr:rowOff>76200</xdr:rowOff>
    </xdr:from>
    <xdr:to>
      <xdr:col>12</xdr:col>
      <xdr:colOff>457200</xdr:colOff>
      <xdr:row>53</xdr:row>
      <xdr:rowOff>85725</xdr:rowOff>
    </xdr:to>
    <xdr:pic>
      <xdr:nvPicPr>
        <xdr:cNvPr id="66159" name="Picture 37">
          <a:extLst>
            <a:ext uri="{FF2B5EF4-FFF2-40B4-BE49-F238E27FC236}">
              <a16:creationId xmlns:a16="http://schemas.microsoft.com/office/drawing/2014/main" id="{00000000-0008-0000-0000-00006F0201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638800" y="7581900"/>
          <a:ext cx="1762125" cy="1533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4</xdr:col>
          <xdr:colOff>0</xdr:colOff>
          <xdr:row>10</xdr:row>
          <xdr:rowOff>88900</xdr:rowOff>
        </xdr:from>
        <xdr:to>
          <xdr:col>7</xdr:col>
          <xdr:colOff>260350</xdr:colOff>
          <xdr:row>12</xdr:row>
          <xdr:rowOff>0</xdr:rowOff>
        </xdr:to>
        <xdr:sp macro="" textlink="">
          <xdr:nvSpPr>
            <xdr:cNvPr id="65546" name="Drop Down 10" hidden="1">
              <a:extLst>
                <a:ext uri="{63B3BB69-23CF-44E3-9099-C40C66FF867C}">
                  <a14:compatExt spid="_x0000_s65546"/>
                </a:ext>
                <a:ext uri="{FF2B5EF4-FFF2-40B4-BE49-F238E27FC236}">
                  <a16:creationId xmlns:a16="http://schemas.microsoft.com/office/drawing/2014/main" id="{00000000-0008-0000-0000-00000A00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xdr:row>
          <xdr:rowOff>95250</xdr:rowOff>
        </xdr:from>
        <xdr:to>
          <xdr:col>5</xdr:col>
          <xdr:colOff>1314450</xdr:colOff>
          <xdr:row>7</xdr:row>
          <xdr:rowOff>12700</xdr:rowOff>
        </xdr:to>
        <xdr:sp macro="" textlink="">
          <xdr:nvSpPr>
            <xdr:cNvPr id="65547" name="Drop Down 11" hidden="1">
              <a:extLst>
                <a:ext uri="{63B3BB69-23CF-44E3-9099-C40C66FF867C}">
                  <a14:compatExt spid="_x0000_s65547"/>
                </a:ext>
                <a:ext uri="{FF2B5EF4-FFF2-40B4-BE49-F238E27FC236}">
                  <a16:creationId xmlns:a16="http://schemas.microsoft.com/office/drawing/2014/main" id="{00000000-0008-0000-0000-00000B00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18</xdr:col>
      <xdr:colOff>1</xdr:colOff>
      <xdr:row>1</xdr:row>
      <xdr:rowOff>0</xdr:rowOff>
    </xdr:from>
    <xdr:to>
      <xdr:col>29</xdr:col>
      <xdr:colOff>521073</xdr:colOff>
      <xdr:row>6</xdr:row>
      <xdr:rowOff>0</xdr:rowOff>
    </xdr:to>
    <xdr:grpSp>
      <xdr:nvGrpSpPr>
        <xdr:cNvPr id="86300" name="Group 7">
          <a:extLst>
            <a:ext uri="{FF2B5EF4-FFF2-40B4-BE49-F238E27FC236}">
              <a16:creationId xmlns:a16="http://schemas.microsoft.com/office/drawing/2014/main" id="{00000000-0008-0000-0100-00001C510100}"/>
            </a:ext>
          </a:extLst>
        </xdr:cNvPr>
        <xdr:cNvGrpSpPr>
          <a:grpSpLocks/>
        </xdr:cNvGrpSpPr>
      </xdr:nvGrpSpPr>
      <xdr:grpSpPr bwMode="auto">
        <a:xfrm>
          <a:off x="12192001" y="190500"/>
          <a:ext cx="7848972" cy="952500"/>
          <a:chOff x="11468133" y="192946"/>
          <a:chExt cx="11335961" cy="812683"/>
        </a:xfrm>
      </xdr:grpSpPr>
      <xdr:sp macro="" textlink="">
        <xdr:nvSpPr>
          <xdr:cNvPr id="11" name="TextBox 10">
            <a:extLst>
              <a:ext uri="{FF2B5EF4-FFF2-40B4-BE49-F238E27FC236}">
                <a16:creationId xmlns:a16="http://schemas.microsoft.com/office/drawing/2014/main" id="{00000000-0008-0000-0100-00000B000000}"/>
              </a:ext>
            </a:extLst>
          </xdr:cNvPr>
          <xdr:cNvSpPr txBox="1"/>
        </xdr:nvSpPr>
        <xdr:spPr bwMode="auto">
          <a:xfrm>
            <a:off x="11468133" y="192946"/>
            <a:ext cx="11335961" cy="812683"/>
          </a:xfrm>
          <a:prstGeom prst="rect">
            <a:avLst/>
          </a:prstGeom>
          <a:solidFill>
            <a:schemeClr val="lt1"/>
          </a:solidFill>
          <a:ln w="12700" cap="rnd"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endParaRPr lang="en-GB"/>
          </a:p>
        </xdr:txBody>
      </xdr:sp>
      <xdr:sp macro="" textlink="ValData!AO5" fLocksText="0">
        <xdr:nvSpPr>
          <xdr:cNvPr id="4" name="TextBox 3">
            <a:extLst>
              <a:ext uri="{FF2B5EF4-FFF2-40B4-BE49-F238E27FC236}">
                <a16:creationId xmlns:a16="http://schemas.microsoft.com/office/drawing/2014/main" id="{00000000-0008-0000-0100-000004000000}"/>
              </a:ext>
            </a:extLst>
          </xdr:cNvPr>
          <xdr:cNvSpPr txBox="1"/>
        </xdr:nvSpPr>
        <xdr:spPr bwMode="auto">
          <a:xfrm>
            <a:off x="11560595" y="219266"/>
            <a:ext cx="10355773" cy="184239"/>
          </a:xfrm>
          <a:prstGeom prst="rect">
            <a:avLst/>
          </a:prstGeom>
          <a:solidFill>
            <a:schemeClr val="lt1"/>
          </a:solidFill>
          <a:ln w="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marL="0" indent="0" algn="l">
              <a:buFontTx/>
              <a:buNone/>
            </a:pPr>
            <a:fld id="{C65AC10F-2E43-4F56-953F-4B1642E589DE}" type="TxLink">
              <a:rPr lang="en-US" sz="900" b="0" i="0" u="none" strike="noStrike">
                <a:solidFill>
                  <a:srgbClr val="000000"/>
                </a:solidFill>
                <a:latin typeface="Arial"/>
                <a:cs typeface="Arial"/>
              </a:rPr>
              <a:pPr marL="0" indent="0" algn="l">
                <a:buFontTx/>
                <a:buNone/>
              </a:pPr>
              <a:t>After completing the form - check any flagged figures (marked ‘1’ in the ‘Auto’ column) that are either outside tolerance (&gt;5%) or not equal to zero (see ‘Arithmetic Checks’ section)</a:t>
            </a:fld>
            <a:endParaRPr lang="en-GB" sz="900" b="0"/>
          </a:p>
        </xdr:txBody>
      </xdr:sp>
      <xdr:sp macro="" textlink="ValData!AO7" fLocksText="0">
        <xdr:nvSpPr>
          <xdr:cNvPr id="5" name="TextBox 4">
            <a:extLst>
              <a:ext uri="{FF2B5EF4-FFF2-40B4-BE49-F238E27FC236}">
                <a16:creationId xmlns:a16="http://schemas.microsoft.com/office/drawing/2014/main" id="{00000000-0008-0000-0100-000005000000}"/>
              </a:ext>
            </a:extLst>
          </xdr:cNvPr>
          <xdr:cNvSpPr txBox="1"/>
        </xdr:nvSpPr>
        <xdr:spPr bwMode="auto">
          <a:xfrm>
            <a:off x="11569841" y="342092"/>
            <a:ext cx="9357181" cy="157919"/>
          </a:xfrm>
          <a:prstGeom prst="rect">
            <a:avLst/>
          </a:prstGeom>
          <a:solidFill>
            <a:schemeClr val="lt1"/>
          </a:solidFill>
          <a:ln w="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marL="0" indent="0" algn="l">
              <a:buFontTx/>
              <a:buNone/>
            </a:pPr>
            <a:fld id="{993C686C-8BE4-42EC-BEB4-46B8B57B5C09}" type="TxLink">
              <a:rPr lang="en-US" sz="1000" b="0" i="0" u="none" strike="noStrike">
                <a:solidFill>
                  <a:srgbClr val="000000"/>
                </a:solidFill>
                <a:latin typeface="Arial"/>
                <a:cs typeface="Arial"/>
              </a:rPr>
              <a:pPr marL="0" indent="0" algn="l">
                <a:buFontTx/>
                <a:buNone/>
              </a:pPr>
              <a:t>If you wish to add supporting information to any row please put it in ‘Your Comments’, otherwise an email confirming that you are happy with the figures will do. </a:t>
            </a:fld>
            <a:endParaRPr lang="en-GB" sz="900" b="0"/>
          </a:p>
        </xdr:txBody>
      </xdr:sp>
      <xdr:sp macro="" textlink="ValData!AO8" fLocksText="0">
        <xdr:nvSpPr>
          <xdr:cNvPr id="6" name="TextBox 5">
            <a:extLst>
              <a:ext uri="{FF2B5EF4-FFF2-40B4-BE49-F238E27FC236}">
                <a16:creationId xmlns:a16="http://schemas.microsoft.com/office/drawing/2014/main" id="{00000000-0008-0000-0100-000006000000}"/>
              </a:ext>
            </a:extLst>
          </xdr:cNvPr>
          <xdr:cNvSpPr txBox="1"/>
        </xdr:nvSpPr>
        <xdr:spPr bwMode="auto">
          <a:xfrm>
            <a:off x="11569841" y="491238"/>
            <a:ext cx="10170849" cy="175466"/>
          </a:xfrm>
          <a:prstGeom prst="rect">
            <a:avLst/>
          </a:prstGeom>
          <a:solidFill>
            <a:schemeClr val="lt1"/>
          </a:solidFill>
          <a:ln w="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marL="0" indent="0" algn="l">
              <a:buFontTx/>
              <a:buNone/>
            </a:pPr>
            <a:fld id="{D5ED0259-BB47-4079-B109-C8B4CAB87B84}" type="TxLink">
              <a:rPr lang="en-US" sz="1000" b="0" i="0" u="none" strike="noStrike">
                <a:solidFill>
                  <a:srgbClr val="000000"/>
                </a:solidFill>
                <a:latin typeface="Arial"/>
                <a:cs typeface="Arial"/>
              </a:rPr>
              <a:pPr marL="0" indent="0" algn="l">
                <a:buFontTx/>
                <a:buNone/>
              </a:pPr>
              <a:t>After receiving the completed form - we will mark any rows that we think need to be cleared using the 'Check' column along with adding any comments and/or</a:t>
            </a:fld>
            <a:endParaRPr lang="en-GB" sz="900" b="0"/>
          </a:p>
        </xdr:txBody>
      </xdr:sp>
      <xdr:sp macro="" textlink="ValData!AO10" fLocksText="0">
        <xdr:nvSpPr>
          <xdr:cNvPr id="7" name="TextBox 6">
            <a:extLst>
              <a:ext uri="{FF2B5EF4-FFF2-40B4-BE49-F238E27FC236}">
                <a16:creationId xmlns:a16="http://schemas.microsoft.com/office/drawing/2014/main" id="{00000000-0008-0000-0100-000007000000}"/>
              </a:ext>
            </a:extLst>
          </xdr:cNvPr>
          <xdr:cNvSpPr txBox="1"/>
        </xdr:nvSpPr>
        <xdr:spPr bwMode="auto">
          <a:xfrm>
            <a:off x="11569841" y="789529"/>
            <a:ext cx="8081202" cy="149146"/>
          </a:xfrm>
          <a:prstGeom prst="rect">
            <a:avLst/>
          </a:prstGeom>
          <a:solidFill>
            <a:schemeClr val="lt1"/>
          </a:solidFill>
          <a:ln w="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marL="0" indent="0" algn="l">
              <a:buFontTx/>
              <a:buNone/>
            </a:pPr>
            <a:fld id="{BFADFAA1-D86F-462B-8402-8CEB714322DB}" type="TxLink">
              <a:rPr lang="en-US" sz="1000" b="0" i="0" u="none" strike="noStrike">
                <a:solidFill>
                  <a:srgbClr val="000000"/>
                </a:solidFill>
                <a:latin typeface="Arial"/>
                <a:cs typeface="Arial"/>
              </a:rPr>
              <a:pPr marL="0" indent="0" algn="l">
                <a:buFontTx/>
                <a:buNone/>
              </a:pPr>
              <a:t>Any cleared items will be marked 'C' in the 'Status' column (column AA).</a:t>
            </a:fld>
            <a:endParaRPr lang="en-GB" sz="900" b="0"/>
          </a:p>
        </xdr:txBody>
      </xdr:sp>
      <xdr:sp macro="" textlink="ValData!AO9" fLocksText="0">
        <xdr:nvSpPr>
          <xdr:cNvPr id="9" name="TextBox 8">
            <a:extLst>
              <a:ext uri="{FF2B5EF4-FFF2-40B4-BE49-F238E27FC236}">
                <a16:creationId xmlns:a16="http://schemas.microsoft.com/office/drawing/2014/main" id="{00000000-0008-0000-0100-000009000000}"/>
              </a:ext>
            </a:extLst>
          </xdr:cNvPr>
          <xdr:cNvSpPr txBox="1"/>
        </xdr:nvSpPr>
        <xdr:spPr bwMode="auto">
          <a:xfrm>
            <a:off x="11569841" y="640383"/>
            <a:ext cx="9061302" cy="149146"/>
          </a:xfrm>
          <a:prstGeom prst="rect">
            <a:avLst/>
          </a:prstGeom>
          <a:solidFill>
            <a:schemeClr val="lt1"/>
          </a:solidFill>
          <a:ln w="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marL="0" indent="0" algn="l">
              <a:buFontTx/>
              <a:buNone/>
            </a:pPr>
            <a:fld id="{F22F929F-0BEA-4427-9CDE-BFAAB4B10310}" type="TxLink">
              <a:rPr lang="en-US" sz="1000" b="0" i="0" u="none" strike="noStrike">
                <a:solidFill>
                  <a:srgbClr val="000000"/>
                </a:solidFill>
                <a:latin typeface="Arial"/>
                <a:cs typeface="Arial"/>
              </a:rPr>
              <a:pPr marL="0" indent="0" algn="l">
                <a:buFontTx/>
                <a:buNone/>
              </a:pPr>
              <a:t>any relevant previous comments provided by your authority in the 'Our Comments' column. We may ask you for further information if required. </a:t>
            </a:fld>
            <a:endParaRPr lang="en-GB" sz="900" b="0"/>
          </a:p>
        </xdr:txBody>
      </xdr:sp>
    </xdr:grpSp>
    <xdr:clientData/>
  </xdr:twoCellAnchor>
  <xdr:twoCellAnchor>
    <xdr:from>
      <xdr:col>16</xdr:col>
      <xdr:colOff>504827</xdr:colOff>
      <xdr:row>7</xdr:row>
      <xdr:rowOff>209550</xdr:rowOff>
    </xdr:from>
    <xdr:to>
      <xdr:col>21</xdr:col>
      <xdr:colOff>66677</xdr:colOff>
      <xdr:row>11</xdr:row>
      <xdr:rowOff>152400</xdr:rowOff>
    </xdr:to>
    <xdr:grpSp>
      <xdr:nvGrpSpPr>
        <xdr:cNvPr id="86301" name="Group 24">
          <a:extLst>
            <a:ext uri="{FF2B5EF4-FFF2-40B4-BE49-F238E27FC236}">
              <a16:creationId xmlns:a16="http://schemas.microsoft.com/office/drawing/2014/main" id="{00000000-0008-0000-0100-00001D510100}"/>
            </a:ext>
          </a:extLst>
        </xdr:cNvPr>
        <xdr:cNvGrpSpPr>
          <a:grpSpLocks/>
        </xdr:cNvGrpSpPr>
      </xdr:nvGrpSpPr>
      <xdr:grpSpPr bwMode="auto">
        <a:xfrm>
          <a:off x="10960102" y="1543050"/>
          <a:ext cx="1790700" cy="809625"/>
          <a:chOff x="22993349" y="1047750"/>
          <a:chExt cx="2355510" cy="723383"/>
        </a:xfrm>
      </xdr:grpSpPr>
      <xdr:sp macro="" textlink="">
        <xdr:nvSpPr>
          <xdr:cNvPr id="12" name="TextBox 11">
            <a:extLst>
              <a:ext uri="{FF2B5EF4-FFF2-40B4-BE49-F238E27FC236}">
                <a16:creationId xmlns:a16="http://schemas.microsoft.com/office/drawing/2014/main" id="{00000000-0008-0000-0100-00000C000000}"/>
              </a:ext>
            </a:extLst>
          </xdr:cNvPr>
          <xdr:cNvSpPr txBox="1"/>
        </xdr:nvSpPr>
        <xdr:spPr>
          <a:xfrm>
            <a:off x="22993349" y="1047750"/>
            <a:ext cx="2355510" cy="723383"/>
          </a:xfrm>
          <a:prstGeom prst="rect">
            <a:avLst/>
          </a:prstGeom>
          <a:solidFill>
            <a:schemeClr val="accent4">
              <a:lumMod val="40000"/>
              <a:lumOff val="60000"/>
            </a:schemeClr>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a:p>
        </xdr:txBody>
      </xdr:sp>
      <xdr:sp macro="" textlink="ValData!AO11">
        <xdr:nvSpPr>
          <xdr:cNvPr id="10" name="TextBox 9">
            <a:extLst>
              <a:ext uri="{FF2B5EF4-FFF2-40B4-BE49-F238E27FC236}">
                <a16:creationId xmlns:a16="http://schemas.microsoft.com/office/drawing/2014/main" id="{00000000-0008-0000-0100-00000A000000}"/>
              </a:ext>
            </a:extLst>
          </xdr:cNvPr>
          <xdr:cNvSpPr txBox="1"/>
        </xdr:nvSpPr>
        <xdr:spPr>
          <a:xfrm>
            <a:off x="23082917" y="1105292"/>
            <a:ext cx="1500272" cy="164405"/>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l" rtl="0"/>
            <a:fld id="{8391B8EE-FF11-496F-8440-D1950B9207EF}" type="TxLink">
              <a:rPr lang="en-US" sz="800" b="1" i="0" u="none" strike="noStrike" baseline="0">
                <a:solidFill>
                  <a:srgbClr val="000000"/>
                </a:solidFill>
                <a:effectLst/>
                <a:latin typeface="Arial" panose="020B0604020202020204" pitchFamily="34" charset="0"/>
                <a:ea typeface="+mn-ea"/>
                <a:cs typeface="Arial" panose="020B0604020202020204" pitchFamily="34" charset="0"/>
              </a:rPr>
              <a:pPr algn="l" rtl="0"/>
              <a:t>TYPE FIELD KEY</a:t>
            </a:fld>
            <a:endParaRPr lang="en-GB" sz="800" b="1" i="0" u="none" strike="noStrike" baseline="0">
              <a:solidFill>
                <a:srgbClr val="000000"/>
              </a:solidFill>
              <a:latin typeface="Arial" panose="020B0604020202020204" pitchFamily="34" charset="0"/>
              <a:cs typeface="Arial" panose="020B0604020202020204" pitchFamily="34" charset="0"/>
            </a:endParaRPr>
          </a:p>
        </xdr:txBody>
      </xdr:sp>
      <xdr:sp macro="" textlink="ValData!AO13">
        <xdr:nvSpPr>
          <xdr:cNvPr id="16" name="TextBox 15">
            <a:extLst>
              <a:ext uri="{FF2B5EF4-FFF2-40B4-BE49-F238E27FC236}">
                <a16:creationId xmlns:a16="http://schemas.microsoft.com/office/drawing/2014/main" id="{00000000-0008-0000-0100-000010000000}"/>
              </a:ext>
            </a:extLst>
          </xdr:cNvPr>
          <xdr:cNvSpPr txBox="1"/>
        </xdr:nvSpPr>
        <xdr:spPr>
          <a:xfrm>
            <a:off x="23038133" y="1261477"/>
            <a:ext cx="1455488" cy="164405"/>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l" rtl="0"/>
            <a:fld id="{8984BD45-6099-461A-BC29-C200449F2940}" type="TxLink">
              <a:rPr lang="en-US" sz="900" b="1" i="0" u="none" strike="noStrike" baseline="0">
                <a:solidFill>
                  <a:srgbClr val="000000"/>
                </a:solidFill>
                <a:effectLst/>
                <a:latin typeface="Arial"/>
                <a:ea typeface="+mn-ea"/>
                <a:cs typeface="Arial"/>
              </a:rPr>
              <a:pPr algn="l" rtl="0"/>
              <a:t>2.  % only breach</a:t>
            </a:fld>
            <a:endParaRPr lang="en-GB" sz="900" b="1" i="0" u="none" strike="noStrike" baseline="0">
              <a:solidFill>
                <a:srgbClr val="000000"/>
              </a:solidFill>
              <a:latin typeface="Arial"/>
              <a:cs typeface="Arial"/>
            </a:endParaRPr>
          </a:p>
        </xdr:txBody>
      </xdr:sp>
      <xdr:sp macro="" textlink="ValData!AO15">
        <xdr:nvSpPr>
          <xdr:cNvPr id="17" name="TextBox 16">
            <a:extLst>
              <a:ext uri="{FF2B5EF4-FFF2-40B4-BE49-F238E27FC236}">
                <a16:creationId xmlns:a16="http://schemas.microsoft.com/office/drawing/2014/main" id="{00000000-0008-0000-0100-000011000000}"/>
              </a:ext>
            </a:extLst>
          </xdr:cNvPr>
          <xdr:cNvSpPr txBox="1"/>
        </xdr:nvSpPr>
        <xdr:spPr>
          <a:xfrm>
            <a:off x="23049330" y="1405186"/>
            <a:ext cx="2263472" cy="144677"/>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l" rtl="0"/>
            <a:fld id="{BDDEE976-5E91-4421-A69B-26F3FB8E2770}" type="TxLink">
              <a:rPr lang="en-US" sz="900" b="1" i="0" u="none" strike="noStrike" baseline="0">
                <a:solidFill>
                  <a:srgbClr val="000000"/>
                </a:solidFill>
                <a:effectLst/>
                <a:latin typeface="Arial"/>
                <a:ea typeface="+mn-ea"/>
                <a:cs typeface="Arial"/>
              </a:rPr>
              <a:pPr algn="l" rtl="0"/>
              <a:t>4. total not = zero</a:t>
            </a:fld>
            <a:endParaRPr lang="en-GB" sz="900" b="1" i="0" u="none" strike="noStrike" baseline="0">
              <a:solidFill>
                <a:srgbClr val="000000"/>
              </a:solidFill>
              <a:latin typeface="Arial"/>
              <a:cs typeface="Arial"/>
            </a:endParaRPr>
          </a:p>
        </xdr:txBody>
      </xdr:sp>
      <xdr:sp macro="" textlink="ValData!AO16">
        <xdr:nvSpPr>
          <xdr:cNvPr id="18" name="TextBox 17">
            <a:extLst>
              <a:ext uri="{FF2B5EF4-FFF2-40B4-BE49-F238E27FC236}">
                <a16:creationId xmlns:a16="http://schemas.microsoft.com/office/drawing/2014/main" id="{00000000-0008-0000-0100-000012000000}"/>
              </a:ext>
            </a:extLst>
          </xdr:cNvPr>
          <xdr:cNvSpPr txBox="1"/>
        </xdr:nvSpPr>
        <xdr:spPr>
          <a:xfrm>
            <a:off x="23060524" y="1549186"/>
            <a:ext cx="1915132" cy="136843"/>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l" rtl="0"/>
            <a:fld id="{EDE01B28-1033-463F-8F8E-19E91660978A}" type="TxLink">
              <a:rPr lang="en-US" sz="900" b="1" i="0" u="none" strike="noStrike" baseline="0">
                <a:solidFill>
                  <a:srgbClr val="000000"/>
                </a:solidFill>
                <a:effectLst/>
                <a:latin typeface="Arial"/>
                <a:ea typeface="+mn-ea"/>
                <a:cs typeface="Arial"/>
              </a:rPr>
              <a:pPr algn="l" rtl="0"/>
              <a:t>9. either figure zero</a:t>
            </a:fld>
            <a:endParaRPr lang="en-GB" sz="900" b="1" i="0" u="none" strike="noStrike" baseline="0">
              <a:solidFill>
                <a:srgbClr val="000000"/>
              </a:solidFill>
              <a:latin typeface="Arial"/>
              <a:cs typeface="Arial"/>
            </a:endParaRPr>
          </a:p>
        </xdr:txBody>
      </xdr:sp>
    </xdr:grpSp>
    <xdr:clientData/>
  </xdr:twoCellAnchor>
  <xdr:twoCellAnchor>
    <xdr:from>
      <xdr:col>26</xdr:col>
      <xdr:colOff>1390650</xdr:colOff>
      <xdr:row>6</xdr:row>
      <xdr:rowOff>76202</xdr:rowOff>
    </xdr:from>
    <xdr:to>
      <xdr:col>26</xdr:col>
      <xdr:colOff>3476625</xdr:colOff>
      <xdr:row>11</xdr:row>
      <xdr:rowOff>276226</xdr:rowOff>
    </xdr:to>
    <xdr:grpSp>
      <xdr:nvGrpSpPr>
        <xdr:cNvPr id="25" name="Group 27">
          <a:extLst>
            <a:ext uri="{FF2B5EF4-FFF2-40B4-BE49-F238E27FC236}">
              <a16:creationId xmlns:a16="http://schemas.microsoft.com/office/drawing/2014/main" id="{00000000-0008-0000-0100-000019000000}"/>
            </a:ext>
          </a:extLst>
        </xdr:cNvPr>
        <xdr:cNvGrpSpPr>
          <a:grpSpLocks/>
        </xdr:cNvGrpSpPr>
      </xdr:nvGrpSpPr>
      <xdr:grpSpPr bwMode="auto">
        <a:xfrm>
          <a:off x="14478000" y="1219202"/>
          <a:ext cx="2082800" cy="1254124"/>
          <a:chOff x="19925527" y="135390"/>
          <a:chExt cx="1981974" cy="1102211"/>
        </a:xfrm>
      </xdr:grpSpPr>
      <xdr:sp macro="" textlink="">
        <xdr:nvSpPr>
          <xdr:cNvPr id="27" name="TextBox 26">
            <a:extLst>
              <a:ext uri="{FF2B5EF4-FFF2-40B4-BE49-F238E27FC236}">
                <a16:creationId xmlns:a16="http://schemas.microsoft.com/office/drawing/2014/main" id="{00000000-0008-0000-0100-00001B000000}"/>
              </a:ext>
            </a:extLst>
          </xdr:cNvPr>
          <xdr:cNvSpPr txBox="1"/>
        </xdr:nvSpPr>
        <xdr:spPr>
          <a:xfrm>
            <a:off x="19970778" y="135390"/>
            <a:ext cx="1936723" cy="1102211"/>
          </a:xfrm>
          <a:prstGeom prst="rect">
            <a:avLst/>
          </a:prstGeom>
          <a:solidFill>
            <a:schemeClr val="accent6">
              <a:lumMod val="40000"/>
              <a:lumOff val="60000"/>
            </a:schemeClr>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a:p>
        </xdr:txBody>
      </xdr:sp>
      <xdr:sp macro="" textlink="ValData!AO17">
        <xdr:nvSpPr>
          <xdr:cNvPr id="28" name="TextBox 27">
            <a:extLst>
              <a:ext uri="{FF2B5EF4-FFF2-40B4-BE49-F238E27FC236}">
                <a16:creationId xmlns:a16="http://schemas.microsoft.com/office/drawing/2014/main" id="{00000000-0008-0000-0100-00001C000000}"/>
              </a:ext>
            </a:extLst>
          </xdr:cNvPr>
          <xdr:cNvSpPr txBox="1"/>
        </xdr:nvSpPr>
        <xdr:spPr>
          <a:xfrm>
            <a:off x="19935825" y="225995"/>
            <a:ext cx="1740846" cy="168601"/>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36000" rtlCol="0" anchor="ctr"/>
          <a:lstStyle/>
          <a:p>
            <a:pPr algn="l" rtl="0"/>
            <a:fld id="{1B528686-E74C-48E3-92E4-D634F68DECC7}" type="TxLink">
              <a:rPr lang="en-US" sz="900" b="1" i="0" u="none" strike="noStrike" baseline="0">
                <a:solidFill>
                  <a:srgbClr val="000000"/>
                </a:solidFill>
                <a:effectLst/>
                <a:latin typeface="Arial"/>
                <a:ea typeface="+mn-ea"/>
                <a:cs typeface="Arial"/>
              </a:rPr>
              <a:pPr algn="l" rtl="0"/>
              <a:t>STATUS FIELD KEY</a:t>
            </a:fld>
            <a:endParaRPr lang="en-GB" sz="900" b="1" i="0" u="none" strike="noStrike" baseline="0">
              <a:solidFill>
                <a:srgbClr val="000000"/>
              </a:solidFill>
              <a:latin typeface="Arial" panose="020B0604020202020204" pitchFamily="34" charset="0"/>
              <a:cs typeface="Arial" panose="020B0604020202020204" pitchFamily="34" charset="0"/>
            </a:endParaRPr>
          </a:p>
        </xdr:txBody>
      </xdr:sp>
      <xdr:sp macro="" textlink="ValData!AO18">
        <xdr:nvSpPr>
          <xdr:cNvPr id="29" name="TextBox 28">
            <a:extLst>
              <a:ext uri="{FF2B5EF4-FFF2-40B4-BE49-F238E27FC236}">
                <a16:creationId xmlns:a16="http://schemas.microsoft.com/office/drawing/2014/main" id="{00000000-0008-0000-0100-00001D000000}"/>
              </a:ext>
            </a:extLst>
          </xdr:cNvPr>
          <xdr:cNvSpPr txBox="1"/>
        </xdr:nvSpPr>
        <xdr:spPr>
          <a:xfrm>
            <a:off x="19945444" y="359101"/>
            <a:ext cx="1923586" cy="168601"/>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rtl="0"/>
            <a:fld id="{B5F93F53-F7B2-4D02-9327-C3BE221E7E5A}" type="TxLink">
              <a:rPr lang="en-US" sz="900" b="1" i="0" u="none" strike="noStrike" baseline="0">
                <a:solidFill>
                  <a:srgbClr val="000000"/>
                </a:solidFill>
                <a:effectLst/>
                <a:latin typeface="Arial"/>
                <a:ea typeface="+mn-ea"/>
                <a:cs typeface="Arial"/>
              </a:rPr>
              <a:pPr algn="l" rtl="0"/>
              <a:t>A - to be actioned by WG</a:t>
            </a:fld>
            <a:endParaRPr lang="en-GB" sz="900" b="1" i="0" u="none" strike="noStrike" baseline="0">
              <a:solidFill>
                <a:srgbClr val="000000"/>
              </a:solidFill>
              <a:latin typeface="Arial" panose="020B0604020202020204" pitchFamily="34" charset="0"/>
              <a:cs typeface="Arial" panose="020B0604020202020204" pitchFamily="34" charset="0"/>
            </a:endParaRPr>
          </a:p>
        </xdr:txBody>
      </xdr:sp>
      <xdr:sp macro="" textlink="ValData!AO19">
        <xdr:nvSpPr>
          <xdr:cNvPr id="30" name="TextBox 29">
            <a:extLst>
              <a:ext uri="{FF2B5EF4-FFF2-40B4-BE49-F238E27FC236}">
                <a16:creationId xmlns:a16="http://schemas.microsoft.com/office/drawing/2014/main" id="{00000000-0008-0000-0100-00001E000000}"/>
              </a:ext>
            </a:extLst>
          </xdr:cNvPr>
          <xdr:cNvSpPr txBox="1"/>
        </xdr:nvSpPr>
        <xdr:spPr>
          <a:xfrm>
            <a:off x="19941784" y="509952"/>
            <a:ext cx="1750464" cy="168601"/>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90000" tIns="0" bIns="0" rtlCol="0" anchor="ctr"/>
          <a:lstStyle/>
          <a:p>
            <a:pPr algn="l" rtl="0"/>
            <a:fld id="{ED4FE4F7-9CBF-4407-91A8-4DA6052C8B98}" type="TxLink">
              <a:rPr lang="en-US" sz="900" b="1" i="0" u="none" strike="noStrike" baseline="0">
                <a:solidFill>
                  <a:srgbClr val="000000"/>
                </a:solidFill>
                <a:effectLst/>
                <a:latin typeface="Arial"/>
                <a:ea typeface="+mn-ea"/>
                <a:cs typeface="Arial"/>
              </a:rPr>
              <a:pPr algn="l" rtl="0"/>
              <a:t>C - Cleared</a:t>
            </a:fld>
            <a:endParaRPr lang="en-GB" sz="900" b="1" i="0" u="none" strike="noStrike" baseline="0">
              <a:solidFill>
                <a:srgbClr val="000000"/>
              </a:solidFill>
              <a:latin typeface="Arial" panose="020B0604020202020204" pitchFamily="34" charset="0"/>
              <a:cs typeface="Arial" panose="020B0604020202020204" pitchFamily="34" charset="0"/>
            </a:endParaRPr>
          </a:p>
        </xdr:txBody>
      </xdr:sp>
      <xdr:sp macro="" textlink="ValData!AO20">
        <xdr:nvSpPr>
          <xdr:cNvPr id="31" name="TextBox 30">
            <a:extLst>
              <a:ext uri="{FF2B5EF4-FFF2-40B4-BE49-F238E27FC236}">
                <a16:creationId xmlns:a16="http://schemas.microsoft.com/office/drawing/2014/main" id="{00000000-0008-0000-0100-00001F000000}"/>
              </a:ext>
            </a:extLst>
          </xdr:cNvPr>
          <xdr:cNvSpPr txBox="1"/>
        </xdr:nvSpPr>
        <xdr:spPr>
          <a:xfrm>
            <a:off x="19925527" y="660808"/>
            <a:ext cx="1750464" cy="168601"/>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ctr"/>
          <a:lstStyle/>
          <a:p>
            <a:pPr algn="l" rtl="0"/>
            <a:fld id="{48FA3577-2D9A-4A3A-A9B2-DD5F08C83118}" type="TxLink">
              <a:rPr lang="en-US" sz="900" b="1" i="0" u="none" strike="noStrike" baseline="0">
                <a:solidFill>
                  <a:srgbClr val="000000"/>
                </a:solidFill>
                <a:effectLst/>
                <a:latin typeface="Arial"/>
                <a:ea typeface="+mn-ea"/>
                <a:cs typeface="Arial"/>
              </a:rPr>
              <a:pPr algn="l" rtl="0"/>
              <a:t>NB - Important</a:t>
            </a:fld>
            <a:endParaRPr lang="en-GB" sz="900" b="1" i="0" u="none" strike="noStrike" baseline="0">
              <a:solidFill>
                <a:srgbClr val="000000"/>
              </a:solidFill>
              <a:latin typeface="Arial" panose="020B0604020202020204" pitchFamily="34" charset="0"/>
              <a:cs typeface="Arial" panose="020B0604020202020204" pitchFamily="34" charset="0"/>
            </a:endParaRPr>
          </a:p>
        </xdr:txBody>
      </xdr:sp>
      <xdr:sp macro="" textlink="ValData!AO21">
        <xdr:nvSpPr>
          <xdr:cNvPr id="32" name="TextBox 31">
            <a:extLst>
              <a:ext uri="{FF2B5EF4-FFF2-40B4-BE49-F238E27FC236}">
                <a16:creationId xmlns:a16="http://schemas.microsoft.com/office/drawing/2014/main" id="{00000000-0008-0000-0100-000020000000}"/>
              </a:ext>
            </a:extLst>
          </xdr:cNvPr>
          <xdr:cNvSpPr txBox="1"/>
        </xdr:nvSpPr>
        <xdr:spPr>
          <a:xfrm>
            <a:off x="19932166" y="820534"/>
            <a:ext cx="1750464" cy="168601"/>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ctr"/>
          <a:lstStyle/>
          <a:p>
            <a:pPr algn="l" rtl="0"/>
            <a:fld id="{99CE72B7-D5BE-46DA-83A1-8256BF35B22E}" type="TxLink">
              <a:rPr lang="en-US" sz="900" b="1" i="0" u="none" strike="noStrike" baseline="0">
                <a:solidFill>
                  <a:srgbClr val="000000"/>
                </a:solidFill>
                <a:effectLst/>
                <a:latin typeface="Arial"/>
                <a:ea typeface="+mn-ea"/>
                <a:cs typeface="Arial"/>
              </a:rPr>
              <a:pPr algn="l" rtl="0"/>
              <a:t>U - Unresolved</a:t>
            </a:fld>
            <a:endParaRPr lang="en-GB" sz="900" b="1" i="0" u="none" strike="noStrike" baseline="0">
              <a:solidFill>
                <a:srgbClr val="000000"/>
              </a:solidFill>
              <a:latin typeface="Arial" panose="020B0604020202020204" pitchFamily="34" charset="0"/>
              <a:cs typeface="Arial" panose="020B0604020202020204" pitchFamily="34" charset="0"/>
            </a:endParaRPr>
          </a:p>
        </xdr:txBody>
      </xdr:sp>
      <xdr:sp macro="" textlink="ValData!AO22">
        <xdr:nvSpPr>
          <xdr:cNvPr id="33" name="TextBox 32">
            <a:extLst>
              <a:ext uri="{FF2B5EF4-FFF2-40B4-BE49-F238E27FC236}">
                <a16:creationId xmlns:a16="http://schemas.microsoft.com/office/drawing/2014/main" id="{00000000-0008-0000-0100-000021000000}"/>
              </a:ext>
            </a:extLst>
          </xdr:cNvPr>
          <xdr:cNvSpPr txBox="1"/>
        </xdr:nvSpPr>
        <xdr:spPr>
          <a:xfrm>
            <a:off x="19935825" y="998009"/>
            <a:ext cx="1865458" cy="186348"/>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108000" tIns="0" bIns="0" rtlCol="0" anchor="t"/>
          <a:lstStyle/>
          <a:p>
            <a:pPr algn="l" rtl="0"/>
            <a:fld id="{6B0F5680-7A72-4732-AEF5-84780C2F02EC}" type="TxLink">
              <a:rPr lang="en-US" sz="900" b="1" i="0" u="none" strike="noStrike" baseline="0">
                <a:solidFill>
                  <a:srgbClr val="000000"/>
                </a:solidFill>
                <a:effectLst/>
                <a:latin typeface="Arial"/>
                <a:ea typeface="+mn-ea"/>
                <a:cs typeface="Arial"/>
              </a:rPr>
              <a:pPr algn="l" rtl="0"/>
              <a:t>W - Waiting for action from LA</a:t>
            </a:fld>
            <a:endParaRPr lang="en-GB" sz="900" b="1" i="0" u="none" strike="noStrike" baseline="0">
              <a:solidFill>
                <a:srgbClr val="000000"/>
              </a:solidFill>
              <a:latin typeface="Arial" panose="020B0604020202020204" pitchFamily="34" charset="0"/>
              <a:cs typeface="Arial" panose="020B0604020202020204" pitchFamily="34" charset="0"/>
            </a:endParaRP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0</xdr:colOff>
      <xdr:row>14</xdr:row>
      <xdr:rowOff>9525</xdr:rowOff>
    </xdr:from>
    <xdr:to>
      <xdr:col>11</xdr:col>
      <xdr:colOff>9525</xdr:colOff>
      <xdr:row>20</xdr:row>
      <xdr:rowOff>9526</xdr:rowOff>
    </xdr:to>
    <xdr:sp macro="" textlink="" fLocksText="0">
      <xdr:nvSpPr>
        <xdr:cNvPr id="2" name="Text Box 4">
          <a:extLst>
            <a:ext uri="{FF2B5EF4-FFF2-40B4-BE49-F238E27FC236}">
              <a16:creationId xmlns:a16="http://schemas.microsoft.com/office/drawing/2014/main" id="{00000000-0008-0000-0200-000002000000}"/>
            </a:ext>
          </a:extLst>
        </xdr:cNvPr>
        <xdr:cNvSpPr txBox="1">
          <a:spLocks noChangeArrowheads="1"/>
        </xdr:cNvSpPr>
      </xdr:nvSpPr>
      <xdr:spPr bwMode="auto">
        <a:xfrm>
          <a:off x="428625" y="3305175"/>
          <a:ext cx="6867525" cy="1143001"/>
        </a:xfrm>
        <a:prstGeom prst="rect">
          <a:avLst/>
        </a:prstGeom>
        <a:solidFill>
          <a:srgbClr val="FFFFFF"/>
        </a:solidFill>
        <a:ln w="9525">
          <a:solidFill>
            <a:srgbClr val="000000"/>
          </a:solidFill>
          <a:miter lim="800000"/>
          <a:headEnd/>
          <a:tailEnd/>
        </a:ln>
      </xdr:spPr>
      <xdr:txBody>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Arial" panose="020B0604020202020204" pitchFamily="34" charset="0"/>
            <a:cs typeface="Arial" panose="020B0604020202020204"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19050</xdr:colOff>
      <xdr:row>5</xdr:row>
      <xdr:rowOff>0</xdr:rowOff>
    </xdr:from>
    <xdr:to>
      <xdr:col>10</xdr:col>
      <xdr:colOff>9525</xdr:colOff>
      <xdr:row>12</xdr:row>
      <xdr:rowOff>9525</xdr:rowOff>
    </xdr:to>
    <xdr:sp macro="" textlink="" fLocksText="0">
      <xdr:nvSpPr>
        <xdr:cNvPr id="16385" name="Text Box 1">
          <a:extLst>
            <a:ext uri="{FF2B5EF4-FFF2-40B4-BE49-F238E27FC236}">
              <a16:creationId xmlns:a16="http://schemas.microsoft.com/office/drawing/2014/main" id="{00000000-0008-0000-0300-000001400000}"/>
            </a:ext>
          </a:extLst>
        </xdr:cNvPr>
        <xdr:cNvSpPr txBox="1">
          <a:spLocks noChangeAspect="1" noChangeArrowheads="1"/>
        </xdr:cNvSpPr>
      </xdr:nvSpPr>
      <xdr:spPr bwMode="auto">
        <a:xfrm>
          <a:off x="1047750" y="1571625"/>
          <a:ext cx="6086475" cy="13430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endParaRPr lang="en-GB" sz="1000" b="0" i="0" u="none" strike="noStrike" baseline="0">
            <a:solidFill>
              <a:srgbClr val="010000"/>
            </a:solidFill>
            <a:latin typeface="Arial"/>
            <a:cs typeface="Arial"/>
          </a:endParaRPr>
        </a:p>
      </xdr:txBody>
    </xdr:sp>
    <xdr:clientData/>
  </xdr:twoCellAnchor>
  <xdr:twoCellAnchor>
    <xdr:from>
      <xdr:col>1</xdr:col>
      <xdr:colOff>257175</xdr:colOff>
      <xdr:row>35</xdr:row>
      <xdr:rowOff>0</xdr:rowOff>
    </xdr:from>
    <xdr:to>
      <xdr:col>10</xdr:col>
      <xdr:colOff>0</xdr:colOff>
      <xdr:row>42</xdr:row>
      <xdr:rowOff>9525</xdr:rowOff>
    </xdr:to>
    <xdr:sp macro="" textlink="" fLocksText="0">
      <xdr:nvSpPr>
        <xdr:cNvPr id="16388" name="Text Box 4">
          <a:extLst>
            <a:ext uri="{FF2B5EF4-FFF2-40B4-BE49-F238E27FC236}">
              <a16:creationId xmlns:a16="http://schemas.microsoft.com/office/drawing/2014/main" id="{00000000-0008-0000-0300-000004400000}"/>
            </a:ext>
          </a:extLst>
        </xdr:cNvPr>
        <xdr:cNvSpPr txBox="1">
          <a:spLocks noChangeArrowheads="1"/>
        </xdr:cNvSpPr>
      </xdr:nvSpPr>
      <xdr:spPr bwMode="auto">
        <a:xfrm>
          <a:off x="1019175" y="7286625"/>
          <a:ext cx="6105525" cy="13430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lIns="28800" tIns="0"/>
        <a:lstStyle/>
        <a:p>
          <a:endParaRPr lang="en-GB"/>
        </a:p>
      </xdr:txBody>
    </xdr:sp>
    <xdr:clientData/>
  </xdr:twoCellAnchor>
  <xdr:twoCellAnchor>
    <xdr:from>
      <xdr:col>2</xdr:col>
      <xdr:colOff>28575</xdr:colOff>
      <xdr:row>3</xdr:row>
      <xdr:rowOff>38100</xdr:rowOff>
    </xdr:from>
    <xdr:to>
      <xdr:col>10</xdr:col>
      <xdr:colOff>600075</xdr:colOff>
      <xdr:row>3</xdr:row>
      <xdr:rowOff>590550</xdr:rowOff>
    </xdr:to>
    <xdr:sp macro="" textlink="Text!F80">
      <xdr:nvSpPr>
        <xdr:cNvPr id="16389" name="Text Box 5">
          <a:extLst>
            <a:ext uri="{FF2B5EF4-FFF2-40B4-BE49-F238E27FC236}">
              <a16:creationId xmlns:a16="http://schemas.microsoft.com/office/drawing/2014/main" id="{00000000-0008-0000-0300-000005400000}"/>
            </a:ext>
          </a:extLst>
        </xdr:cNvPr>
        <xdr:cNvSpPr txBox="1">
          <a:spLocks noChangeAspect="1" noChangeArrowheads="1"/>
        </xdr:cNvSpPr>
      </xdr:nvSpPr>
      <xdr:spPr bwMode="auto">
        <a:xfrm>
          <a:off x="466725" y="800100"/>
          <a:ext cx="5295900" cy="552450"/>
        </a:xfrm>
        <a:prstGeom prst="rect">
          <a:avLst/>
        </a:prstGeom>
        <a:solidFill>
          <a:srgbClr xmlns:mc="http://schemas.openxmlformats.org/markup-compatibility/2006" xmlns:a14="http://schemas.microsoft.com/office/drawing/2010/main" val="E5F5FF" mc:Ignorable="a14" a14:legacySpreadsheetColorIndex="2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fld id="{8F3D2AB0-7073-4CAB-A5A5-6608EB48DC6F}" type="TxLink">
            <a:rPr lang="en-GB" sz="1000" b="0" i="0" u="none" strike="noStrike" baseline="0">
              <a:solidFill>
                <a:srgbClr val="010000"/>
              </a:solidFill>
              <a:latin typeface="Arial"/>
              <a:cs typeface="Arial"/>
            </a:rPr>
            <a:pPr algn="l" rtl="0">
              <a:defRPr sz="1000"/>
            </a:pPr>
            <a:t>We are continually striving to improve the form to make it easier to complete, whilst still ensuring data integrity and consistency across all authorities. If you have any comments or suggestions that may be useful,  please note them below:</a:t>
          </a:fld>
          <a:endParaRPr lang="en-GB" sz="1000" b="0" i="0" u="none" strike="noStrike" baseline="0">
            <a:solidFill>
              <a:srgbClr val="010000"/>
            </a:solidFill>
            <a:latin typeface="Arial"/>
            <a:cs typeface="Arial"/>
          </a:endParaRPr>
        </a:p>
      </xdr:txBody>
    </xdr:sp>
    <xdr:clientData/>
  </xdr:twoCellAnchor>
  <xdr:twoCellAnchor>
    <xdr:from>
      <xdr:col>2</xdr:col>
      <xdr:colOff>19050</xdr:colOff>
      <xdr:row>15</xdr:row>
      <xdr:rowOff>0</xdr:rowOff>
    </xdr:from>
    <xdr:to>
      <xdr:col>10</xdr:col>
      <xdr:colOff>9525</xdr:colOff>
      <xdr:row>22</xdr:row>
      <xdr:rowOff>9525</xdr:rowOff>
    </xdr:to>
    <xdr:sp macro="" textlink="" fLocksText="0">
      <xdr:nvSpPr>
        <xdr:cNvPr id="7" name="Text Box 1">
          <a:extLst>
            <a:ext uri="{FF2B5EF4-FFF2-40B4-BE49-F238E27FC236}">
              <a16:creationId xmlns:a16="http://schemas.microsoft.com/office/drawing/2014/main" id="{00000000-0008-0000-0300-000007000000}"/>
            </a:ext>
          </a:extLst>
        </xdr:cNvPr>
        <xdr:cNvSpPr txBox="1">
          <a:spLocks noChangeAspect="1" noChangeArrowheads="1"/>
        </xdr:cNvSpPr>
      </xdr:nvSpPr>
      <xdr:spPr bwMode="auto">
        <a:xfrm>
          <a:off x="1047750" y="3476625"/>
          <a:ext cx="6086475" cy="13430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endParaRPr lang="en-GB" sz="1000" b="0" i="0" u="none" strike="noStrike" baseline="0">
            <a:solidFill>
              <a:srgbClr val="010000"/>
            </a:solidFill>
            <a:latin typeface="Arial"/>
            <a:cs typeface="Arial"/>
          </a:endParaRPr>
        </a:p>
      </xdr:txBody>
    </xdr:sp>
    <xdr:clientData/>
  </xdr:twoCellAnchor>
  <xdr:twoCellAnchor>
    <xdr:from>
      <xdr:col>2</xdr:col>
      <xdr:colOff>0</xdr:colOff>
      <xdr:row>24</xdr:row>
      <xdr:rowOff>190499</xdr:rowOff>
    </xdr:from>
    <xdr:to>
      <xdr:col>10</xdr:col>
      <xdr:colOff>9525</xdr:colOff>
      <xdr:row>31</xdr:row>
      <xdr:rowOff>180974</xdr:rowOff>
    </xdr:to>
    <xdr:sp macro="" textlink="" fLocksText="0">
      <xdr:nvSpPr>
        <xdr:cNvPr id="8" name="Text Box 1">
          <a:extLst>
            <a:ext uri="{FF2B5EF4-FFF2-40B4-BE49-F238E27FC236}">
              <a16:creationId xmlns:a16="http://schemas.microsoft.com/office/drawing/2014/main" id="{00000000-0008-0000-0300-000008000000}"/>
            </a:ext>
          </a:extLst>
        </xdr:cNvPr>
        <xdr:cNvSpPr txBox="1">
          <a:spLocks noChangeAspect="1" noChangeArrowheads="1"/>
        </xdr:cNvSpPr>
      </xdr:nvSpPr>
      <xdr:spPr bwMode="auto">
        <a:xfrm>
          <a:off x="1028700" y="5381624"/>
          <a:ext cx="6105525" cy="13239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endParaRPr lang="en-GB" sz="1000" b="0" i="0" u="none" strike="noStrike" baseline="0">
            <a:solidFill>
              <a:srgbClr val="010000"/>
            </a:solidFill>
            <a:latin typeface="Arial"/>
            <a:cs typeface="Arial"/>
          </a:endParaRPr>
        </a:p>
      </xdr:txBody>
    </xdr:sp>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_rels/pivotCacheDefinition4.xml.rels><?xml version="1.0" encoding="UTF-8" standalone="yes"?>
<Relationships xmlns="http://schemas.openxmlformats.org/package/2006/relationships"><Relationship Id="rId1" Type="http://schemas.openxmlformats.org/officeDocument/2006/relationships/pivotCacheRecords" Target="pivotCacheRecords4.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Kelly, Frank (KAS)" refreshedDate="45315.603571990738" createdVersion="4" refreshedVersion="8" recordCount="23" xr:uid="{00000000-000A-0000-FFFF-FFFF12000000}">
  <cacheSource type="external" connectionId="1"/>
  <cacheFields count="5">
    <cacheField name="YearCode" numFmtId="0" sqlType="4">
      <sharedItems containsSemiMixedTypes="0" containsString="0" containsNumber="1" containsInteger="1" minValue="200809" maxValue="202425" count="17">
        <n v="202425"/>
        <n v="202324" u="1"/>
        <n v="201415" u="1"/>
        <n v="202223" u="1"/>
        <n v="200910" u="1"/>
        <n v="201718" u="1"/>
        <n v="201213" u="1"/>
        <n v="202021" u="1"/>
        <n v="201516" u="1"/>
        <n v="201011" u="1"/>
        <n v="201819" u="1"/>
        <n v="201314" u="1"/>
        <n v="202122" u="1"/>
        <n v="200809" u="1"/>
        <n v="201617" u="1"/>
        <n v="201112" u="1"/>
        <n v="201920" u="1"/>
      </sharedItems>
    </cacheField>
    <cacheField name="FormRef" numFmtId="0" sqlType="12">
      <sharedItems count="1">
        <s v="CT1"/>
      </sharedItems>
    </cacheField>
    <cacheField name="AuthCode" numFmtId="0" sqlType="4">
      <sharedItems containsSemiMixedTypes="0" containsString="0" containsNumber="1" containsInteger="1" minValue="512" maxValue="600" count="37">
        <n v="512"/>
        <n v="514"/>
        <n v="516"/>
        <n v="518"/>
        <n v="520"/>
        <n v="522"/>
        <n v="524"/>
        <n v="526"/>
        <n v="528"/>
        <n v="530"/>
        <n v="532"/>
        <n v="534"/>
        <n v="536"/>
        <n v="538"/>
        <n v="540"/>
        <n v="542"/>
        <n v="544"/>
        <n v="545"/>
        <n v="546"/>
        <n v="548"/>
        <n v="550"/>
        <n v="552"/>
        <n v="596"/>
        <n v="568" u="1"/>
        <n v="600" u="1"/>
        <n v="574" u="1"/>
        <n v="586" u="1"/>
        <n v="566" u="1"/>
        <n v="598" u="1"/>
        <n v="572" u="1"/>
        <n v="597" u="1"/>
        <n v="584" u="1"/>
        <n v="564" u="1"/>
        <n v="576" u="1"/>
        <n v="595" u="1"/>
        <n v="582" u="1"/>
        <n v="562" u="1"/>
      </sharedItems>
    </cacheField>
    <cacheField name="RowRef" numFmtId="0" sqlType="3">
      <sharedItems containsSemiMixedTypes="0" containsString="0" containsNumber="1" minValue="1" maxValue="999" count="281">
        <n v="25"/>
        <n v="94" u="1"/>
        <n v="713" u="1"/>
        <n v="39.1" u="1"/>
        <n v="83.1" u="1"/>
        <n v="23" u="1"/>
        <n v="86" u="1"/>
        <n v="714" u="1"/>
        <n v="107.6" u="1"/>
        <n v="75.099999999999994" u="1"/>
        <n v="21" u="1"/>
        <n v="78" u="1"/>
        <n v="715" u="1"/>
        <n v="38.5" u="1"/>
        <n v="142" u="1"/>
        <n v="19" u="1"/>
        <n v="70" u="1"/>
        <n v="716" u="1"/>
        <n v="127" u="1"/>
        <n v="17" u="1"/>
        <n v="63" u="1"/>
        <n v="717" u="1"/>
        <n v="119" u="1"/>
        <n v="59" u="1"/>
        <n v="159" u="1"/>
        <n v="111" u="1"/>
        <n v="1" u="1"/>
        <n v="55" u="1"/>
        <n v="143" u="1"/>
        <n v="103" u="1"/>
        <n v="51" u="1"/>
        <n v="92.1" u="1"/>
        <n v="47" u="1"/>
        <n v="87" u="1"/>
        <n v="43" u="1"/>
        <n v="160" u="1"/>
        <n v="79" u="1"/>
        <n v="14.2" u="1"/>
        <n v="39" u="1"/>
        <n v="144" u="1"/>
        <n v="71" u="1"/>
        <n v="107.4" u="1"/>
        <n v="35" u="1"/>
        <n v="128" u="1"/>
        <n v="117.1" u="1"/>
        <n v="120" u="1"/>
        <n v="161" u="1"/>
        <n v="112" u="1"/>
        <n v="10.199999999999999" u="1"/>
        <n v="145" u="1"/>
        <n v="101.1" u="1"/>
        <n v="104" u="1"/>
        <n v="51.5" u="1"/>
        <n v="598" u="1"/>
        <n v="29.2" u="1"/>
        <n v="129" u="1"/>
        <n v="599" u="1"/>
        <n v="88" u="1"/>
        <n v="162" u="1"/>
        <n v="36.1" u="1"/>
        <n v="80" u="1"/>
        <n v="143.1" u="1"/>
        <n v="39.5" u="1"/>
        <n v="601" u="1"/>
        <n v="146" u="1"/>
        <n v="72" u="1"/>
        <n v="130" u="1"/>
        <n v="64" u="1"/>
        <n v="798" u="1"/>
        <n v="118.1" u="1"/>
        <n v="6.1" u="1"/>
        <n v="121" u="1"/>
        <n v="60" u="1"/>
        <n v="799" u="1"/>
        <n v="163" u="1"/>
        <n v="113" u="1"/>
        <n v="298" u="1"/>
        <n v="56" u="1"/>
        <n v="147" u="1"/>
        <n v="105" u="1"/>
        <n v="52" u="1"/>
        <n v="131" u="1"/>
        <n v="299" u="1"/>
        <n v="48" u="1"/>
        <n v="89" u="1"/>
        <n v="44" u="1"/>
        <n v="164" u="1"/>
        <n v="81" u="1"/>
        <n v="999" u="1"/>
        <n v="40" u="1"/>
        <n v="398" u="1"/>
        <n v="73" u="1"/>
        <n v="36" u="1"/>
        <n v="132" u="1"/>
        <n v="301" u="1"/>
        <n v="65" u="1"/>
        <n v="39.4" u="1"/>
        <n v="32" u="1"/>
        <n v="122" u="1"/>
        <n v="399" u="1"/>
        <n v="107.2" u="1"/>
        <n v="89.5" u="1"/>
        <n v="165" u="1"/>
        <n v="30" u="1"/>
        <n v="114" u="1"/>
        <n v="302" u="1"/>
        <n v="28" u="1"/>
        <n v="106" u="1"/>
        <n v="198" u="1"/>
        <n v="133" u="1"/>
        <n v="498" u="1"/>
        <n v="26" u="1"/>
        <n v="303" u="1"/>
        <n v="83.2" u="1"/>
        <n v="401" u="1"/>
        <n v="107.7" u="1"/>
        <n v="24" u="1"/>
        <n v="90" u="1"/>
        <n v="75.2" u="1"/>
        <n v="166" u="1"/>
        <n v="499" u="1"/>
        <n v="22" u="1"/>
        <n v="82" u="1"/>
        <n v="304" u="1"/>
        <n v="150" u="1"/>
        <n v="402" u="1"/>
        <n v="20" u="1"/>
        <n v="74" u="1"/>
        <n v="199" u="1"/>
        <n v="29.1" u="1"/>
        <n v="134" u="1"/>
        <n v="305" u="1"/>
        <n v="18" u="1"/>
        <n v="66" u="1"/>
        <n v="123" u="1"/>
        <n v="403" u="1"/>
        <n v="16" u="1"/>
        <n v="61" u="1"/>
        <n v="167" u="1"/>
        <n v="501" u="1"/>
        <n v="115" u="1"/>
        <n v="306" u="1"/>
        <n v="15" u="1"/>
        <n v="57" u="1"/>
        <n v="39.299999999999997" u="1"/>
        <n v="151" u="1"/>
        <n v="107" u="1"/>
        <n v="404" u="1"/>
        <n v="92.2" u="1"/>
        <n v="14" u="1"/>
        <n v="53" u="1"/>
        <n v="135" u="1"/>
        <n v="502" u="1"/>
        <n v="99" u="1"/>
        <n v="307" u="1"/>
        <n v="13" u="1"/>
        <n v="49" u="1"/>
        <n v="405" u="1"/>
        <n v="91" u="1"/>
        <n v="12" u="1"/>
        <n v="45" u="1"/>
        <n v="168" u="1"/>
        <n v="503" u="1"/>
        <n v="83" u="1"/>
        <n v="308" u="1"/>
        <n v="11" u="1"/>
        <n v="41" u="1"/>
        <n v="152" u="1"/>
        <n v="107.5" u="1"/>
        <n v="406" u="1"/>
        <n v="59.2" u="1"/>
        <n v="75" u="1"/>
        <n v="201" u="1"/>
        <n v="10" u="1"/>
        <n v="37" u="1"/>
        <n v="136" u="1"/>
        <n v="504" u="1"/>
        <n v="117.2" u="1"/>
        <n v="309" u="1"/>
        <n v="67" u="1"/>
        <n v="9" u="1"/>
        <n v="33" u="1"/>
        <n v="124" u="1"/>
        <n v="407" u="1"/>
        <n v="169" u="1"/>
        <n v="505" u="1"/>
        <n v="8" u="1"/>
        <n v="116" u="1"/>
        <n v="310" u="1"/>
        <n v="39.799999999999997" u="1"/>
        <n v="108" u="1"/>
        <n v="408" u="1"/>
        <n v="202" u="1"/>
        <n v="137" u="1"/>
        <n v="506" u="1"/>
        <n v="7" u="1"/>
        <n v="100" u="1"/>
        <n v="311" u="1"/>
        <n v="39.200000000000003" u="1"/>
        <n v="124.5" u="1"/>
        <n v="89.1" u="1"/>
        <n v="92" u="1"/>
        <n v="170" u="1"/>
        <n v="507" u="1"/>
        <n v="6" u="1"/>
        <n v="84" u="1"/>
        <n v="312" u="1"/>
        <n v="154" u="1"/>
        <n v="34.1" u="1"/>
        <n v="76" u="1"/>
        <n v="203" u="1"/>
        <n v="138" u="1"/>
        <n v="508" u="1"/>
        <n v="313" u="1"/>
        <n v="5" u="1"/>
        <n v="68" u="1"/>
        <n v="39.450000000000003" u="1"/>
        <n v="125" u="1"/>
        <n v="107.3" u="1"/>
        <n v="62" u="1"/>
        <n v="701" u="1"/>
        <n v="509" u="1"/>
        <n v="117" u="1"/>
        <n v="314" u="1"/>
        <n v="4" u="1"/>
        <n v="58" u="1"/>
        <n v="702" u="1"/>
        <n v="155" u="1"/>
        <n v="109" u="1"/>
        <n v="54" u="1"/>
        <n v="204" u="1"/>
        <n v="703" u="1"/>
        <n v="139" u="1"/>
        <n v="510" u="1"/>
        <n v="101" u="1"/>
        <n v="315" u="1"/>
        <n v="50" u="1"/>
        <n v="704" u="1"/>
        <n v="107.8" u="1"/>
        <n v="93" u="1"/>
        <n v="75.3" u="1"/>
        <n v="14.1" u="1"/>
        <n v="46" u="1"/>
        <n v="705" u="1"/>
        <n v="172" u="1"/>
        <n v="511" u="1"/>
        <n v="85" u="1"/>
        <n v="316" u="1"/>
        <n v="3" u="1"/>
        <n v="706" u="1"/>
        <n v="42" u="1"/>
        <n v="156" u="1"/>
        <n v="77" u="1"/>
        <n v="707" u="1"/>
        <n v="172.5" u="1"/>
        <n v="38" u="1"/>
        <n v="140" u="1"/>
        <n v="512" u="1"/>
        <n v="317" u="1"/>
        <n v="69" u="1"/>
        <n v="59.1" u="1"/>
        <n v="708" u="1"/>
        <n v="34" u="1"/>
        <n v="126" u="1"/>
        <n v="10.1" u="1"/>
        <n v="709" u="1"/>
        <n v="173" u="1"/>
        <n v="31" u="1"/>
        <n v="118" u="1"/>
        <n v="318" u="1"/>
        <n v="710" u="1"/>
        <n v="157" u="1"/>
        <n v="107.1" u="1"/>
        <n v="2" u="1"/>
        <n v="29" u="1"/>
        <n v="110" u="1"/>
        <n v="711" u="1"/>
        <n v="141" u="1"/>
        <n v="27" u="1"/>
        <n v="102" u="1"/>
        <n v="712" u="1"/>
      </sharedItems>
    </cacheField>
    <cacheField name="Data" numFmtId="0" sqlType="6">
      <sharedItems containsSemiMixedTypes="0" containsString="0" containsNumber="1" minValue="0" maxValue="728.98" count="8">
        <n v="129.13999999999999"/>
        <n v="0.89"/>
        <n v="0"/>
        <n v="187.44"/>
        <n v="134.74"/>
        <n v="229.77"/>
        <n v="47"/>
        <n v="728.98"/>
      </sharedItems>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Kelly, Frank (KAS)" refreshedDate="45315.603575810186" createdVersion="4" refreshedVersion="8" recordCount="23" xr:uid="{00000000-000A-0000-FFFF-FFFF11000000}">
  <cacheSource type="external" connectionId="2"/>
  <cacheFields count="5">
    <cacheField name="YearCode" numFmtId="0" sqlType="4">
      <sharedItems containsSemiMixedTypes="0" containsString="0" containsNumber="1" containsInteger="1" minValue="200809" maxValue="202425" count="17">
        <n v="202425"/>
        <n v="202324" u="1"/>
        <n v="201415" u="1"/>
        <n v="202223" u="1"/>
        <n v="200910" u="1"/>
        <n v="201718" u="1"/>
        <n v="201213" u="1"/>
        <n v="202021" u="1"/>
        <n v="201516" u="1"/>
        <n v="201011" u="1"/>
        <n v="201819" u="1"/>
        <n v="201314" u="1"/>
        <n v="202122" u="1"/>
        <n v="200809" u="1"/>
        <n v="201617" u="1"/>
        <n v="201112" u="1"/>
        <n v="201920" u="1"/>
      </sharedItems>
    </cacheField>
    <cacheField name="FormRef" numFmtId="0" sqlType="12">
      <sharedItems count="1">
        <s v="CT1"/>
      </sharedItems>
    </cacheField>
    <cacheField name="AuthCode" numFmtId="0" sqlType="4">
      <sharedItems containsSemiMixedTypes="0" containsString="0" containsNumber="1" containsInteger="1" minValue="512" maxValue="600" count="37">
        <n v="512"/>
        <n v="514"/>
        <n v="516"/>
        <n v="518"/>
        <n v="520"/>
        <n v="522"/>
        <n v="524"/>
        <n v="526"/>
        <n v="528"/>
        <n v="530"/>
        <n v="532"/>
        <n v="534"/>
        <n v="536"/>
        <n v="538"/>
        <n v="540"/>
        <n v="542"/>
        <n v="544"/>
        <n v="545"/>
        <n v="546"/>
        <n v="548"/>
        <n v="550"/>
        <n v="552"/>
        <n v="596"/>
        <n v="568" u="1"/>
        <n v="600" u="1"/>
        <n v="574" u="1"/>
        <n v="586" u="1"/>
        <n v="566" u="1"/>
        <n v="598" u="1"/>
        <n v="572" u="1"/>
        <n v="597" u="1"/>
        <n v="584" u="1"/>
        <n v="564" u="1"/>
        <n v="576" u="1"/>
        <n v="595" u="1"/>
        <n v="582" u="1"/>
        <n v="562" u="1"/>
      </sharedItems>
    </cacheField>
    <cacheField name="RowRef" numFmtId="0" sqlType="3">
      <sharedItems containsSemiMixedTypes="0" containsString="0" containsNumber="1" minValue="1" maxValue="999" count="281">
        <n v="22"/>
        <n v="25" u="1"/>
        <n v="94" u="1"/>
        <n v="713" u="1"/>
        <n v="39.1" u="1"/>
        <n v="83.1" u="1"/>
        <n v="23" u="1"/>
        <n v="86" u="1"/>
        <n v="714" u="1"/>
        <n v="107.6" u="1"/>
        <n v="75.099999999999994" u="1"/>
        <n v="21" u="1"/>
        <n v="78" u="1"/>
        <n v="715" u="1"/>
        <n v="38.5" u="1"/>
        <n v="142" u="1"/>
        <n v="19" u="1"/>
        <n v="70" u="1"/>
        <n v="716" u="1"/>
        <n v="127" u="1"/>
        <n v="17" u="1"/>
        <n v="63" u="1"/>
        <n v="717" u="1"/>
        <n v="119" u="1"/>
        <n v="59" u="1"/>
        <n v="159" u="1"/>
        <n v="111" u="1"/>
        <n v="1" u="1"/>
        <n v="55" u="1"/>
        <n v="143" u="1"/>
        <n v="103" u="1"/>
        <n v="51" u="1"/>
        <n v="92.1" u="1"/>
        <n v="47" u="1"/>
        <n v="87" u="1"/>
        <n v="43" u="1"/>
        <n v="160" u="1"/>
        <n v="79" u="1"/>
        <n v="14.2" u="1"/>
        <n v="39" u="1"/>
        <n v="144" u="1"/>
        <n v="71" u="1"/>
        <n v="107.4" u="1"/>
        <n v="35" u="1"/>
        <n v="128" u="1"/>
        <n v="117.1" u="1"/>
        <n v="120" u="1"/>
        <n v="161" u="1"/>
        <n v="112" u="1"/>
        <n v="10.199999999999999" u="1"/>
        <n v="145" u="1"/>
        <n v="101.1" u="1"/>
        <n v="104" u="1"/>
        <n v="51.5" u="1"/>
        <n v="598" u="1"/>
        <n v="29.2" u="1"/>
        <n v="129" u="1"/>
        <n v="599" u="1"/>
        <n v="88" u="1"/>
        <n v="162" u="1"/>
        <n v="36.1" u="1"/>
        <n v="80" u="1"/>
        <n v="143.1" u="1"/>
        <n v="39.5" u="1"/>
        <n v="601" u="1"/>
        <n v="146" u="1"/>
        <n v="72" u="1"/>
        <n v="130" u="1"/>
        <n v="64" u="1"/>
        <n v="798" u="1"/>
        <n v="118.1" u="1"/>
        <n v="6.1" u="1"/>
        <n v="121" u="1"/>
        <n v="60" u="1"/>
        <n v="799" u="1"/>
        <n v="163" u="1"/>
        <n v="113" u="1"/>
        <n v="298" u="1"/>
        <n v="56" u="1"/>
        <n v="147" u="1"/>
        <n v="105" u="1"/>
        <n v="52" u="1"/>
        <n v="131" u="1"/>
        <n v="299" u="1"/>
        <n v="48" u="1"/>
        <n v="89" u="1"/>
        <n v="44" u="1"/>
        <n v="164" u="1"/>
        <n v="81" u="1"/>
        <n v="999" u="1"/>
        <n v="40" u="1"/>
        <n v="398" u="1"/>
        <n v="73" u="1"/>
        <n v="36" u="1"/>
        <n v="132" u="1"/>
        <n v="301" u="1"/>
        <n v="65" u="1"/>
        <n v="39.4" u="1"/>
        <n v="32" u="1"/>
        <n v="122" u="1"/>
        <n v="399" u="1"/>
        <n v="107.2" u="1"/>
        <n v="89.5" u="1"/>
        <n v="165" u="1"/>
        <n v="30" u="1"/>
        <n v="114" u="1"/>
        <n v="302" u="1"/>
        <n v="28" u="1"/>
        <n v="106" u="1"/>
        <n v="198" u="1"/>
        <n v="133" u="1"/>
        <n v="498" u="1"/>
        <n v="26" u="1"/>
        <n v="303" u="1"/>
        <n v="83.2" u="1"/>
        <n v="401" u="1"/>
        <n v="107.7" u="1"/>
        <n v="24" u="1"/>
        <n v="90" u="1"/>
        <n v="75.2" u="1"/>
        <n v="166" u="1"/>
        <n v="499" u="1"/>
        <n v="82" u="1"/>
        <n v="304" u="1"/>
        <n v="150" u="1"/>
        <n v="402" u="1"/>
        <n v="20" u="1"/>
        <n v="74" u="1"/>
        <n v="199" u="1"/>
        <n v="29.1" u="1"/>
        <n v="134" u="1"/>
        <n v="305" u="1"/>
        <n v="18" u="1"/>
        <n v="66" u="1"/>
        <n v="123" u="1"/>
        <n v="403" u="1"/>
        <n v="16" u="1"/>
        <n v="61" u="1"/>
        <n v="167" u="1"/>
        <n v="501" u="1"/>
        <n v="115" u="1"/>
        <n v="306" u="1"/>
        <n v="15" u="1"/>
        <n v="57" u="1"/>
        <n v="39.299999999999997" u="1"/>
        <n v="151" u="1"/>
        <n v="107" u="1"/>
        <n v="404" u="1"/>
        <n v="92.2" u="1"/>
        <n v="14" u="1"/>
        <n v="53" u="1"/>
        <n v="135" u="1"/>
        <n v="502" u="1"/>
        <n v="99" u="1"/>
        <n v="307" u="1"/>
        <n v="13" u="1"/>
        <n v="49" u="1"/>
        <n v="405" u="1"/>
        <n v="91" u="1"/>
        <n v="12" u="1"/>
        <n v="45" u="1"/>
        <n v="168" u="1"/>
        <n v="503" u="1"/>
        <n v="83" u="1"/>
        <n v="308" u="1"/>
        <n v="11" u="1"/>
        <n v="41" u="1"/>
        <n v="152" u="1"/>
        <n v="107.5" u="1"/>
        <n v="406" u="1"/>
        <n v="59.2" u="1"/>
        <n v="75" u="1"/>
        <n v="201" u="1"/>
        <n v="10" u="1"/>
        <n v="37" u="1"/>
        <n v="136" u="1"/>
        <n v="504" u="1"/>
        <n v="117.2" u="1"/>
        <n v="309" u="1"/>
        <n v="67" u="1"/>
        <n v="9" u="1"/>
        <n v="33" u="1"/>
        <n v="124" u="1"/>
        <n v="407" u="1"/>
        <n v="169" u="1"/>
        <n v="505" u="1"/>
        <n v="8" u="1"/>
        <n v="116" u="1"/>
        <n v="310" u="1"/>
        <n v="39.799999999999997" u="1"/>
        <n v="108" u="1"/>
        <n v="408" u="1"/>
        <n v="202" u="1"/>
        <n v="137" u="1"/>
        <n v="506" u="1"/>
        <n v="7" u="1"/>
        <n v="100" u="1"/>
        <n v="311" u="1"/>
        <n v="39.200000000000003" u="1"/>
        <n v="124.5" u="1"/>
        <n v="89.1" u="1"/>
        <n v="92" u="1"/>
        <n v="170" u="1"/>
        <n v="507" u="1"/>
        <n v="6" u="1"/>
        <n v="84" u="1"/>
        <n v="312" u="1"/>
        <n v="154" u="1"/>
        <n v="34.1" u="1"/>
        <n v="76" u="1"/>
        <n v="203" u="1"/>
        <n v="138" u="1"/>
        <n v="508" u="1"/>
        <n v="313" u="1"/>
        <n v="5" u="1"/>
        <n v="68" u="1"/>
        <n v="39.450000000000003" u="1"/>
        <n v="125" u="1"/>
        <n v="107.3" u="1"/>
        <n v="62" u="1"/>
        <n v="701" u="1"/>
        <n v="509" u="1"/>
        <n v="117" u="1"/>
        <n v="314" u="1"/>
        <n v="4" u="1"/>
        <n v="58" u="1"/>
        <n v="702" u="1"/>
        <n v="155" u="1"/>
        <n v="109" u="1"/>
        <n v="54" u="1"/>
        <n v="204" u="1"/>
        <n v="703" u="1"/>
        <n v="139" u="1"/>
        <n v="510" u="1"/>
        <n v="101" u="1"/>
        <n v="315" u="1"/>
        <n v="50" u="1"/>
        <n v="704" u="1"/>
        <n v="107.8" u="1"/>
        <n v="93" u="1"/>
        <n v="75.3" u="1"/>
        <n v="14.1" u="1"/>
        <n v="46" u="1"/>
        <n v="705" u="1"/>
        <n v="172" u="1"/>
        <n v="511" u="1"/>
        <n v="85" u="1"/>
        <n v="316" u="1"/>
        <n v="3" u="1"/>
        <n v="706" u="1"/>
        <n v="42" u="1"/>
        <n v="156" u="1"/>
        <n v="77" u="1"/>
        <n v="707" u="1"/>
        <n v="172.5" u="1"/>
        <n v="38" u="1"/>
        <n v="140" u="1"/>
        <n v="512" u="1"/>
        <n v="317" u="1"/>
        <n v="69" u="1"/>
        <n v="59.1" u="1"/>
        <n v="708" u="1"/>
        <n v="34" u="1"/>
        <n v="126" u="1"/>
        <n v="10.1" u="1"/>
        <n v="709" u="1"/>
        <n v="173" u="1"/>
        <n v="31" u="1"/>
        <n v="118" u="1"/>
        <n v="318" u="1"/>
        <n v="710" u="1"/>
        <n v="157" u="1"/>
        <n v="107.1" u="1"/>
        <n v="2" u="1"/>
        <n v="29" u="1"/>
        <n v="110" u="1"/>
        <n v="711" u="1"/>
        <n v="141" u="1"/>
        <n v="27" u="1"/>
        <n v="102" u="1"/>
        <n v="712" u="1"/>
      </sharedItems>
    </cacheField>
    <cacheField name="Data" numFmtId="0" sqlType="6">
      <sharedItems containsSemiMixedTypes="0" containsString="0" containsNumber="1" minValue="19733.249999999996" maxValue="1308044.2851111111" count="23">
        <n v="33544.055555555555"/>
        <n v="56675.128444444446"/>
        <n v="53512.805555555562"/>
        <n v="42376.583333333336"/>
        <n v="66883.605555555536"/>
        <n v="55310.916666666664"/>
        <n v="65328.972222222219"/>
        <n v="34282.750000000007"/>
        <n v="65435.583333333343"/>
        <n v="78420.922222222216"/>
        <n v="97711.277777777796"/>
        <n v="49823.944444444438"/>
        <n v="56887.888888888891"/>
        <n v="65053.305555555562"/>
        <n v="81950.527777777781"/>
        <n v="19733.249999999996"/>
        <n v="62864.267777777772"/>
        <n v="21922.888888888887"/>
        <n v="35160.472222222226"/>
        <n v="48955.083333333343"/>
        <n v="62580.611111111109"/>
        <n v="153629.44444444444"/>
        <n v="1308044.2851111111"/>
      </sharedItems>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Kelly, Frank (KAS)" refreshedDate="45315.603579861112" createdVersion="4" refreshedVersion="8" recordCount="23" xr:uid="{00000000-000A-0000-FFFF-FFFF10000000}">
  <cacheSource type="external" connectionId="3"/>
  <cacheFields count="5">
    <cacheField name="YearCode" numFmtId="0" sqlType="4">
      <sharedItems containsSemiMixedTypes="0" containsString="0" containsNumber="1" containsInteger="1" minValue="200809" maxValue="202425" count="17">
        <n v="202425"/>
        <n v="202324" u="1"/>
        <n v="201415" u="1"/>
        <n v="202223" u="1"/>
        <n v="200910" u="1"/>
        <n v="201718" u="1"/>
        <n v="201213" u="1"/>
        <n v="202021" u="1"/>
        <n v="201516" u="1"/>
        <n v="201011" u="1"/>
        <n v="201819" u="1"/>
        <n v="201314" u="1"/>
        <n v="202122" u="1"/>
        <n v="200809" u="1"/>
        <n v="201617" u="1"/>
        <n v="201112" u="1"/>
        <n v="201920" u="1"/>
      </sharedItems>
    </cacheField>
    <cacheField name="FormRef" numFmtId="0" sqlType="12">
      <sharedItems count="1">
        <s v="CT1"/>
      </sharedItems>
    </cacheField>
    <cacheField name="AuthCode" numFmtId="0" sqlType="4">
      <sharedItems containsSemiMixedTypes="0" containsString="0" containsNumber="1" containsInteger="1" minValue="512" maxValue="600" count="37">
        <n v="512"/>
        <n v="514"/>
        <n v="516"/>
        <n v="518"/>
        <n v="520"/>
        <n v="522"/>
        <n v="524"/>
        <n v="526"/>
        <n v="528"/>
        <n v="530"/>
        <n v="532"/>
        <n v="534"/>
        <n v="536"/>
        <n v="538"/>
        <n v="540"/>
        <n v="542"/>
        <n v="544"/>
        <n v="545"/>
        <n v="546"/>
        <n v="548"/>
        <n v="550"/>
        <n v="552"/>
        <n v="596"/>
        <n v="568" u="1"/>
        <n v="600" u="1"/>
        <n v="574" u="1"/>
        <n v="586" u="1"/>
        <n v="566" u="1"/>
        <n v="598" u="1"/>
        <n v="572" u="1"/>
        <n v="597" u="1"/>
        <n v="584" u="1"/>
        <n v="564" u="1"/>
        <n v="576" u="1"/>
        <n v="595" u="1"/>
        <n v="582" u="1"/>
        <n v="562" u="1"/>
      </sharedItems>
    </cacheField>
    <cacheField name="RowRef" numFmtId="0" sqlType="3">
      <sharedItems containsSemiMixedTypes="0" containsString="0" containsNumber="1" minValue="1" maxValue="999" count="281">
        <n v="23"/>
        <n v="25" u="1"/>
        <n v="94" u="1"/>
        <n v="713" u="1"/>
        <n v="39.1" u="1"/>
        <n v="83.1" u="1"/>
        <n v="86" u="1"/>
        <n v="714" u="1"/>
        <n v="107.6" u="1"/>
        <n v="75.099999999999994" u="1"/>
        <n v="21" u="1"/>
        <n v="78" u="1"/>
        <n v="715" u="1"/>
        <n v="38.5" u="1"/>
        <n v="142" u="1"/>
        <n v="19" u="1"/>
        <n v="70" u="1"/>
        <n v="716" u="1"/>
        <n v="127" u="1"/>
        <n v="17" u="1"/>
        <n v="63" u="1"/>
        <n v="717" u="1"/>
        <n v="119" u="1"/>
        <n v="59" u="1"/>
        <n v="159" u="1"/>
        <n v="111" u="1"/>
        <n v="1" u="1"/>
        <n v="55" u="1"/>
        <n v="143" u="1"/>
        <n v="103" u="1"/>
        <n v="51" u="1"/>
        <n v="92.1" u="1"/>
        <n v="47" u="1"/>
        <n v="87" u="1"/>
        <n v="43" u="1"/>
        <n v="160" u="1"/>
        <n v="79" u="1"/>
        <n v="14.2" u="1"/>
        <n v="39" u="1"/>
        <n v="144" u="1"/>
        <n v="71" u="1"/>
        <n v="107.4" u="1"/>
        <n v="35" u="1"/>
        <n v="128" u="1"/>
        <n v="117.1" u="1"/>
        <n v="120" u="1"/>
        <n v="161" u="1"/>
        <n v="112" u="1"/>
        <n v="10.199999999999999" u="1"/>
        <n v="145" u="1"/>
        <n v="101.1" u="1"/>
        <n v="104" u="1"/>
        <n v="51.5" u="1"/>
        <n v="598" u="1"/>
        <n v="29.2" u="1"/>
        <n v="129" u="1"/>
        <n v="599" u="1"/>
        <n v="88" u="1"/>
        <n v="162" u="1"/>
        <n v="36.1" u="1"/>
        <n v="80" u="1"/>
        <n v="143.1" u="1"/>
        <n v="39.5" u="1"/>
        <n v="601" u="1"/>
        <n v="146" u="1"/>
        <n v="72" u="1"/>
        <n v="130" u="1"/>
        <n v="64" u="1"/>
        <n v="798" u="1"/>
        <n v="118.1" u="1"/>
        <n v="6.1" u="1"/>
        <n v="121" u="1"/>
        <n v="60" u="1"/>
        <n v="799" u="1"/>
        <n v="163" u="1"/>
        <n v="113" u="1"/>
        <n v="298" u="1"/>
        <n v="56" u="1"/>
        <n v="147" u="1"/>
        <n v="105" u="1"/>
        <n v="52" u="1"/>
        <n v="131" u="1"/>
        <n v="299" u="1"/>
        <n v="48" u="1"/>
        <n v="89" u="1"/>
        <n v="44" u="1"/>
        <n v="164" u="1"/>
        <n v="81" u="1"/>
        <n v="999" u="1"/>
        <n v="40" u="1"/>
        <n v="398" u="1"/>
        <n v="73" u="1"/>
        <n v="36" u="1"/>
        <n v="132" u="1"/>
        <n v="301" u="1"/>
        <n v="65" u="1"/>
        <n v="39.4" u="1"/>
        <n v="32" u="1"/>
        <n v="122" u="1"/>
        <n v="399" u="1"/>
        <n v="107.2" u="1"/>
        <n v="89.5" u="1"/>
        <n v="165" u="1"/>
        <n v="30" u="1"/>
        <n v="114" u="1"/>
        <n v="302" u="1"/>
        <n v="28" u="1"/>
        <n v="106" u="1"/>
        <n v="198" u="1"/>
        <n v="133" u="1"/>
        <n v="498" u="1"/>
        <n v="26" u="1"/>
        <n v="303" u="1"/>
        <n v="83.2" u="1"/>
        <n v="401" u="1"/>
        <n v="107.7" u="1"/>
        <n v="24" u="1"/>
        <n v="90" u="1"/>
        <n v="75.2" u="1"/>
        <n v="166" u="1"/>
        <n v="499" u="1"/>
        <n v="22" u="1"/>
        <n v="82" u="1"/>
        <n v="304" u="1"/>
        <n v="150" u="1"/>
        <n v="402" u="1"/>
        <n v="20" u="1"/>
        <n v="74" u="1"/>
        <n v="199" u="1"/>
        <n v="29.1" u="1"/>
        <n v="134" u="1"/>
        <n v="305" u="1"/>
        <n v="18" u="1"/>
        <n v="66" u="1"/>
        <n v="123" u="1"/>
        <n v="403" u="1"/>
        <n v="16" u="1"/>
        <n v="61" u="1"/>
        <n v="167" u="1"/>
        <n v="501" u="1"/>
        <n v="115" u="1"/>
        <n v="306" u="1"/>
        <n v="15" u="1"/>
        <n v="57" u="1"/>
        <n v="39.299999999999997" u="1"/>
        <n v="151" u="1"/>
        <n v="107" u="1"/>
        <n v="404" u="1"/>
        <n v="92.2" u="1"/>
        <n v="14" u="1"/>
        <n v="53" u="1"/>
        <n v="135" u="1"/>
        <n v="502" u="1"/>
        <n v="99" u="1"/>
        <n v="307" u="1"/>
        <n v="13" u="1"/>
        <n v="49" u="1"/>
        <n v="405" u="1"/>
        <n v="91" u="1"/>
        <n v="12" u="1"/>
        <n v="45" u="1"/>
        <n v="168" u="1"/>
        <n v="503" u="1"/>
        <n v="83" u="1"/>
        <n v="308" u="1"/>
        <n v="11" u="1"/>
        <n v="41" u="1"/>
        <n v="152" u="1"/>
        <n v="107.5" u="1"/>
        <n v="406" u="1"/>
        <n v="59.2" u="1"/>
        <n v="75" u="1"/>
        <n v="201" u="1"/>
        <n v="10" u="1"/>
        <n v="37" u="1"/>
        <n v="136" u="1"/>
        <n v="504" u="1"/>
        <n v="117.2" u="1"/>
        <n v="309" u="1"/>
        <n v="67" u="1"/>
        <n v="9" u="1"/>
        <n v="33" u="1"/>
        <n v="124" u="1"/>
        <n v="407" u="1"/>
        <n v="169" u="1"/>
        <n v="505" u="1"/>
        <n v="8" u="1"/>
        <n v="116" u="1"/>
        <n v="310" u="1"/>
        <n v="39.799999999999997" u="1"/>
        <n v="108" u="1"/>
        <n v="408" u="1"/>
        <n v="202" u="1"/>
        <n v="137" u="1"/>
        <n v="506" u="1"/>
        <n v="7" u="1"/>
        <n v="100" u="1"/>
        <n v="311" u="1"/>
        <n v="39.200000000000003" u="1"/>
        <n v="124.5" u="1"/>
        <n v="89.1" u="1"/>
        <n v="92" u="1"/>
        <n v="170" u="1"/>
        <n v="507" u="1"/>
        <n v="6" u="1"/>
        <n v="84" u="1"/>
        <n v="312" u="1"/>
        <n v="154" u="1"/>
        <n v="34.1" u="1"/>
        <n v="76" u="1"/>
        <n v="203" u="1"/>
        <n v="138" u="1"/>
        <n v="508" u="1"/>
        <n v="313" u="1"/>
        <n v="5" u="1"/>
        <n v="68" u="1"/>
        <n v="39.450000000000003" u="1"/>
        <n v="125" u="1"/>
        <n v="107.3" u="1"/>
        <n v="62" u="1"/>
        <n v="701" u="1"/>
        <n v="509" u="1"/>
        <n v="117" u="1"/>
        <n v="314" u="1"/>
        <n v="4" u="1"/>
        <n v="58" u="1"/>
        <n v="702" u="1"/>
        <n v="155" u="1"/>
        <n v="109" u="1"/>
        <n v="54" u="1"/>
        <n v="204" u="1"/>
        <n v="703" u="1"/>
        <n v="139" u="1"/>
        <n v="510" u="1"/>
        <n v="101" u="1"/>
        <n v="315" u="1"/>
        <n v="50" u="1"/>
        <n v="704" u="1"/>
        <n v="107.8" u="1"/>
        <n v="93" u="1"/>
        <n v="75.3" u="1"/>
        <n v="14.1" u="1"/>
        <n v="46" u="1"/>
        <n v="705" u="1"/>
        <n v="172" u="1"/>
        <n v="511" u="1"/>
        <n v="85" u="1"/>
        <n v="316" u="1"/>
        <n v="3" u="1"/>
        <n v="706" u="1"/>
        <n v="42" u="1"/>
        <n v="156" u="1"/>
        <n v="77" u="1"/>
        <n v="707" u="1"/>
        <n v="172.5" u="1"/>
        <n v="38" u="1"/>
        <n v="140" u="1"/>
        <n v="512" u="1"/>
        <n v="317" u="1"/>
        <n v="69" u="1"/>
        <n v="59.1" u="1"/>
        <n v="708" u="1"/>
        <n v="34" u="1"/>
        <n v="126" u="1"/>
        <n v="10.1" u="1"/>
        <n v="709" u="1"/>
        <n v="173" u="1"/>
        <n v="31" u="1"/>
        <n v="118" u="1"/>
        <n v="318" u="1"/>
        <n v="710" u="1"/>
        <n v="157" u="1"/>
        <n v="107.1" u="1"/>
        <n v="2" u="1"/>
        <n v="29" u="1"/>
        <n v="110" u="1"/>
        <n v="711" u="1"/>
        <n v="141" u="1"/>
        <n v="27" u="1"/>
        <n v="102" u="1"/>
        <n v="712" u="1"/>
      </sharedItems>
    </cacheField>
    <cacheField name="Data" numFmtId="0" sqlType="6">
      <sharedItems containsSemiMixedTypes="0" containsString="0" containsNumber="1" minValue="95.5" maxValue="99" count="11">
        <n v="98.5"/>
        <n v="99"/>
        <n v="98"/>
        <n v="98.8"/>
        <n v="98.1"/>
        <n v="97.5"/>
        <n v="96"/>
        <n v="97.1"/>
        <n v="97.25"/>
        <n v="95.5"/>
        <n v="97.87"/>
      </sharedItems>
    </cacheField>
  </cacheFields>
  <extLst>
    <ext xmlns:x14="http://schemas.microsoft.com/office/spreadsheetml/2009/9/main" uri="{725AE2AE-9491-48be-B2B4-4EB974FC3084}">
      <x14:pivotCacheDefinition/>
    </ext>
  </extLst>
</pivotCacheDefinition>
</file>

<file path=xl/pivotCache/pivotCacheDefinition4.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ndersonB1" refreshedDate="45330.534458101851" createdVersion="4" refreshedVersion="8" recordCount="23" xr:uid="{00000000-000A-0000-FFFF-FFFF0F000000}">
  <cacheSource type="external" connectionId="4"/>
  <cacheFields count="9">
    <cacheField name="YearCode" numFmtId="0" sqlType="4">
      <sharedItems containsSemiMixedTypes="0" containsString="0" containsNumber="1" containsInteger="1" minValue="200809" maxValue="202425" count="17">
        <n v="202425"/>
        <n v="201415" u="1"/>
        <n v="202223" u="1"/>
        <n v="200910" u="1"/>
        <n v="201718" u="1"/>
        <n v="201213" u="1"/>
        <n v="202021" u="1"/>
        <n v="201516" u="1"/>
        <n v="202324" u="1"/>
        <n v="201011" u="1"/>
        <n v="201819" u="1"/>
        <n v="201314" u="1"/>
        <n v="202122" u="1"/>
        <n v="200809" u="1"/>
        <n v="201617" u="1"/>
        <n v="201112" u="1"/>
        <n v="201920" u="1"/>
      </sharedItems>
    </cacheField>
    <cacheField name="FormRef" numFmtId="0" sqlType="12">
      <sharedItems count="1">
        <s v="CT1"/>
      </sharedItems>
    </cacheField>
    <cacheField name="AuthCode" numFmtId="0" sqlType="4">
      <sharedItems containsSemiMixedTypes="0" containsString="0" containsNumber="1" containsInteger="1" minValue="512" maxValue="600" count="37">
        <n v="512"/>
        <n v="514"/>
        <n v="516"/>
        <n v="518"/>
        <n v="520"/>
        <n v="522"/>
        <n v="524"/>
        <n v="526"/>
        <n v="528"/>
        <n v="530"/>
        <n v="532"/>
        <n v="534"/>
        <n v="536"/>
        <n v="538"/>
        <n v="540"/>
        <n v="542"/>
        <n v="544"/>
        <n v="545"/>
        <n v="546"/>
        <n v="548"/>
        <n v="550"/>
        <n v="552"/>
        <n v="596"/>
        <n v="568" u="1"/>
        <n v="600" u="1"/>
        <n v="574" u="1"/>
        <n v="586" u="1"/>
        <n v="566" u="1"/>
        <n v="598" u="1"/>
        <n v="572" u="1"/>
        <n v="597" u="1"/>
        <n v="584" u="1"/>
        <n v="564" u="1"/>
        <n v="576" u="1"/>
        <n v="595" u="1"/>
        <n v="582" u="1"/>
        <n v="562" u="1"/>
      </sharedItems>
    </cacheField>
    <cacheField name="Authority name" numFmtId="0" sqlType="-9">
      <sharedItems count="37">
        <s v="Isle of Anglesey"/>
        <s v="Gwynedd"/>
        <s v="Conwy"/>
        <s v="Denbighshire"/>
        <s v="Flintshire"/>
        <s v="Wrexham"/>
        <s v="Powys"/>
        <s v="Ceredigion"/>
        <s v="Pembrokeshire"/>
        <s v="Carmarthenshire"/>
        <s v="Swansea"/>
        <s v="Neath Port Talbot"/>
        <s v="Bridgend"/>
        <s v="Vale of Glamorgan"/>
        <s v="Rhondda Cynon Taf"/>
        <s v="Merthyr Tydfil"/>
        <s v="Caerphilly"/>
        <s v="Blaenau Gwent"/>
        <s v="Torfaen"/>
        <s v="Monmouthshire"/>
        <s v="Newport"/>
        <s v="Cardiff"/>
        <s v="Total Unitary Authorities"/>
        <s v="Pembrokeshire Coast NPA" u="1"/>
        <s v="Total Wales" u="1"/>
        <s v="North Wales Fire Authority" u="1"/>
        <s v="Brecon Beacons NPA" u="1"/>
        <s v="South Wales Fire Authority" u="1"/>
        <s v="Total National Park Authorities" u="1"/>
        <s v="Total Fire Authorities" u="1"/>
        <s v="Total Police Authorities" u="1"/>
        <s v="Mid and West Wales Fire Authority" u="1"/>
        <s v="Gwent Police Authority" u="1"/>
        <s v="North Wales Police Authority" u="1"/>
        <s v="Snowdonia NPA" u="1"/>
        <s v="Dyfed Powys Police Authority" u="1"/>
        <s v="South Wales Police Authority" u="1"/>
      </sharedItems>
    </cacheField>
    <cacheField name="RowRef" numFmtId="0" sqlType="3">
      <sharedItems containsSemiMixedTypes="0" containsString="0" containsNumber="1" minValue="1" maxValue="999" count="281">
        <n v="26"/>
        <n v="25" u="1"/>
        <n v="94" u="1"/>
        <n v="713" u="1"/>
        <n v="39.1" u="1"/>
        <n v="83.1" u="1"/>
        <n v="23" u="1"/>
        <n v="86" u="1"/>
        <n v="714" u="1"/>
        <n v="107.6" u="1"/>
        <n v="75.099999999999994" u="1"/>
        <n v="21" u="1"/>
        <n v="78" u="1"/>
        <n v="715" u="1"/>
        <n v="38.5" u="1"/>
        <n v="142" u="1"/>
        <n v="19" u="1"/>
        <n v="70" u="1"/>
        <n v="716" u="1"/>
        <n v="127" u="1"/>
        <n v="17" u="1"/>
        <n v="63" u="1"/>
        <n v="717" u="1"/>
        <n v="119" u="1"/>
        <n v="59" u="1"/>
        <n v="159" u="1"/>
        <n v="111" u="1"/>
        <n v="1" u="1"/>
        <n v="55" u="1"/>
        <n v="143" u="1"/>
        <n v="103" u="1"/>
        <n v="51" u="1"/>
        <n v="92.1" u="1"/>
        <n v="47" u="1"/>
        <n v="87" u="1"/>
        <n v="43" u="1"/>
        <n v="160" u="1"/>
        <n v="79" u="1"/>
        <n v="14.2" u="1"/>
        <n v="39" u="1"/>
        <n v="144" u="1"/>
        <n v="71" u="1"/>
        <n v="107.4" u="1"/>
        <n v="35" u="1"/>
        <n v="128" u="1"/>
        <n v="117.1" u="1"/>
        <n v="120" u="1"/>
        <n v="161" u="1"/>
        <n v="112" u="1"/>
        <n v="10.199999999999999" u="1"/>
        <n v="145" u="1"/>
        <n v="101.1" u="1"/>
        <n v="104" u="1"/>
        <n v="51.5" u="1"/>
        <n v="598" u="1"/>
        <n v="29.2" u="1"/>
        <n v="129" u="1"/>
        <n v="599" u="1"/>
        <n v="88" u="1"/>
        <n v="162" u="1"/>
        <n v="36.1" u="1"/>
        <n v="80" u="1"/>
        <n v="143.1" u="1"/>
        <n v="39.5" u="1"/>
        <n v="601" u="1"/>
        <n v="146" u="1"/>
        <n v="72" u="1"/>
        <n v="130" u="1"/>
        <n v="64" u="1"/>
        <n v="798" u="1"/>
        <n v="118.1" u="1"/>
        <n v="6.1" u="1"/>
        <n v="121" u="1"/>
        <n v="60" u="1"/>
        <n v="799" u="1"/>
        <n v="163" u="1"/>
        <n v="113" u="1"/>
        <n v="298" u="1"/>
        <n v="56" u="1"/>
        <n v="147" u="1"/>
        <n v="105" u="1"/>
        <n v="52" u="1"/>
        <n v="131" u="1"/>
        <n v="299" u="1"/>
        <n v="48" u="1"/>
        <n v="89" u="1"/>
        <n v="44" u="1"/>
        <n v="164" u="1"/>
        <n v="81" u="1"/>
        <n v="999" u="1"/>
        <n v="40" u="1"/>
        <n v="398" u="1"/>
        <n v="73" u="1"/>
        <n v="36" u="1"/>
        <n v="132" u="1"/>
        <n v="301" u="1"/>
        <n v="65" u="1"/>
        <n v="39.4" u="1"/>
        <n v="32" u="1"/>
        <n v="122" u="1"/>
        <n v="399" u="1"/>
        <n v="107.2" u="1"/>
        <n v="89.5" u="1"/>
        <n v="165" u="1"/>
        <n v="30" u="1"/>
        <n v="114" u="1"/>
        <n v="302" u="1"/>
        <n v="28" u="1"/>
        <n v="106" u="1"/>
        <n v="198" u="1"/>
        <n v="133" u="1"/>
        <n v="498" u="1"/>
        <n v="303" u="1"/>
        <n v="83.2" u="1"/>
        <n v="401" u="1"/>
        <n v="107.7" u="1"/>
        <n v="24" u="1"/>
        <n v="90" u="1"/>
        <n v="75.2" u="1"/>
        <n v="166" u="1"/>
        <n v="499" u="1"/>
        <n v="22" u="1"/>
        <n v="82" u="1"/>
        <n v="304" u="1"/>
        <n v="150" u="1"/>
        <n v="402" u="1"/>
        <n v="20" u="1"/>
        <n v="74" u="1"/>
        <n v="199" u="1"/>
        <n v="29.1" u="1"/>
        <n v="134" u="1"/>
        <n v="305" u="1"/>
        <n v="18" u="1"/>
        <n v="66" u="1"/>
        <n v="123" u="1"/>
        <n v="403" u="1"/>
        <n v="16" u="1"/>
        <n v="61" u="1"/>
        <n v="167" u="1"/>
        <n v="501" u="1"/>
        <n v="115" u="1"/>
        <n v="306" u="1"/>
        <n v="15" u="1"/>
        <n v="57" u="1"/>
        <n v="39.299999999999997" u="1"/>
        <n v="151" u="1"/>
        <n v="107" u="1"/>
        <n v="404" u="1"/>
        <n v="92.2" u="1"/>
        <n v="14" u="1"/>
        <n v="53" u="1"/>
        <n v="135" u="1"/>
        <n v="502" u="1"/>
        <n v="99" u="1"/>
        <n v="307" u="1"/>
        <n v="13" u="1"/>
        <n v="49" u="1"/>
        <n v="405" u="1"/>
        <n v="91" u="1"/>
        <n v="12" u="1"/>
        <n v="45" u="1"/>
        <n v="168" u="1"/>
        <n v="503" u="1"/>
        <n v="83" u="1"/>
        <n v="308" u="1"/>
        <n v="11" u="1"/>
        <n v="41" u="1"/>
        <n v="152" u="1"/>
        <n v="107.5" u="1"/>
        <n v="406" u="1"/>
        <n v="59.2" u="1"/>
        <n v="75" u="1"/>
        <n v="201" u="1"/>
        <n v="10" u="1"/>
        <n v="37" u="1"/>
        <n v="136" u="1"/>
        <n v="504" u="1"/>
        <n v="117.2" u="1"/>
        <n v="309" u="1"/>
        <n v="67" u="1"/>
        <n v="9" u="1"/>
        <n v="33" u="1"/>
        <n v="124" u="1"/>
        <n v="407" u="1"/>
        <n v="169" u="1"/>
        <n v="505" u="1"/>
        <n v="8" u="1"/>
        <n v="116" u="1"/>
        <n v="310" u="1"/>
        <n v="39.799999999999997" u="1"/>
        <n v="108" u="1"/>
        <n v="408" u="1"/>
        <n v="202" u="1"/>
        <n v="137" u="1"/>
        <n v="506" u="1"/>
        <n v="7" u="1"/>
        <n v="100" u="1"/>
        <n v="311" u="1"/>
        <n v="39.200000000000003" u="1"/>
        <n v="124.5" u="1"/>
        <n v="89.1" u="1"/>
        <n v="92" u="1"/>
        <n v="170" u="1"/>
        <n v="507" u="1"/>
        <n v="6" u="1"/>
        <n v="84" u="1"/>
        <n v="312" u="1"/>
        <n v="154" u="1"/>
        <n v="34.1" u="1"/>
        <n v="76" u="1"/>
        <n v="203" u="1"/>
        <n v="138" u="1"/>
        <n v="508" u="1"/>
        <n v="313" u="1"/>
        <n v="5" u="1"/>
        <n v="68" u="1"/>
        <n v="39.450000000000003" u="1"/>
        <n v="125" u="1"/>
        <n v="107.3" u="1"/>
        <n v="62" u="1"/>
        <n v="701" u="1"/>
        <n v="509" u="1"/>
        <n v="117" u="1"/>
        <n v="314" u="1"/>
        <n v="4" u="1"/>
        <n v="58" u="1"/>
        <n v="702" u="1"/>
        <n v="155" u="1"/>
        <n v="109" u="1"/>
        <n v="54" u="1"/>
        <n v="204" u="1"/>
        <n v="703" u="1"/>
        <n v="139" u="1"/>
        <n v="510" u="1"/>
        <n v="101" u="1"/>
        <n v="315" u="1"/>
        <n v="50" u="1"/>
        <n v="704" u="1"/>
        <n v="107.8" u="1"/>
        <n v="93" u="1"/>
        <n v="75.3" u="1"/>
        <n v="14.1" u="1"/>
        <n v="46" u="1"/>
        <n v="705" u="1"/>
        <n v="172" u="1"/>
        <n v="511" u="1"/>
        <n v="85" u="1"/>
        <n v="316" u="1"/>
        <n v="3" u="1"/>
        <n v="706" u="1"/>
        <n v="42" u="1"/>
        <n v="156" u="1"/>
        <n v="77" u="1"/>
        <n v="707" u="1"/>
        <n v="172.5" u="1"/>
        <n v="38" u="1"/>
        <n v="140" u="1"/>
        <n v="512" u="1"/>
        <n v="317" u="1"/>
        <n v="69" u="1"/>
        <n v="59.1" u="1"/>
        <n v="708" u="1"/>
        <n v="34" u="1"/>
        <n v="126" u="1"/>
        <n v="10.1" u="1"/>
        <n v="709" u="1"/>
        <n v="173" u="1"/>
        <n v="31" u="1"/>
        <n v="118" u="1"/>
        <n v="318" u="1"/>
        <n v="710" u="1"/>
        <n v="157" u="1"/>
        <n v="107.1" u="1"/>
        <n v="2" u="1"/>
        <n v="29" u="1"/>
        <n v="110" u="1"/>
        <n v="711" u="1"/>
        <n v="141" u="1"/>
        <n v="27" u="1"/>
        <n v="102" u="1"/>
        <n v="712" u="1"/>
      </sharedItems>
    </cacheField>
    <cacheField name="RowDesc" numFmtId="0" sqlType="-9">
      <sharedItems count="411">
        <s v="E5 - Council tax base for tax-setting purposes (=E3+E4)"/>
        <s v="Deprivation grant: spent on social services" u="1"/>
        <s v="Fire service emergency planning" u="1"/>
        <s v="HRA 'item 8' interest payments/receipts " u="1"/>
        <s v="Estimated schools' financial reserves at beginning of financial year  *" u="1"/>
        <s v="Children's services - commissioning and social work" u="1"/>
        <s v="Forward planning and communities" u="1"/>
        <s v="Exempt dwellings - class W - a dwelling: - residence of a dependent relative within a single property" u="1"/>
        <s v="Total Home Office, Department for Constitutional Affairs and Unified Courts Administration" u="1"/>
        <s v="Earmarked reserves for insurance purposes at 1 April 2006" u="1"/>
        <s v="Other social services (please specify on last page)" u="1"/>
        <s v="Access to education (excluding transport) - non-school" u="1"/>
        <s v="School improvement" u="1"/>
        <s v="Education (totals carried forward from RA(S52))" u="1"/>
        <s v="Discounted chargeable dwellings: band D equivalents (=C4 total)" u="1"/>
        <s v="Improvement Agreement Grant" u="1"/>
        <s v="Court services (Column 4 lines 72 to 73)" u="1"/>
        <s v="Youth Justice Board" u="1"/>
        <s v="Undefined services (Column 4 lines 107 to 118)" u="1"/>
        <s v="Budgeted net discretionary non-domestic rate relief paid for by council fund (as per BR1 form for 2004-05, line 2)" u="1"/>
        <s v="Exempt dwellings - class J - an unoccupied dwelling: - where the owner or tenant is in another place providing personal care and has been a 'relevant absentee' for the whole of the period" u="1"/>
        <s v="Economic development" u="1"/>
        <s v="Deprivation grant: spent on education" u="1"/>
        <s v="Other education (including Bellwin scheme grants &amp; Surestart etc. covering education expenditure) (please specify on last page)" u="1"/>
        <s v="Depreciation" u="1"/>
        <s v="TOTAL GRANTS" u="1"/>
        <s v="Payments to/from fire authorities" u="1"/>
        <s v="External interest payments" u="1"/>
        <s v="Estimated unallocated reserves at beginning of  financial year  *" u="1"/>
        <s v="Mental illness strategy - support for people with disabilities." u="1"/>
        <s v="All dwellings in class A prescribed under section 12(1) (included in section B above)" u="1"/>
        <s v="All dwellings in class B prescribed under section 12(1) (included in section B above)" u="1"/>
        <s v="Foundation phase" u="1"/>
        <s v="Community support officers (police authorities only)" u="1"/>
        <s v="Waste disposal" u="1"/>
        <s v="Key stage 2-3 transition grant" u="1"/>
        <s v="G8 - Discounts" u="1"/>
        <s v="Credit for amortisation of capital grants  **" u="1"/>
        <s v="THE BUDGET REQUIREMENT PLUS DISCRETIONARY NON-DOMESTIC RATE RELIEF (lines 154 and 155)" u="1"/>
        <s v="Other Home Office and Lord Chancellor's Department (please specify on last page)" u="1"/>
        <s v="GROSS REVENUE EXPENDITURE (lines 142 to 145)" u="1"/>
        <s v="Total Housing" u="1"/>
        <s v="less council tax benefit grant" u="1"/>
        <s v="G4 - Discounts" u="1"/>
        <s v="TOTAL GRANTS OUTSIDE AEF" u="1"/>
        <s v="Enabling" u="1"/>
        <s v="Agriculture and fisheries services" u="1"/>
        <s v="Exempt dwellings - class L - an unoccupied dwelling: - where a mortgagee is in possession" u="1"/>
        <s v="(Non-significant) surpluses/deficits on internal trading accounts not disaggregated to services" u="1"/>
        <s v="Exempt dwellings - TOTAL" u="1"/>
        <s v="Additional Revenue funding for schools" u="1"/>
        <s v="Training support programme for social services" u="1"/>
        <s v="Disaffection" u="1"/>
        <s v="Pensions interest cost and expected return on pensions assets" u="1"/>
        <s v="Administrative support for schools" u="1"/>
        <s v="Better schools fund" u="1"/>
        <s v="Exempt dwellings - class H - an unoccupied dwelling: - held available for occupation by a minister of any religious denomination" u="1"/>
        <s v="Other social services (including Bellwin scheme grants covering PSS expenditure) (please specify)" u="1"/>
        <s v="Premia and discounts on debt rescheduling" u="1"/>
        <s v="All chargeable dwellings" u="1"/>
        <s v="Consolidated Special Formula Grant (police authorities only)" u="1"/>
        <s v="NET REVENUE EXPENDITURE (lines 146 to 147)" u="1"/>
        <s v="Local tax collection" u="1"/>
        <s v="Dwellings subject to disability reduction (included in line A1)" u="1"/>
        <s v="Other Social Services (including Bellwin scheme grants covering social services expenditure) (please specify on last page)" u="1"/>
        <s v="Environmental initiatives" u="1"/>
        <s v="Fire-fighting and rescue operations" u="1"/>
        <s v="Service strategy - adults social care" u="1"/>
        <s v="Levies paid to the Internal Drainage Boards" u="1"/>
        <s v="Individual School's budget and other funding devolved to schools" u="1"/>
        <s v="Earmarked reserves for capital purposes at 1 April 2006" u="1"/>
        <s v="Staff" u="1"/>
        <s v="Other education (please specify on last page)" u="1"/>
        <s v="New opportunities fund: spent on education" u="1"/>
        <s v="Local land charges" u="1"/>
        <s v="Credit for amortisation of capital grants" u="1"/>
        <s v="Mandatory student awards" u="1"/>
        <s v="Community safety (crime reduction)" u="1"/>
        <s v="Schools budget (lines 1 to 6)" u="1"/>
        <s v="Open spaces" u="1"/>
        <s v="National Council for Education and Training for Wales (NC - ELWA) grants for sixth form provision" u="1"/>
        <s v="Exempt dwellings - class B - an unoccupied dwelling: - owned by a body established for charitable purposes and last occupied for the purposes of that organisation - applies for up to 6 months" u="1"/>
        <s v="THE AGGREGATE OF COUNCIL TAX PRECEPTS (lines 156 to 160)" u="1"/>
        <s v="Community purposes" u="1"/>
        <s v="Mandatory rent allowances" u="1"/>
        <s v="Concessionary fares re-imbursement grant" u="1"/>
        <s v="Commutation adjustment (enter as a negative any adjustment which reduces MRP and vice versa)" u="1"/>
        <s v="Further education and training for young persons and adults" u="1"/>
        <s v="AGGREGATE OF COUNCIL TAX PRECEPTS (LINES 100 TO 104)" u="1"/>
        <s v="TOTAL REVENUE EXPENDITURE (lines 131 to 141)" u="1"/>
        <s v="Levies to national police services" u="1"/>
        <s v="Estimated pension reserves at 1st April 2006 (FRS 17)" u="1"/>
        <s v="Residential Allowances" u="1"/>
        <s v="Exempt dwellings - class F - an unoccupied dwelling: - which has been unoccupied since date of death and deceased person had a freehold or leasehold interest in the dwelling for at least 6 months" u="1"/>
        <s v="THE BUDGET REQUIREMENT (lines 150 to 152)" u="1"/>
        <s v="Exempt dwellings - class E - an unoccupied dwelling: - owner or tenant is a patient in a NHS or military hospital or a care home or hostel - sole or main residence must have changed and must have been 'relevant absentee' for period" u="1"/>
        <s v="Cymorth: spent on social services" u="1"/>
        <s v="Arts councils" u="1"/>
        <s v="Recreation Management and Transport" u="1"/>
        <s v="Exempt dwellings - class A - a vacant dwelling which: - requires or is undergoing major repairs - undergoing structural alteration, or - has been vacant for a continuous period of less than 6 months following substantial completion of any such repair" u="1"/>
        <s v="Sports Council for Wales" u="1"/>
        <s v="NET REVENUE EXPENDITURE (LINES 88 AND 89)" u="1"/>
        <s v="Collection rate" u="1"/>
        <s v="Other adjustments including administrative cost of late rating adjustments etc." u="1"/>
        <s v="Supporting People (Housing)" u="1"/>
        <s v="Central services (Column4 lines 89 to 92.2)" u="1"/>
        <s v="Recreation and sport" u="1"/>
        <s v="THE TOTAL AMOUNT TO BE RAISED FROM COUNCIL TAX PAYERS (lines 161 to 162)" u="1"/>
        <s v="Planning policy" u="1"/>
        <s v="Supporting people" u="1"/>
        <s v="Library service" u="1"/>
        <s v="Other (please specify on last page)" u="1"/>
        <s v="less specific and special grants (excluding council tax benefit grant)" u="1"/>
        <s v="Supporting People (social services)" u="1"/>
        <s v="Other services including adjustment to capital charges in respect of recharged administration and support (Counties, Police, Fire and National Parks)" u="1"/>
        <s v="less redistributed non-domestic rates income" u="1"/>
        <s v="Exempt dwellings - class V - a dwelling: - occupied by diplomats etc" u="1"/>
        <s v="Licensing of private sector landlords" u="1"/>
        <s v="Other Road and Transport (please specify on last page)" u="1"/>
        <s v="Learning disability strategy" u="1"/>
        <s v="Road Safety" u="1"/>
        <s v="Loss on impairment of assets" u="1"/>
        <s v="Exempt dwellings - class Q - an unoccupied dwelling: - where a trustee in bankruptcy would be liable" u="1"/>
        <s v="Asylum seekers grant" u="1"/>
        <s v="Payment to or to be received by combined fire authority*" u="1"/>
        <s v="Payment to or to be received by national park authority*" u="1"/>
        <s v="Community safety (safety services)" u="1"/>
        <s v="Supporting People - social services" u="1"/>
        <s v="Local regeneration fund" u="1"/>
        <s v="External interest payments excluding any premia and discounts on debt rescheduling" u="1"/>
        <s v="Assistance to teaching heads in small schools and support for joint working between small schools" u="1"/>
        <s v="Supporting People - Administration grant (PSS and Housing)" u="1"/>
        <s v="Total Other Local Services" u="1"/>
        <s v="Implementation of the strategy for older people" u="1"/>
        <s v="Other (including Bellwin scheme covering OLS expenditure) (please specify on last page)" u="1"/>
        <s v="All dwellings in class C prescribed under Section 12 (1) (included in section B above)" u="1"/>
        <s v="Ethnic minority achievement" u="1"/>
        <s v="Discretionary non-domestic rate relief to be paid for by the council fund" u="1"/>
        <s v="TOTAL SERVICE EXPENDITURE (lines 1 to 10)" u="1"/>
        <s v="Assembly Learning Grant" u="1"/>
        <s v="Emergency planning" u="1"/>
        <s v="Other housing (including Bellwin scheme grants covering housing expenditure) (please specify on last page)" u="1"/>
        <s v="Exempt dwellings - class N - wholly occupied by: - students over 18 years, or - spouse or dependent (not a British citizen), or - under 20 years and undertaking a qualifying course of education" u="1"/>
        <s v="Non Distributable Costs - Retirement benefits" u="1"/>
        <s v="Appropriations to(+) / from(-) earmarked financial reserves (excluding schools' financial reserves - see RO1)" u="1"/>
        <s v="Performance Incentive Grant (PIG): spent on education" u="1"/>
        <s v="Private sector housing renewal" u="1"/>
        <s v="Support for asylum seekers" u="1"/>
        <s v="Welsh network of healthy school schemes" u="1"/>
        <s v="PNB (priority payments) (police authorities only)" u="1"/>
        <s v="Levies paid to the Environment Agency acting as an Internal Drainage Board" u="1"/>
        <s v="Capital expenditure charged to revenue account " u="1"/>
        <s v="Total Education Revenue Expenditure_x000a_(line 6 plus line 19)" u="1"/>
        <s v="Adjusted chargeable dwellings (taking into account disability reductions)" u="1"/>
        <s v="less revenue support grant" u="1"/>
        <s v="Specialist Ring-fenced Accounts" u="1"/>
        <s v="Capacity grant" u="1"/>
        <s v="Learning pathways 14 - 19" u="1"/>
        <s v="Supporting People - Administration grant (Social services and Housing)" u="1"/>
        <s v="Council tax benefit grant" u="1"/>
        <s v="Flood defence and land drainage" u="1"/>
        <s v="Housing benefit administration grant" u="1"/>
        <s v="Extra funding for police (police authorities only)" u="1"/>
        <s v="Budget requirement plus net budgeted discretionary non-domestic rate relief paid for by council fund (line 94 + line 99)" u="1"/>
        <s v="100% council tax base for calculating revenue support grant (=E1+E4)" u="1"/>
        <s v="Loss on impairment of assets  **" u="1"/>
        <s v="Sustainable Waste Management " u="1"/>
        <s v="Family support services" u="1"/>
        <s v="Pensions interest cost and expected return on pensions assets (FRS17 authorities only)" u="1"/>
        <s v="Levies to the Internal Drainage Boards" u="1"/>
        <s v="RAISE" u="1"/>
        <s v="Coast protection" u="1"/>
        <s v="Debt financing grants" u="1"/>
        <s v="Learning pathways (14-19)" u="1"/>
        <s v="Exempt dwellings - class T - a dwelling: - which is unnoccupiedannexed accommodation" u="1"/>
        <s v="Community safety" u="1"/>
        <s v="Implementation of strategy for older people" u="1"/>
        <s v="Capital financing element within Private Finance Initiative (PFI) schemes" u="1"/>
        <s v="External interest on provision for credit liabilities (including 'set-aside' capital receipts), housing advances and other sources" u="1"/>
        <s v="Total earmarked financial reserves at 1 April 2006 (lines 113 to 116) (excluding schools' financial reserves - see RO1)" u="1"/>
        <s v="Rural policing fund (police authorities only)" u="1"/>
        <s v="Cultural, environmental and planning services (Column 4 lines 47 to 70)" u="1"/>
        <s v="Exempt dwellings - class S - a dwelling: - occupied only by persons under 18 years" u="1"/>
        <s v="Deprivation grant - all services" u="1"/>
        <s v="TOTAL SERVICE EXPENDITURE (lines 24 to 118)" u="1"/>
        <s v="Basic skills" u="1"/>
        <s v="Carers' special grant" u="1"/>
        <s v="One off equal pay costs - chargeable to any other revenue account" u="1"/>
        <s v="Emergency planning (civil defence) " u="1"/>
        <s v="Crime fighting fund (police authorities only)" u="1"/>
        <s v="Housing advances" u="1"/>
        <s v="Exempt dwellings class O (not included in sections A to C above)" u="1"/>
        <s v="Promoting understanding" u="1"/>
        <s v="Unallocated contingencies" u="1"/>
        <s v="G7 - Number of properties with a variable discount" u="1"/>
        <s v="Rent rebates granted to HRA tenants" u="1"/>
        <s v="Conservation of Cultural Heritage" u="1"/>
        <s v="LEA budget (lines 8 to 15)" u="1"/>
        <s v="Grant for Bilingual Education" u="1"/>
        <s v="Cymorth: spent on education" u="1"/>
        <s v="Adults aged under 65 with a physical disability or sensory impairment" u="1"/>
        <s v="Street cleansing (not chargeable to highways)" u="1"/>
        <s v="Corporate management" u="1"/>
        <s v="Total Home Office, Lord Chancellors Department and Unified Courts Administration" u="1"/>
        <s v="National childcare strategy" u="1"/>
        <s v="G3 - Number of properties with a variable discount" u="1"/>
        <s v="Social services (Column 4 lines 38 to 46)" u="1"/>
        <s v="Amortisation of deferred charges  **" u="1"/>
        <s v="Adults aged under 65 with learning disabilities" u="1"/>
        <s v="Community focused schools grant" u="1"/>
        <s v="NSPIS:NMIS (police authorities only)" u="1"/>
        <s v="Learning disabilities strategy (mainstream)" u="1"/>
        <s v="Supported employment" u="1"/>
        <s v="Service strategy - children's social care" u="1"/>
        <s v="Transfers to/from unallocated financial reserves from/to another authority" u="1"/>
        <s v="Estimated pensions reserves at 1st April 2006 (FRS17)" u="1"/>
        <s v="Prior year adjustments" u="1"/>
        <s v="Housing benefits payments" u="1"/>
        <s v="Other road and transport" u="1"/>
        <s v="Environmental health (including food safety and housing standards)" u="1"/>
        <s v="Other welfare services" u="1"/>
        <s v="Discount for each dwelling in prescribed class C (enter percentage applied)" u="1"/>
        <s v="National Council for Education and Training for Wales (NC - ELWA) grants for adult, continuing and community education" u="1"/>
        <s v="Traffic management and road safety" u="1"/>
        <s v="Provision of a specialised nature - SEN" u="1"/>
        <s v="Supported employment services" u="1"/>
        <s v="General grants, bequests and donations" u="1"/>
        <s v="Local authority business growth incentive" u="1"/>
        <s v="Other education (including Bellwin scheme grants covering education expenditure) (please specify on last page)" u="1"/>
        <s v="Local authority business growth incentive grant" u="1"/>
        <s v="TOTAL GRANTS INSIDE AEF (LINES 1 TO 61)" u="1"/>
        <s v="Additional grants for schools" u="1"/>
        <s v="Disability strategy" u="1"/>
        <s v="Total variable discounts (=Part G line 12)" u="1"/>
        <s v="Total Education" u="1"/>
        <s v="Total discounted dwellings (=A3-(C1x0.25))" u="1"/>
        <s v="Performance Incentive Grant (PIG): spent on other services" u="1"/>
        <s v="Trading Standards" u="1"/>
        <s v="Housing strategy" u="1"/>
        <s v="Appropriations to(+) / from(-) unallocated financial reserves" u="1"/>
        <s v="Total discounted band D equivalent dwellings (C2xC3)" u="1"/>
        <s v="Children First" u="1"/>
        <s v="Highways/Roads (Structural)" u="1"/>
        <s v="Levies to Sea Fisheries' Committees" u="1"/>
        <s v="Police services (Column 4 lines 100.1 to 101)" u="1"/>
        <s v="Performance management development fund" u="1"/>
        <s v="Primary schools free breakfast" u="1"/>
        <s v="NET CURRENT EXPENDITURE (LINES 60 TO 71)" u="1"/>
        <s v="Primary school - free breakfasts" u="1"/>
        <s v="Airports, harbours and toll facilities" u="1"/>
        <s v="Physical regeneration" u="1"/>
        <s v="Appropriations to/from unallocated pension reserves" u="1"/>
        <s v="Access to education (excluding transport) - schools" u="1"/>
        <s v="Registration of births, deaths and marriages" u="1"/>
        <s v="BUDGET REQUIREMENT (LINES 90 TO 93)" u="1"/>
        <s v="G6 - Discounts" u="1"/>
        <s v="Flying start" u="1"/>
        <s v="Exempt dwellings - class R - a dwelling: - which is an unoccupied pitch or mooring" u="1"/>
        <s v="Community learning" u="1"/>
        <s v="Culture and heritage" u="1"/>
        <s v="Housing services (non-housing revenue account (HRA)) (Column 4 lines 74 to 85)" u="1"/>
        <s v="Other adjustments to net current expenditure" u="1"/>
        <s v="G2 - Discounts" u="1"/>
        <s v="Transport planning, policy and strategy" u="1"/>
        <s v="HRA related pension costs" u="1"/>
        <s v="Planning" u="1"/>
        <s v="Exempt dwellings - class U - occupied dwelling: - occupied only by severely mentally impaired" u="1"/>
        <s v="Cymorth: other local services " u="1"/>
        <s v="Non Distributable Costs - depreciation/impairment of surplus costs etc" u="1"/>
        <s v="Class O exempt dwellings: band D equivalents" u="1"/>
        <s v="G10 - Discounts" u="1"/>
        <s v="Civil contingencies" u="1"/>
        <s v="Non Distributable Costs - Costs of unused shares of IT facilities &amp; other assets" u="1"/>
        <s v="Total discounts (G2 + G4 + G6 + G8 + G10)" u="1"/>
        <s v="Council tax base for tax-setting purposes (=E3+E4)" u="1"/>
        <s v="Waste Management " u="1"/>
        <s v="Dwellings with no discounts" u="1"/>
        <s v="Other police specific grants (police authorities only)_x000a_(not Principal Police grant)" u="1"/>
        <s v="Police Services" u="1"/>
        <s v="Performance Incentive Grant (PIG): spent on social services" u="1"/>
        <s v="Deprivation Grant: spent on other services" u="1"/>
        <s v="European Community grants for education (milk fund, objective 1 etc.)" u="1"/>
        <s v="European Community grants for other local services (Objective 1 etc.)" u="1"/>
        <s v="Levies to the Environment Agency acting as an Internal Drainage Board" u="1"/>
        <s v="Deprivation Grant: not allocatable to specific services" u="1"/>
        <s v="Other council property" u="1"/>
        <s v="Other LEA budget" u="1"/>
        <s v="Other court services" u="1"/>
        <s v="Highways, roads and transport services (Column 4 lines 25 to 37)" u="1"/>
        <s v="Other children's and families' services" u="1"/>
        <s v="Unallocated financial reserves at 1 April 2006" u="1"/>
        <s v="Number of discounts for each dwelling in prescribed class A (enter 0, 1 or 2)" u="1"/>
        <s v="Number of discounts for each dwelling in prescribed class B (enter 0, 1 or 2)" u="1"/>
        <s v="Parking services" u="1"/>
        <s v="Revised redistributed non-domestic rates income (after council tax was set)" u="1"/>
        <s v="Local network funding" u="1"/>
        <s v="Appropriations to(+) / from(-) pension reserves (FRS 17)" u="1"/>
        <s v="Adults aged under 65  with mental health needs" u="1"/>
        <s v="Conservation of the Natural Environment" u="1"/>
        <s v="School energy grant" u="1"/>
        <s v="Provision for repayment of principal (before application of the commutation adjustment)" u="1"/>
        <s v="Levies paid to Sea Fisheries Committees" u="1"/>
        <s v="Housing advice" u="1"/>
        <s v="Home to school transport" u="1"/>
        <s v="Social Care Workforce Development Programme" u="1"/>
        <s v="Council tax benefit administration grant" u="1"/>
        <s v="Levies to the Environment Agency in respect of Local Flood Defence Committees" u="1"/>
        <s v="Bad debt 'provision'" u="1"/>
        <s v="Levies to/from national parks" u="1"/>
        <s v="Cemetery, cremation and mortuary services" u="1"/>
        <s v="Appropriations to/from financial reserves" u="1"/>
        <s v="Exempt dwellings - class D - an unoccupied dwelling: - the previous occupier)s) are detained in prison, hospital or other place under a court order" u="1"/>
        <s v="Total number of properties with a variable discount" u="1"/>
        <s v="Housing benefit administration" u="1"/>
        <s v="less specific and special grants" u="1"/>
        <s v="Other earmarked revenue reserves at 1 April 2006" u="1"/>
        <s v="Housing defects subsidy" u="1"/>
        <s v="Performance Incentive Grant (PIG) - all services" u="1"/>
        <s v="Neighbourhood Policing Fund (police authorities only)" u="1"/>
        <s v="Elections" u="1"/>
        <s v="Education of Children of Travellers and Displaced Persons" u="1"/>
        <s v="Rangers, Estates and Volunteers" u="1"/>
        <s v="Children looked after" u="1"/>
        <s v="Asylum seekers" u="1"/>
        <s v="Total Roads and Transport" u="1"/>
        <s v="Construction" u="1"/>
        <s v="Discounted chargeable dwellings: band D equivalents adjusted for collection rate (E1 x E2)" u="1"/>
        <s v="External interest receipts on HRA balances" u="1"/>
        <s v="This form must be completed on an FRS17 basis. Please tick the box if you have made a 0% adjustment for FRS17" u="1"/>
        <s v="Exempt dwellings - class G - an unoccupied dwelling: - where occupation is prohibited by law" u="1"/>
        <s v="Other levies" u="1"/>
        <s v="Depreciation  **" u="1"/>
        <s v="Community council precepts" u="1"/>
        <s v="Joint working special grant between NHS and Local Government" u="1"/>
        <s v="Energy costs grant" u="1"/>
        <s v="Home to college transport" u="1"/>
        <s v="Fairer charging specific grant scheme" u="1"/>
        <s v="Total adjusted chargeable dwellings (=B1+B2+B3=A3)" u="1"/>
        <s v="Levies paid to the Environment Agency in respect of Local Flood Defence Committees" u="1"/>
        <s v="Estimated other earmarked financial reserves at beginning of financial year  *" u="1"/>
        <s v="Mental health carers' grant" u="1"/>
        <s v="Coroners' court services" u="1"/>
        <s v="Exempt dwellings - class M - a hall of residence: - provided predominately for students" u="1"/>
        <s v="Tourism" u="1"/>
        <s v="Street lighting" u="1"/>
        <s v="Older people (aged 65 and over) including older mentally ill" u="1"/>
        <s v="Magistrates' courts (lead authorities only)" u="1"/>
        <s v="Community development" u="1"/>
        <s v="Fire services (Column 4 lines 103 to 106)" u="1"/>
        <s v="Learning disabilities: support for community based services and resettlement (mental handicap strategy)" u="1"/>
        <s v="Dedicated Security Posts (police authorities only)" u="1"/>
        <s v="Grants for Education Support and Training (GEST)" u="1"/>
        <s v="Airwave (police authorities only)" u="1"/>
        <s v="Transfers to/from financial reserves from/to another authority" u="1"/>
        <s v="Early years (nursery provision for 3 year olds)" u="1"/>
        <s v="Exempt dwellings - class P - a dwelling: - where at least one liable person is a member or the dependent of a member of a visiting force" u="1"/>
        <s v="NET CURRENT EXPENDITURE (lines 119 to 130)" u="1"/>
        <s v="less police grant allocation under principal formula" u="1"/>
        <s v="Countryside council for Wales" u="1"/>
        <s v="Joint working and flexibility between NHS and Local Government" u="1"/>
        <s v="Building control" u="1"/>
        <s v="Dwellings with a discount other than 25% or 50% (part G line 11)" u="1"/>
        <s v="Small and rural schools" u="1"/>
        <s v="Strategic management - schools" u="1"/>
        <s v="One off equal pay costs  - falling on the schools budget" u="1"/>
        <s v="Other Home Office, Department for Constitutional Affairs and Unified Courts Administration (please specify on last page)" u="1"/>
        <s v="Amortisation of deferred charges" u="1"/>
        <s v="AMOUNT TO BE RAISED FROM COUNCIL TAX PAYERS (LINES 106 AND 107)" u="1"/>
        <s v="Homelessness" u="1"/>
        <s v="Transfers to/from earmarked financial reserves from/to another authority (excluding schools' financial reserves - see RO1)" u="1"/>
        <s v="Education services (Column 4 line 24)" u="1"/>
        <s v="Exempt dwellings - class C - a vacant dwelling: - which has been such a for a continuous period of less than 6 months" u="1"/>
        <s v="Winter maintenance" u="1"/>
        <s v="Dwellings with a double discount" u="1"/>
        <s v="Dwellings with a single discount" u="1"/>
        <s v="Earmarked reserves for service committees, DLOs/DSOs, etc at 1 April 2006" u="1"/>
        <s v="GROSS REVENUE EXPENDITURE (LINES 83 TO 85)" u="1"/>
        <s v="Exempt dwellings - class O - a dwelling: - owned by SoS for Defence and held for occupation by armed forces or visiting forces" u="1"/>
        <s v="G9 - Number of properties with a variable discount" u="1"/>
        <s v="KS2/3 junior class sizes" u="1"/>
        <s v="Other adult social services" u="1"/>
        <s v="Public transport" u="1"/>
        <s v="Contributions to the HRA" u="1"/>
        <s v="Expenditure to support grants" u="1"/>
        <s v="Provision of a specialised nature" u="1"/>
        <s v="European Community grants for education" u="1"/>
        <s v="Democratic representation and management" u="1"/>
        <s v="Exempt dwellings - class K - an unoccupied dwelling: - where every qualifying person in either a student or became a student within 6 weeks of leaving the dwelling" u="1"/>
        <s v="BCU fund (police authorities only)" u="1"/>
        <s v="G5 - Number of properties with a variable discount" u="1"/>
        <s v="Strategic management - non-school" u="1"/>
        <s v="Total Social Services" u="1"/>
        <s v="Adjustments (including amending reports)" u="1"/>
        <s v="Local transport services" u="1"/>
        <s v="Exempt dwellings classes A to N and P to W (not included in sections A to C above)" u="1"/>
        <s v="Youth justice" u="1"/>
        <s v="Revised police grant allocation under principal formula (after council tax was set)" u="1"/>
        <s v="G1 - Number of properties with a variable discount" u="1"/>
        <s v="Adjustments" u="1"/>
        <s v="Post-16 provision in schools" u="1"/>
        <s v="Development control" u="1"/>
        <s v="Other Schools budget" u="1"/>
        <s v="Exempt dwellings - class I - an unoccupied dwelling - previously the sole or main residence of the owner or tenant who is receiving care in a place which is not a hospital etc and has been a 'relevant absentee' for whole period" u="1"/>
        <s v="Revised revenue support grant (after council tax was set)" u="1"/>
        <s v="Leasing payments (excluding any capital financing element within PFI schemes)" u="1"/>
        <s v="National Parks' grant (national park authorities only)" u="1"/>
        <s v="Post-16 special schools and out of county provision" u="1"/>
        <s v="Delayed Transfer of Care" u="1"/>
        <s v="Highways/Roads (Routine)" u="1"/>
        <s v="Waste collection" u="1"/>
        <s v="Employment Service Programmes" u="1"/>
      </sharedItems>
    </cacheField>
    <cacheField name="ColumnRef" numFmtId="0" sqlType="3">
      <sharedItems containsSemiMixedTypes="0" containsString="0" containsNumber="1" minValue="0.1" maxValue="12" count="13">
        <n v="11"/>
        <n v="5" u="1"/>
        <n v="2" u="1"/>
        <n v="6" u="1"/>
        <n v="0.1" u="1"/>
        <n v="7" u="1"/>
        <n v="1" u="1"/>
        <n v="3" u="1"/>
        <n v="8" u="1"/>
        <n v="9" u="1"/>
        <n v="10" u="1"/>
        <n v="4" u="1"/>
        <n v="12" u="1"/>
      </sharedItems>
    </cacheField>
    <cacheField name="ColumnDesc" numFmtId="0" sqlType="-9">
      <sharedItems count="29">
        <s v="TOTAL"/>
        <s v="G" u="1"/>
        <s v="Capital financing grants" u="1"/>
        <s v="Secondary schools" u="1"/>
        <s v="E" u="1"/>
        <s v="Special schools" u="1"/>
        <s v="Net cost including capital charges" u="1"/>
        <s v="C" u="1"/>
        <s v="H" u="1"/>
        <s v="Grants" u="1"/>
        <s v="Total cost (including notional capital charges)" u="1"/>
        <s v="A" u="1"/>
        <s v="Total income" u="1"/>
        <s v="Budgeted cost" u="1"/>
        <s v="Column2" u="1"/>
        <s v="Current grants" u="1"/>
        <s v="Net current expenditure" u="1"/>
        <s v="Nursery schools" u="1"/>
        <s v="F" u="1"/>
        <s v="Specific and special government grants" u="1"/>
        <s v="%" u="1"/>
        <s v="D" u="1"/>
        <s v="Primary schools" u="1"/>
        <s v="Budgeted cost (excluding notional capital charges)" u="1"/>
        <s v="I" u="1"/>
        <s v="B" u="1"/>
        <s v="A-" u="1"/>
        <s v="Gross expenditure" u="1"/>
        <s v="Notional capital charges" u="1"/>
      </sharedItems>
    </cacheField>
    <cacheField name="Data" numFmtId="0" sqlType="6">
      <sharedItems containsSemiMixedTypes="0" containsString="0" containsNumber="1" minValue="18943.919999999995" maxValue="1280944.0631849999" count="23">
        <n v="33170.034722222219"/>
        <n v="56109.267160000003"/>
        <n v="52442.549444444448"/>
        <n v="41868.064333333336"/>
        <n v="66081.002288888863"/>
        <n v="54260.009249999996"/>
        <n v="64536.477638888893"/>
        <n v="33768.508750000008"/>
        <n v="64261.611666666679"/>
        <n v="76460.399166666655"/>
        <n v="93802.826666666675"/>
        <n v="48827.465555555551"/>
        <n v="55465.691666666673"/>
        <n v="63396.529694444442"/>
        <n v="79696.88826388889"/>
        <n v="18943.919999999995"/>
        <n v="61292.661083333325"/>
        <n v="20936.358888888888"/>
        <n v="34457.262777777782"/>
        <n v="48465.532500000008"/>
        <n v="61328.998888888891"/>
        <n v="151372.00277777779"/>
        <n v="1280944.0631849999"/>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3">
  <r>
    <x v="0"/>
    <x v="0"/>
    <x v="0"/>
    <x v="0"/>
    <x v="0"/>
  </r>
  <r>
    <x v="0"/>
    <x v="0"/>
    <x v="1"/>
    <x v="0"/>
    <x v="1"/>
  </r>
  <r>
    <x v="0"/>
    <x v="0"/>
    <x v="2"/>
    <x v="0"/>
    <x v="2"/>
  </r>
  <r>
    <x v="0"/>
    <x v="0"/>
    <x v="3"/>
    <x v="0"/>
    <x v="2"/>
  </r>
  <r>
    <x v="0"/>
    <x v="0"/>
    <x v="4"/>
    <x v="0"/>
    <x v="2"/>
  </r>
  <r>
    <x v="0"/>
    <x v="0"/>
    <x v="5"/>
    <x v="0"/>
    <x v="2"/>
  </r>
  <r>
    <x v="0"/>
    <x v="0"/>
    <x v="6"/>
    <x v="0"/>
    <x v="3"/>
  </r>
  <r>
    <x v="0"/>
    <x v="0"/>
    <x v="7"/>
    <x v="0"/>
    <x v="2"/>
  </r>
  <r>
    <x v="0"/>
    <x v="0"/>
    <x v="8"/>
    <x v="0"/>
    <x v="4"/>
  </r>
  <r>
    <x v="0"/>
    <x v="0"/>
    <x v="9"/>
    <x v="0"/>
    <x v="2"/>
  </r>
  <r>
    <x v="0"/>
    <x v="0"/>
    <x v="10"/>
    <x v="0"/>
    <x v="2"/>
  </r>
  <r>
    <x v="0"/>
    <x v="0"/>
    <x v="11"/>
    <x v="0"/>
    <x v="2"/>
  </r>
  <r>
    <x v="0"/>
    <x v="0"/>
    <x v="12"/>
    <x v="0"/>
    <x v="2"/>
  </r>
  <r>
    <x v="0"/>
    <x v="0"/>
    <x v="13"/>
    <x v="0"/>
    <x v="5"/>
  </r>
  <r>
    <x v="0"/>
    <x v="0"/>
    <x v="14"/>
    <x v="0"/>
    <x v="2"/>
  </r>
  <r>
    <x v="0"/>
    <x v="0"/>
    <x v="15"/>
    <x v="0"/>
    <x v="2"/>
  </r>
  <r>
    <x v="0"/>
    <x v="0"/>
    <x v="16"/>
    <x v="0"/>
    <x v="2"/>
  </r>
  <r>
    <x v="0"/>
    <x v="0"/>
    <x v="17"/>
    <x v="0"/>
    <x v="2"/>
  </r>
  <r>
    <x v="0"/>
    <x v="0"/>
    <x v="18"/>
    <x v="0"/>
    <x v="2"/>
  </r>
  <r>
    <x v="0"/>
    <x v="0"/>
    <x v="19"/>
    <x v="0"/>
    <x v="2"/>
  </r>
  <r>
    <x v="0"/>
    <x v="0"/>
    <x v="20"/>
    <x v="0"/>
    <x v="2"/>
  </r>
  <r>
    <x v="0"/>
    <x v="0"/>
    <x v="21"/>
    <x v="0"/>
    <x v="6"/>
  </r>
  <r>
    <x v="0"/>
    <x v="0"/>
    <x v="22"/>
    <x v="0"/>
    <x v="7"/>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3">
  <r>
    <x v="0"/>
    <x v="0"/>
    <x v="0"/>
    <x v="0"/>
    <x v="0"/>
  </r>
  <r>
    <x v="0"/>
    <x v="0"/>
    <x v="1"/>
    <x v="0"/>
    <x v="1"/>
  </r>
  <r>
    <x v="0"/>
    <x v="0"/>
    <x v="2"/>
    <x v="0"/>
    <x v="2"/>
  </r>
  <r>
    <x v="0"/>
    <x v="0"/>
    <x v="3"/>
    <x v="0"/>
    <x v="3"/>
  </r>
  <r>
    <x v="0"/>
    <x v="0"/>
    <x v="4"/>
    <x v="0"/>
    <x v="4"/>
  </r>
  <r>
    <x v="0"/>
    <x v="0"/>
    <x v="5"/>
    <x v="0"/>
    <x v="5"/>
  </r>
  <r>
    <x v="0"/>
    <x v="0"/>
    <x v="6"/>
    <x v="0"/>
    <x v="6"/>
  </r>
  <r>
    <x v="0"/>
    <x v="0"/>
    <x v="7"/>
    <x v="0"/>
    <x v="7"/>
  </r>
  <r>
    <x v="0"/>
    <x v="0"/>
    <x v="8"/>
    <x v="0"/>
    <x v="8"/>
  </r>
  <r>
    <x v="0"/>
    <x v="0"/>
    <x v="9"/>
    <x v="0"/>
    <x v="9"/>
  </r>
  <r>
    <x v="0"/>
    <x v="0"/>
    <x v="10"/>
    <x v="0"/>
    <x v="10"/>
  </r>
  <r>
    <x v="0"/>
    <x v="0"/>
    <x v="11"/>
    <x v="0"/>
    <x v="11"/>
  </r>
  <r>
    <x v="0"/>
    <x v="0"/>
    <x v="12"/>
    <x v="0"/>
    <x v="12"/>
  </r>
  <r>
    <x v="0"/>
    <x v="0"/>
    <x v="13"/>
    <x v="0"/>
    <x v="13"/>
  </r>
  <r>
    <x v="0"/>
    <x v="0"/>
    <x v="14"/>
    <x v="0"/>
    <x v="14"/>
  </r>
  <r>
    <x v="0"/>
    <x v="0"/>
    <x v="15"/>
    <x v="0"/>
    <x v="15"/>
  </r>
  <r>
    <x v="0"/>
    <x v="0"/>
    <x v="16"/>
    <x v="0"/>
    <x v="16"/>
  </r>
  <r>
    <x v="0"/>
    <x v="0"/>
    <x v="17"/>
    <x v="0"/>
    <x v="17"/>
  </r>
  <r>
    <x v="0"/>
    <x v="0"/>
    <x v="18"/>
    <x v="0"/>
    <x v="18"/>
  </r>
  <r>
    <x v="0"/>
    <x v="0"/>
    <x v="19"/>
    <x v="0"/>
    <x v="19"/>
  </r>
  <r>
    <x v="0"/>
    <x v="0"/>
    <x v="20"/>
    <x v="0"/>
    <x v="20"/>
  </r>
  <r>
    <x v="0"/>
    <x v="0"/>
    <x v="21"/>
    <x v="0"/>
    <x v="21"/>
  </r>
  <r>
    <x v="0"/>
    <x v="0"/>
    <x v="22"/>
    <x v="0"/>
    <x v="22"/>
  </r>
</pivotCacheRecords>
</file>

<file path=xl/pivotCache/pivotCacheRecords3.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3">
  <r>
    <x v="0"/>
    <x v="0"/>
    <x v="0"/>
    <x v="0"/>
    <x v="0"/>
  </r>
  <r>
    <x v="0"/>
    <x v="0"/>
    <x v="1"/>
    <x v="0"/>
    <x v="1"/>
  </r>
  <r>
    <x v="0"/>
    <x v="0"/>
    <x v="2"/>
    <x v="0"/>
    <x v="2"/>
  </r>
  <r>
    <x v="0"/>
    <x v="0"/>
    <x v="3"/>
    <x v="0"/>
    <x v="3"/>
  </r>
  <r>
    <x v="0"/>
    <x v="0"/>
    <x v="4"/>
    <x v="0"/>
    <x v="3"/>
  </r>
  <r>
    <x v="0"/>
    <x v="0"/>
    <x v="5"/>
    <x v="0"/>
    <x v="4"/>
  </r>
  <r>
    <x v="0"/>
    <x v="0"/>
    <x v="6"/>
    <x v="0"/>
    <x v="0"/>
  </r>
  <r>
    <x v="0"/>
    <x v="0"/>
    <x v="7"/>
    <x v="0"/>
    <x v="0"/>
  </r>
  <r>
    <x v="0"/>
    <x v="0"/>
    <x v="8"/>
    <x v="0"/>
    <x v="2"/>
  </r>
  <r>
    <x v="0"/>
    <x v="0"/>
    <x v="9"/>
    <x v="0"/>
    <x v="5"/>
  </r>
  <r>
    <x v="0"/>
    <x v="0"/>
    <x v="10"/>
    <x v="0"/>
    <x v="6"/>
  </r>
  <r>
    <x v="0"/>
    <x v="0"/>
    <x v="11"/>
    <x v="0"/>
    <x v="2"/>
  </r>
  <r>
    <x v="0"/>
    <x v="0"/>
    <x v="12"/>
    <x v="0"/>
    <x v="5"/>
  </r>
  <r>
    <x v="0"/>
    <x v="0"/>
    <x v="13"/>
    <x v="0"/>
    <x v="7"/>
  </r>
  <r>
    <x v="0"/>
    <x v="0"/>
    <x v="14"/>
    <x v="0"/>
    <x v="8"/>
  </r>
  <r>
    <x v="0"/>
    <x v="0"/>
    <x v="15"/>
    <x v="0"/>
    <x v="6"/>
  </r>
  <r>
    <x v="0"/>
    <x v="0"/>
    <x v="16"/>
    <x v="0"/>
    <x v="5"/>
  </r>
  <r>
    <x v="0"/>
    <x v="0"/>
    <x v="17"/>
    <x v="0"/>
    <x v="9"/>
  </r>
  <r>
    <x v="0"/>
    <x v="0"/>
    <x v="18"/>
    <x v="0"/>
    <x v="2"/>
  </r>
  <r>
    <x v="0"/>
    <x v="0"/>
    <x v="19"/>
    <x v="0"/>
    <x v="1"/>
  </r>
  <r>
    <x v="0"/>
    <x v="0"/>
    <x v="20"/>
    <x v="0"/>
    <x v="2"/>
  </r>
  <r>
    <x v="0"/>
    <x v="0"/>
    <x v="21"/>
    <x v="0"/>
    <x v="0"/>
  </r>
  <r>
    <x v="0"/>
    <x v="0"/>
    <x v="22"/>
    <x v="0"/>
    <x v="10"/>
  </r>
</pivotCacheRecords>
</file>

<file path=xl/pivotCache/pivotCacheRecords4.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3">
  <r>
    <x v="0"/>
    <x v="0"/>
    <x v="0"/>
    <x v="0"/>
    <x v="0"/>
    <x v="0"/>
    <x v="0"/>
    <x v="0"/>
    <x v="0"/>
  </r>
  <r>
    <x v="0"/>
    <x v="0"/>
    <x v="1"/>
    <x v="1"/>
    <x v="0"/>
    <x v="0"/>
    <x v="0"/>
    <x v="0"/>
    <x v="1"/>
  </r>
  <r>
    <x v="0"/>
    <x v="0"/>
    <x v="2"/>
    <x v="2"/>
    <x v="0"/>
    <x v="0"/>
    <x v="0"/>
    <x v="0"/>
    <x v="2"/>
  </r>
  <r>
    <x v="0"/>
    <x v="0"/>
    <x v="3"/>
    <x v="3"/>
    <x v="0"/>
    <x v="0"/>
    <x v="0"/>
    <x v="0"/>
    <x v="3"/>
  </r>
  <r>
    <x v="0"/>
    <x v="0"/>
    <x v="4"/>
    <x v="4"/>
    <x v="0"/>
    <x v="0"/>
    <x v="0"/>
    <x v="0"/>
    <x v="4"/>
  </r>
  <r>
    <x v="0"/>
    <x v="0"/>
    <x v="5"/>
    <x v="5"/>
    <x v="0"/>
    <x v="0"/>
    <x v="0"/>
    <x v="0"/>
    <x v="5"/>
  </r>
  <r>
    <x v="0"/>
    <x v="0"/>
    <x v="6"/>
    <x v="6"/>
    <x v="0"/>
    <x v="0"/>
    <x v="0"/>
    <x v="0"/>
    <x v="6"/>
  </r>
  <r>
    <x v="0"/>
    <x v="0"/>
    <x v="7"/>
    <x v="7"/>
    <x v="0"/>
    <x v="0"/>
    <x v="0"/>
    <x v="0"/>
    <x v="7"/>
  </r>
  <r>
    <x v="0"/>
    <x v="0"/>
    <x v="8"/>
    <x v="8"/>
    <x v="0"/>
    <x v="0"/>
    <x v="0"/>
    <x v="0"/>
    <x v="8"/>
  </r>
  <r>
    <x v="0"/>
    <x v="0"/>
    <x v="9"/>
    <x v="9"/>
    <x v="0"/>
    <x v="0"/>
    <x v="0"/>
    <x v="0"/>
    <x v="9"/>
  </r>
  <r>
    <x v="0"/>
    <x v="0"/>
    <x v="10"/>
    <x v="10"/>
    <x v="0"/>
    <x v="0"/>
    <x v="0"/>
    <x v="0"/>
    <x v="10"/>
  </r>
  <r>
    <x v="0"/>
    <x v="0"/>
    <x v="11"/>
    <x v="11"/>
    <x v="0"/>
    <x v="0"/>
    <x v="0"/>
    <x v="0"/>
    <x v="11"/>
  </r>
  <r>
    <x v="0"/>
    <x v="0"/>
    <x v="12"/>
    <x v="12"/>
    <x v="0"/>
    <x v="0"/>
    <x v="0"/>
    <x v="0"/>
    <x v="12"/>
  </r>
  <r>
    <x v="0"/>
    <x v="0"/>
    <x v="13"/>
    <x v="13"/>
    <x v="0"/>
    <x v="0"/>
    <x v="0"/>
    <x v="0"/>
    <x v="13"/>
  </r>
  <r>
    <x v="0"/>
    <x v="0"/>
    <x v="14"/>
    <x v="14"/>
    <x v="0"/>
    <x v="0"/>
    <x v="0"/>
    <x v="0"/>
    <x v="14"/>
  </r>
  <r>
    <x v="0"/>
    <x v="0"/>
    <x v="15"/>
    <x v="15"/>
    <x v="0"/>
    <x v="0"/>
    <x v="0"/>
    <x v="0"/>
    <x v="15"/>
  </r>
  <r>
    <x v="0"/>
    <x v="0"/>
    <x v="16"/>
    <x v="16"/>
    <x v="0"/>
    <x v="0"/>
    <x v="0"/>
    <x v="0"/>
    <x v="16"/>
  </r>
  <r>
    <x v="0"/>
    <x v="0"/>
    <x v="17"/>
    <x v="17"/>
    <x v="0"/>
    <x v="0"/>
    <x v="0"/>
    <x v="0"/>
    <x v="17"/>
  </r>
  <r>
    <x v="0"/>
    <x v="0"/>
    <x v="18"/>
    <x v="18"/>
    <x v="0"/>
    <x v="0"/>
    <x v="0"/>
    <x v="0"/>
    <x v="18"/>
  </r>
  <r>
    <x v="0"/>
    <x v="0"/>
    <x v="19"/>
    <x v="19"/>
    <x v="0"/>
    <x v="0"/>
    <x v="0"/>
    <x v="0"/>
    <x v="19"/>
  </r>
  <r>
    <x v="0"/>
    <x v="0"/>
    <x v="20"/>
    <x v="20"/>
    <x v="0"/>
    <x v="0"/>
    <x v="0"/>
    <x v="0"/>
    <x v="20"/>
  </r>
  <r>
    <x v="0"/>
    <x v="0"/>
    <x v="21"/>
    <x v="21"/>
    <x v="0"/>
    <x v="0"/>
    <x v="0"/>
    <x v="0"/>
    <x v="21"/>
  </r>
  <r>
    <x v="0"/>
    <x v="0"/>
    <x v="22"/>
    <x v="22"/>
    <x v="0"/>
    <x v="0"/>
    <x v="0"/>
    <x v="0"/>
    <x v="2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500-000000000000}" name="PivotTable1" cacheId="3" dataOnRows="1" applyNumberFormats="0" applyBorderFormats="0" applyFontFormats="0" applyPatternFormats="0" applyAlignmentFormats="0" applyWidthHeightFormats="1" dataCaption="Data" updatedVersion="8" minRefreshableVersion="3" showMemberPropertyTips="0" rowGrandTotals="0" colGrandTotals="0" itemPrintTitles="1" createdVersion="4" indent="0" compact="0" compactData="0" gridDropZones="1" fieldListSortAscending="1">
  <location ref="AC6:AF31" firstHeaderRow="1" firstDataRow="3" firstDataCol="2"/>
  <pivotFields count="9">
    <pivotField axis="axisCol" compact="0" outline="0" subtotalTop="0" showAll="0" includeNewItemsInFilter="1" sortType="ascending" defaultSubtotal="0">
      <items count="17">
        <item h="1" m="1" x="13"/>
        <item h="1" m="1" x="3"/>
        <item h="1" m="1" x="9"/>
        <item m="1" x="15"/>
        <item m="1" x="5"/>
        <item m="1" x="11"/>
        <item sd="0" m="1" x="1"/>
        <item m="1" x="7"/>
        <item m="1" x="14"/>
        <item m="1" x="4"/>
        <item m="1" x="10"/>
        <item m="1" x="16"/>
        <item m="1" x="6"/>
        <item m="1" x="12"/>
        <item m="1" x="2"/>
        <item m="1" x="8"/>
        <item x="0"/>
      </items>
    </pivotField>
    <pivotField compact="0" outline="0" subtotalTop="0" showAll="0" includeNewItemsInFilter="1"/>
    <pivotField axis="axisRow" compact="0" outline="0" subtotalTop="0" showAll="0" includeNewItemsInFilter="1" defaultSubtotal="0">
      <items count="37">
        <item x="0"/>
        <item x="1"/>
        <item x="2"/>
        <item x="3"/>
        <item x="4"/>
        <item x="5"/>
        <item x="6"/>
        <item x="7"/>
        <item x="8"/>
        <item x="9"/>
        <item x="10"/>
        <item x="11"/>
        <item x="12"/>
        <item x="13"/>
        <item x="14"/>
        <item x="15"/>
        <item x="16"/>
        <item x="17"/>
        <item x="18"/>
        <item x="19"/>
        <item x="20"/>
        <item x="21"/>
        <item m="1" x="36"/>
        <item m="1" x="32"/>
        <item m="1" x="27"/>
        <item m="1" x="23"/>
        <item m="1" x="29"/>
        <item m="1" x="25"/>
        <item m="1" x="33"/>
        <item m="1" x="35"/>
        <item m="1" x="31"/>
        <item m="1" x="26"/>
        <item m="1" x="34"/>
        <item x="22"/>
        <item m="1" x="30"/>
        <item m="1" x="28"/>
        <item m="1" x="24"/>
      </items>
    </pivotField>
    <pivotField axis="axisRow" compact="0" outline="0" subtotalTop="0" showAll="0" includeNewItemsInFilter="1" defaultSubtotal="0">
      <items count="37">
        <item x="17"/>
        <item m="1" x="26"/>
        <item x="12"/>
        <item x="16"/>
        <item x="21"/>
        <item x="9"/>
        <item x="7"/>
        <item x="2"/>
        <item x="3"/>
        <item m="1" x="35"/>
        <item x="4"/>
        <item m="1" x="32"/>
        <item x="1"/>
        <item x="0"/>
        <item x="15"/>
        <item m="1" x="31"/>
        <item x="19"/>
        <item x="11"/>
        <item x="20"/>
        <item m="1" x="25"/>
        <item m="1" x="33"/>
        <item x="8"/>
        <item m="1" x="23"/>
        <item x="6"/>
        <item x="14"/>
        <item m="1" x="34"/>
        <item m="1" x="27"/>
        <item m="1" x="36"/>
        <item x="10"/>
        <item x="18"/>
        <item m="1" x="29"/>
        <item m="1" x="28"/>
        <item m="1" x="30"/>
        <item x="22"/>
        <item m="1" x="24"/>
        <item x="13"/>
        <item x="5"/>
      </items>
    </pivotField>
    <pivotField axis="axisCol" compact="0" outline="0" subtotalTop="0" showAll="0" includeNewItemsInFilter="1" sortType="ascending" defaultSubtotal="0">
      <items count="281">
        <item m="1" x="27"/>
        <item m="1" x="273"/>
        <item m="1" x="248"/>
        <item m="1" x="224"/>
        <item m="1" x="214"/>
        <item m="1" x="204"/>
        <item m="1" x="71"/>
        <item m="1" x="195"/>
        <item m="1" x="186"/>
        <item m="1" x="180"/>
        <item m="1" x="173"/>
        <item m="1" x="264"/>
        <item m="1" x="49"/>
        <item m="1" x="165"/>
        <item m="1" x="159"/>
        <item m="1" x="155"/>
        <item m="1" x="149"/>
        <item m="1" x="241"/>
        <item m="1" x="38"/>
        <item m="1" x="142"/>
        <item m="1" x="136"/>
        <item m="1" x="20"/>
        <item m="1" x="132"/>
        <item m="1" x="16"/>
        <item m="1" x="126"/>
        <item m="1" x="11"/>
        <item m="1" x="121"/>
        <item m="1" x="6"/>
        <item m="1" x="116"/>
        <item m="1" x="1"/>
        <item x="0"/>
        <item m="1" x="278"/>
        <item m="1" x="107"/>
        <item m="1" x="274"/>
        <item m="1" x="129"/>
        <item m="1" x="55"/>
        <item m="1" x="104"/>
        <item m="1" x="267"/>
        <item m="1" x="98"/>
        <item m="1" x="181"/>
        <item m="1" x="262"/>
        <item m="1" x="208"/>
        <item m="1" x="43"/>
        <item m="1" x="93"/>
        <item m="1" x="60"/>
        <item m="1" x="174"/>
        <item m="1" x="255"/>
        <item m="1" x="14"/>
        <item m="1" x="39"/>
        <item m="1" x="4"/>
        <item m="1" x="198"/>
        <item m="1" x="144"/>
        <item m="1" x="97"/>
        <item m="1" x="216"/>
        <item m="1" x="63"/>
        <item m="1" x="189"/>
        <item m="1" x="90"/>
        <item m="1" x="166"/>
        <item m="1" x="250"/>
        <item m="1" x="35"/>
        <item m="1" x="86"/>
        <item m="1" x="160"/>
        <item m="1" x="242"/>
        <item m="1" x="33"/>
        <item m="1" x="84"/>
        <item m="1" x="156"/>
        <item m="1" x="236"/>
        <item m="1" x="31"/>
        <item m="1" x="53"/>
        <item m="1" x="81"/>
        <item m="1" x="150"/>
        <item m="1" x="229"/>
        <item m="1" x="28"/>
        <item m="1" x="78"/>
        <item m="1" x="143"/>
        <item m="1" x="225"/>
        <item m="1" x="24"/>
        <item m="1" x="260"/>
        <item m="1" x="170"/>
        <item m="1" x="73"/>
        <item m="1" x="137"/>
        <item m="1" x="219"/>
        <item m="1" x="21"/>
        <item m="1" x="68"/>
        <item m="1" x="96"/>
        <item m="1" x="133"/>
        <item m="1" x="179"/>
        <item m="1" x="215"/>
        <item m="1" x="259"/>
        <item m="1" x="17"/>
        <item m="1" x="41"/>
        <item m="1" x="66"/>
        <item m="1" x="92"/>
        <item m="1" x="127"/>
        <item m="1" x="171"/>
        <item m="1" x="10"/>
        <item m="1" x="118"/>
        <item m="1" x="240"/>
        <item m="1" x="209"/>
        <item m="1" x="252"/>
        <item m="1" x="12"/>
        <item m="1" x="37"/>
        <item m="1" x="61"/>
        <item m="1" x="88"/>
        <item m="1" x="122"/>
        <item m="1" x="163"/>
        <item m="1" x="5"/>
        <item m="1" x="113"/>
        <item m="1" x="205"/>
        <item m="1" x="246"/>
        <item m="1" x="7"/>
        <item m="1" x="34"/>
        <item m="1" x="58"/>
        <item m="1" x="85"/>
        <item m="1" x="200"/>
        <item m="1" x="102"/>
        <item m="1" x="117"/>
        <item m="1" x="158"/>
        <item m="1" x="201"/>
        <item m="1" x="32"/>
        <item m="1" x="148"/>
        <item m="1" x="239"/>
        <item m="1" x="2"/>
        <item m="1" x="153"/>
        <item m="1" x="196"/>
        <item m="1" x="234"/>
        <item m="1" x="51"/>
        <item m="1" x="279"/>
        <item m="1" x="30"/>
        <item m="1" x="52"/>
        <item m="1" x="80"/>
        <item m="1" x="108"/>
        <item m="1" x="146"/>
        <item m="1" x="272"/>
        <item m="1" x="101"/>
        <item m="1" x="218"/>
        <item m="1" x="42"/>
        <item m="1" x="168"/>
        <item m="1" x="9"/>
        <item m="1" x="115"/>
        <item m="1" x="238"/>
        <item m="1" x="190"/>
        <item m="1" x="228"/>
        <item m="1" x="275"/>
        <item m="1" x="26"/>
        <item m="1" x="48"/>
        <item m="1" x="76"/>
        <item m="1" x="105"/>
        <item m="1" x="140"/>
        <item m="1" x="187"/>
        <item m="1" x="222"/>
        <item m="1" x="45"/>
        <item m="1" x="177"/>
        <item m="1" x="268"/>
        <item m="1" x="70"/>
        <item m="1" x="23"/>
        <item m="1" x="46"/>
        <item m="1" x="72"/>
        <item m="1" x="99"/>
        <item m="1" x="134"/>
        <item m="1" x="182"/>
        <item m="1" x="199"/>
        <item m="1" x="217"/>
        <item m="1" x="263"/>
        <item m="1" x="19"/>
        <item m="1" x="44"/>
        <item m="1" x="56"/>
        <item m="1" x="67"/>
        <item m="1" x="82"/>
        <item m="1" x="94"/>
        <item m="1" x="110"/>
        <item m="1" x="130"/>
        <item m="1" x="151"/>
        <item m="1" x="175"/>
        <item m="1" x="193"/>
        <item m="1" x="211"/>
        <item m="1" x="232"/>
        <item m="1" x="256"/>
        <item m="1" x="277"/>
        <item m="1" x="15"/>
        <item m="1" x="29"/>
        <item m="1" x="62"/>
        <item m="1" x="40"/>
        <item m="1" x="50"/>
        <item m="1" x="65"/>
        <item m="1" x="79"/>
        <item m="1" x="124"/>
        <item m="1" x="145"/>
        <item m="1" x="167"/>
        <item m="1" x="207"/>
        <item m="1" x="227"/>
        <item m="1" x="251"/>
        <item m="1" x="271"/>
        <item m="1" x="25"/>
        <item m="1" x="36"/>
        <item m="1" x="47"/>
        <item m="1" x="59"/>
        <item m="1" x="75"/>
        <item m="1" x="87"/>
        <item m="1" x="103"/>
        <item m="1" x="119"/>
        <item m="1" x="138"/>
        <item m="1" x="161"/>
        <item m="1" x="184"/>
        <item m="1" x="202"/>
        <item m="1" x="244"/>
        <item m="1" x="254"/>
        <item m="1" x="266"/>
        <item m="1" x="109"/>
        <item m="1" x="128"/>
        <item m="1" x="172"/>
        <item m="1" x="192"/>
        <item m="1" x="210"/>
        <item m="1" x="230"/>
        <item m="1" x="77"/>
        <item m="1" x="83"/>
        <item m="1" x="95"/>
        <item m="1" x="106"/>
        <item m="1" x="112"/>
        <item m="1" x="123"/>
        <item m="1" x="131"/>
        <item m="1" x="141"/>
        <item m="1" x="154"/>
        <item m="1" x="164"/>
        <item m="1" x="178"/>
        <item m="1" x="188"/>
        <item m="1" x="197"/>
        <item m="1" x="206"/>
        <item m="1" x="213"/>
        <item m="1" x="223"/>
        <item m="1" x="235"/>
        <item m="1" x="247"/>
        <item m="1" x="258"/>
        <item m="1" x="269"/>
        <item m="1" x="91"/>
        <item m="1" x="100"/>
        <item m="1" x="114"/>
        <item m="1" x="125"/>
        <item m="1" x="135"/>
        <item m="1" x="147"/>
        <item m="1" x="157"/>
        <item m="1" x="169"/>
        <item m="1" x="183"/>
        <item m="1" x="191"/>
        <item m="1" x="111"/>
        <item m="1" x="120"/>
        <item m="1" x="139"/>
        <item m="1" x="152"/>
        <item m="1" x="162"/>
        <item m="1" x="176"/>
        <item m="1" x="185"/>
        <item m="1" x="194"/>
        <item m="1" x="203"/>
        <item m="1" x="212"/>
        <item m="1" x="221"/>
        <item m="1" x="233"/>
        <item m="1" x="245"/>
        <item m="1" x="257"/>
        <item m="1" x="54"/>
        <item m="1" x="57"/>
        <item m="1" x="64"/>
        <item m="1" x="220"/>
        <item m="1" x="226"/>
        <item m="1" x="231"/>
        <item m="1" x="237"/>
        <item m="1" x="243"/>
        <item m="1" x="249"/>
        <item m="1" x="253"/>
        <item m="1" x="261"/>
        <item m="1" x="265"/>
        <item m="1" x="270"/>
        <item m="1" x="276"/>
        <item m="1" x="280"/>
        <item m="1" x="3"/>
        <item m="1" x="8"/>
        <item m="1" x="13"/>
        <item m="1" x="18"/>
        <item m="1" x="22"/>
        <item m="1" x="69"/>
        <item m="1" x="74"/>
        <item m="1" x="89"/>
      </items>
    </pivotField>
    <pivotField compact="0" outline="0" subtotalTop="0" showAll="0" includeNewItemsInFilter="1" defaultSubtotal="0">
      <items count="411">
        <item m="1" x="48"/>
        <item m="1" x="11"/>
        <item m="1" x="252"/>
        <item m="1" x="231"/>
        <item m="1" x="392"/>
        <item m="1" x="297"/>
        <item m="1" x="200"/>
        <item m="1" x="208"/>
        <item m="1" x="46"/>
        <item m="1" x="249"/>
        <item m="1" x="207"/>
        <item m="1" x="310"/>
        <item m="1" x="251"/>
        <item m="1" x="130"/>
        <item m="1" x="323"/>
        <item m="1" x="307"/>
        <item m="1" x="388"/>
        <item m="1" x="55"/>
        <item m="1" x="360"/>
        <item m="1" x="151"/>
        <item m="1" x="177"/>
        <item m="1" x="309"/>
        <item m="1" x="105"/>
        <item m="1" x="322"/>
        <item m="1" x="5"/>
        <item m="1" x="171"/>
        <item m="1" x="332"/>
        <item m="1" x="347"/>
        <item m="1" x="209"/>
        <item m="1" x="258"/>
        <item m="1" x="83"/>
        <item m="1" x="175"/>
        <item m="1" x="77"/>
        <item m="1" x="126"/>
        <item m="1" x="33"/>
        <item m="1" x="86"/>
        <item m="1" x="85"/>
        <item m="1" x="196"/>
        <item m="1" x="298"/>
        <item m="1" x="60"/>
        <item m="1" x="325"/>
        <item m="1" x="382"/>
        <item m="1" x="341"/>
        <item m="1" x="202"/>
        <item m="1" x="305"/>
        <item m="1" x="358"/>
        <item m="1" x="16"/>
        <item m="1" x="37"/>
        <item m="1" x="189"/>
        <item m="1" x="181"/>
        <item m="1" x="259"/>
        <item m="1" x="267"/>
        <item m="1" x="199"/>
        <item m="1" x="96"/>
        <item m="1" x="350"/>
        <item m="1" x="386"/>
        <item m="1" x="331"/>
        <item m="1" x="183"/>
        <item m="1" x="400"/>
        <item m="1" x="137"/>
        <item m="1" x="21"/>
        <item m="1" x="13"/>
        <item m="1" x="370"/>
        <item m="1" x="319"/>
        <item m="1" x="140"/>
        <item m="1" x="45"/>
        <item m="1" x="334"/>
        <item m="1" x="219"/>
        <item m="1" x="65"/>
        <item m="1" x="339"/>
        <item m="1" x="215"/>
        <item m="1" x="4"/>
        <item m="1" x="28"/>
        <item m="1" x="136"/>
        <item m="1" x="385"/>
        <item m="1" x="282"/>
        <item m="1" x="383"/>
        <item m="1" x="178"/>
        <item m="1" x="27"/>
        <item m="1" x="327"/>
        <item m="1" x="336"/>
        <item m="1" x="167"/>
        <item m="1" x="2"/>
        <item m="1" x="348"/>
        <item m="1" x="66"/>
        <item m="1" x="160"/>
        <item m="1" x="256"/>
        <item m="1" x="6"/>
        <item m="1" x="32"/>
        <item m="1" x="87"/>
        <item m="1" x="226"/>
        <item m="1" x="40"/>
        <item m="1" x="288"/>
        <item m="1" x="408"/>
        <item m="1" x="242"/>
        <item m="1" x="335"/>
        <item m="1" x="303"/>
        <item m="1" x="368"/>
        <item m="1" x="190"/>
        <item m="1" x="302"/>
        <item m="1" x="313"/>
        <item m="1" x="161"/>
        <item m="1" x="217"/>
        <item m="1" x="260"/>
        <item m="1" x="238"/>
        <item m="1" x="3"/>
        <item m="1" x="264"/>
        <item m="1" x="133"/>
        <item m="1" x="15"/>
        <item m="1" x="69"/>
        <item m="1" x="333"/>
        <item m="1" x="35"/>
        <item m="1" x="197"/>
        <item m="1" x="119"/>
        <item m="1" x="173"/>
        <item m="1" x="404"/>
        <item m="1" x="42"/>
        <item m="1" x="357"/>
        <item m="1" x="115"/>
        <item m="1" x="154"/>
        <item m="1" x="112"/>
        <item m="1" x="90"/>
        <item m="1" x="243"/>
        <item m="1" x="283"/>
        <item m="1" x="306"/>
        <item m="1" x="169"/>
        <item m="1" x="110"/>
        <item m="1" x="117"/>
        <item m="1" x="227"/>
        <item m="1" x="74"/>
        <item m="1" x="62"/>
        <item m="1" x="393"/>
        <item m="1" x="165"/>
        <item m="1" x="84"/>
        <item m="1" x="340"/>
        <item m="1" x="405"/>
        <item m="1" x="318"/>
        <item m="1" x="356"/>
        <item m="1" x="61"/>
        <item m="1" x="272"/>
        <item m="1" x="268"/>
        <item m="1" x="143"/>
        <item m="1" x="345"/>
        <item m="1" x="79"/>
        <item m="1" x="134"/>
        <item m="1" x="103"/>
        <item m="1" x="380"/>
        <item m="1" x="289"/>
        <item m="1" x="285"/>
        <item m="1" x="287"/>
        <item m="1" x="228"/>
        <item m="1" x="365"/>
        <item m="1" x="141"/>
        <item m="1" x="286"/>
        <item m="1" x="330"/>
        <item m="1" x="118"/>
        <item m="1" x="401"/>
        <item m="1" x="114"/>
        <item m="1" x="64"/>
        <item m="1" x="220"/>
        <item m="1" x="293"/>
        <item m="1" x="124"/>
        <item m="1" x="125"/>
        <item m="1" x="53"/>
        <item m="1" x="245"/>
        <item m="1" x="265"/>
        <item m="1" x="108"/>
        <item m="1" x="278"/>
        <item m="1" x="244"/>
        <item m="1" x="399"/>
        <item m="1" x="406"/>
        <item m="1" x="58"/>
        <item m="1" x="246"/>
        <item m="1" x="216"/>
        <item m="1" x="146"/>
        <item m="1" x="192"/>
        <item m="1" x="300"/>
        <item m="1" x="384"/>
        <item m="1" x="224"/>
        <item m="1" x="381"/>
        <item m="1" x="170"/>
        <item m="1" x="321"/>
        <item m="1" x="106"/>
        <item m="1" x="98"/>
        <item m="1" x="253"/>
        <item m="1" x="195"/>
        <item m="1" x="12"/>
        <item m="1" x="78"/>
        <item m="1" x="67"/>
        <item m="1" x="213"/>
        <item m="1" x="304"/>
        <item m="1" x="206"/>
        <item m="1" x="155"/>
        <item m="1" x="71"/>
        <item m="1" x="390"/>
        <item m="1" x="363"/>
        <item m="1" x="201"/>
        <item m="1" x="344"/>
        <item m="1" x="212"/>
        <item m="1" x="109"/>
        <item m="1" x="104"/>
        <item m="1" x="113"/>
        <item m="1" x="82"/>
        <item m="1" x="94"/>
        <item m="1" x="38"/>
        <item m="1" x="107"/>
        <item m="1" x="328"/>
        <item m="1" x="234"/>
        <item m="1" x="152"/>
        <item m="1" x="25"/>
        <item m="1" x="8"/>
        <item m="1" x="41"/>
        <item m="1" x="132"/>
        <item m="1" x="89"/>
        <item m="1" x="324"/>
        <item m="1" x="138"/>
        <item m="1" x="184"/>
        <item m="1" x="391"/>
        <item m="1" x="343"/>
        <item m="1" x="237"/>
        <item m="1" x="223"/>
        <item m="1" x="353"/>
        <item m="1" x="263"/>
        <item m="1" x="193"/>
        <item m="1" x="18"/>
        <item m="1" x="409"/>
        <item m="1" x="34"/>
        <item m="1" x="275"/>
        <item m="1" x="148"/>
        <item m="1" x="372"/>
        <item m="1" x="395"/>
        <item m="1" x="17"/>
        <item m="1" x="91"/>
        <item m="1" x="314"/>
        <item m="1" x="296"/>
        <item m="1" x="403"/>
        <item m="1" x="75"/>
        <item m="1" x="294"/>
        <item m="1" x="396"/>
        <item m="1" x="261"/>
        <item m="1" x="26"/>
        <item m="1" x="308"/>
        <item m="1" x="338"/>
        <item m="1" x="369"/>
        <item m="1" x="214"/>
        <item m="1" x="398"/>
        <item m="1" x="68"/>
        <item m="1" x="150"/>
        <item m="1" x="301"/>
        <item m="1" x="364"/>
        <item m="1" x="19"/>
        <item m="1" x="187"/>
        <item m="1" x="239"/>
        <item m="1" x="9"/>
        <item m="1" x="144"/>
        <item m="1" x="375"/>
        <item m="1" x="366"/>
        <item m="1" x="70"/>
        <item m="1" x="121"/>
        <item m="1" x="290"/>
        <item m="1" x="129"/>
        <item m="1" x="315"/>
        <item m="1" x="24"/>
        <item m="1" x="168"/>
        <item m="1" x="179"/>
        <item m="1" x="367"/>
        <item m="1" x="88"/>
        <item m="1" x="101"/>
        <item m="1" x="254"/>
        <item m="1" x="163"/>
        <item m="1" x="247"/>
        <item m="1" x="376"/>
        <item m="1" x="172"/>
        <item m="1" x="351"/>
        <item m="1" x="198"/>
        <item m="1" x="320"/>
        <item m="1" x="379"/>
        <item m="1" x="362"/>
        <item m="1" x="52"/>
        <item m="1" x="354"/>
        <item m="1" x="145"/>
        <item m="1" x="50"/>
        <item m="1" x="295"/>
        <item m="1" x="54"/>
        <item m="1" x="73"/>
        <item m="1" x="22"/>
        <item m="1" x="72"/>
        <item m="1" x="120"/>
        <item m="1" x="51"/>
        <item m="1" x="279"/>
        <item m="1" x="1"/>
        <item m="1" x="186"/>
        <item m="1" x="241"/>
        <item m="1" x="359"/>
        <item m="1" x="349"/>
        <item m="1" x="211"/>
        <item m="1" x="29"/>
        <item m="1" x="92"/>
        <item m="1" x="407"/>
        <item m="1" x="127"/>
        <item m="1" x="410"/>
        <item m="1" x="10"/>
        <item m="1" x="131"/>
        <item m="1" x="166"/>
        <item m="1" x="188"/>
        <item m="1" x="236"/>
        <item m="1" x="280"/>
        <item m="1" x="284"/>
        <item m="1" x="111"/>
        <item m="1" x="180"/>
        <item m="1" x="352"/>
        <item m="1" x="149"/>
        <item m="1" x="277"/>
        <item m="1" x="346"/>
        <item m="1" x="39"/>
        <item m="1" x="230"/>
        <item m="1" x="139"/>
        <item m="1" x="222"/>
        <item m="1" x="80"/>
        <item m="1" x="281"/>
        <item m="1" x="76"/>
        <item m="1" x="23"/>
        <item m="1" x="218"/>
        <item m="1" x="147"/>
        <item m="1" x="57"/>
        <item m="1" x="316"/>
        <item m="1" x="97"/>
        <item m="1" x="100"/>
        <item m="1" x="128"/>
        <item m="1" x="44"/>
        <item m="1" x="159"/>
        <item m="1" x="248"/>
        <item m="1" x="156"/>
        <item m="1" x="225"/>
        <item m="1" x="176"/>
        <item m="1" x="250"/>
        <item m="1" x="158"/>
        <item m="1" x="229"/>
        <item m="1" x="204"/>
        <item m="1" x="185"/>
        <item m="1" x="157"/>
        <item m="1" x="232"/>
        <item m="1" x="162"/>
        <item m="1" x="210"/>
        <item m="1" x="203"/>
        <item m="1" x="299"/>
        <item m="1" x="123"/>
        <item m="1" x="271"/>
        <item m="1" x="317"/>
        <item m="1" x="59"/>
        <item m="1" x="153"/>
        <item m="1" x="276"/>
        <item m="1" x="374"/>
        <item m="1" x="373"/>
        <item m="1" x="361"/>
        <item m="1" x="337"/>
        <item m="1" x="233"/>
        <item m="1" x="235"/>
        <item m="1" x="240"/>
        <item m="1" x="394"/>
        <item m="1" x="191"/>
        <item m="1" x="30"/>
        <item m="1" x="291"/>
        <item m="1" x="31"/>
        <item m="1" x="292"/>
        <item m="1" x="135"/>
        <item m="1" x="221"/>
        <item m="1" x="14"/>
        <item m="1" x="102"/>
        <item m="1" x="326"/>
        <item m="1" x="269"/>
        <item m="1" x="274"/>
        <item m="1" x="164"/>
        <item m="1" x="99"/>
        <item m="1" x="81"/>
        <item m="1" x="371"/>
        <item m="1" x="311"/>
        <item m="1" x="95"/>
        <item m="1" x="93"/>
        <item m="1" x="329"/>
        <item m="1" x="56"/>
        <item m="1" x="402"/>
        <item m="1" x="20"/>
        <item m="1" x="387"/>
        <item m="1" x="47"/>
        <item m="1" x="342"/>
        <item m="1" x="142"/>
        <item m="1" x="377"/>
        <item m="1" x="355"/>
        <item m="1" x="122"/>
        <item m="1" x="257"/>
        <item m="1" x="182"/>
        <item m="1" x="174"/>
        <item m="1" x="266"/>
        <item m="1" x="116"/>
        <item m="1" x="7"/>
        <item m="1" x="49"/>
        <item m="1" x="397"/>
        <item m="1" x="262"/>
        <item m="1" x="205"/>
        <item m="1" x="43"/>
        <item m="1" x="389"/>
        <item m="1" x="255"/>
        <item m="1" x="194"/>
        <item m="1" x="36"/>
        <item m="1" x="378"/>
        <item m="1" x="270"/>
        <item m="1" x="312"/>
        <item m="1" x="273"/>
        <item m="1" x="63"/>
        <item x="0"/>
      </items>
    </pivotField>
    <pivotField compact="0" outline="0" subtotalTop="0" showAll="0" includeNewItemsInFilter="1" defaultSubtotal="0">
      <items count="13">
        <item m="1" x="4"/>
        <item m="1" x="6"/>
        <item m="1" x="2"/>
        <item m="1" x="7"/>
        <item m="1" x="11"/>
        <item m="1" x="1"/>
        <item m="1" x="3"/>
        <item m="1" x="5"/>
        <item m="1" x="8"/>
        <item m="1" x="9"/>
        <item m="1" x="10"/>
        <item x="0"/>
        <item m="1" x="12"/>
      </items>
    </pivotField>
    <pivotField compact="0" outline="0" subtotalTop="0" showAll="0" includeNewItemsInFilter="1">
      <items count="30">
        <item m="1" x="13"/>
        <item m="1" x="23"/>
        <item m="1" x="2"/>
        <item m="1" x="14"/>
        <item m="1" x="15"/>
        <item m="1" x="9"/>
        <item m="1" x="28"/>
        <item m="1" x="17"/>
        <item m="1" x="22"/>
        <item m="1" x="3"/>
        <item m="1" x="5"/>
        <item m="1" x="10"/>
        <item m="1" x="27"/>
        <item m="1" x="12"/>
        <item m="1" x="6"/>
        <item m="1" x="16"/>
        <item m="1" x="19"/>
        <item m="1" x="11"/>
        <item m="1" x="25"/>
        <item m="1" x="18"/>
        <item m="1" x="1"/>
        <item m="1" x="8"/>
        <item m="1" x="24"/>
        <item x="0"/>
        <item m="1" x="26"/>
        <item m="1" x="7"/>
        <item m="1" x="21"/>
        <item m="1" x="4"/>
        <item m="1" x="20"/>
        <item t="default"/>
      </items>
    </pivotField>
    <pivotField name="Data2" dataField="1" compact="0" outline="0" showAll="0" defaultSubtotal="0"/>
  </pivotFields>
  <rowFields count="2">
    <field x="2"/>
    <field x="3"/>
  </rowFields>
  <rowItems count="23">
    <i>
      <x/>
      <x v="13"/>
    </i>
    <i>
      <x v="1"/>
      <x v="12"/>
    </i>
    <i>
      <x v="2"/>
      <x v="7"/>
    </i>
    <i>
      <x v="3"/>
      <x v="8"/>
    </i>
    <i>
      <x v="4"/>
      <x v="10"/>
    </i>
    <i>
      <x v="5"/>
      <x v="36"/>
    </i>
    <i>
      <x v="6"/>
      <x v="23"/>
    </i>
    <i>
      <x v="7"/>
      <x v="6"/>
    </i>
    <i>
      <x v="8"/>
      <x v="21"/>
    </i>
    <i>
      <x v="9"/>
      <x v="5"/>
    </i>
    <i>
      <x v="10"/>
      <x v="28"/>
    </i>
    <i>
      <x v="11"/>
      <x v="17"/>
    </i>
    <i>
      <x v="12"/>
      <x v="2"/>
    </i>
    <i>
      <x v="13"/>
      <x v="35"/>
    </i>
    <i>
      <x v="14"/>
      <x v="24"/>
    </i>
    <i>
      <x v="15"/>
      <x v="14"/>
    </i>
    <i>
      <x v="16"/>
      <x v="3"/>
    </i>
    <i>
      <x v="17"/>
      <x/>
    </i>
    <i>
      <x v="18"/>
      <x v="29"/>
    </i>
    <i>
      <x v="19"/>
      <x v="16"/>
    </i>
    <i>
      <x v="20"/>
      <x v="18"/>
    </i>
    <i>
      <x v="21"/>
      <x v="4"/>
    </i>
    <i>
      <x v="33"/>
      <x v="33"/>
    </i>
  </rowItems>
  <colFields count="2">
    <field x="0"/>
    <field x="4"/>
  </colFields>
  <colItems count="1">
    <i>
      <x v="16"/>
      <x v="30"/>
    </i>
  </colItems>
  <dataFields count="1">
    <dataField name="Sum of Data2" fld="8" baseField="0" baseItem="0" numFmtId="4"/>
  </dataFields>
  <formats count="193">
    <format dxfId="251">
      <pivotArea field="4" type="button" dataOnly="0" labelOnly="1" outline="0" axis="axisCol" fieldPosition="1"/>
    </format>
    <format dxfId="250">
      <pivotArea field="5" type="button" dataOnly="0" labelOnly="1" outline="0"/>
    </format>
    <format dxfId="249">
      <pivotArea field="6" type="button" dataOnly="0" labelOnly="1" outline="0"/>
    </format>
    <format dxfId="248">
      <pivotArea field="7" type="button" dataOnly="0" labelOnly="1" outline="0"/>
    </format>
    <format dxfId="247">
      <pivotArea type="topRight" dataOnly="0" labelOnly="1" outline="0" fieldPosition="0"/>
    </format>
    <format dxfId="246">
      <pivotArea dataOnly="0" labelOnly="1" grandCol="1" outline="0" fieldPosition="0"/>
    </format>
    <format dxfId="245">
      <pivotArea field="2" type="button" dataOnly="0" labelOnly="1" outline="0" axis="axisRow" fieldPosition="0"/>
    </format>
    <format dxfId="244">
      <pivotArea field="3" type="button" dataOnly="0" labelOnly="1" outline="0" axis="axisRow" fieldPosition="1"/>
    </format>
    <format dxfId="243">
      <pivotArea type="origin" dataOnly="0" labelOnly="1" outline="0" fieldPosition="0"/>
    </format>
    <format dxfId="242">
      <pivotArea field="2" type="button" dataOnly="0" labelOnly="1" outline="0" axis="axisRow" fieldPosition="0"/>
    </format>
    <format dxfId="241">
      <pivotArea dataOnly="0" labelOnly="1" outline="0" fieldPosition="0">
        <references count="1">
          <reference field="2" count="0"/>
        </references>
      </pivotArea>
    </format>
    <format dxfId="240">
      <pivotArea type="all" dataOnly="0" outline="0" fieldPosition="0"/>
    </format>
    <format dxfId="239">
      <pivotArea type="all" dataOnly="0" outline="0" fieldPosition="0"/>
    </format>
    <format dxfId="238">
      <pivotArea type="all" dataOnly="0" outline="0" fieldPosition="0"/>
    </format>
    <format dxfId="237">
      <pivotArea type="all" dataOnly="0" outline="0" fieldPosition="0"/>
    </format>
    <format dxfId="236">
      <pivotArea type="all" dataOnly="0" outline="0" fieldPosition="0"/>
    </format>
    <format dxfId="235">
      <pivotArea type="all" dataOnly="0" outline="0" fieldPosition="0"/>
    </format>
    <format dxfId="234">
      <pivotArea type="all" dataOnly="0" outline="0" fieldPosition="0"/>
    </format>
    <format dxfId="233">
      <pivotArea type="all" dataOnly="0" outline="0" fieldPosition="0"/>
    </format>
    <format dxfId="232">
      <pivotArea type="all" dataOnly="0" outline="0" fieldPosition="0"/>
    </format>
    <format dxfId="231">
      <pivotArea outline="0" collapsedLevelsAreSubtotals="1" fieldPosition="0"/>
    </format>
    <format dxfId="230">
      <pivotArea type="all" dataOnly="0" outline="0" fieldPosition="0"/>
    </format>
    <format dxfId="229">
      <pivotArea outline="0" collapsedLevelsAreSubtotals="1" fieldPosition="0"/>
    </format>
    <format dxfId="228">
      <pivotArea type="origin" dataOnly="0" labelOnly="1" outline="0" fieldPosition="0"/>
    </format>
    <format dxfId="227">
      <pivotArea field="0" type="button" dataOnly="0" labelOnly="1" outline="0" axis="axisCol" fieldPosition="0"/>
    </format>
    <format dxfId="226">
      <pivotArea field="4" type="button" dataOnly="0" labelOnly="1" outline="0" axis="axisCol" fieldPosition="1"/>
    </format>
    <format dxfId="225">
      <pivotArea field="2" type="button" dataOnly="0" labelOnly="1" outline="0" axis="axisRow" fieldPosition="0"/>
    </format>
    <format dxfId="224">
      <pivotArea field="3" type="button" dataOnly="0" labelOnly="1" outline="0" axis="axisRow" fieldPosition="1"/>
    </format>
    <format dxfId="223">
      <pivotArea dataOnly="0" labelOnly="1" outline="0" fieldPosition="0">
        <references count="1">
          <reference field="2" count="0"/>
        </references>
      </pivotArea>
    </format>
    <format dxfId="222">
      <pivotArea dataOnly="0" labelOnly="1" outline="0" fieldPosition="0">
        <references count="2">
          <reference field="2" count="1" selected="0">
            <x v="0"/>
          </reference>
          <reference field="3" count="1">
            <x v="13"/>
          </reference>
        </references>
      </pivotArea>
    </format>
    <format dxfId="221">
      <pivotArea dataOnly="0" labelOnly="1" outline="0" fieldPosition="0">
        <references count="2">
          <reference field="2" count="1" selected="0">
            <x v="1"/>
          </reference>
          <reference field="3" count="1">
            <x v="12"/>
          </reference>
        </references>
      </pivotArea>
    </format>
    <format dxfId="220">
      <pivotArea dataOnly="0" labelOnly="1" outline="0" fieldPosition="0">
        <references count="2">
          <reference field="2" count="1" selected="0">
            <x v="2"/>
          </reference>
          <reference field="3" count="1">
            <x v="7"/>
          </reference>
        </references>
      </pivotArea>
    </format>
    <format dxfId="219">
      <pivotArea dataOnly="0" labelOnly="1" outline="0" fieldPosition="0">
        <references count="2">
          <reference field="2" count="1" selected="0">
            <x v="3"/>
          </reference>
          <reference field="3" count="1">
            <x v="8"/>
          </reference>
        </references>
      </pivotArea>
    </format>
    <format dxfId="218">
      <pivotArea dataOnly="0" labelOnly="1" outline="0" fieldPosition="0">
        <references count="2">
          <reference field="2" count="1" selected="0">
            <x v="4"/>
          </reference>
          <reference field="3" count="1">
            <x v="10"/>
          </reference>
        </references>
      </pivotArea>
    </format>
    <format dxfId="217">
      <pivotArea dataOnly="0" labelOnly="1" outline="0" fieldPosition="0">
        <references count="2">
          <reference field="2" count="1" selected="0">
            <x v="5"/>
          </reference>
          <reference field="3" count="1">
            <x v="36"/>
          </reference>
        </references>
      </pivotArea>
    </format>
    <format dxfId="216">
      <pivotArea dataOnly="0" labelOnly="1" outline="0" fieldPosition="0">
        <references count="2">
          <reference field="2" count="1" selected="0">
            <x v="6"/>
          </reference>
          <reference field="3" count="1">
            <x v="23"/>
          </reference>
        </references>
      </pivotArea>
    </format>
    <format dxfId="215">
      <pivotArea dataOnly="0" labelOnly="1" outline="0" fieldPosition="0">
        <references count="2">
          <reference field="2" count="1" selected="0">
            <x v="7"/>
          </reference>
          <reference field="3" count="1">
            <x v="6"/>
          </reference>
        </references>
      </pivotArea>
    </format>
    <format dxfId="214">
      <pivotArea dataOnly="0" labelOnly="1" outline="0" fieldPosition="0">
        <references count="2">
          <reference field="2" count="1" selected="0">
            <x v="8"/>
          </reference>
          <reference field="3" count="1">
            <x v="21"/>
          </reference>
        </references>
      </pivotArea>
    </format>
    <format dxfId="213">
      <pivotArea dataOnly="0" labelOnly="1" outline="0" fieldPosition="0">
        <references count="2">
          <reference field="2" count="1" selected="0">
            <x v="9"/>
          </reference>
          <reference field="3" count="1">
            <x v="5"/>
          </reference>
        </references>
      </pivotArea>
    </format>
    <format dxfId="212">
      <pivotArea dataOnly="0" labelOnly="1" outline="0" fieldPosition="0">
        <references count="2">
          <reference field="2" count="1" selected="0">
            <x v="10"/>
          </reference>
          <reference field="3" count="1">
            <x v="28"/>
          </reference>
        </references>
      </pivotArea>
    </format>
    <format dxfId="211">
      <pivotArea dataOnly="0" labelOnly="1" outline="0" fieldPosition="0">
        <references count="2">
          <reference field="2" count="1" selected="0">
            <x v="11"/>
          </reference>
          <reference field="3" count="1">
            <x v="17"/>
          </reference>
        </references>
      </pivotArea>
    </format>
    <format dxfId="210">
      <pivotArea dataOnly="0" labelOnly="1" outline="0" fieldPosition="0">
        <references count="2">
          <reference field="2" count="1" selected="0">
            <x v="12"/>
          </reference>
          <reference field="3" count="1">
            <x v="2"/>
          </reference>
        </references>
      </pivotArea>
    </format>
    <format dxfId="209">
      <pivotArea dataOnly="0" labelOnly="1" outline="0" fieldPosition="0">
        <references count="2">
          <reference field="2" count="1" selected="0">
            <x v="13"/>
          </reference>
          <reference field="3" count="1">
            <x v="35"/>
          </reference>
        </references>
      </pivotArea>
    </format>
    <format dxfId="208">
      <pivotArea dataOnly="0" labelOnly="1" outline="0" fieldPosition="0">
        <references count="2">
          <reference field="2" count="1" selected="0">
            <x v="14"/>
          </reference>
          <reference field="3" count="1">
            <x v="24"/>
          </reference>
        </references>
      </pivotArea>
    </format>
    <format dxfId="207">
      <pivotArea dataOnly="0" labelOnly="1" outline="0" fieldPosition="0">
        <references count="2">
          <reference field="2" count="1" selected="0">
            <x v="15"/>
          </reference>
          <reference field="3" count="1">
            <x v="14"/>
          </reference>
        </references>
      </pivotArea>
    </format>
    <format dxfId="206">
      <pivotArea dataOnly="0" labelOnly="1" outline="0" fieldPosition="0">
        <references count="2">
          <reference field="2" count="1" selected="0">
            <x v="16"/>
          </reference>
          <reference field="3" count="1">
            <x v="3"/>
          </reference>
        </references>
      </pivotArea>
    </format>
    <format dxfId="205">
      <pivotArea dataOnly="0" labelOnly="1" outline="0" fieldPosition="0">
        <references count="2">
          <reference field="2" count="1" selected="0">
            <x v="17"/>
          </reference>
          <reference field="3" count="1">
            <x v="0"/>
          </reference>
        </references>
      </pivotArea>
    </format>
    <format dxfId="204">
      <pivotArea dataOnly="0" labelOnly="1" outline="0" fieldPosition="0">
        <references count="2">
          <reference field="2" count="1" selected="0">
            <x v="18"/>
          </reference>
          <reference field="3" count="1">
            <x v="29"/>
          </reference>
        </references>
      </pivotArea>
    </format>
    <format dxfId="203">
      <pivotArea dataOnly="0" labelOnly="1" outline="0" fieldPosition="0">
        <references count="2">
          <reference field="2" count="1" selected="0">
            <x v="19"/>
          </reference>
          <reference field="3" count="1">
            <x v="16"/>
          </reference>
        </references>
      </pivotArea>
    </format>
    <format dxfId="202">
      <pivotArea dataOnly="0" labelOnly="1" outline="0" fieldPosition="0">
        <references count="2">
          <reference field="2" count="1" selected="0">
            <x v="20"/>
          </reference>
          <reference field="3" count="1">
            <x v="18"/>
          </reference>
        </references>
      </pivotArea>
    </format>
    <format dxfId="201">
      <pivotArea dataOnly="0" labelOnly="1" outline="0" fieldPosition="0">
        <references count="2">
          <reference field="2" count="1" selected="0">
            <x v="21"/>
          </reference>
          <reference field="3" count="1">
            <x v="4"/>
          </reference>
        </references>
      </pivotArea>
    </format>
    <format dxfId="200">
      <pivotArea dataOnly="0" labelOnly="1" outline="0" fieldPosition="0">
        <references count="2">
          <reference field="2" count="1" selected="0">
            <x v="33"/>
          </reference>
          <reference field="3" count="1">
            <x v="33"/>
          </reference>
        </references>
      </pivotArea>
    </format>
    <format dxfId="199">
      <pivotArea dataOnly="0" labelOnly="1" outline="0" fieldPosition="0">
        <references count="1">
          <reference field="0" count="0"/>
        </references>
      </pivotArea>
    </format>
    <format dxfId="198">
      <pivotArea dataOnly="0" labelOnly="1" outline="0" fieldPosition="0">
        <references count="2">
          <reference field="0" count="0" selected="0"/>
          <reference field="4" count="0"/>
        </references>
      </pivotArea>
    </format>
    <format dxfId="197">
      <pivotArea dataOnly="0" labelOnly="1" outline="0" fieldPosition="0">
        <references count="1">
          <reference field="2" count="0"/>
        </references>
      </pivotArea>
    </format>
    <format dxfId="196">
      <pivotArea dataOnly="0" labelOnly="1" outline="0" fieldPosition="0">
        <references count="2">
          <reference field="0" count="0" selected="0"/>
          <reference field="4" count="0"/>
        </references>
      </pivotArea>
    </format>
    <format dxfId="195">
      <pivotArea dataOnly="0" labelOnly="1" outline="0" fieldPosition="0">
        <references count="1">
          <reference field="0" count="0"/>
        </references>
      </pivotArea>
    </format>
    <format dxfId="194">
      <pivotArea type="all" dataOnly="0" outline="0" fieldPosition="0"/>
    </format>
    <format dxfId="193">
      <pivotArea outline="0" collapsedLevelsAreSubtotals="1" fieldPosition="0"/>
    </format>
    <format dxfId="192">
      <pivotArea type="origin" dataOnly="0" labelOnly="1" outline="0" fieldPosition="0"/>
    </format>
    <format dxfId="191">
      <pivotArea field="0" type="button" dataOnly="0" labelOnly="1" outline="0" axis="axisCol" fieldPosition="0"/>
    </format>
    <format dxfId="190">
      <pivotArea field="4" type="button" dataOnly="0" labelOnly="1" outline="0" axis="axisCol" fieldPosition="1"/>
    </format>
    <format dxfId="189">
      <pivotArea field="2" type="button" dataOnly="0" labelOnly="1" outline="0" axis="axisRow" fieldPosition="0"/>
    </format>
    <format dxfId="188">
      <pivotArea field="3" type="button" dataOnly="0" labelOnly="1" outline="0" axis="axisRow" fieldPosition="1"/>
    </format>
    <format dxfId="187">
      <pivotArea dataOnly="0" labelOnly="1" outline="0" fieldPosition="0">
        <references count="1">
          <reference field="2" count="0"/>
        </references>
      </pivotArea>
    </format>
    <format dxfId="186">
      <pivotArea dataOnly="0" labelOnly="1" outline="0" fieldPosition="0">
        <references count="2">
          <reference field="2" count="1" selected="0">
            <x v="0"/>
          </reference>
          <reference field="3" count="1">
            <x v="13"/>
          </reference>
        </references>
      </pivotArea>
    </format>
    <format dxfId="185">
      <pivotArea dataOnly="0" labelOnly="1" outline="0" fieldPosition="0">
        <references count="2">
          <reference field="2" count="1" selected="0">
            <x v="1"/>
          </reference>
          <reference field="3" count="1">
            <x v="12"/>
          </reference>
        </references>
      </pivotArea>
    </format>
    <format dxfId="184">
      <pivotArea dataOnly="0" labelOnly="1" outline="0" fieldPosition="0">
        <references count="2">
          <reference field="2" count="1" selected="0">
            <x v="2"/>
          </reference>
          <reference field="3" count="1">
            <x v="7"/>
          </reference>
        </references>
      </pivotArea>
    </format>
    <format dxfId="183">
      <pivotArea dataOnly="0" labelOnly="1" outline="0" fieldPosition="0">
        <references count="2">
          <reference field="2" count="1" selected="0">
            <x v="3"/>
          </reference>
          <reference field="3" count="1">
            <x v="8"/>
          </reference>
        </references>
      </pivotArea>
    </format>
    <format dxfId="182">
      <pivotArea dataOnly="0" labelOnly="1" outline="0" fieldPosition="0">
        <references count="2">
          <reference field="2" count="1" selected="0">
            <x v="4"/>
          </reference>
          <reference field="3" count="1">
            <x v="10"/>
          </reference>
        </references>
      </pivotArea>
    </format>
    <format dxfId="181">
      <pivotArea dataOnly="0" labelOnly="1" outline="0" fieldPosition="0">
        <references count="2">
          <reference field="2" count="1" selected="0">
            <x v="5"/>
          </reference>
          <reference field="3" count="1">
            <x v="36"/>
          </reference>
        </references>
      </pivotArea>
    </format>
    <format dxfId="180">
      <pivotArea dataOnly="0" labelOnly="1" outline="0" fieldPosition="0">
        <references count="2">
          <reference field="2" count="1" selected="0">
            <x v="6"/>
          </reference>
          <reference field="3" count="1">
            <x v="23"/>
          </reference>
        </references>
      </pivotArea>
    </format>
    <format dxfId="179">
      <pivotArea dataOnly="0" labelOnly="1" outline="0" fieldPosition="0">
        <references count="2">
          <reference field="2" count="1" selected="0">
            <x v="7"/>
          </reference>
          <reference field="3" count="1">
            <x v="6"/>
          </reference>
        </references>
      </pivotArea>
    </format>
    <format dxfId="178">
      <pivotArea dataOnly="0" labelOnly="1" outline="0" fieldPosition="0">
        <references count="2">
          <reference field="2" count="1" selected="0">
            <x v="8"/>
          </reference>
          <reference field="3" count="1">
            <x v="21"/>
          </reference>
        </references>
      </pivotArea>
    </format>
    <format dxfId="177">
      <pivotArea dataOnly="0" labelOnly="1" outline="0" fieldPosition="0">
        <references count="2">
          <reference field="2" count="1" selected="0">
            <x v="9"/>
          </reference>
          <reference field="3" count="1">
            <x v="5"/>
          </reference>
        </references>
      </pivotArea>
    </format>
    <format dxfId="176">
      <pivotArea dataOnly="0" labelOnly="1" outline="0" fieldPosition="0">
        <references count="2">
          <reference field="2" count="1" selected="0">
            <x v="10"/>
          </reference>
          <reference field="3" count="1">
            <x v="28"/>
          </reference>
        </references>
      </pivotArea>
    </format>
    <format dxfId="175">
      <pivotArea dataOnly="0" labelOnly="1" outline="0" fieldPosition="0">
        <references count="2">
          <reference field="2" count="1" selected="0">
            <x v="11"/>
          </reference>
          <reference field="3" count="1">
            <x v="17"/>
          </reference>
        </references>
      </pivotArea>
    </format>
    <format dxfId="174">
      <pivotArea dataOnly="0" labelOnly="1" outline="0" fieldPosition="0">
        <references count="2">
          <reference field="2" count="1" selected="0">
            <x v="12"/>
          </reference>
          <reference field="3" count="1">
            <x v="2"/>
          </reference>
        </references>
      </pivotArea>
    </format>
    <format dxfId="173">
      <pivotArea dataOnly="0" labelOnly="1" outline="0" fieldPosition="0">
        <references count="2">
          <reference field="2" count="1" selected="0">
            <x v="13"/>
          </reference>
          <reference field="3" count="1">
            <x v="35"/>
          </reference>
        </references>
      </pivotArea>
    </format>
    <format dxfId="172">
      <pivotArea dataOnly="0" labelOnly="1" outline="0" fieldPosition="0">
        <references count="2">
          <reference field="2" count="1" selected="0">
            <x v="14"/>
          </reference>
          <reference field="3" count="1">
            <x v="24"/>
          </reference>
        </references>
      </pivotArea>
    </format>
    <format dxfId="171">
      <pivotArea dataOnly="0" labelOnly="1" outline="0" fieldPosition="0">
        <references count="2">
          <reference field="2" count="1" selected="0">
            <x v="15"/>
          </reference>
          <reference field="3" count="1">
            <x v="14"/>
          </reference>
        </references>
      </pivotArea>
    </format>
    <format dxfId="170">
      <pivotArea dataOnly="0" labelOnly="1" outline="0" fieldPosition="0">
        <references count="2">
          <reference field="2" count="1" selected="0">
            <x v="16"/>
          </reference>
          <reference field="3" count="1">
            <x v="3"/>
          </reference>
        </references>
      </pivotArea>
    </format>
    <format dxfId="169">
      <pivotArea dataOnly="0" labelOnly="1" outline="0" fieldPosition="0">
        <references count="2">
          <reference field="2" count="1" selected="0">
            <x v="17"/>
          </reference>
          <reference field="3" count="1">
            <x v="0"/>
          </reference>
        </references>
      </pivotArea>
    </format>
    <format dxfId="168">
      <pivotArea dataOnly="0" labelOnly="1" outline="0" fieldPosition="0">
        <references count="2">
          <reference field="2" count="1" selected="0">
            <x v="18"/>
          </reference>
          <reference field="3" count="1">
            <x v="29"/>
          </reference>
        </references>
      </pivotArea>
    </format>
    <format dxfId="167">
      <pivotArea dataOnly="0" labelOnly="1" outline="0" fieldPosition="0">
        <references count="2">
          <reference field="2" count="1" selected="0">
            <x v="19"/>
          </reference>
          <reference field="3" count="1">
            <x v="16"/>
          </reference>
        </references>
      </pivotArea>
    </format>
    <format dxfId="166">
      <pivotArea dataOnly="0" labelOnly="1" outline="0" fieldPosition="0">
        <references count="2">
          <reference field="2" count="1" selected="0">
            <x v="20"/>
          </reference>
          <reference field="3" count="1">
            <x v="18"/>
          </reference>
        </references>
      </pivotArea>
    </format>
    <format dxfId="165">
      <pivotArea dataOnly="0" labelOnly="1" outline="0" fieldPosition="0">
        <references count="2">
          <reference field="2" count="1" selected="0">
            <x v="21"/>
          </reference>
          <reference field="3" count="1">
            <x v="4"/>
          </reference>
        </references>
      </pivotArea>
    </format>
    <format dxfId="164">
      <pivotArea dataOnly="0" labelOnly="1" outline="0" fieldPosition="0">
        <references count="2">
          <reference field="2" count="1" selected="0">
            <x v="33"/>
          </reference>
          <reference field="3" count="1">
            <x v="33"/>
          </reference>
        </references>
      </pivotArea>
    </format>
    <format dxfId="163">
      <pivotArea dataOnly="0" labelOnly="1" outline="0" fieldPosition="0">
        <references count="1">
          <reference field="0" count="0"/>
        </references>
      </pivotArea>
    </format>
    <format dxfId="162">
      <pivotArea dataOnly="0" labelOnly="1" outline="0" fieldPosition="0">
        <references count="2">
          <reference field="0" count="0" selected="0"/>
          <reference field="4" count="0"/>
        </references>
      </pivotArea>
    </format>
    <format dxfId="161">
      <pivotArea field="2" type="button" dataOnly="0" labelOnly="1" outline="0" axis="axisRow" fieldPosition="0"/>
    </format>
    <format dxfId="160">
      <pivotArea field="3" type="button" dataOnly="0" labelOnly="1" outline="0" axis="axisRow" fieldPosition="1"/>
    </format>
    <format dxfId="159">
      <pivotArea field="3" type="button" dataOnly="0" labelOnly="1" outline="0" axis="axisRow" fieldPosition="1"/>
    </format>
    <format dxfId="158">
      <pivotArea type="all" dataOnly="0" outline="0" fieldPosition="0"/>
    </format>
    <format dxfId="157">
      <pivotArea outline="0" collapsedLevelsAreSubtotals="1" fieldPosition="0"/>
    </format>
    <format dxfId="156">
      <pivotArea type="origin" dataOnly="0" labelOnly="1" outline="0" fieldPosition="0"/>
    </format>
    <format dxfId="155">
      <pivotArea field="0" type="button" dataOnly="0" labelOnly="1" outline="0" axis="axisCol" fieldPosition="0"/>
    </format>
    <format dxfId="154">
      <pivotArea field="4" type="button" dataOnly="0" labelOnly="1" outline="0" axis="axisCol" fieldPosition="1"/>
    </format>
    <format dxfId="153">
      <pivotArea field="2" type="button" dataOnly="0" labelOnly="1" outline="0" axis="axisRow" fieldPosition="0"/>
    </format>
    <format dxfId="152">
      <pivotArea field="3" type="button" dataOnly="0" labelOnly="1" outline="0" axis="axisRow" fieldPosition="1"/>
    </format>
    <format dxfId="151">
      <pivotArea dataOnly="0" labelOnly="1" outline="0" fieldPosition="0">
        <references count="1">
          <reference field="2" count="0"/>
        </references>
      </pivotArea>
    </format>
    <format dxfId="150">
      <pivotArea dataOnly="0" labelOnly="1" outline="0" fieldPosition="0">
        <references count="2">
          <reference field="2" count="1" selected="0">
            <x v="0"/>
          </reference>
          <reference field="3" count="1">
            <x v="13"/>
          </reference>
        </references>
      </pivotArea>
    </format>
    <format dxfId="149">
      <pivotArea dataOnly="0" labelOnly="1" outline="0" fieldPosition="0">
        <references count="2">
          <reference field="2" count="1" selected="0">
            <x v="1"/>
          </reference>
          <reference field="3" count="1">
            <x v="12"/>
          </reference>
        </references>
      </pivotArea>
    </format>
    <format dxfId="148">
      <pivotArea dataOnly="0" labelOnly="1" outline="0" fieldPosition="0">
        <references count="2">
          <reference field="2" count="1" selected="0">
            <x v="2"/>
          </reference>
          <reference field="3" count="1">
            <x v="7"/>
          </reference>
        </references>
      </pivotArea>
    </format>
    <format dxfId="147">
      <pivotArea dataOnly="0" labelOnly="1" outline="0" fieldPosition="0">
        <references count="2">
          <reference field="2" count="1" selected="0">
            <x v="3"/>
          </reference>
          <reference field="3" count="1">
            <x v="8"/>
          </reference>
        </references>
      </pivotArea>
    </format>
    <format dxfId="146">
      <pivotArea dataOnly="0" labelOnly="1" outline="0" fieldPosition="0">
        <references count="2">
          <reference field="2" count="1" selected="0">
            <x v="4"/>
          </reference>
          <reference field="3" count="1">
            <x v="10"/>
          </reference>
        </references>
      </pivotArea>
    </format>
    <format dxfId="145">
      <pivotArea dataOnly="0" labelOnly="1" outline="0" fieldPosition="0">
        <references count="2">
          <reference field="2" count="1" selected="0">
            <x v="5"/>
          </reference>
          <reference field="3" count="1">
            <x v="36"/>
          </reference>
        </references>
      </pivotArea>
    </format>
    <format dxfId="144">
      <pivotArea dataOnly="0" labelOnly="1" outline="0" fieldPosition="0">
        <references count="2">
          <reference field="2" count="1" selected="0">
            <x v="6"/>
          </reference>
          <reference field="3" count="1">
            <x v="23"/>
          </reference>
        </references>
      </pivotArea>
    </format>
    <format dxfId="143">
      <pivotArea dataOnly="0" labelOnly="1" outline="0" fieldPosition="0">
        <references count="2">
          <reference field="2" count="1" selected="0">
            <x v="7"/>
          </reference>
          <reference field="3" count="1">
            <x v="6"/>
          </reference>
        </references>
      </pivotArea>
    </format>
    <format dxfId="142">
      <pivotArea dataOnly="0" labelOnly="1" outline="0" fieldPosition="0">
        <references count="2">
          <reference field="2" count="1" selected="0">
            <x v="8"/>
          </reference>
          <reference field="3" count="1">
            <x v="21"/>
          </reference>
        </references>
      </pivotArea>
    </format>
    <format dxfId="141">
      <pivotArea dataOnly="0" labelOnly="1" outline="0" fieldPosition="0">
        <references count="2">
          <reference field="2" count="1" selected="0">
            <x v="9"/>
          </reference>
          <reference field="3" count="1">
            <x v="5"/>
          </reference>
        </references>
      </pivotArea>
    </format>
    <format dxfId="140">
      <pivotArea dataOnly="0" labelOnly="1" outline="0" fieldPosition="0">
        <references count="2">
          <reference field="2" count="1" selected="0">
            <x v="10"/>
          </reference>
          <reference field="3" count="1">
            <x v="28"/>
          </reference>
        </references>
      </pivotArea>
    </format>
    <format dxfId="139">
      <pivotArea dataOnly="0" labelOnly="1" outline="0" fieldPosition="0">
        <references count="2">
          <reference field="2" count="1" selected="0">
            <x v="11"/>
          </reference>
          <reference field="3" count="1">
            <x v="17"/>
          </reference>
        </references>
      </pivotArea>
    </format>
    <format dxfId="138">
      <pivotArea dataOnly="0" labelOnly="1" outline="0" fieldPosition="0">
        <references count="2">
          <reference field="2" count="1" selected="0">
            <x v="12"/>
          </reference>
          <reference field="3" count="1">
            <x v="2"/>
          </reference>
        </references>
      </pivotArea>
    </format>
    <format dxfId="137">
      <pivotArea dataOnly="0" labelOnly="1" outline="0" fieldPosition="0">
        <references count="2">
          <reference field="2" count="1" selected="0">
            <x v="13"/>
          </reference>
          <reference field="3" count="1">
            <x v="35"/>
          </reference>
        </references>
      </pivotArea>
    </format>
    <format dxfId="136">
      <pivotArea dataOnly="0" labelOnly="1" outline="0" fieldPosition="0">
        <references count="2">
          <reference field="2" count="1" selected="0">
            <x v="14"/>
          </reference>
          <reference field="3" count="1">
            <x v="24"/>
          </reference>
        </references>
      </pivotArea>
    </format>
    <format dxfId="135">
      <pivotArea dataOnly="0" labelOnly="1" outline="0" fieldPosition="0">
        <references count="2">
          <reference field="2" count="1" selected="0">
            <x v="15"/>
          </reference>
          <reference field="3" count="1">
            <x v="14"/>
          </reference>
        </references>
      </pivotArea>
    </format>
    <format dxfId="134">
      <pivotArea dataOnly="0" labelOnly="1" outline="0" fieldPosition="0">
        <references count="2">
          <reference field="2" count="1" selected="0">
            <x v="16"/>
          </reference>
          <reference field="3" count="1">
            <x v="3"/>
          </reference>
        </references>
      </pivotArea>
    </format>
    <format dxfId="133">
      <pivotArea dataOnly="0" labelOnly="1" outline="0" fieldPosition="0">
        <references count="2">
          <reference field="2" count="1" selected="0">
            <x v="17"/>
          </reference>
          <reference field="3" count="1">
            <x v="0"/>
          </reference>
        </references>
      </pivotArea>
    </format>
    <format dxfId="132">
      <pivotArea dataOnly="0" labelOnly="1" outline="0" fieldPosition="0">
        <references count="2">
          <reference field="2" count="1" selected="0">
            <x v="18"/>
          </reference>
          <reference field="3" count="1">
            <x v="29"/>
          </reference>
        </references>
      </pivotArea>
    </format>
    <format dxfId="131">
      <pivotArea dataOnly="0" labelOnly="1" outline="0" fieldPosition="0">
        <references count="2">
          <reference field="2" count="1" selected="0">
            <x v="19"/>
          </reference>
          <reference field="3" count="1">
            <x v="16"/>
          </reference>
        </references>
      </pivotArea>
    </format>
    <format dxfId="130">
      <pivotArea dataOnly="0" labelOnly="1" outline="0" fieldPosition="0">
        <references count="2">
          <reference field="2" count="1" selected="0">
            <x v="20"/>
          </reference>
          <reference field="3" count="1">
            <x v="18"/>
          </reference>
        </references>
      </pivotArea>
    </format>
    <format dxfId="129">
      <pivotArea dataOnly="0" labelOnly="1" outline="0" fieldPosition="0">
        <references count="2">
          <reference field="2" count="1" selected="0">
            <x v="21"/>
          </reference>
          <reference field="3" count="1">
            <x v="4"/>
          </reference>
        </references>
      </pivotArea>
    </format>
    <format dxfId="128">
      <pivotArea dataOnly="0" labelOnly="1" outline="0" fieldPosition="0">
        <references count="2">
          <reference field="2" count="1" selected="0">
            <x v="33"/>
          </reference>
          <reference field="3" count="1">
            <x v="33"/>
          </reference>
        </references>
      </pivotArea>
    </format>
    <format dxfId="127">
      <pivotArea dataOnly="0" labelOnly="1" outline="0" fieldPosition="0">
        <references count="1">
          <reference field="0" count="0"/>
        </references>
      </pivotArea>
    </format>
    <format dxfId="126">
      <pivotArea dataOnly="0" labelOnly="1" outline="0" fieldPosition="0">
        <references count="2">
          <reference field="0" count="0" selected="0"/>
          <reference field="4" count="0"/>
        </references>
      </pivotArea>
    </format>
    <format dxfId="125">
      <pivotArea type="all" dataOnly="0" outline="0" fieldPosition="0"/>
    </format>
    <format dxfId="124">
      <pivotArea outline="0" collapsedLevelsAreSubtotals="1" fieldPosition="0"/>
    </format>
    <format dxfId="123">
      <pivotArea type="origin" dataOnly="0" labelOnly="1" outline="0" fieldPosition="0"/>
    </format>
    <format dxfId="122">
      <pivotArea field="0" type="button" dataOnly="0" labelOnly="1" outline="0" axis="axisCol" fieldPosition="0"/>
    </format>
    <format dxfId="121">
      <pivotArea field="4" type="button" dataOnly="0" labelOnly="1" outline="0" axis="axisCol" fieldPosition="1"/>
    </format>
    <format dxfId="120">
      <pivotArea field="2" type="button" dataOnly="0" labelOnly="1" outline="0" axis="axisRow" fieldPosition="0"/>
    </format>
    <format dxfId="119">
      <pivotArea field="3" type="button" dataOnly="0" labelOnly="1" outline="0" axis="axisRow" fieldPosition="1"/>
    </format>
    <format dxfId="118">
      <pivotArea dataOnly="0" labelOnly="1" outline="0" fieldPosition="0">
        <references count="1">
          <reference field="2" count="0"/>
        </references>
      </pivotArea>
    </format>
    <format dxfId="117">
      <pivotArea dataOnly="0" labelOnly="1" outline="0" fieldPosition="0">
        <references count="2">
          <reference field="2" count="1" selected="0">
            <x v="0"/>
          </reference>
          <reference field="3" count="1">
            <x v="13"/>
          </reference>
        </references>
      </pivotArea>
    </format>
    <format dxfId="116">
      <pivotArea dataOnly="0" labelOnly="1" outline="0" fieldPosition="0">
        <references count="2">
          <reference field="2" count="1" selected="0">
            <x v="1"/>
          </reference>
          <reference field="3" count="1">
            <x v="12"/>
          </reference>
        </references>
      </pivotArea>
    </format>
    <format dxfId="115">
      <pivotArea dataOnly="0" labelOnly="1" outline="0" fieldPosition="0">
        <references count="2">
          <reference field="2" count="1" selected="0">
            <x v="2"/>
          </reference>
          <reference field="3" count="1">
            <x v="7"/>
          </reference>
        </references>
      </pivotArea>
    </format>
    <format dxfId="114">
      <pivotArea dataOnly="0" labelOnly="1" outline="0" fieldPosition="0">
        <references count="2">
          <reference field="2" count="1" selected="0">
            <x v="3"/>
          </reference>
          <reference field="3" count="1">
            <x v="8"/>
          </reference>
        </references>
      </pivotArea>
    </format>
    <format dxfId="113">
      <pivotArea dataOnly="0" labelOnly="1" outline="0" fieldPosition="0">
        <references count="2">
          <reference field="2" count="1" selected="0">
            <x v="4"/>
          </reference>
          <reference field="3" count="1">
            <x v="10"/>
          </reference>
        </references>
      </pivotArea>
    </format>
    <format dxfId="112">
      <pivotArea dataOnly="0" labelOnly="1" outline="0" fieldPosition="0">
        <references count="2">
          <reference field="2" count="1" selected="0">
            <x v="5"/>
          </reference>
          <reference field="3" count="1">
            <x v="36"/>
          </reference>
        </references>
      </pivotArea>
    </format>
    <format dxfId="111">
      <pivotArea dataOnly="0" labelOnly="1" outline="0" fieldPosition="0">
        <references count="2">
          <reference field="2" count="1" selected="0">
            <x v="6"/>
          </reference>
          <reference field="3" count="1">
            <x v="23"/>
          </reference>
        </references>
      </pivotArea>
    </format>
    <format dxfId="110">
      <pivotArea dataOnly="0" labelOnly="1" outline="0" fieldPosition="0">
        <references count="2">
          <reference field="2" count="1" selected="0">
            <x v="7"/>
          </reference>
          <reference field="3" count="1">
            <x v="6"/>
          </reference>
        </references>
      </pivotArea>
    </format>
    <format dxfId="109">
      <pivotArea dataOnly="0" labelOnly="1" outline="0" fieldPosition="0">
        <references count="2">
          <reference field="2" count="1" selected="0">
            <x v="8"/>
          </reference>
          <reference field="3" count="1">
            <x v="21"/>
          </reference>
        </references>
      </pivotArea>
    </format>
    <format dxfId="108">
      <pivotArea dataOnly="0" labelOnly="1" outline="0" fieldPosition="0">
        <references count="2">
          <reference field="2" count="1" selected="0">
            <x v="9"/>
          </reference>
          <reference field="3" count="1">
            <x v="5"/>
          </reference>
        </references>
      </pivotArea>
    </format>
    <format dxfId="107">
      <pivotArea dataOnly="0" labelOnly="1" outline="0" fieldPosition="0">
        <references count="2">
          <reference field="2" count="1" selected="0">
            <x v="10"/>
          </reference>
          <reference field="3" count="1">
            <x v="28"/>
          </reference>
        </references>
      </pivotArea>
    </format>
    <format dxfId="106">
      <pivotArea dataOnly="0" labelOnly="1" outline="0" fieldPosition="0">
        <references count="2">
          <reference field="2" count="1" selected="0">
            <x v="11"/>
          </reference>
          <reference field="3" count="1">
            <x v="17"/>
          </reference>
        </references>
      </pivotArea>
    </format>
    <format dxfId="105">
      <pivotArea dataOnly="0" labelOnly="1" outline="0" fieldPosition="0">
        <references count="2">
          <reference field="2" count="1" selected="0">
            <x v="12"/>
          </reference>
          <reference field="3" count="1">
            <x v="2"/>
          </reference>
        </references>
      </pivotArea>
    </format>
    <format dxfId="104">
      <pivotArea dataOnly="0" labelOnly="1" outline="0" fieldPosition="0">
        <references count="2">
          <reference field="2" count="1" selected="0">
            <x v="13"/>
          </reference>
          <reference field="3" count="1">
            <x v="35"/>
          </reference>
        </references>
      </pivotArea>
    </format>
    <format dxfId="103">
      <pivotArea dataOnly="0" labelOnly="1" outline="0" fieldPosition="0">
        <references count="2">
          <reference field="2" count="1" selected="0">
            <x v="14"/>
          </reference>
          <reference field="3" count="1">
            <x v="24"/>
          </reference>
        </references>
      </pivotArea>
    </format>
    <format dxfId="102">
      <pivotArea dataOnly="0" labelOnly="1" outline="0" fieldPosition="0">
        <references count="2">
          <reference field="2" count="1" selected="0">
            <x v="15"/>
          </reference>
          <reference field="3" count="1">
            <x v="14"/>
          </reference>
        </references>
      </pivotArea>
    </format>
    <format dxfId="101">
      <pivotArea dataOnly="0" labelOnly="1" outline="0" fieldPosition="0">
        <references count="2">
          <reference field="2" count="1" selected="0">
            <x v="16"/>
          </reference>
          <reference field="3" count="1">
            <x v="3"/>
          </reference>
        </references>
      </pivotArea>
    </format>
    <format dxfId="100">
      <pivotArea dataOnly="0" labelOnly="1" outline="0" fieldPosition="0">
        <references count="2">
          <reference field="2" count="1" selected="0">
            <x v="17"/>
          </reference>
          <reference field="3" count="1">
            <x v="0"/>
          </reference>
        </references>
      </pivotArea>
    </format>
    <format dxfId="99">
      <pivotArea dataOnly="0" labelOnly="1" outline="0" fieldPosition="0">
        <references count="2">
          <reference field="2" count="1" selected="0">
            <x v="18"/>
          </reference>
          <reference field="3" count="1">
            <x v="29"/>
          </reference>
        </references>
      </pivotArea>
    </format>
    <format dxfId="98">
      <pivotArea dataOnly="0" labelOnly="1" outline="0" fieldPosition="0">
        <references count="2">
          <reference field="2" count="1" selected="0">
            <x v="19"/>
          </reference>
          <reference field="3" count="1">
            <x v="16"/>
          </reference>
        </references>
      </pivotArea>
    </format>
    <format dxfId="97">
      <pivotArea dataOnly="0" labelOnly="1" outline="0" fieldPosition="0">
        <references count="2">
          <reference field="2" count="1" selected="0">
            <x v="20"/>
          </reference>
          <reference field="3" count="1">
            <x v="18"/>
          </reference>
        </references>
      </pivotArea>
    </format>
    <format dxfId="96">
      <pivotArea dataOnly="0" labelOnly="1" outline="0" fieldPosition="0">
        <references count="2">
          <reference field="2" count="1" selected="0">
            <x v="21"/>
          </reference>
          <reference field="3" count="1">
            <x v="4"/>
          </reference>
        </references>
      </pivotArea>
    </format>
    <format dxfId="95">
      <pivotArea dataOnly="0" labelOnly="1" outline="0" fieldPosition="0">
        <references count="2">
          <reference field="2" count="1" selected="0">
            <x v="33"/>
          </reference>
          <reference field="3" count="1">
            <x v="33"/>
          </reference>
        </references>
      </pivotArea>
    </format>
    <format dxfId="94">
      <pivotArea dataOnly="0" labelOnly="1" outline="0" fieldPosition="0">
        <references count="1">
          <reference field="0" count="0"/>
        </references>
      </pivotArea>
    </format>
    <format dxfId="93">
      <pivotArea dataOnly="0" labelOnly="1" outline="0" fieldPosition="0">
        <references count="2">
          <reference field="0" count="0" selected="0"/>
          <reference field="4" count="0"/>
        </references>
      </pivotArea>
    </format>
    <format dxfId="92">
      <pivotArea type="origin" dataOnly="0" labelOnly="1" outline="0" fieldPosition="0"/>
    </format>
    <format dxfId="91">
      <pivotArea type="all" dataOnly="0" outline="0" fieldPosition="0"/>
    </format>
    <format dxfId="90">
      <pivotArea outline="0" collapsedLevelsAreSubtotals="1" fieldPosition="0"/>
    </format>
    <format dxfId="89">
      <pivotArea type="origin" dataOnly="0" labelOnly="1" outline="0" fieldPosition="0"/>
    </format>
    <format dxfId="88">
      <pivotArea field="0" type="button" dataOnly="0" labelOnly="1" outline="0" axis="axisCol" fieldPosition="0"/>
    </format>
    <format dxfId="87">
      <pivotArea field="4" type="button" dataOnly="0" labelOnly="1" outline="0" axis="axisCol" fieldPosition="1"/>
    </format>
    <format dxfId="86">
      <pivotArea field="2" type="button" dataOnly="0" labelOnly="1" outline="0" axis="axisRow" fieldPosition="0"/>
    </format>
    <format dxfId="85">
      <pivotArea field="3" type="button" dataOnly="0" labelOnly="1" outline="0" axis="axisRow" fieldPosition="1"/>
    </format>
    <format dxfId="84">
      <pivotArea dataOnly="0" labelOnly="1" outline="0" fieldPosition="0">
        <references count="1">
          <reference field="2" count="0"/>
        </references>
      </pivotArea>
    </format>
    <format dxfId="83">
      <pivotArea dataOnly="0" labelOnly="1" outline="0" fieldPosition="0">
        <references count="2">
          <reference field="2" count="1" selected="0">
            <x v="0"/>
          </reference>
          <reference field="3" count="1">
            <x v="13"/>
          </reference>
        </references>
      </pivotArea>
    </format>
    <format dxfId="82">
      <pivotArea dataOnly="0" labelOnly="1" outline="0" fieldPosition="0">
        <references count="2">
          <reference field="2" count="1" selected="0">
            <x v="1"/>
          </reference>
          <reference field="3" count="1">
            <x v="12"/>
          </reference>
        </references>
      </pivotArea>
    </format>
    <format dxfId="81">
      <pivotArea dataOnly="0" labelOnly="1" outline="0" fieldPosition="0">
        <references count="2">
          <reference field="2" count="1" selected="0">
            <x v="2"/>
          </reference>
          <reference field="3" count="1">
            <x v="7"/>
          </reference>
        </references>
      </pivotArea>
    </format>
    <format dxfId="80">
      <pivotArea dataOnly="0" labelOnly="1" outline="0" fieldPosition="0">
        <references count="2">
          <reference field="2" count="1" selected="0">
            <x v="3"/>
          </reference>
          <reference field="3" count="1">
            <x v="8"/>
          </reference>
        </references>
      </pivotArea>
    </format>
    <format dxfId="79">
      <pivotArea dataOnly="0" labelOnly="1" outline="0" fieldPosition="0">
        <references count="2">
          <reference field="2" count="1" selected="0">
            <x v="4"/>
          </reference>
          <reference field="3" count="1">
            <x v="10"/>
          </reference>
        </references>
      </pivotArea>
    </format>
    <format dxfId="78">
      <pivotArea dataOnly="0" labelOnly="1" outline="0" fieldPosition="0">
        <references count="2">
          <reference field="2" count="1" selected="0">
            <x v="5"/>
          </reference>
          <reference field="3" count="1">
            <x v="36"/>
          </reference>
        </references>
      </pivotArea>
    </format>
    <format dxfId="77">
      <pivotArea dataOnly="0" labelOnly="1" outline="0" fieldPosition="0">
        <references count="2">
          <reference field="2" count="1" selected="0">
            <x v="6"/>
          </reference>
          <reference field="3" count="1">
            <x v="23"/>
          </reference>
        </references>
      </pivotArea>
    </format>
    <format dxfId="76">
      <pivotArea dataOnly="0" labelOnly="1" outline="0" fieldPosition="0">
        <references count="2">
          <reference field="2" count="1" selected="0">
            <x v="7"/>
          </reference>
          <reference field="3" count="1">
            <x v="6"/>
          </reference>
        </references>
      </pivotArea>
    </format>
    <format dxfId="75">
      <pivotArea dataOnly="0" labelOnly="1" outline="0" fieldPosition="0">
        <references count="2">
          <reference field="2" count="1" selected="0">
            <x v="8"/>
          </reference>
          <reference field="3" count="1">
            <x v="21"/>
          </reference>
        </references>
      </pivotArea>
    </format>
    <format dxfId="74">
      <pivotArea dataOnly="0" labelOnly="1" outline="0" fieldPosition="0">
        <references count="2">
          <reference field="2" count="1" selected="0">
            <x v="9"/>
          </reference>
          <reference field="3" count="1">
            <x v="5"/>
          </reference>
        </references>
      </pivotArea>
    </format>
    <format dxfId="73">
      <pivotArea dataOnly="0" labelOnly="1" outline="0" fieldPosition="0">
        <references count="2">
          <reference field="2" count="1" selected="0">
            <x v="10"/>
          </reference>
          <reference field="3" count="1">
            <x v="28"/>
          </reference>
        </references>
      </pivotArea>
    </format>
    <format dxfId="72">
      <pivotArea dataOnly="0" labelOnly="1" outline="0" fieldPosition="0">
        <references count="2">
          <reference field="2" count="1" selected="0">
            <x v="11"/>
          </reference>
          <reference field="3" count="1">
            <x v="17"/>
          </reference>
        </references>
      </pivotArea>
    </format>
    <format dxfId="71">
      <pivotArea dataOnly="0" labelOnly="1" outline="0" fieldPosition="0">
        <references count="2">
          <reference field="2" count="1" selected="0">
            <x v="12"/>
          </reference>
          <reference field="3" count="1">
            <x v="2"/>
          </reference>
        </references>
      </pivotArea>
    </format>
    <format dxfId="70">
      <pivotArea dataOnly="0" labelOnly="1" outline="0" fieldPosition="0">
        <references count="2">
          <reference field="2" count="1" selected="0">
            <x v="13"/>
          </reference>
          <reference field="3" count="1">
            <x v="35"/>
          </reference>
        </references>
      </pivotArea>
    </format>
    <format dxfId="69">
      <pivotArea dataOnly="0" labelOnly="1" outline="0" fieldPosition="0">
        <references count="2">
          <reference field="2" count="1" selected="0">
            <x v="14"/>
          </reference>
          <reference field="3" count="1">
            <x v="24"/>
          </reference>
        </references>
      </pivotArea>
    </format>
    <format dxfId="68">
      <pivotArea dataOnly="0" labelOnly="1" outline="0" fieldPosition="0">
        <references count="2">
          <reference field="2" count="1" selected="0">
            <x v="15"/>
          </reference>
          <reference field="3" count="1">
            <x v="14"/>
          </reference>
        </references>
      </pivotArea>
    </format>
    <format dxfId="67">
      <pivotArea dataOnly="0" labelOnly="1" outline="0" fieldPosition="0">
        <references count="2">
          <reference field="2" count="1" selected="0">
            <x v="16"/>
          </reference>
          <reference field="3" count="1">
            <x v="3"/>
          </reference>
        </references>
      </pivotArea>
    </format>
    <format dxfId="66">
      <pivotArea dataOnly="0" labelOnly="1" outline="0" fieldPosition="0">
        <references count="2">
          <reference field="2" count="1" selected="0">
            <x v="17"/>
          </reference>
          <reference field="3" count="1">
            <x v="0"/>
          </reference>
        </references>
      </pivotArea>
    </format>
    <format dxfId="65">
      <pivotArea dataOnly="0" labelOnly="1" outline="0" fieldPosition="0">
        <references count="2">
          <reference field="2" count="1" selected="0">
            <x v="18"/>
          </reference>
          <reference field="3" count="1">
            <x v="29"/>
          </reference>
        </references>
      </pivotArea>
    </format>
    <format dxfId="64">
      <pivotArea dataOnly="0" labelOnly="1" outline="0" fieldPosition="0">
        <references count="2">
          <reference field="2" count="1" selected="0">
            <x v="19"/>
          </reference>
          <reference field="3" count="1">
            <x v="16"/>
          </reference>
        </references>
      </pivotArea>
    </format>
    <format dxfId="63">
      <pivotArea dataOnly="0" labelOnly="1" outline="0" fieldPosition="0">
        <references count="2">
          <reference field="2" count="1" selected="0">
            <x v="20"/>
          </reference>
          <reference field="3" count="1">
            <x v="18"/>
          </reference>
        </references>
      </pivotArea>
    </format>
    <format dxfId="62">
      <pivotArea dataOnly="0" labelOnly="1" outline="0" fieldPosition="0">
        <references count="2">
          <reference field="2" count="1" selected="0">
            <x v="21"/>
          </reference>
          <reference field="3" count="1">
            <x v="4"/>
          </reference>
        </references>
      </pivotArea>
    </format>
    <format dxfId="61">
      <pivotArea dataOnly="0" labelOnly="1" outline="0" fieldPosition="0">
        <references count="2">
          <reference field="2" count="1" selected="0">
            <x v="33"/>
          </reference>
          <reference field="3" count="1">
            <x v="33"/>
          </reference>
        </references>
      </pivotArea>
    </format>
    <format dxfId="60">
      <pivotArea dataOnly="0" labelOnly="1" outline="0" fieldPosition="0">
        <references count="1">
          <reference field="0" count="0"/>
        </references>
      </pivotArea>
    </format>
    <format dxfId="59">
      <pivotArea dataOnly="0" labelOnly="1" outline="0" fieldPosition="0">
        <references count="2">
          <reference field="0" count="0" selected="0"/>
          <reference field="4" count="0"/>
        </references>
      </pivotArea>
    </format>
  </format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500-000001000000}" name="PivotTable2" cacheId="2" dataOnRows="1" applyNumberFormats="0" applyBorderFormats="0" applyFontFormats="0" applyPatternFormats="0" applyAlignmentFormats="0" applyWidthHeightFormats="1" dataCaption="Data" updatedVersion="8" minRefreshableVersion="3" showMemberPropertyTips="0" rowGrandTotals="0" colGrandTotals="0" itemPrintTitles="1" createdVersion="4" indent="0" compact="0" compactData="0" gridDropZones="1" fieldListSortAscending="1">
  <location ref="AH6:AJ31" firstHeaderRow="1" firstDataRow="3" firstDataCol="1"/>
  <pivotFields count="5">
    <pivotField axis="axisCol" compact="0" outline="0" subtotalTop="0" showAll="0" includeNewItemsInFilter="1" defaultSubtotal="0">
      <items count="17">
        <item m="1" x="13"/>
        <item m="1" x="4"/>
        <item m="1" x="9"/>
        <item m="1" x="15"/>
        <item m="1" x="6"/>
        <item m="1" x="11"/>
        <item m="1" x="2"/>
        <item m="1" x="8"/>
        <item m="1" x="14"/>
        <item m="1" x="5"/>
        <item m="1" x="10"/>
        <item m="1" x="16"/>
        <item m="1" x="7"/>
        <item m="1" x="12"/>
        <item m="1" x="3"/>
        <item m="1" x="1"/>
        <item x="0"/>
      </items>
    </pivotField>
    <pivotField compact="0" outline="0" subtotalTop="0" showAll="0" includeNewItemsInFilter="1"/>
    <pivotField axis="axisRow" compact="0" outline="0" subtotalTop="0" showAll="0" includeNewItemsInFilter="1" defaultSubtotal="0">
      <items count="37">
        <item x="0"/>
        <item x="1"/>
        <item x="2"/>
        <item x="3"/>
        <item x="4"/>
        <item x="5"/>
        <item x="6"/>
        <item x="7"/>
        <item x="8"/>
        <item x="9"/>
        <item x="10"/>
        <item x="11"/>
        <item x="12"/>
        <item x="13"/>
        <item x="14"/>
        <item x="15"/>
        <item x="16"/>
        <item x="17"/>
        <item x="18"/>
        <item x="19"/>
        <item x="20"/>
        <item x="21"/>
        <item m="1" x="36"/>
        <item m="1" x="32"/>
        <item m="1" x="27"/>
        <item m="1" x="23"/>
        <item m="1" x="29"/>
        <item m="1" x="25"/>
        <item m="1" x="33"/>
        <item m="1" x="35"/>
        <item m="1" x="31"/>
        <item m="1" x="26"/>
        <item m="1" x="34"/>
        <item x="22"/>
        <item m="1" x="30"/>
        <item m="1" x="28"/>
        <item m="1" x="24"/>
      </items>
    </pivotField>
    <pivotField axis="axisCol" compact="0" outline="0" subtotalTop="0" showAll="0" includeNewItemsInFilter="1" sortType="ascending" defaultSubtotal="0">
      <items count="281">
        <item m="1" x="26"/>
        <item m="1" x="273"/>
        <item m="1" x="248"/>
        <item m="1" x="224"/>
        <item m="1" x="214"/>
        <item m="1" x="204"/>
        <item m="1" x="70"/>
        <item m="1" x="195"/>
        <item m="1" x="186"/>
        <item m="1" x="180"/>
        <item m="1" x="173"/>
        <item m="1" x="264"/>
        <item m="1" x="48"/>
        <item m="1" x="165"/>
        <item m="1" x="159"/>
        <item m="1" x="155"/>
        <item m="1" x="149"/>
        <item m="1" x="241"/>
        <item m="1" x="37"/>
        <item m="1" x="142"/>
        <item m="1" x="136"/>
        <item m="1" x="19"/>
        <item m="1" x="132"/>
        <item m="1" x="15"/>
        <item m="1" x="126"/>
        <item m="1" x="10"/>
        <item m="1" x="121"/>
        <item x="0"/>
        <item m="1" x="116"/>
        <item m="1" x="1"/>
        <item m="1" x="111"/>
        <item m="1" x="278"/>
        <item m="1" x="106"/>
        <item m="1" x="274"/>
        <item m="1" x="129"/>
        <item m="1" x="54"/>
        <item m="1" x="103"/>
        <item m="1" x="267"/>
        <item m="1" x="97"/>
        <item m="1" x="181"/>
        <item m="1" x="262"/>
        <item m="1" x="208"/>
        <item m="1" x="42"/>
        <item m="1" x="92"/>
        <item m="1" x="59"/>
        <item m="1" x="174"/>
        <item m="1" x="255"/>
        <item m="1" x="13"/>
        <item m="1" x="38"/>
        <item m="1" x="4"/>
        <item m="1" x="198"/>
        <item m="1" x="144"/>
        <item m="1" x="96"/>
        <item m="1" x="216"/>
        <item m="1" x="62"/>
        <item m="1" x="189"/>
        <item m="1" x="89"/>
        <item m="1" x="166"/>
        <item m="1" x="250"/>
        <item m="1" x="34"/>
        <item m="1" x="85"/>
        <item m="1" x="160"/>
        <item m="1" x="242"/>
        <item m="1" x="32"/>
        <item m="1" x="83"/>
        <item m="1" x="156"/>
        <item m="1" x="236"/>
        <item m="1" x="30"/>
        <item m="1" x="52"/>
        <item m="1" x="80"/>
        <item m="1" x="150"/>
        <item m="1" x="229"/>
        <item m="1" x="27"/>
        <item m="1" x="77"/>
        <item m="1" x="143"/>
        <item m="1" x="225"/>
        <item m="1" x="23"/>
        <item m="1" x="260"/>
        <item m="1" x="170"/>
        <item m="1" x="72"/>
        <item m="1" x="137"/>
        <item m="1" x="219"/>
        <item m="1" x="20"/>
        <item m="1" x="67"/>
        <item m="1" x="95"/>
        <item m="1" x="133"/>
        <item m="1" x="179"/>
        <item m="1" x="215"/>
        <item m="1" x="259"/>
        <item m="1" x="16"/>
        <item m="1" x="40"/>
        <item m="1" x="65"/>
        <item m="1" x="91"/>
        <item m="1" x="127"/>
        <item m="1" x="171"/>
        <item m="1" x="9"/>
        <item m="1" x="118"/>
        <item m="1" x="240"/>
        <item m="1" x="209"/>
        <item m="1" x="252"/>
        <item m="1" x="11"/>
        <item m="1" x="36"/>
        <item m="1" x="60"/>
        <item m="1" x="87"/>
        <item m="1" x="122"/>
        <item m="1" x="163"/>
        <item m="1" x="5"/>
        <item m="1" x="113"/>
        <item m="1" x="205"/>
        <item m="1" x="246"/>
        <item m="1" x="6"/>
        <item m="1" x="33"/>
        <item m="1" x="57"/>
        <item m="1" x="84"/>
        <item m="1" x="200"/>
        <item m="1" x="101"/>
        <item m="1" x="117"/>
        <item m="1" x="158"/>
        <item m="1" x="201"/>
        <item m="1" x="31"/>
        <item m="1" x="148"/>
        <item m="1" x="239"/>
        <item m="1" x="2"/>
        <item m="1" x="153"/>
        <item m="1" x="196"/>
        <item m="1" x="234"/>
        <item m="1" x="50"/>
        <item m="1" x="279"/>
        <item m="1" x="29"/>
        <item m="1" x="51"/>
        <item m="1" x="79"/>
        <item m="1" x="107"/>
        <item m="1" x="146"/>
        <item m="1" x="272"/>
        <item m="1" x="100"/>
        <item m="1" x="218"/>
        <item m="1" x="41"/>
        <item m="1" x="168"/>
        <item m="1" x="8"/>
        <item m="1" x="115"/>
        <item m="1" x="238"/>
        <item m="1" x="190"/>
        <item m="1" x="228"/>
        <item m="1" x="275"/>
        <item m="1" x="25"/>
        <item m="1" x="47"/>
        <item m="1" x="75"/>
        <item m="1" x="104"/>
        <item m="1" x="140"/>
        <item m="1" x="187"/>
        <item m="1" x="222"/>
        <item m="1" x="44"/>
        <item m="1" x="177"/>
        <item m="1" x="268"/>
        <item m="1" x="69"/>
        <item m="1" x="22"/>
        <item m="1" x="45"/>
        <item m="1" x="71"/>
        <item m="1" x="98"/>
        <item m="1" x="134"/>
        <item m="1" x="182"/>
        <item m="1" x="199"/>
        <item m="1" x="217"/>
        <item m="1" x="263"/>
        <item m="1" x="18"/>
        <item m="1" x="43"/>
        <item m="1" x="55"/>
        <item m="1" x="66"/>
        <item m="1" x="81"/>
        <item m="1" x="93"/>
        <item m="1" x="109"/>
        <item m="1" x="130"/>
        <item m="1" x="151"/>
        <item m="1" x="175"/>
        <item m="1" x="193"/>
        <item m="1" x="211"/>
        <item m="1" x="232"/>
        <item m="1" x="256"/>
        <item m="1" x="277"/>
        <item m="1" x="14"/>
        <item m="1" x="28"/>
        <item m="1" x="61"/>
        <item m="1" x="39"/>
        <item m="1" x="49"/>
        <item m="1" x="64"/>
        <item m="1" x="78"/>
        <item m="1" x="124"/>
        <item m="1" x="145"/>
        <item m="1" x="167"/>
        <item m="1" x="207"/>
        <item m="1" x="227"/>
        <item m="1" x="251"/>
        <item m="1" x="271"/>
        <item m="1" x="24"/>
        <item m="1" x="35"/>
        <item m="1" x="46"/>
        <item m="1" x="58"/>
        <item m="1" x="74"/>
        <item m="1" x="86"/>
        <item m="1" x="102"/>
        <item m="1" x="119"/>
        <item m="1" x="138"/>
        <item m="1" x="161"/>
        <item m="1" x="184"/>
        <item m="1" x="202"/>
        <item m="1" x="244"/>
        <item m="1" x="254"/>
        <item m="1" x="266"/>
        <item m="1" x="108"/>
        <item m="1" x="128"/>
        <item m="1" x="172"/>
        <item m="1" x="192"/>
        <item m="1" x="210"/>
        <item m="1" x="230"/>
        <item m="1" x="76"/>
        <item m="1" x="82"/>
        <item m="1" x="94"/>
        <item m="1" x="105"/>
        <item m="1" x="112"/>
        <item m="1" x="123"/>
        <item m="1" x="131"/>
        <item m="1" x="141"/>
        <item m="1" x="154"/>
        <item m="1" x="164"/>
        <item m="1" x="178"/>
        <item m="1" x="188"/>
        <item m="1" x="197"/>
        <item m="1" x="206"/>
        <item m="1" x="213"/>
        <item m="1" x="223"/>
        <item m="1" x="235"/>
        <item m="1" x="247"/>
        <item m="1" x="258"/>
        <item m="1" x="269"/>
        <item m="1" x="90"/>
        <item m="1" x="99"/>
        <item m="1" x="114"/>
        <item m="1" x="125"/>
        <item m="1" x="135"/>
        <item m="1" x="147"/>
        <item m="1" x="157"/>
        <item m="1" x="169"/>
        <item m="1" x="183"/>
        <item m="1" x="191"/>
        <item m="1" x="110"/>
        <item m="1" x="120"/>
        <item m="1" x="139"/>
        <item m="1" x="152"/>
        <item m="1" x="162"/>
        <item m="1" x="176"/>
        <item m="1" x="185"/>
        <item m="1" x="194"/>
        <item m="1" x="203"/>
        <item m="1" x="212"/>
        <item m="1" x="221"/>
        <item m="1" x="233"/>
        <item m="1" x="245"/>
        <item m="1" x="257"/>
        <item m="1" x="53"/>
        <item m="1" x="56"/>
        <item m="1" x="63"/>
        <item m="1" x="220"/>
        <item m="1" x="226"/>
        <item m="1" x="231"/>
        <item m="1" x="237"/>
        <item m="1" x="243"/>
        <item m="1" x="249"/>
        <item m="1" x="253"/>
        <item m="1" x="261"/>
        <item m="1" x="265"/>
        <item m="1" x="270"/>
        <item m="1" x="276"/>
        <item m="1" x="280"/>
        <item m="1" x="3"/>
        <item m="1" x="7"/>
        <item m="1" x="12"/>
        <item m="1" x="17"/>
        <item m="1" x="21"/>
        <item m="1" x="68"/>
        <item m="1" x="73"/>
        <item m="1" x="88"/>
      </items>
    </pivotField>
    <pivotField name="Data2" dataField="1" compact="0" outline="0" showAll="0" defaultSubtotal="0"/>
  </pivotFields>
  <rowFields count="1">
    <field x="2"/>
  </rowFields>
  <rowItems count="23">
    <i>
      <x/>
    </i>
    <i>
      <x v="1"/>
    </i>
    <i>
      <x v="2"/>
    </i>
    <i>
      <x v="3"/>
    </i>
    <i>
      <x v="4"/>
    </i>
    <i>
      <x v="5"/>
    </i>
    <i>
      <x v="6"/>
    </i>
    <i>
      <x v="7"/>
    </i>
    <i>
      <x v="8"/>
    </i>
    <i>
      <x v="9"/>
    </i>
    <i>
      <x v="10"/>
    </i>
    <i>
      <x v="11"/>
    </i>
    <i>
      <x v="12"/>
    </i>
    <i>
      <x v="13"/>
    </i>
    <i>
      <x v="14"/>
    </i>
    <i>
      <x v="15"/>
    </i>
    <i>
      <x v="16"/>
    </i>
    <i>
      <x v="17"/>
    </i>
    <i>
      <x v="18"/>
    </i>
    <i>
      <x v="19"/>
    </i>
    <i>
      <x v="20"/>
    </i>
    <i>
      <x v="21"/>
    </i>
    <i>
      <x v="33"/>
    </i>
  </rowItems>
  <colFields count="2">
    <field x="0"/>
    <field x="3"/>
  </colFields>
  <colItems count="1">
    <i>
      <x v="16"/>
      <x v="27"/>
    </i>
  </colItems>
  <dataFields count="1">
    <dataField name="Sum of Data2" fld="4" baseField="0" baseItem="0" numFmtId="4"/>
  </dataFields>
  <formats count="89">
    <format dxfId="340">
      <pivotArea field="3" type="button" dataOnly="0" labelOnly="1" outline="0" axis="axisCol" fieldPosition="1"/>
    </format>
    <format dxfId="339">
      <pivotArea type="topRight" dataOnly="0" labelOnly="1" outline="0" fieldPosition="0"/>
    </format>
    <format dxfId="338">
      <pivotArea dataOnly="0" labelOnly="1" outline="0" fieldPosition="0">
        <references count="1">
          <reference field="3" count="0"/>
        </references>
      </pivotArea>
    </format>
    <format dxfId="337">
      <pivotArea dataOnly="0" labelOnly="1" grandCol="1" outline="0" fieldPosition="0"/>
    </format>
    <format dxfId="336">
      <pivotArea field="2" type="button" dataOnly="0" labelOnly="1" outline="0" axis="axisRow" fieldPosition="0"/>
    </format>
    <format dxfId="335">
      <pivotArea type="origin" dataOnly="0" labelOnly="1" outline="0" fieldPosition="0"/>
    </format>
    <format dxfId="334">
      <pivotArea field="2" type="button" dataOnly="0" labelOnly="1" outline="0" axis="axisRow" fieldPosition="0"/>
    </format>
    <format dxfId="333">
      <pivotArea dataOnly="0" labelOnly="1" outline="0" fieldPosition="0">
        <references count="1">
          <reference field="2" count="0"/>
        </references>
      </pivotArea>
    </format>
    <format dxfId="332">
      <pivotArea type="all" dataOnly="0" outline="0" fieldPosition="0"/>
    </format>
    <format dxfId="331">
      <pivotArea type="all" dataOnly="0" outline="0" fieldPosition="0"/>
    </format>
    <format dxfId="330">
      <pivotArea type="all" dataOnly="0" outline="0" fieldPosition="0"/>
    </format>
    <format dxfId="329">
      <pivotArea type="all" dataOnly="0" outline="0" fieldPosition="0"/>
    </format>
    <format dxfId="328">
      <pivotArea type="all" dataOnly="0" outline="0" fieldPosition="0"/>
    </format>
    <format dxfId="327">
      <pivotArea outline="0" fieldPosition="0">
        <references count="1">
          <reference field="2" count="1" selected="0">
            <x v="33"/>
          </reference>
        </references>
      </pivotArea>
    </format>
    <format dxfId="326">
      <pivotArea outline="0" fieldPosition="0">
        <references count="1">
          <reference field="2" count="1" selected="0">
            <x v="33"/>
          </reference>
        </references>
      </pivotArea>
    </format>
    <format dxfId="325">
      <pivotArea outline="0" fieldPosition="0">
        <references count="1">
          <reference field="2" count="1" selected="0">
            <x v="33"/>
          </reference>
        </references>
      </pivotArea>
    </format>
    <format dxfId="324">
      <pivotArea type="all" dataOnly="0" outline="0" fieldPosition="0"/>
    </format>
    <format dxfId="323">
      <pivotArea type="all" dataOnly="0" outline="0" fieldPosition="0"/>
    </format>
    <format dxfId="322">
      <pivotArea type="all" dataOnly="0" outline="0" fieldPosition="0"/>
    </format>
    <format dxfId="321">
      <pivotArea type="all" dataOnly="0" outline="0" fieldPosition="0"/>
    </format>
    <format dxfId="320">
      <pivotArea outline="0" collapsedLevelsAreSubtotals="1" fieldPosition="0"/>
    </format>
    <format dxfId="319">
      <pivotArea type="all" dataOnly="0" outline="0" fieldPosition="0"/>
    </format>
    <format dxfId="318">
      <pivotArea outline="0" collapsedLevelsAreSubtotals="1" fieldPosition="0"/>
    </format>
    <format dxfId="317">
      <pivotArea type="origin" dataOnly="0" labelOnly="1" outline="0" fieldPosition="0"/>
    </format>
    <format dxfId="316">
      <pivotArea field="0" type="button" dataOnly="0" labelOnly="1" outline="0" axis="axisCol" fieldPosition="0"/>
    </format>
    <format dxfId="315">
      <pivotArea field="3" type="button" dataOnly="0" labelOnly="1" outline="0" axis="axisCol" fieldPosition="1"/>
    </format>
    <format dxfId="314">
      <pivotArea field="2" type="button" dataOnly="0" labelOnly="1" outline="0" axis="axisRow" fieldPosition="0"/>
    </format>
    <format dxfId="313">
      <pivotArea dataOnly="0" labelOnly="1" outline="0" fieldPosition="0">
        <references count="1">
          <reference field="2" count="0"/>
        </references>
      </pivotArea>
    </format>
    <format dxfId="312">
      <pivotArea dataOnly="0" labelOnly="1" outline="0" fieldPosition="0">
        <references count="1">
          <reference field="0" count="0"/>
        </references>
      </pivotArea>
    </format>
    <format dxfId="311">
      <pivotArea dataOnly="0" labelOnly="1" outline="0" fieldPosition="0">
        <references count="2">
          <reference field="0" count="0" selected="0"/>
          <reference field="3" count="0"/>
        </references>
      </pivotArea>
    </format>
    <format dxfId="310">
      <pivotArea type="all" dataOnly="0" outline="0" fieldPosition="0"/>
    </format>
    <format dxfId="309">
      <pivotArea outline="0" collapsedLevelsAreSubtotals="1" fieldPosition="0"/>
    </format>
    <format dxfId="308">
      <pivotArea type="origin" dataOnly="0" labelOnly="1" outline="0" fieldPosition="0"/>
    </format>
    <format dxfId="307">
      <pivotArea field="0" type="button" dataOnly="0" labelOnly="1" outline="0" axis="axisCol" fieldPosition="0"/>
    </format>
    <format dxfId="306">
      <pivotArea field="3" type="button" dataOnly="0" labelOnly="1" outline="0" axis="axisCol" fieldPosition="1"/>
    </format>
    <format dxfId="305">
      <pivotArea field="2" type="button" dataOnly="0" labelOnly="1" outline="0" axis="axisRow" fieldPosition="0"/>
    </format>
    <format dxfId="304">
      <pivotArea dataOnly="0" labelOnly="1" outline="0" fieldPosition="0">
        <references count="1">
          <reference field="2" count="0"/>
        </references>
      </pivotArea>
    </format>
    <format dxfId="303">
      <pivotArea dataOnly="0" labelOnly="1" outline="0" fieldPosition="0">
        <references count="1">
          <reference field="0" count="0"/>
        </references>
      </pivotArea>
    </format>
    <format dxfId="302">
      <pivotArea dataOnly="0" labelOnly="1" outline="0" fieldPosition="0">
        <references count="2">
          <reference field="0" count="0" selected="0"/>
          <reference field="3" count="0"/>
        </references>
      </pivotArea>
    </format>
    <format dxfId="301">
      <pivotArea dataOnly="0" labelOnly="1" outline="0" fieldPosition="0">
        <references count="1">
          <reference field="0" count="0"/>
        </references>
      </pivotArea>
    </format>
    <format dxfId="300">
      <pivotArea dataOnly="0" labelOnly="1" outline="0" fieldPosition="0">
        <references count="2">
          <reference field="0" count="0" selected="0"/>
          <reference field="3" count="0"/>
        </references>
      </pivotArea>
    </format>
    <format dxfId="299">
      <pivotArea field="2" type="button" dataOnly="0" labelOnly="1" outline="0" axis="axisRow" fieldPosition="0"/>
    </format>
    <format dxfId="298">
      <pivotArea dataOnly="0" labelOnly="1" outline="0" fieldPosition="0">
        <references count="1">
          <reference field="2" count="0"/>
        </references>
      </pivotArea>
    </format>
    <format dxfId="297">
      <pivotArea outline="0" collapsedLevelsAreSubtotals="1" fieldPosition="0"/>
    </format>
    <format dxfId="296">
      <pivotArea outline="0" collapsedLevelsAreSubtotals="1" fieldPosition="0"/>
    </format>
    <format dxfId="295">
      <pivotArea outline="0" collapsedLevelsAreSubtotals="1" fieldPosition="0"/>
    </format>
    <format dxfId="294">
      <pivotArea field="2" type="button" dataOnly="0" labelOnly="1" outline="0" axis="axisRow" fieldPosition="0"/>
    </format>
    <format dxfId="293">
      <pivotArea dataOnly="0" labelOnly="1" outline="0" fieldPosition="0">
        <references count="1">
          <reference field="2" count="0"/>
        </references>
      </pivotArea>
    </format>
    <format dxfId="292">
      <pivotArea dataOnly="0" labelOnly="1" outline="0" fieldPosition="0">
        <references count="2">
          <reference field="0" count="0" selected="0"/>
          <reference field="3" count="0"/>
        </references>
      </pivotArea>
    </format>
    <format dxfId="291">
      <pivotArea field="2" type="button" dataOnly="0" labelOnly="1" outline="0" axis="axisRow" fieldPosition="0"/>
    </format>
    <format dxfId="290">
      <pivotArea dataOnly="0" labelOnly="1" outline="0" fieldPosition="0">
        <references count="1">
          <reference field="2" count="0"/>
        </references>
      </pivotArea>
    </format>
    <format dxfId="289">
      <pivotArea dataOnly="0" labelOnly="1" outline="0" fieldPosition="0">
        <references count="1">
          <reference field="2" count="0"/>
        </references>
      </pivotArea>
    </format>
    <format dxfId="288">
      <pivotArea dataOnly="0" labelOnly="1" outline="0" fieldPosition="0">
        <references count="1">
          <reference field="2" count="0"/>
        </references>
      </pivotArea>
    </format>
    <format dxfId="287">
      <pivotArea type="all" dataOnly="0" outline="0" fieldPosition="0"/>
    </format>
    <format dxfId="286">
      <pivotArea outline="0" collapsedLevelsAreSubtotals="1" fieldPosition="0"/>
    </format>
    <format dxfId="285">
      <pivotArea type="origin" dataOnly="0" labelOnly="1" outline="0" fieldPosition="0"/>
    </format>
    <format dxfId="284">
      <pivotArea field="0" type="button" dataOnly="0" labelOnly="1" outline="0" axis="axisCol" fieldPosition="0"/>
    </format>
    <format dxfId="283">
      <pivotArea field="3" type="button" dataOnly="0" labelOnly="1" outline="0" axis="axisCol" fieldPosition="1"/>
    </format>
    <format dxfId="282">
      <pivotArea field="2" type="button" dataOnly="0" labelOnly="1" outline="0" axis="axisRow" fieldPosition="0"/>
    </format>
    <format dxfId="281">
      <pivotArea dataOnly="0" labelOnly="1" outline="0" fieldPosition="0">
        <references count="1">
          <reference field="2" count="0"/>
        </references>
      </pivotArea>
    </format>
    <format dxfId="280">
      <pivotArea dataOnly="0" labelOnly="1" outline="0" fieldPosition="0">
        <references count="1">
          <reference field="0" count="0"/>
        </references>
      </pivotArea>
    </format>
    <format dxfId="279">
      <pivotArea dataOnly="0" labelOnly="1" outline="0" fieldPosition="0">
        <references count="2">
          <reference field="0" count="0" selected="0"/>
          <reference field="3" count="0"/>
        </references>
      </pivotArea>
    </format>
    <format dxfId="278">
      <pivotArea type="all" dataOnly="0" outline="0" fieldPosition="0"/>
    </format>
    <format dxfId="277">
      <pivotArea outline="0" collapsedLevelsAreSubtotals="1" fieldPosition="0"/>
    </format>
    <format dxfId="276">
      <pivotArea type="origin" dataOnly="0" labelOnly="1" outline="0" fieldPosition="0"/>
    </format>
    <format dxfId="275">
      <pivotArea field="0" type="button" dataOnly="0" labelOnly="1" outline="0" axis="axisCol" fieldPosition="0"/>
    </format>
    <format dxfId="274">
      <pivotArea field="3" type="button" dataOnly="0" labelOnly="1" outline="0" axis="axisCol" fieldPosition="1"/>
    </format>
    <format dxfId="273">
      <pivotArea field="2" type="button" dataOnly="0" labelOnly="1" outline="0" axis="axisRow" fieldPosition="0"/>
    </format>
    <format dxfId="272">
      <pivotArea dataOnly="0" labelOnly="1" outline="0" fieldPosition="0">
        <references count="1">
          <reference field="2" count="0"/>
        </references>
      </pivotArea>
    </format>
    <format dxfId="271">
      <pivotArea dataOnly="0" labelOnly="1" outline="0" fieldPosition="0">
        <references count="1">
          <reference field="0" count="0"/>
        </references>
      </pivotArea>
    </format>
    <format dxfId="270">
      <pivotArea dataOnly="0" labelOnly="1" outline="0" fieldPosition="0">
        <references count="2">
          <reference field="0" count="0" selected="0"/>
          <reference field="3" count="0"/>
        </references>
      </pivotArea>
    </format>
    <format dxfId="269">
      <pivotArea type="all" dataOnly="0" outline="0" fieldPosition="0"/>
    </format>
    <format dxfId="268">
      <pivotArea outline="0" collapsedLevelsAreSubtotals="1" fieldPosition="0"/>
    </format>
    <format dxfId="267">
      <pivotArea type="origin" dataOnly="0" labelOnly="1" outline="0" fieldPosition="0"/>
    </format>
    <format dxfId="266">
      <pivotArea field="0" type="button" dataOnly="0" labelOnly="1" outline="0" axis="axisCol" fieldPosition="0"/>
    </format>
    <format dxfId="265">
      <pivotArea field="3" type="button" dataOnly="0" labelOnly="1" outline="0" axis="axisCol" fieldPosition="1"/>
    </format>
    <format dxfId="264">
      <pivotArea field="2" type="button" dataOnly="0" labelOnly="1" outline="0" axis="axisRow" fieldPosition="0"/>
    </format>
    <format dxfId="263">
      <pivotArea dataOnly="0" labelOnly="1" outline="0" fieldPosition="0">
        <references count="1">
          <reference field="2" count="0"/>
        </references>
      </pivotArea>
    </format>
    <format dxfId="262">
      <pivotArea dataOnly="0" labelOnly="1" outline="0" fieldPosition="0">
        <references count="1">
          <reference field="0" count="0"/>
        </references>
      </pivotArea>
    </format>
    <format dxfId="261">
      <pivotArea dataOnly="0" labelOnly="1" outline="0" fieldPosition="0">
        <references count="2">
          <reference field="0" count="0" selected="0"/>
          <reference field="3" count="0"/>
        </references>
      </pivotArea>
    </format>
    <format dxfId="260">
      <pivotArea type="all" dataOnly="0" outline="0" fieldPosition="0"/>
    </format>
    <format dxfId="259">
      <pivotArea outline="0" collapsedLevelsAreSubtotals="1" fieldPosition="0"/>
    </format>
    <format dxfId="258">
      <pivotArea type="origin" dataOnly="0" labelOnly="1" outline="0" fieldPosition="0"/>
    </format>
    <format dxfId="257">
      <pivotArea field="0" type="button" dataOnly="0" labelOnly="1" outline="0" axis="axisCol" fieldPosition="0"/>
    </format>
    <format dxfId="256">
      <pivotArea field="3" type="button" dataOnly="0" labelOnly="1" outline="0" axis="axisCol" fieldPosition="1"/>
    </format>
    <format dxfId="255">
      <pivotArea field="2" type="button" dataOnly="0" labelOnly="1" outline="0" axis="axisRow" fieldPosition="0"/>
    </format>
    <format dxfId="254">
      <pivotArea dataOnly="0" labelOnly="1" outline="0" fieldPosition="0">
        <references count="1">
          <reference field="2" count="0"/>
        </references>
      </pivotArea>
    </format>
    <format dxfId="253">
      <pivotArea dataOnly="0" labelOnly="1" outline="0" fieldPosition="0">
        <references count="1">
          <reference field="0" count="0"/>
        </references>
      </pivotArea>
    </format>
    <format dxfId="252">
      <pivotArea dataOnly="0" labelOnly="1" outline="0" fieldPosition="0">
        <references count="2">
          <reference field="0" count="0" selected="0"/>
          <reference field="3" count="0"/>
        </references>
      </pivotArea>
    </format>
  </format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00000000-0007-0000-0500-000003000000}" name="PivotTable4" cacheId="0" dataOnRows="1" applyNumberFormats="0" applyBorderFormats="0" applyFontFormats="0" applyPatternFormats="0" applyAlignmentFormats="0" applyWidthHeightFormats="1" dataCaption="Data" updatedVersion="8" minRefreshableVersion="3" showMemberPropertyTips="0" rowGrandTotals="0" colGrandTotals="0" itemPrintTitles="1" createdVersion="4" indent="0" compact="0" compactData="0" gridDropZones="1" fieldListSortAscending="1">
  <location ref="AP6:AR31" firstHeaderRow="1" firstDataRow="3" firstDataCol="1"/>
  <pivotFields count="5">
    <pivotField axis="axisCol" compact="0" outline="0" subtotalTop="0" showAll="0" includeNewItemsInFilter="1" defaultSubtotal="0">
      <items count="17">
        <item m="1" x="13"/>
        <item m="1" x="4"/>
        <item m="1" x="9"/>
        <item m="1" x="15"/>
        <item m="1" x="6"/>
        <item m="1" x="11"/>
        <item m="1" x="2"/>
        <item m="1" x="8"/>
        <item m="1" x="14"/>
        <item m="1" x="5"/>
        <item m="1" x="10"/>
        <item m="1" x="16"/>
        <item m="1" x="7"/>
        <item m="1" x="12"/>
        <item m="1" x="3"/>
        <item m="1" x="1"/>
        <item x="0"/>
      </items>
    </pivotField>
    <pivotField compact="0" outline="0" subtotalTop="0" showAll="0" includeNewItemsInFilter="1"/>
    <pivotField axis="axisRow" compact="0" outline="0" subtotalTop="0" showAll="0" includeNewItemsInFilter="1" defaultSubtotal="0">
      <items count="37">
        <item x="0"/>
        <item x="1"/>
        <item x="2"/>
        <item x="3"/>
        <item x="4"/>
        <item x="5"/>
        <item x="6"/>
        <item x="7"/>
        <item x="8"/>
        <item x="9"/>
        <item x="10"/>
        <item x="11"/>
        <item x="12"/>
        <item x="13"/>
        <item x="14"/>
        <item x="15"/>
        <item x="16"/>
        <item x="17"/>
        <item x="18"/>
        <item x="19"/>
        <item x="20"/>
        <item x="21"/>
        <item m="1" x="36"/>
        <item m="1" x="32"/>
        <item m="1" x="27"/>
        <item m="1" x="23"/>
        <item m="1" x="29"/>
        <item m="1" x="25"/>
        <item m="1" x="33"/>
        <item m="1" x="35"/>
        <item m="1" x="31"/>
        <item m="1" x="26"/>
        <item m="1" x="34"/>
        <item x="22"/>
        <item m="1" x="30"/>
        <item m="1" x="28"/>
        <item m="1" x="24"/>
      </items>
    </pivotField>
    <pivotField axis="axisCol" compact="0" outline="0" subtotalTop="0" showAll="0" includeNewItemsInFilter="1" sortType="ascending" defaultSubtotal="0">
      <items count="281">
        <item m="1" x="26"/>
        <item m="1" x="273"/>
        <item m="1" x="248"/>
        <item m="1" x="224"/>
        <item m="1" x="214"/>
        <item m="1" x="204"/>
        <item m="1" x="70"/>
        <item m="1" x="195"/>
        <item m="1" x="186"/>
        <item m="1" x="180"/>
        <item m="1" x="173"/>
        <item m="1" x="264"/>
        <item m="1" x="48"/>
        <item m="1" x="165"/>
        <item m="1" x="159"/>
        <item m="1" x="155"/>
        <item m="1" x="149"/>
        <item m="1" x="241"/>
        <item m="1" x="37"/>
        <item m="1" x="142"/>
        <item m="1" x="136"/>
        <item m="1" x="19"/>
        <item m="1" x="132"/>
        <item m="1" x="15"/>
        <item m="1" x="126"/>
        <item m="1" x="10"/>
        <item m="1" x="121"/>
        <item m="1" x="5"/>
        <item m="1" x="116"/>
        <item x="0"/>
        <item m="1" x="111"/>
        <item m="1" x="278"/>
        <item m="1" x="106"/>
        <item m="1" x="274"/>
        <item m="1" x="129"/>
        <item m="1" x="54"/>
        <item m="1" x="103"/>
        <item m="1" x="267"/>
        <item m="1" x="97"/>
        <item m="1" x="181"/>
        <item m="1" x="262"/>
        <item m="1" x="208"/>
        <item m="1" x="42"/>
        <item m="1" x="92"/>
        <item m="1" x="59"/>
        <item m="1" x="174"/>
        <item m="1" x="255"/>
        <item m="1" x="13"/>
        <item m="1" x="38"/>
        <item m="1" x="3"/>
        <item m="1" x="198"/>
        <item m="1" x="144"/>
        <item m="1" x="96"/>
        <item m="1" x="216"/>
        <item m="1" x="62"/>
        <item m="1" x="189"/>
        <item m="1" x="89"/>
        <item m="1" x="166"/>
        <item m="1" x="250"/>
        <item m="1" x="34"/>
        <item m="1" x="85"/>
        <item m="1" x="160"/>
        <item m="1" x="242"/>
        <item m="1" x="32"/>
        <item m="1" x="83"/>
        <item m="1" x="156"/>
        <item m="1" x="236"/>
        <item m="1" x="30"/>
        <item m="1" x="52"/>
        <item m="1" x="80"/>
        <item m="1" x="150"/>
        <item m="1" x="229"/>
        <item m="1" x="27"/>
        <item m="1" x="77"/>
        <item m="1" x="143"/>
        <item m="1" x="225"/>
        <item m="1" x="23"/>
        <item m="1" x="260"/>
        <item m="1" x="170"/>
        <item m="1" x="72"/>
        <item m="1" x="137"/>
        <item m="1" x="219"/>
        <item m="1" x="20"/>
        <item m="1" x="67"/>
        <item m="1" x="95"/>
        <item m="1" x="133"/>
        <item m="1" x="179"/>
        <item m="1" x="215"/>
        <item m="1" x="259"/>
        <item m="1" x="16"/>
        <item m="1" x="40"/>
        <item m="1" x="65"/>
        <item m="1" x="91"/>
        <item m="1" x="127"/>
        <item m="1" x="171"/>
        <item m="1" x="9"/>
        <item m="1" x="118"/>
        <item m="1" x="240"/>
        <item m="1" x="209"/>
        <item m="1" x="252"/>
        <item m="1" x="11"/>
        <item m="1" x="36"/>
        <item m="1" x="60"/>
        <item m="1" x="87"/>
        <item m="1" x="122"/>
        <item m="1" x="163"/>
        <item m="1" x="4"/>
        <item m="1" x="113"/>
        <item m="1" x="205"/>
        <item m="1" x="246"/>
        <item m="1" x="6"/>
        <item m="1" x="33"/>
        <item m="1" x="57"/>
        <item m="1" x="84"/>
        <item m="1" x="200"/>
        <item m="1" x="101"/>
        <item m="1" x="117"/>
        <item m="1" x="158"/>
        <item m="1" x="201"/>
        <item m="1" x="31"/>
        <item m="1" x="148"/>
        <item m="1" x="239"/>
        <item m="1" x="1"/>
        <item m="1" x="153"/>
        <item m="1" x="196"/>
        <item m="1" x="234"/>
        <item m="1" x="50"/>
        <item m="1" x="279"/>
        <item m="1" x="29"/>
        <item m="1" x="51"/>
        <item m="1" x="79"/>
        <item m="1" x="107"/>
        <item m="1" x="146"/>
        <item m="1" x="272"/>
        <item m="1" x="100"/>
        <item m="1" x="218"/>
        <item m="1" x="41"/>
        <item m="1" x="168"/>
        <item m="1" x="8"/>
        <item m="1" x="115"/>
        <item m="1" x="238"/>
        <item m="1" x="190"/>
        <item m="1" x="228"/>
        <item m="1" x="275"/>
        <item m="1" x="25"/>
        <item m="1" x="47"/>
        <item m="1" x="75"/>
        <item m="1" x="104"/>
        <item m="1" x="140"/>
        <item m="1" x="187"/>
        <item m="1" x="222"/>
        <item m="1" x="44"/>
        <item m="1" x="177"/>
        <item m="1" x="268"/>
        <item m="1" x="69"/>
        <item m="1" x="22"/>
        <item m="1" x="45"/>
        <item m="1" x="71"/>
        <item m="1" x="98"/>
        <item m="1" x="134"/>
        <item m="1" x="182"/>
        <item m="1" x="199"/>
        <item m="1" x="217"/>
        <item m="1" x="263"/>
        <item m="1" x="18"/>
        <item m="1" x="43"/>
        <item m="1" x="55"/>
        <item m="1" x="66"/>
        <item m="1" x="81"/>
        <item m="1" x="93"/>
        <item m="1" x="109"/>
        <item m="1" x="130"/>
        <item m="1" x="151"/>
        <item m="1" x="175"/>
        <item m="1" x="193"/>
        <item m="1" x="211"/>
        <item m="1" x="232"/>
        <item m="1" x="256"/>
        <item m="1" x="277"/>
        <item m="1" x="14"/>
        <item m="1" x="28"/>
        <item m="1" x="61"/>
        <item m="1" x="39"/>
        <item m="1" x="49"/>
        <item m="1" x="64"/>
        <item m="1" x="78"/>
        <item m="1" x="124"/>
        <item m="1" x="145"/>
        <item m="1" x="167"/>
        <item m="1" x="207"/>
        <item m="1" x="227"/>
        <item m="1" x="251"/>
        <item m="1" x="271"/>
        <item m="1" x="24"/>
        <item m="1" x="35"/>
        <item m="1" x="46"/>
        <item m="1" x="58"/>
        <item m="1" x="74"/>
        <item m="1" x="86"/>
        <item m="1" x="102"/>
        <item m="1" x="119"/>
        <item m="1" x="138"/>
        <item m="1" x="161"/>
        <item m="1" x="184"/>
        <item m="1" x="202"/>
        <item m="1" x="244"/>
        <item m="1" x="254"/>
        <item m="1" x="266"/>
        <item m="1" x="108"/>
        <item m="1" x="128"/>
        <item m="1" x="172"/>
        <item m="1" x="192"/>
        <item m="1" x="210"/>
        <item m="1" x="230"/>
        <item m="1" x="76"/>
        <item m="1" x="82"/>
        <item m="1" x="94"/>
        <item m="1" x="105"/>
        <item m="1" x="112"/>
        <item m="1" x="123"/>
        <item m="1" x="131"/>
        <item m="1" x="141"/>
        <item m="1" x="154"/>
        <item m="1" x="164"/>
        <item m="1" x="178"/>
        <item m="1" x="188"/>
        <item m="1" x="197"/>
        <item m="1" x="206"/>
        <item m="1" x="213"/>
        <item m="1" x="223"/>
        <item m="1" x="235"/>
        <item m="1" x="247"/>
        <item m="1" x="258"/>
        <item m="1" x="269"/>
        <item m="1" x="90"/>
        <item m="1" x="99"/>
        <item m="1" x="114"/>
        <item m="1" x="125"/>
        <item m="1" x="135"/>
        <item m="1" x="147"/>
        <item m="1" x="157"/>
        <item m="1" x="169"/>
        <item m="1" x="183"/>
        <item m="1" x="191"/>
        <item m="1" x="110"/>
        <item m="1" x="120"/>
        <item m="1" x="139"/>
        <item m="1" x="152"/>
        <item m="1" x="162"/>
        <item m="1" x="176"/>
        <item m="1" x="185"/>
        <item m="1" x="194"/>
        <item m="1" x="203"/>
        <item m="1" x="212"/>
        <item m="1" x="221"/>
        <item m="1" x="233"/>
        <item m="1" x="245"/>
        <item m="1" x="257"/>
        <item m="1" x="53"/>
        <item m="1" x="56"/>
        <item m="1" x="63"/>
        <item m="1" x="220"/>
        <item m="1" x="226"/>
        <item m="1" x="231"/>
        <item m="1" x="237"/>
        <item m="1" x="243"/>
        <item m="1" x="249"/>
        <item m="1" x="253"/>
        <item m="1" x="261"/>
        <item m="1" x="265"/>
        <item m="1" x="270"/>
        <item m="1" x="276"/>
        <item m="1" x="280"/>
        <item m="1" x="2"/>
        <item m="1" x="7"/>
        <item m="1" x="12"/>
        <item m="1" x="17"/>
        <item m="1" x="21"/>
        <item m="1" x="68"/>
        <item m="1" x="73"/>
        <item m="1" x="88"/>
      </items>
    </pivotField>
    <pivotField name="Data2" dataField="1" compact="0" outline="0" showAll="0" defaultSubtotal="0"/>
  </pivotFields>
  <rowFields count="1">
    <field x="2"/>
  </rowFields>
  <rowItems count="23">
    <i>
      <x/>
    </i>
    <i>
      <x v="1"/>
    </i>
    <i>
      <x v="2"/>
    </i>
    <i>
      <x v="3"/>
    </i>
    <i>
      <x v="4"/>
    </i>
    <i>
      <x v="5"/>
    </i>
    <i>
      <x v="6"/>
    </i>
    <i>
      <x v="7"/>
    </i>
    <i>
      <x v="8"/>
    </i>
    <i>
      <x v="9"/>
    </i>
    <i>
      <x v="10"/>
    </i>
    <i>
      <x v="11"/>
    </i>
    <i>
      <x v="12"/>
    </i>
    <i>
      <x v="13"/>
    </i>
    <i>
      <x v="14"/>
    </i>
    <i>
      <x v="15"/>
    </i>
    <i>
      <x v="16"/>
    </i>
    <i>
      <x v="17"/>
    </i>
    <i>
      <x v="18"/>
    </i>
    <i>
      <x v="19"/>
    </i>
    <i>
      <x v="20"/>
    </i>
    <i>
      <x v="21"/>
    </i>
    <i>
      <x v="33"/>
    </i>
  </rowItems>
  <colFields count="2">
    <field x="0"/>
    <field x="3"/>
  </colFields>
  <colItems count="1">
    <i>
      <x v="16"/>
      <x v="29"/>
    </i>
  </colItems>
  <dataFields count="1">
    <dataField name="Sum of Data2" fld="4" baseField="0" baseItem="0" numFmtId="3"/>
  </dataFields>
  <formats count="71">
    <format dxfId="411">
      <pivotArea outline="0" fieldPosition="0"/>
    </format>
    <format dxfId="410">
      <pivotArea field="3" type="button" dataOnly="0" labelOnly="1" outline="0" axis="axisCol" fieldPosition="1"/>
    </format>
    <format dxfId="409">
      <pivotArea type="topRight" dataOnly="0" labelOnly="1" outline="0" fieldPosition="0"/>
    </format>
    <format dxfId="408">
      <pivotArea dataOnly="0" labelOnly="1" outline="0" fieldPosition="0">
        <references count="1">
          <reference field="3" count="0"/>
        </references>
      </pivotArea>
    </format>
    <format dxfId="407">
      <pivotArea dataOnly="0" labelOnly="1" grandCol="1" outline="0" fieldPosition="0"/>
    </format>
    <format dxfId="406">
      <pivotArea field="2" type="button" dataOnly="0" labelOnly="1" outline="0" axis="axisRow" fieldPosition="0"/>
    </format>
    <format dxfId="405">
      <pivotArea type="origin" dataOnly="0" labelOnly="1" outline="0" fieldPosition="0"/>
    </format>
    <format dxfId="404">
      <pivotArea field="2" type="button" dataOnly="0" labelOnly="1" outline="0" axis="axisRow" fieldPosition="0"/>
    </format>
    <format dxfId="403">
      <pivotArea dataOnly="0" labelOnly="1" outline="0" fieldPosition="0">
        <references count="1">
          <reference field="2" count="0"/>
        </references>
      </pivotArea>
    </format>
    <format dxfId="402">
      <pivotArea type="all" dataOnly="0" outline="0" fieldPosition="0"/>
    </format>
    <format dxfId="401">
      <pivotArea type="all" dataOnly="0" outline="0" fieldPosition="0"/>
    </format>
    <format dxfId="400">
      <pivotArea type="all" dataOnly="0" outline="0" fieldPosition="0"/>
    </format>
    <format dxfId="399">
      <pivotArea type="all" dataOnly="0" outline="0" fieldPosition="0"/>
    </format>
    <format dxfId="398">
      <pivotArea type="all" dataOnly="0" outline="0" fieldPosition="0"/>
    </format>
    <format dxfId="397">
      <pivotArea type="all" dataOnly="0" outline="0" fieldPosition="0"/>
    </format>
    <format dxfId="396">
      <pivotArea type="all" dataOnly="0" outline="0" fieldPosition="0"/>
    </format>
    <format dxfId="395">
      <pivotArea type="all" dataOnly="0" outline="0" fieldPosition="0"/>
    </format>
    <format dxfId="394">
      <pivotArea type="all" dataOnly="0" outline="0" fieldPosition="0"/>
    </format>
    <format dxfId="393">
      <pivotArea type="all" dataOnly="0" outline="0" fieldPosition="0"/>
    </format>
    <format dxfId="392">
      <pivotArea outline="0" collapsedLevelsAreSubtotals="1" fieldPosition="0"/>
    </format>
    <format dxfId="391">
      <pivotArea type="origin" dataOnly="0" labelOnly="1" outline="0" fieldPosition="0"/>
    </format>
    <format dxfId="390">
      <pivotArea field="0" type="button" dataOnly="0" labelOnly="1" outline="0" axis="axisCol" fieldPosition="0"/>
    </format>
    <format dxfId="389">
      <pivotArea field="3" type="button" dataOnly="0" labelOnly="1" outline="0" axis="axisCol" fieldPosition="1"/>
    </format>
    <format dxfId="388">
      <pivotArea field="2" type="button" dataOnly="0" labelOnly="1" outline="0" axis="axisRow" fieldPosition="0"/>
    </format>
    <format dxfId="387">
      <pivotArea dataOnly="0" labelOnly="1" outline="0" fieldPosition="0">
        <references count="1">
          <reference field="2" count="0"/>
        </references>
      </pivotArea>
    </format>
    <format dxfId="386">
      <pivotArea dataOnly="0" labelOnly="1" outline="0" fieldPosition="0">
        <references count="1">
          <reference field="0" count="0"/>
        </references>
      </pivotArea>
    </format>
    <format dxfId="385">
      <pivotArea dataOnly="0" labelOnly="1" outline="0" fieldPosition="0">
        <references count="2">
          <reference field="0" count="0" selected="0"/>
          <reference field="3" count="0"/>
        </references>
      </pivotArea>
    </format>
    <format dxfId="384">
      <pivotArea type="all" dataOnly="0" outline="0" fieldPosition="0"/>
    </format>
    <format dxfId="383">
      <pivotArea outline="0" collapsedLevelsAreSubtotals="1" fieldPosition="0"/>
    </format>
    <format dxfId="382">
      <pivotArea type="origin" dataOnly="0" labelOnly="1" outline="0" fieldPosition="0"/>
    </format>
    <format dxfId="381">
      <pivotArea field="0" type="button" dataOnly="0" labelOnly="1" outline="0" axis="axisCol" fieldPosition="0"/>
    </format>
    <format dxfId="380">
      <pivotArea field="3" type="button" dataOnly="0" labelOnly="1" outline="0" axis="axisCol" fieldPosition="1"/>
    </format>
    <format dxfId="379">
      <pivotArea field="2" type="button" dataOnly="0" labelOnly="1" outline="0" axis="axisRow" fieldPosition="0"/>
    </format>
    <format dxfId="378">
      <pivotArea dataOnly="0" labelOnly="1" outline="0" fieldPosition="0">
        <references count="1">
          <reference field="2" count="0"/>
        </references>
      </pivotArea>
    </format>
    <format dxfId="377">
      <pivotArea dataOnly="0" labelOnly="1" outline="0" fieldPosition="0">
        <references count="1">
          <reference field="0" count="0"/>
        </references>
      </pivotArea>
    </format>
    <format dxfId="376">
      <pivotArea dataOnly="0" labelOnly="1" outline="0" fieldPosition="0">
        <references count="2">
          <reference field="0" count="0" selected="0"/>
          <reference field="3" count="0"/>
        </references>
      </pivotArea>
    </format>
    <format dxfId="375">
      <pivotArea field="2" type="button" dataOnly="0" labelOnly="1" outline="0" axis="axisRow" fieldPosition="0"/>
    </format>
    <format dxfId="374">
      <pivotArea dataOnly="0" labelOnly="1" outline="0" fieldPosition="0">
        <references count="1">
          <reference field="2" count="0"/>
        </references>
      </pivotArea>
    </format>
    <format dxfId="373">
      <pivotArea dataOnly="0" labelOnly="1" outline="0" fieldPosition="0">
        <references count="1">
          <reference field="0" count="0"/>
        </references>
      </pivotArea>
    </format>
    <format dxfId="372">
      <pivotArea dataOnly="0" labelOnly="1" outline="0" fieldPosition="0">
        <references count="2">
          <reference field="0" count="0" selected="0"/>
          <reference field="3" count="0"/>
        </references>
      </pivotArea>
    </format>
    <format dxfId="371">
      <pivotArea outline="0" collapsedLevelsAreSubtotals="1" fieldPosition="0"/>
    </format>
    <format dxfId="370">
      <pivotArea outline="0" collapsedLevelsAreSubtotals="1" fieldPosition="0"/>
    </format>
    <format dxfId="369">
      <pivotArea outline="0" collapsedLevelsAreSubtotals="1" fieldPosition="0"/>
    </format>
    <format dxfId="368">
      <pivotArea outline="0" collapsedLevelsAreSubtotals="1" fieldPosition="0"/>
    </format>
    <format dxfId="367">
      <pivotArea type="all" dataOnly="0" outline="0" fieldPosition="0"/>
    </format>
    <format dxfId="366">
      <pivotArea outline="0" collapsedLevelsAreSubtotals="1" fieldPosition="0"/>
    </format>
    <format dxfId="365">
      <pivotArea type="origin" dataOnly="0" labelOnly="1" outline="0" fieldPosition="0"/>
    </format>
    <format dxfId="364">
      <pivotArea field="0" type="button" dataOnly="0" labelOnly="1" outline="0" axis="axisCol" fieldPosition="0"/>
    </format>
    <format dxfId="363">
      <pivotArea field="3" type="button" dataOnly="0" labelOnly="1" outline="0" axis="axisCol" fieldPosition="1"/>
    </format>
    <format dxfId="362">
      <pivotArea field="2" type="button" dataOnly="0" labelOnly="1" outline="0" axis="axisRow" fieldPosition="0"/>
    </format>
    <format dxfId="361">
      <pivotArea dataOnly="0" labelOnly="1" outline="0" fieldPosition="0">
        <references count="1">
          <reference field="2" count="0"/>
        </references>
      </pivotArea>
    </format>
    <format dxfId="360">
      <pivotArea dataOnly="0" labelOnly="1" outline="0" fieldPosition="0">
        <references count="1">
          <reference field="0" count="0"/>
        </references>
      </pivotArea>
    </format>
    <format dxfId="359">
      <pivotArea dataOnly="0" labelOnly="1" outline="0" fieldPosition="0">
        <references count="2">
          <reference field="0" count="0" selected="0"/>
          <reference field="3" count="0"/>
        </references>
      </pivotArea>
    </format>
    <format dxfId="358">
      <pivotArea type="all" dataOnly="0" outline="0" fieldPosition="0"/>
    </format>
    <format dxfId="357">
      <pivotArea outline="0" collapsedLevelsAreSubtotals="1" fieldPosition="0"/>
    </format>
    <format dxfId="356">
      <pivotArea type="origin" dataOnly="0" labelOnly="1" outline="0" fieldPosition="0"/>
    </format>
    <format dxfId="355">
      <pivotArea field="0" type="button" dataOnly="0" labelOnly="1" outline="0" axis="axisCol" fieldPosition="0"/>
    </format>
    <format dxfId="354">
      <pivotArea field="3" type="button" dataOnly="0" labelOnly="1" outline="0" axis="axisCol" fieldPosition="1"/>
    </format>
    <format dxfId="353">
      <pivotArea field="2" type="button" dataOnly="0" labelOnly="1" outline="0" axis="axisRow" fieldPosition="0"/>
    </format>
    <format dxfId="352">
      <pivotArea dataOnly="0" labelOnly="1" outline="0" fieldPosition="0">
        <references count="1">
          <reference field="2" count="0"/>
        </references>
      </pivotArea>
    </format>
    <format dxfId="351">
      <pivotArea dataOnly="0" labelOnly="1" outline="0" fieldPosition="0">
        <references count="1">
          <reference field="0" count="0"/>
        </references>
      </pivotArea>
    </format>
    <format dxfId="350">
      <pivotArea dataOnly="0" labelOnly="1" outline="0" fieldPosition="0">
        <references count="2">
          <reference field="0" count="0" selected="0"/>
          <reference field="3" count="0"/>
        </references>
      </pivotArea>
    </format>
    <format dxfId="349">
      <pivotArea type="all" dataOnly="0" outline="0" fieldPosition="0"/>
    </format>
    <format dxfId="348">
      <pivotArea outline="0" collapsedLevelsAreSubtotals="1" fieldPosition="0"/>
    </format>
    <format dxfId="347">
      <pivotArea type="origin" dataOnly="0" labelOnly="1" outline="0" fieldPosition="0"/>
    </format>
    <format dxfId="346">
      <pivotArea field="0" type="button" dataOnly="0" labelOnly="1" outline="0" axis="axisCol" fieldPosition="0"/>
    </format>
    <format dxfId="345">
      <pivotArea field="3" type="button" dataOnly="0" labelOnly="1" outline="0" axis="axisCol" fieldPosition="1"/>
    </format>
    <format dxfId="344">
      <pivotArea field="2" type="button" dataOnly="0" labelOnly="1" outline="0" axis="axisRow" fieldPosition="0"/>
    </format>
    <format dxfId="343">
      <pivotArea dataOnly="0" labelOnly="1" outline="0" fieldPosition="0">
        <references count="1">
          <reference field="2" count="0"/>
        </references>
      </pivotArea>
    </format>
    <format dxfId="342">
      <pivotArea dataOnly="0" labelOnly="1" outline="0" fieldPosition="0">
        <references count="1">
          <reference field="0" count="0"/>
        </references>
      </pivotArea>
    </format>
    <format dxfId="341">
      <pivotArea dataOnly="0" labelOnly="1" outline="0" fieldPosition="0">
        <references count="2">
          <reference field="0" count="0" selected="0"/>
          <reference field="3" count="0"/>
        </references>
      </pivotArea>
    </format>
  </format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00000000-0007-0000-0500-000002000000}" name="PivotTable3" cacheId="1" dataOnRows="1" applyNumberFormats="0" applyBorderFormats="0" applyFontFormats="0" applyPatternFormats="0" applyAlignmentFormats="0" applyWidthHeightFormats="1" dataCaption="Data" updatedVersion="8" minRefreshableVersion="3" showMemberPropertyTips="0" rowGrandTotals="0" colGrandTotals="0" itemPrintTitles="1" createdVersion="4" indent="0" compact="0" compactData="0" gridDropZones="1" fieldListSortAscending="1">
  <location ref="AL6:AN31" firstHeaderRow="1" firstDataRow="3" firstDataCol="1"/>
  <pivotFields count="5">
    <pivotField axis="axisCol" compact="0" outline="0" subtotalTop="0" showAll="0" includeNewItemsInFilter="1" defaultSubtotal="0">
      <items count="17">
        <item m="1" x="13"/>
        <item m="1" x="4"/>
        <item m="1" x="9"/>
        <item m="1" x="15"/>
        <item m="1" x="6"/>
        <item m="1" x="11"/>
        <item m="1" x="2"/>
        <item m="1" x="8"/>
        <item m="1" x="14"/>
        <item m="1" x="5"/>
        <item m="1" x="10"/>
        <item m="1" x="16"/>
        <item m="1" x="7"/>
        <item m="1" x="12"/>
        <item m="1" x="3"/>
        <item m="1" x="1"/>
        <item x="0"/>
      </items>
    </pivotField>
    <pivotField compact="0" outline="0" subtotalTop="0" showAll="0" includeNewItemsInFilter="1"/>
    <pivotField axis="axisRow" compact="0" outline="0" subtotalTop="0" showAll="0" includeNewItemsInFilter="1" defaultSubtotal="0">
      <items count="37">
        <item x="0"/>
        <item x="1"/>
        <item x="2"/>
        <item x="3"/>
        <item x="4"/>
        <item x="5"/>
        <item x="6"/>
        <item x="7"/>
        <item x="8"/>
        <item x="9"/>
        <item x="10"/>
        <item x="11"/>
        <item x="12"/>
        <item x="13"/>
        <item x="14"/>
        <item x="15"/>
        <item x="16"/>
        <item x="17"/>
        <item x="18"/>
        <item x="19"/>
        <item x="20"/>
        <item x="21"/>
        <item m="1" x="36"/>
        <item m="1" x="32"/>
        <item m="1" x="27"/>
        <item m="1" x="23"/>
        <item m="1" x="29"/>
        <item m="1" x="25"/>
        <item m="1" x="33"/>
        <item m="1" x="35"/>
        <item m="1" x="31"/>
        <item m="1" x="26"/>
        <item m="1" x="34"/>
        <item x="22"/>
        <item m="1" x="30"/>
        <item m="1" x="28"/>
        <item m="1" x="24"/>
      </items>
    </pivotField>
    <pivotField axis="axisCol" compact="0" outline="0" subtotalTop="0" showAll="0" includeNewItemsInFilter="1" sortType="ascending" defaultSubtotal="0">
      <items count="281">
        <item m="1" x="27"/>
        <item m="1" x="273"/>
        <item m="1" x="248"/>
        <item m="1" x="224"/>
        <item m="1" x="214"/>
        <item m="1" x="204"/>
        <item m="1" x="71"/>
        <item m="1" x="195"/>
        <item m="1" x="186"/>
        <item m="1" x="180"/>
        <item m="1" x="173"/>
        <item m="1" x="264"/>
        <item m="1" x="49"/>
        <item m="1" x="165"/>
        <item m="1" x="159"/>
        <item m="1" x="155"/>
        <item m="1" x="149"/>
        <item m="1" x="241"/>
        <item m="1" x="38"/>
        <item m="1" x="142"/>
        <item m="1" x="136"/>
        <item m="1" x="20"/>
        <item m="1" x="132"/>
        <item m="1" x="16"/>
        <item m="1" x="126"/>
        <item m="1" x="11"/>
        <item x="0"/>
        <item m="1" x="6"/>
        <item m="1" x="117"/>
        <item m="1" x="1"/>
        <item m="1" x="112"/>
        <item m="1" x="278"/>
        <item m="1" x="107"/>
        <item m="1" x="274"/>
        <item m="1" x="129"/>
        <item m="1" x="55"/>
        <item m="1" x="104"/>
        <item m="1" x="267"/>
        <item m="1" x="98"/>
        <item m="1" x="181"/>
        <item m="1" x="262"/>
        <item m="1" x="208"/>
        <item m="1" x="43"/>
        <item m="1" x="93"/>
        <item m="1" x="60"/>
        <item m="1" x="174"/>
        <item m="1" x="255"/>
        <item m="1" x="14"/>
        <item m="1" x="39"/>
        <item m="1" x="4"/>
        <item m="1" x="198"/>
        <item m="1" x="144"/>
        <item m="1" x="97"/>
        <item m="1" x="216"/>
        <item m="1" x="63"/>
        <item m="1" x="189"/>
        <item m="1" x="90"/>
        <item m="1" x="166"/>
        <item m="1" x="250"/>
        <item m="1" x="35"/>
        <item m="1" x="86"/>
        <item m="1" x="160"/>
        <item m="1" x="242"/>
        <item m="1" x="33"/>
        <item m="1" x="84"/>
        <item m="1" x="156"/>
        <item m="1" x="236"/>
        <item m="1" x="31"/>
        <item m="1" x="53"/>
        <item m="1" x="81"/>
        <item m="1" x="150"/>
        <item m="1" x="229"/>
        <item m="1" x="28"/>
        <item m="1" x="78"/>
        <item m="1" x="143"/>
        <item m="1" x="225"/>
        <item m="1" x="24"/>
        <item m="1" x="260"/>
        <item m="1" x="170"/>
        <item m="1" x="73"/>
        <item m="1" x="137"/>
        <item m="1" x="219"/>
        <item m="1" x="21"/>
        <item m="1" x="68"/>
        <item m="1" x="96"/>
        <item m="1" x="133"/>
        <item m="1" x="179"/>
        <item m="1" x="215"/>
        <item m="1" x="259"/>
        <item m="1" x="17"/>
        <item m="1" x="41"/>
        <item m="1" x="66"/>
        <item m="1" x="92"/>
        <item m="1" x="127"/>
        <item m="1" x="171"/>
        <item m="1" x="10"/>
        <item m="1" x="119"/>
        <item m="1" x="240"/>
        <item m="1" x="209"/>
        <item m="1" x="252"/>
        <item m="1" x="12"/>
        <item m="1" x="37"/>
        <item m="1" x="61"/>
        <item m="1" x="88"/>
        <item m="1" x="122"/>
        <item m="1" x="163"/>
        <item m="1" x="5"/>
        <item m="1" x="114"/>
        <item m="1" x="205"/>
        <item m="1" x="246"/>
        <item m="1" x="7"/>
        <item m="1" x="34"/>
        <item m="1" x="58"/>
        <item m="1" x="85"/>
        <item m="1" x="200"/>
        <item m="1" x="102"/>
        <item m="1" x="118"/>
        <item m="1" x="158"/>
        <item m="1" x="201"/>
        <item m="1" x="32"/>
        <item m="1" x="148"/>
        <item m="1" x="239"/>
        <item m="1" x="2"/>
        <item m="1" x="153"/>
        <item m="1" x="196"/>
        <item m="1" x="234"/>
        <item m="1" x="51"/>
        <item m="1" x="279"/>
        <item m="1" x="30"/>
        <item m="1" x="52"/>
        <item m="1" x="80"/>
        <item m="1" x="108"/>
        <item m="1" x="146"/>
        <item m="1" x="272"/>
        <item m="1" x="101"/>
        <item m="1" x="218"/>
        <item m="1" x="42"/>
        <item m="1" x="168"/>
        <item m="1" x="9"/>
        <item m="1" x="116"/>
        <item m="1" x="238"/>
        <item m="1" x="190"/>
        <item m="1" x="228"/>
        <item m="1" x="275"/>
        <item m="1" x="26"/>
        <item m="1" x="48"/>
        <item m="1" x="76"/>
        <item m="1" x="105"/>
        <item m="1" x="140"/>
        <item m="1" x="187"/>
        <item m="1" x="222"/>
        <item m="1" x="45"/>
        <item m="1" x="177"/>
        <item m="1" x="268"/>
        <item m="1" x="70"/>
        <item m="1" x="23"/>
        <item m="1" x="46"/>
        <item m="1" x="72"/>
        <item m="1" x="99"/>
        <item m="1" x="134"/>
        <item m="1" x="182"/>
        <item m="1" x="199"/>
        <item m="1" x="217"/>
        <item m="1" x="263"/>
        <item m="1" x="19"/>
        <item m="1" x="44"/>
        <item m="1" x="56"/>
        <item m="1" x="67"/>
        <item m="1" x="82"/>
        <item m="1" x="94"/>
        <item m="1" x="110"/>
        <item m="1" x="130"/>
        <item m="1" x="151"/>
        <item m="1" x="175"/>
        <item m="1" x="193"/>
        <item m="1" x="211"/>
        <item m="1" x="232"/>
        <item m="1" x="256"/>
        <item m="1" x="277"/>
        <item m="1" x="15"/>
        <item m="1" x="29"/>
        <item m="1" x="62"/>
        <item m="1" x="40"/>
        <item m="1" x="50"/>
        <item m="1" x="65"/>
        <item m="1" x="79"/>
        <item m="1" x="124"/>
        <item m="1" x="145"/>
        <item m="1" x="167"/>
        <item m="1" x="207"/>
        <item m="1" x="227"/>
        <item m="1" x="251"/>
        <item m="1" x="271"/>
        <item m="1" x="25"/>
        <item m="1" x="36"/>
        <item m="1" x="47"/>
        <item m="1" x="59"/>
        <item m="1" x="75"/>
        <item m="1" x="87"/>
        <item m="1" x="103"/>
        <item m="1" x="120"/>
        <item m="1" x="138"/>
        <item m="1" x="161"/>
        <item m="1" x="184"/>
        <item m="1" x="202"/>
        <item m="1" x="244"/>
        <item m="1" x="254"/>
        <item m="1" x="266"/>
        <item m="1" x="109"/>
        <item m="1" x="128"/>
        <item m="1" x="172"/>
        <item m="1" x="192"/>
        <item m="1" x="210"/>
        <item m="1" x="230"/>
        <item m="1" x="77"/>
        <item m="1" x="83"/>
        <item m="1" x="95"/>
        <item m="1" x="106"/>
        <item m="1" x="113"/>
        <item m="1" x="123"/>
        <item m="1" x="131"/>
        <item m="1" x="141"/>
        <item m="1" x="154"/>
        <item m="1" x="164"/>
        <item m="1" x="178"/>
        <item m="1" x="188"/>
        <item m="1" x="197"/>
        <item m="1" x="206"/>
        <item m="1" x="213"/>
        <item m="1" x="223"/>
        <item m="1" x="235"/>
        <item m="1" x="247"/>
        <item m="1" x="258"/>
        <item m="1" x="269"/>
        <item m="1" x="91"/>
        <item m="1" x="100"/>
        <item m="1" x="115"/>
        <item m="1" x="125"/>
        <item m="1" x="135"/>
        <item m="1" x="147"/>
        <item m="1" x="157"/>
        <item m="1" x="169"/>
        <item m="1" x="183"/>
        <item m="1" x="191"/>
        <item m="1" x="111"/>
        <item m="1" x="121"/>
        <item m="1" x="139"/>
        <item m="1" x="152"/>
        <item m="1" x="162"/>
        <item m="1" x="176"/>
        <item m="1" x="185"/>
        <item m="1" x="194"/>
        <item m="1" x="203"/>
        <item m="1" x="212"/>
        <item m="1" x="221"/>
        <item m="1" x="233"/>
        <item m="1" x="245"/>
        <item m="1" x="257"/>
        <item m="1" x="54"/>
        <item m="1" x="57"/>
        <item m="1" x="64"/>
        <item m="1" x="220"/>
        <item m="1" x="226"/>
        <item m="1" x="231"/>
        <item m="1" x="237"/>
        <item m="1" x="243"/>
        <item m="1" x="249"/>
        <item m="1" x="253"/>
        <item m="1" x="261"/>
        <item m="1" x="265"/>
        <item m="1" x="270"/>
        <item m="1" x="276"/>
        <item m="1" x="280"/>
        <item m="1" x="3"/>
        <item m="1" x="8"/>
        <item m="1" x="13"/>
        <item m="1" x="18"/>
        <item m="1" x="22"/>
        <item m="1" x="69"/>
        <item m="1" x="74"/>
        <item m="1" x="89"/>
      </items>
    </pivotField>
    <pivotField name="Data2" dataField="1" compact="0" outline="0" showAll="0" defaultSubtotal="0"/>
  </pivotFields>
  <rowFields count="1">
    <field x="2"/>
  </rowFields>
  <rowItems count="23">
    <i>
      <x/>
    </i>
    <i>
      <x v="1"/>
    </i>
    <i>
      <x v="2"/>
    </i>
    <i>
      <x v="3"/>
    </i>
    <i>
      <x v="4"/>
    </i>
    <i>
      <x v="5"/>
    </i>
    <i>
      <x v="6"/>
    </i>
    <i>
      <x v="7"/>
    </i>
    <i>
      <x v="8"/>
    </i>
    <i>
      <x v="9"/>
    </i>
    <i>
      <x v="10"/>
    </i>
    <i>
      <x v="11"/>
    </i>
    <i>
      <x v="12"/>
    </i>
    <i>
      <x v="13"/>
    </i>
    <i>
      <x v="14"/>
    </i>
    <i>
      <x v="15"/>
    </i>
    <i>
      <x v="16"/>
    </i>
    <i>
      <x v="17"/>
    </i>
    <i>
      <x v="18"/>
    </i>
    <i>
      <x v="19"/>
    </i>
    <i>
      <x v="20"/>
    </i>
    <i>
      <x v="21"/>
    </i>
    <i>
      <x v="33"/>
    </i>
  </rowItems>
  <colFields count="2">
    <field x="0"/>
    <field x="3"/>
  </colFields>
  <colItems count="1">
    <i>
      <x v="16"/>
      <x v="26"/>
    </i>
  </colItems>
  <dataFields count="1">
    <dataField name="Sum of Data2" fld="4" baseField="0" baseItem="0" numFmtId="4"/>
  </dataFields>
  <formats count="90">
    <format dxfId="501">
      <pivotArea field="3" type="button" dataOnly="0" labelOnly="1" outline="0" axis="axisCol" fieldPosition="1"/>
    </format>
    <format dxfId="500">
      <pivotArea type="topRight" dataOnly="0" labelOnly="1" outline="0" fieldPosition="0"/>
    </format>
    <format dxfId="499">
      <pivotArea dataOnly="0" labelOnly="1" outline="0" fieldPosition="0">
        <references count="1">
          <reference field="3" count="0"/>
        </references>
      </pivotArea>
    </format>
    <format dxfId="498">
      <pivotArea dataOnly="0" labelOnly="1" grandCol="1" outline="0" fieldPosition="0"/>
    </format>
    <format dxfId="497">
      <pivotArea field="2" type="button" dataOnly="0" labelOnly="1" outline="0" axis="axisRow" fieldPosition="0"/>
    </format>
    <format dxfId="496">
      <pivotArea type="origin" dataOnly="0" labelOnly="1" outline="0" fieldPosition="0"/>
    </format>
    <format dxfId="495">
      <pivotArea field="2" type="button" dataOnly="0" labelOnly="1" outline="0" axis="axisRow" fieldPosition="0"/>
    </format>
    <format dxfId="494">
      <pivotArea dataOnly="0" labelOnly="1" outline="0" fieldPosition="0">
        <references count="1">
          <reference field="2" count="0"/>
        </references>
      </pivotArea>
    </format>
    <format dxfId="493">
      <pivotArea type="all" dataOnly="0" outline="0" fieldPosition="0"/>
    </format>
    <format dxfId="492">
      <pivotArea type="all" dataOnly="0" outline="0" fieldPosition="0"/>
    </format>
    <format dxfId="491">
      <pivotArea type="all" dataOnly="0" outline="0" fieldPosition="0"/>
    </format>
    <format dxfId="490">
      <pivotArea type="all" dataOnly="0" outline="0" fieldPosition="0"/>
    </format>
    <format dxfId="489">
      <pivotArea type="all" dataOnly="0" outline="0" fieldPosition="0"/>
    </format>
    <format dxfId="488">
      <pivotArea type="all" dataOnly="0" outline="0" fieldPosition="0"/>
    </format>
    <format dxfId="487">
      <pivotArea type="all" dataOnly="0" outline="0" fieldPosition="0"/>
    </format>
    <format dxfId="486">
      <pivotArea type="all" dataOnly="0" outline="0" fieldPosition="0"/>
    </format>
    <format dxfId="485">
      <pivotArea type="all" dataOnly="0" outline="0" fieldPosition="0"/>
    </format>
    <format dxfId="484">
      <pivotArea outline="0" collapsedLevelsAreSubtotals="1" fieldPosition="0"/>
    </format>
    <format dxfId="483">
      <pivotArea type="all" dataOnly="0" outline="0" fieldPosition="0"/>
    </format>
    <format dxfId="482">
      <pivotArea outline="0" collapsedLevelsAreSubtotals="1" fieldPosition="0"/>
    </format>
    <format dxfId="481">
      <pivotArea type="origin" dataOnly="0" labelOnly="1" outline="0" fieldPosition="0"/>
    </format>
    <format dxfId="480">
      <pivotArea field="0" type="button" dataOnly="0" labelOnly="1" outline="0" axis="axisCol" fieldPosition="0"/>
    </format>
    <format dxfId="479">
      <pivotArea field="3" type="button" dataOnly="0" labelOnly="1" outline="0" axis="axisCol" fieldPosition="1"/>
    </format>
    <format dxfId="478">
      <pivotArea field="2" type="button" dataOnly="0" labelOnly="1" outline="0" axis="axisRow" fieldPosition="0"/>
    </format>
    <format dxfId="477">
      <pivotArea dataOnly="0" labelOnly="1" outline="0" fieldPosition="0">
        <references count="1">
          <reference field="2" count="0"/>
        </references>
      </pivotArea>
    </format>
    <format dxfId="476">
      <pivotArea dataOnly="0" labelOnly="1" outline="0" fieldPosition="0">
        <references count="1">
          <reference field="0" count="0"/>
        </references>
      </pivotArea>
    </format>
    <format dxfId="475">
      <pivotArea dataOnly="0" labelOnly="1" outline="0" fieldPosition="0">
        <references count="2">
          <reference field="0" count="0" selected="0"/>
          <reference field="3" count="0"/>
        </references>
      </pivotArea>
    </format>
    <format dxfId="474">
      <pivotArea type="all" dataOnly="0" outline="0" fieldPosition="0"/>
    </format>
    <format dxfId="473">
      <pivotArea outline="0" collapsedLevelsAreSubtotals="1" fieldPosition="0"/>
    </format>
    <format dxfId="472">
      <pivotArea type="origin" dataOnly="0" labelOnly="1" outline="0" fieldPosition="0"/>
    </format>
    <format dxfId="471">
      <pivotArea field="0" type="button" dataOnly="0" labelOnly="1" outline="0" axis="axisCol" fieldPosition="0"/>
    </format>
    <format dxfId="470">
      <pivotArea field="3" type="button" dataOnly="0" labelOnly="1" outline="0" axis="axisCol" fieldPosition="1"/>
    </format>
    <format dxfId="469">
      <pivotArea field="2" type="button" dataOnly="0" labelOnly="1" outline="0" axis="axisRow" fieldPosition="0"/>
    </format>
    <format dxfId="468">
      <pivotArea dataOnly="0" labelOnly="1" outline="0" fieldPosition="0">
        <references count="1">
          <reference field="2" count="0"/>
        </references>
      </pivotArea>
    </format>
    <format dxfId="467">
      <pivotArea dataOnly="0" labelOnly="1" outline="0" fieldPosition="0">
        <references count="1">
          <reference field="0" count="0"/>
        </references>
      </pivotArea>
    </format>
    <format dxfId="466">
      <pivotArea dataOnly="0" labelOnly="1" outline="0" fieldPosition="0">
        <references count="2">
          <reference field="0" count="0" selected="0"/>
          <reference field="3" count="0"/>
        </references>
      </pivotArea>
    </format>
    <format dxfId="465">
      <pivotArea field="2" type="button" dataOnly="0" labelOnly="1" outline="0" axis="axisRow" fieldPosition="0"/>
    </format>
    <format dxfId="464">
      <pivotArea dataOnly="0" labelOnly="1" outline="0" fieldPosition="0">
        <references count="1">
          <reference field="2" count="0"/>
        </references>
      </pivotArea>
    </format>
    <format dxfId="463">
      <pivotArea dataOnly="0" labelOnly="1" outline="0" fieldPosition="0">
        <references count="1">
          <reference field="0" count="0"/>
        </references>
      </pivotArea>
    </format>
    <format dxfId="462">
      <pivotArea dataOnly="0" labelOnly="1" outline="0" fieldPosition="0">
        <references count="2">
          <reference field="0" count="0" selected="0"/>
          <reference field="3" count="0"/>
        </references>
      </pivotArea>
    </format>
    <format dxfId="461">
      <pivotArea dataOnly="0" labelOnly="1" outline="0" fieldPosition="0">
        <references count="2">
          <reference field="0" count="0" selected="0"/>
          <reference field="3" count="0"/>
        </references>
      </pivotArea>
    </format>
    <format dxfId="460">
      <pivotArea outline="0" collapsedLevelsAreSubtotals="1" fieldPosition="0"/>
    </format>
    <format dxfId="459">
      <pivotArea dataOnly="0" labelOnly="1" outline="0" fieldPosition="0">
        <references count="1">
          <reference field="2" count="0"/>
        </references>
      </pivotArea>
    </format>
    <format dxfId="458">
      <pivotArea type="all" dataOnly="0" outline="0" fieldPosition="0"/>
    </format>
    <format dxfId="457">
      <pivotArea outline="0" collapsedLevelsAreSubtotals="1" fieldPosition="0"/>
    </format>
    <format dxfId="456">
      <pivotArea type="origin" dataOnly="0" labelOnly="1" outline="0" fieldPosition="0"/>
    </format>
    <format dxfId="455">
      <pivotArea field="0" type="button" dataOnly="0" labelOnly="1" outline="0" axis="axisCol" fieldPosition="0"/>
    </format>
    <format dxfId="454">
      <pivotArea field="3" type="button" dataOnly="0" labelOnly="1" outline="0" axis="axisCol" fieldPosition="1"/>
    </format>
    <format dxfId="453">
      <pivotArea field="2" type="button" dataOnly="0" labelOnly="1" outline="0" axis="axisRow" fieldPosition="0"/>
    </format>
    <format dxfId="452">
      <pivotArea dataOnly="0" labelOnly="1" outline="0" fieldPosition="0">
        <references count="1">
          <reference field="2" count="0"/>
        </references>
      </pivotArea>
    </format>
    <format dxfId="451">
      <pivotArea dataOnly="0" labelOnly="1" outline="0" fieldPosition="0">
        <references count="1">
          <reference field="0" count="0"/>
        </references>
      </pivotArea>
    </format>
    <format dxfId="450">
      <pivotArea dataOnly="0" labelOnly="1" outline="0" fieldPosition="0">
        <references count="2">
          <reference field="0" count="0" selected="0"/>
          <reference field="3" count="0"/>
        </references>
      </pivotArea>
    </format>
    <format dxfId="449">
      <pivotArea dataOnly="0" labelOnly="1" outline="0" fieldPosition="0">
        <references count="2">
          <reference field="0" count="0" selected="0"/>
          <reference field="3" count="0"/>
        </references>
      </pivotArea>
    </format>
    <format dxfId="448">
      <pivotArea dataOnly="0" labelOnly="1" outline="0" fieldPosition="0">
        <references count="2">
          <reference field="0" count="0" selected="0"/>
          <reference field="3" count="0"/>
        </references>
      </pivotArea>
    </format>
    <format dxfId="447">
      <pivotArea type="all" dataOnly="0" outline="0" fieldPosition="0"/>
    </format>
    <format dxfId="446">
      <pivotArea outline="0" collapsedLevelsAreSubtotals="1" fieldPosition="0"/>
    </format>
    <format dxfId="445">
      <pivotArea type="origin" dataOnly="0" labelOnly="1" outline="0" fieldPosition="0"/>
    </format>
    <format dxfId="444">
      <pivotArea field="0" type="button" dataOnly="0" labelOnly="1" outline="0" axis="axisCol" fieldPosition="0"/>
    </format>
    <format dxfId="443">
      <pivotArea field="3" type="button" dataOnly="0" labelOnly="1" outline="0" axis="axisCol" fieldPosition="1"/>
    </format>
    <format dxfId="442">
      <pivotArea field="2" type="button" dataOnly="0" labelOnly="1" outline="0" axis="axisRow" fieldPosition="0"/>
    </format>
    <format dxfId="441">
      <pivotArea dataOnly="0" labelOnly="1" outline="0" fieldPosition="0">
        <references count="1">
          <reference field="2" count="0"/>
        </references>
      </pivotArea>
    </format>
    <format dxfId="440">
      <pivotArea dataOnly="0" labelOnly="1" outline="0" fieldPosition="0">
        <references count="1">
          <reference field="0" count="0"/>
        </references>
      </pivotArea>
    </format>
    <format dxfId="439">
      <pivotArea dataOnly="0" labelOnly="1" outline="0" fieldPosition="0">
        <references count="2">
          <reference field="0" count="0" selected="0"/>
          <reference field="3" count="0"/>
        </references>
      </pivotArea>
    </format>
    <format dxfId="438">
      <pivotArea type="all" dataOnly="0" outline="0" fieldPosition="0"/>
    </format>
    <format dxfId="437">
      <pivotArea outline="0" collapsedLevelsAreSubtotals="1" fieldPosition="0"/>
    </format>
    <format dxfId="436">
      <pivotArea type="origin" dataOnly="0" labelOnly="1" outline="0" fieldPosition="0"/>
    </format>
    <format dxfId="435">
      <pivotArea field="0" type="button" dataOnly="0" labelOnly="1" outline="0" axis="axisCol" fieldPosition="0"/>
    </format>
    <format dxfId="434">
      <pivotArea field="3" type="button" dataOnly="0" labelOnly="1" outline="0" axis="axisCol" fieldPosition="1"/>
    </format>
    <format dxfId="433">
      <pivotArea field="2" type="button" dataOnly="0" labelOnly="1" outline="0" axis="axisRow" fieldPosition="0"/>
    </format>
    <format dxfId="432">
      <pivotArea dataOnly="0" labelOnly="1" outline="0" fieldPosition="0">
        <references count="1">
          <reference field="2" count="0"/>
        </references>
      </pivotArea>
    </format>
    <format dxfId="431">
      <pivotArea dataOnly="0" labelOnly="1" outline="0" fieldPosition="0">
        <references count="1">
          <reference field="0" count="0"/>
        </references>
      </pivotArea>
    </format>
    <format dxfId="430">
      <pivotArea dataOnly="0" labelOnly="1" outline="0" fieldPosition="0">
        <references count="2">
          <reference field="0" count="0" selected="0"/>
          <reference field="3" count="0"/>
        </references>
      </pivotArea>
    </format>
    <format dxfId="429">
      <pivotArea type="all" dataOnly="0" outline="0" fieldPosition="0"/>
    </format>
    <format dxfId="428">
      <pivotArea outline="0" collapsedLevelsAreSubtotals="1" fieldPosition="0"/>
    </format>
    <format dxfId="427">
      <pivotArea type="origin" dataOnly="0" labelOnly="1" outline="0" fieldPosition="0"/>
    </format>
    <format dxfId="426">
      <pivotArea field="0" type="button" dataOnly="0" labelOnly="1" outline="0" axis="axisCol" fieldPosition="0"/>
    </format>
    <format dxfId="425">
      <pivotArea field="3" type="button" dataOnly="0" labelOnly="1" outline="0" axis="axisCol" fieldPosition="1"/>
    </format>
    <format dxfId="424">
      <pivotArea field="2" type="button" dataOnly="0" labelOnly="1" outline="0" axis="axisRow" fieldPosition="0"/>
    </format>
    <format dxfId="423">
      <pivotArea dataOnly="0" labelOnly="1" outline="0" fieldPosition="0">
        <references count="1">
          <reference field="2" count="0"/>
        </references>
      </pivotArea>
    </format>
    <format dxfId="422">
      <pivotArea dataOnly="0" labelOnly="1" outline="0" fieldPosition="0">
        <references count="1">
          <reference field="0" count="0"/>
        </references>
      </pivotArea>
    </format>
    <format dxfId="421">
      <pivotArea dataOnly="0" labelOnly="1" outline="0" fieldPosition="0">
        <references count="2">
          <reference field="0" count="0" selected="0"/>
          <reference field="3" count="0"/>
        </references>
      </pivotArea>
    </format>
    <format dxfId="420">
      <pivotArea type="all" dataOnly="0" outline="0" fieldPosition="0"/>
    </format>
    <format dxfId="419">
      <pivotArea outline="0" collapsedLevelsAreSubtotals="1" fieldPosition="0"/>
    </format>
    <format dxfId="418">
      <pivotArea type="origin" dataOnly="0" labelOnly="1" outline="0" fieldPosition="0"/>
    </format>
    <format dxfId="417">
      <pivotArea field="0" type="button" dataOnly="0" labelOnly="1" outline="0" axis="axisCol" fieldPosition="0"/>
    </format>
    <format dxfId="416">
      <pivotArea field="3" type="button" dataOnly="0" labelOnly="1" outline="0" axis="axisCol" fieldPosition="1"/>
    </format>
    <format dxfId="415">
      <pivotArea field="2" type="button" dataOnly="0" labelOnly="1" outline="0" axis="axisRow" fieldPosition="0"/>
    </format>
    <format dxfId="414">
      <pivotArea dataOnly="0" labelOnly="1" outline="0" fieldPosition="0">
        <references count="1">
          <reference field="2" count="0"/>
        </references>
      </pivotArea>
    </format>
    <format dxfId="413">
      <pivotArea dataOnly="0" labelOnly="1" outline="0" fieldPosition="0">
        <references count="1">
          <reference field="0" count="0"/>
        </references>
      </pivotArea>
    </format>
    <format dxfId="412">
      <pivotArea dataOnly="0" labelOnly="1" outline="0" fieldPosition="0">
        <references count="2">
          <reference field="0" count="0" selected="0"/>
          <reference field="3" count="0"/>
        </references>
      </pivotArea>
    </format>
  </format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1" connectionId="6" xr16:uid="{678F97D2-1563-4306-95B7-DDF14A6E0FD9}" autoFormatId="16" applyNumberFormats="0" applyBorderFormats="0" applyFontFormats="0" applyPatternFormats="0" applyAlignmentFormats="0" applyWidthHeightFormats="0">
  <queryTableRefresh nextId="10">
    <queryTableFields count="6">
      <queryTableField id="6" name="YearCode" tableColumnId="6"/>
      <queryTableField id="1" name="AuthCode" tableColumnId="1"/>
      <queryTableField id="4" name="FormRef" tableColumnId="4"/>
      <queryTableField id="5" name="RowRef" tableColumnId="5"/>
      <queryTableField id="2" name="ColumnRef" tableColumnId="2"/>
      <queryTableField id="3" name="Data" tableColumnId="3"/>
    </queryTableFields>
  </queryTableRefresh>
</queryTable>
</file>

<file path=xl/queryTables/queryTable2.xml><?xml version="1.0" encoding="utf-8"?>
<queryTable xmlns="http://schemas.openxmlformats.org/spreadsheetml/2006/main" xmlns:mc="http://schemas.openxmlformats.org/markup-compatibility/2006" xmlns:xr16="http://schemas.microsoft.com/office/spreadsheetml/2017/revision16" mc:Ignorable="xr16" name="Query from LocalGovernmentFinance" adjustColumnWidth="0" connectionId="5" xr16:uid="{00000000-0016-0000-0800-000000000000}" autoFormatId="16" applyNumberFormats="0" applyBorderFormats="0" applyFontFormats="0" applyPatternFormats="0" applyAlignmentFormats="0" applyWidthHeightFormats="0">
  <queryTableRefresh nextId="11" unboundColumnsLeft="1">
    <queryTableFields count="8">
      <queryTableField id="10" dataBound="0" tableColumnId="10"/>
      <queryTableField id="1" name="FormRef" tableColumnId="1"/>
      <queryTableField id="2" name="AuthCode" tableColumnId="2"/>
      <queryTableField id="3" name="RowRef" tableColumnId="3"/>
      <queryTableField id="4" name="StandDesc" tableColumnId="4"/>
      <queryTableField id="5" name="ColumnRef" tableColumnId="5"/>
      <queryTableField id="7" name="YearCode" tableColumnId="7"/>
      <queryTableField id="8" name="Data" tableColumnId="8"/>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4.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45BFBFB6-E850-4849-A4CD-10A4ED41EEB1}" name="MainUnionBR" displayName="MainUnionBR" ref="O3:T21" tableType="queryTable" totalsRowShown="0">
  <autoFilter ref="O3:T21" xr:uid="{45BFBFB6-E850-4849-A4CD-10A4ED41EEB1}"/>
  <tableColumns count="6">
    <tableColumn id="6" xr3:uid="{6F3A3162-4F1B-49D9-BD46-90F0F4EDF2CC}" uniqueName="6" name="Column1" queryTableFieldId="6"/>
    <tableColumn id="1" xr3:uid="{01AFA000-B13D-493B-903D-30F3CAE7E73F}" uniqueName="1" name="AuthCode" queryTableFieldId="1"/>
    <tableColumn id="4" xr3:uid="{434BFCFE-C6D2-4B74-ABF1-350A78FCA9EE}" uniqueName="4" name="FormRef" queryTableFieldId="4" dataDxfId="502"/>
    <tableColumn id="5" xr3:uid="{A06F965B-C060-4470-B89F-15AC6BA0A28F}" uniqueName="5" name="RowRef" queryTableFieldId="5"/>
    <tableColumn id="2" xr3:uid="{5CBA3929-BA0D-4C64-8E01-BF7DC031E348}" uniqueName="2" name="ColumnRef" queryTableFieldId="2"/>
    <tableColumn id="3" xr3:uid="{E2C9CE25-1EB2-43CD-A3E7-8FB213FB1F34}" uniqueName="3" name="Data" queryTableFieldId="3"/>
  </tableColumns>
  <tableStyleInfo name="TableStyleMedium7"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blTranslate" displayName="tblTranslate" ref="B2:E1388" totalsRowShown="0" headerRowDxfId="58" dataDxfId="57">
  <autoFilter ref="B2:E1388" xr:uid="{00000000-0009-0000-0100-000001000000}">
    <filterColumn colId="0">
      <filters>
        <filter val="A signed copy of the spreadsheet (preferably as a PDF) or by post."/>
      </filters>
    </filterColumn>
  </autoFilter>
  <sortState xmlns:xlrd2="http://schemas.microsoft.com/office/spreadsheetml/2017/richdata2" ref="B3:E1382">
    <sortCondition sortBy="cellColor" ref="B2:B1382" dxfId="56"/>
  </sortState>
  <tableColumns count="4">
    <tableColumn id="1" xr3:uid="{00000000-0010-0000-0000-000001000000}" name="English" dataDxfId="55"/>
    <tableColumn id="3" xr3:uid="{00000000-0010-0000-0000-000003000000}" name="Line Info E" dataDxfId="54"/>
    <tableColumn id="2" xr3:uid="{00000000-0010-0000-0000-000002000000}" name="Welsh" dataDxfId="53"/>
    <tableColumn id="4" xr3:uid="{00000000-0010-0000-0000-000004000000}" name="Line Info W" dataDxfId="52"/>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2" xr:uid="{00000000-000C-0000-FFFF-FFFF01000000}" name="YOYOut" displayName="YOYOut" ref="B3:Q20" totalsRowShown="0" headerRowDxfId="51">
  <autoFilter ref="B3:Q20" xr:uid="{00000000-0009-0000-0100-000052000000}"/>
  <tableColumns count="16">
    <tableColumn id="2" xr3:uid="{00000000-0010-0000-0100-000002000000}" name="YearCode" dataDxfId="50">
      <calculatedColumnFormula>LEFT(Year,4)&amp;RIGHT(Year,2)</calculatedColumnFormula>
    </tableColumn>
    <tableColumn id="3" xr3:uid="{00000000-0010-0000-0100-000003000000}" name="FormRef" dataDxfId="49"/>
    <tableColumn id="4" xr3:uid="{00000000-0010-0000-0100-000004000000}" name="RowRef" dataDxfId="48"/>
    <tableColumn id="5" xr3:uid="{00000000-0010-0000-0100-000005000000}" name="ColumnRef" dataDxfId="47">
      <calculatedColumnFormula>1</calculatedColumnFormula>
    </tableColumn>
    <tableColumn id="6" xr3:uid="{00000000-0010-0000-0100-000006000000}" name="AuthCode" dataDxfId="46">
      <calculatedColumnFormula>UANumber</calculatedColumnFormula>
    </tableColumn>
    <tableColumn id="7" xr3:uid="{00000000-0010-0000-0100-000007000000}" name="DataY1" dataDxfId="45">
      <calculatedColumnFormula>VLOOKUP($D4,LineData,2,FALSE)</calculatedColumnFormula>
    </tableColumn>
    <tableColumn id="8" xr3:uid="{00000000-0010-0000-0100-000008000000}" name="DataY2" dataDxfId="44">
      <calculatedColumnFormula>VLOOKUP($D4,LineData,3,FALSE)</calculatedColumnFormula>
    </tableColumn>
    <tableColumn id="9" xr3:uid="{00000000-0010-0000-0100-000009000000}" name="DataY3" dataDxfId="43">
      <calculatedColumnFormula>VLOOKUP($D4,LineData,4,FALSE)</calculatedColumnFormula>
    </tableColumn>
    <tableColumn id="10" xr3:uid="{00000000-0010-0000-0100-00000A000000}" name="Auto" dataDxfId="42">
      <calculatedColumnFormula>VLOOKUP($D4,LineData,10,FALSE)</calculatedColumnFormula>
    </tableColumn>
    <tableColumn id="11" xr3:uid="{00000000-0010-0000-0100-00000B000000}" name="Mark" dataDxfId="41">
      <calculatedColumnFormula>VLOOKUP($D4,LineData,11,FALSE)</calculatedColumnFormula>
    </tableColumn>
    <tableColumn id="12" xr3:uid="{00000000-0010-0000-0100-00000C000000}" name="Check" dataDxfId="40">
      <calculatedColumnFormula>VLOOKUP($D4,LineData,12,FALSE)</calculatedColumnFormula>
    </tableColumn>
    <tableColumn id="13" xr3:uid="{00000000-0010-0000-0100-00000D000000}" name="Status" dataDxfId="39">
      <calculatedColumnFormula>VLOOKUP($D4,LineData,13,FALSE)</calculatedColumnFormula>
    </tableColumn>
    <tableColumn id="14" xr3:uid="{00000000-0010-0000-0100-00000E000000}" name="Your Comments" dataDxfId="38">
      <calculatedColumnFormula>VLOOKUP($D4,LineData,14,FALSE)</calculatedColumnFormula>
    </tableColumn>
    <tableColumn id="15" xr3:uid="{00000000-0010-0000-0100-00000F000000}" name="Our Comments" dataDxfId="37">
      <calculatedColumnFormula>VLOOKUP($D4,LineData,15,FALSE)</calculatedColumnFormula>
    </tableColumn>
    <tableColumn id="16" xr3:uid="{00000000-0010-0000-0100-000010000000}" name="Initials" dataDxfId="36">
      <calculatedColumnFormula>VLOOKUP($D4,LineData,16,FALSE)</calculatedColumnFormula>
    </tableColumn>
    <tableColumn id="17" xr3:uid="{00000000-0010-0000-0100-000011000000}" name="Date" dataDxfId="35">
      <calculatedColumnFormula>IF(ISERROR(VLOOKUP($D4,ValData!$S$4:$AB$16,10,FALSE)),0,IF(VLOOKUP($D4,ValData!$S$4:$AB$16,10,FALSE)="",0,VLOOKUP($D4,ValData!$S$4:$AB$16,10,FALSE)))</calculatedColumnFormula>
    </tableColumn>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5" xr:uid="{00000000-000C-0000-FFFF-FFFF02000000}" name="DataIn" displayName="DataIn" ref="AD3:AK795" tableType="queryTable" totalsRowShown="0" headerRowDxfId="34" dataDxfId="33">
  <autoFilter ref="AD3:AK795" xr:uid="{00000000-0009-0000-0100-000055000000}"/>
  <tableColumns count="8">
    <tableColumn id="10" xr3:uid="{00000000-0010-0000-0200-00000A000000}" uniqueName="10" name="Column1" queryTableFieldId="10" dataDxfId="32">
      <calculatedColumnFormula>AF4&amp;"_"&amp;AG4&amp;"_"&amp;AJ4</calculatedColumnFormula>
    </tableColumn>
    <tableColumn id="1" xr3:uid="{00000000-0010-0000-0200-000001000000}" uniqueName="1" name="FormRef" queryTableFieldId="1" dataDxfId="31"/>
    <tableColumn id="2" xr3:uid="{00000000-0010-0000-0200-000002000000}" uniqueName="2" name="AuthCode" queryTableFieldId="2" dataDxfId="30"/>
    <tableColumn id="3" xr3:uid="{00000000-0010-0000-0200-000003000000}" uniqueName="3" name="RowRef" queryTableFieldId="3" dataDxfId="29"/>
    <tableColumn id="4" xr3:uid="{00000000-0010-0000-0200-000004000000}" uniqueName="4" name="StandDesc" queryTableFieldId="4" dataDxfId="28"/>
    <tableColumn id="5" xr3:uid="{00000000-0010-0000-0200-000005000000}" uniqueName="5" name="ColumnRef" queryTableFieldId="5" dataDxfId="27"/>
    <tableColumn id="7" xr3:uid="{00000000-0010-0000-0200-000007000000}" uniqueName="7" name="YearCode" queryTableFieldId="7" dataDxfId="26"/>
    <tableColumn id="8" xr3:uid="{00000000-0010-0000-0200-000008000000}" uniqueName="8" name="Data" queryTableFieldId="8" dataDxfId="25"/>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6" xr:uid="{00000000-000C-0000-FFFF-FFFF03000000}" name="AllRows" displayName="AllRows" ref="T3:Y21" totalsRowShown="0" headerRowDxfId="24" tableBorderDxfId="23">
  <autoFilter ref="T3:Y21" xr:uid="{00000000-0009-0000-0100-000056000000}"/>
  <tableColumns count="6">
    <tableColumn id="1" xr3:uid="{00000000-0010-0000-0300-000001000000}" name="Row" dataDxfId="22"/>
    <tableColumn id="2" xr3:uid="{00000000-0010-0000-0300-000002000000}" name="T" dataDxfId="21"/>
    <tableColumn id="3" xr3:uid="{00000000-0010-0000-0300-000003000000}" name="StandDesc" dataDxfId="20"/>
    <tableColumn id="4" xr3:uid="{00000000-0010-0000-0300-000004000000}" name="Short E"/>
    <tableColumn id="5" xr3:uid="{00000000-0010-0000-0300-000005000000}" name="StandWelsh" dataDxfId="19">
      <calculatedColumnFormula>VLOOKUP(T4,Text!$A$28:$D$47,4,FALSE)</calculatedColumnFormula>
    </tableColumn>
    <tableColumn id="6" xr3:uid="{00000000-0010-0000-0300-000006000000}" name="Short W"/>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txDef>
      <a:spPr>
        <a:solidFill>
          <a:schemeClr val="lt1"/>
        </a:solidFill>
        <a:ln w="9525" cmpd="sng">
          <a:solidFill>
            <a:schemeClr val="tx1"/>
          </a:solidFill>
        </a:ln>
      </a:spPr>
      <a:bodyPr vertOverflow="clip" horzOverflow="clip" wrap="square" rtlCol="0" anchor="t"/>
      <a:lstStyle>
        <a:defPPr algn="l" rtl="0">
          <a:defRPr sz="1000" b="0" i="0" u="none" strike="noStrike" baseline="0">
            <a:solidFill>
              <a:srgbClr val="000000"/>
            </a:solidFill>
            <a:latin typeface="Arial"/>
            <a:cs typeface="Arial"/>
          </a:defRPr>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4.v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hyperlink" Target="https://gov.wales/statistics-and-research/council-tax-levels/budget-requirements-data-collection/?skip=1&amp;lang=en" TargetMode="External"/><Relationship Id="rId2" Type="http://schemas.openxmlformats.org/officeDocument/2006/relationships/hyperlink" Target="https://gov.wales/local-government-revenue-and-capital-settlement-provisional-2021-2022" TargetMode="External"/><Relationship Id="rId1" Type="http://schemas.openxmlformats.org/officeDocument/2006/relationships/hyperlink" Target="https://llyw.cymru/setliad-refeniw-chyfalaf-llywodraeth-leol-dros-dro-2021-i-2022" TargetMode="External"/><Relationship Id="rId6" Type="http://schemas.openxmlformats.org/officeDocument/2006/relationships/drawing" Target="../drawings/drawing2.xml"/><Relationship Id="rId5" Type="http://schemas.openxmlformats.org/officeDocument/2006/relationships/printerSettings" Target="../printerSettings/printerSettings2.bin"/><Relationship Id="rId4" Type="http://schemas.openxmlformats.org/officeDocument/2006/relationships/hyperlink" Target="https://llyw.cymru/casglu-data-gofynion-cyllideb?_ga=2.207181456.201574459.1582714203-326733120.1568214702"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pivotTable" Target="../pivotTables/pivotTable3.xml"/><Relationship Id="rId7" Type="http://schemas.openxmlformats.org/officeDocument/2006/relationships/vmlDrawing" Target="../drawings/vmlDrawing2.vml"/><Relationship Id="rId2" Type="http://schemas.openxmlformats.org/officeDocument/2006/relationships/pivotTable" Target="../pivotTables/pivotTable2.xml"/><Relationship Id="rId1" Type="http://schemas.openxmlformats.org/officeDocument/2006/relationships/pivotTable" Target="../pivotTables/pivotTable1.xml"/><Relationship Id="rId6" Type="http://schemas.openxmlformats.org/officeDocument/2006/relationships/printerSettings" Target="../printerSettings/printerSettings6.bin"/><Relationship Id="rId5" Type="http://schemas.openxmlformats.org/officeDocument/2006/relationships/hyperlink" Target="https://www.gov.wales/local-government-finance" TargetMode="External"/><Relationship Id="rId4" Type="http://schemas.openxmlformats.org/officeDocument/2006/relationships/pivotTable" Target="../pivotTables/pivotTable4.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vmlDrawing" Target="../drawings/vmlDrawing3.vml"/><Relationship Id="rId1" Type="http://schemas.openxmlformats.org/officeDocument/2006/relationships/printerSettings" Target="../printerSettings/printerSettings9.bin"/><Relationship Id="rId6" Type="http://schemas.openxmlformats.org/officeDocument/2006/relationships/comments" Target="../comments2.xml"/><Relationship Id="rId5" Type="http://schemas.openxmlformats.org/officeDocument/2006/relationships/table" Target="../tables/table5.xml"/><Relationship Id="rId4" Type="http://schemas.openxmlformats.org/officeDocument/2006/relationships/table" Target="../tables/table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pageSetUpPr fitToPage="1"/>
  </sheetPr>
  <dimension ref="B1:AA56"/>
  <sheetViews>
    <sheetView tabSelected="1" zoomScaleNormal="100" workbookViewId="0"/>
  </sheetViews>
  <sheetFormatPr defaultColWidth="8.84375" defaultRowHeight="15.5" x14ac:dyDescent="0.35"/>
  <cols>
    <col min="1" max="1" width="3.69140625" style="15" customWidth="1"/>
    <col min="2" max="3" width="2.23046875" style="15" customWidth="1"/>
    <col min="4" max="5" width="4.765625" style="15" customWidth="1"/>
    <col min="6" max="6" width="22" style="15" customWidth="1"/>
    <col min="7" max="7" width="8.3046875" style="15" customWidth="1"/>
    <col min="8" max="8" width="6.765625" style="15" customWidth="1"/>
    <col min="9" max="9" width="2.765625" style="15" customWidth="1"/>
    <col min="10" max="10" width="6.4609375" style="15" customWidth="1"/>
    <col min="11" max="12" width="8.765625" style="15" customWidth="1"/>
    <col min="13" max="13" width="7.07421875" style="15" customWidth="1"/>
    <col min="14" max="15" width="2.23046875" style="15" customWidth="1"/>
    <col min="16" max="16384" width="8.84375" style="15"/>
  </cols>
  <sheetData>
    <row r="1" spans="2:15" ht="15" customHeight="1" x14ac:dyDescent="0.35">
      <c r="B1" s="387"/>
      <c r="C1" s="387"/>
      <c r="D1" s="387"/>
      <c r="E1" s="387"/>
      <c r="F1" s="387"/>
      <c r="G1" s="387"/>
      <c r="H1" s="387"/>
      <c r="I1" s="387"/>
      <c r="J1" s="387"/>
      <c r="K1" s="387"/>
      <c r="L1" s="387"/>
      <c r="M1" s="387"/>
      <c r="N1" s="387"/>
      <c r="O1" s="387"/>
    </row>
    <row r="2" spans="2:15" ht="24" customHeight="1" x14ac:dyDescent="0.35">
      <c r="B2" s="377"/>
      <c r="C2" s="378"/>
      <c r="D2" s="574" t="str">
        <f>Text!F4&amp;", "&amp;Details!E32</f>
        <v>Budget Requirement Return, 2024-25</v>
      </c>
      <c r="E2" s="574"/>
      <c r="F2" s="574"/>
      <c r="G2" s="574"/>
      <c r="H2" s="379"/>
      <c r="I2" s="379"/>
      <c r="J2" s="379"/>
      <c r="K2" s="379"/>
      <c r="L2" s="379"/>
      <c r="M2" s="50" t="s">
        <v>1</v>
      </c>
      <c r="N2" s="572">
        <v>1</v>
      </c>
      <c r="O2" s="573"/>
    </row>
    <row r="3" spans="2:15" ht="11.25" customHeight="1" x14ac:dyDescent="0.35">
      <c r="B3" s="326"/>
      <c r="C3" s="51"/>
      <c r="D3" s="51"/>
      <c r="E3" s="51"/>
      <c r="F3" s="51"/>
      <c r="G3" s="51"/>
      <c r="H3" s="51"/>
      <c r="I3" s="51"/>
      <c r="J3" s="51"/>
      <c r="K3" s="51"/>
      <c r="L3" s="51"/>
      <c r="M3" s="51"/>
      <c r="N3" s="51"/>
      <c r="O3" s="380"/>
    </row>
    <row r="4" spans="2:15" ht="16.5" customHeight="1" x14ac:dyDescent="0.4">
      <c r="B4" s="326"/>
      <c r="C4" s="51"/>
      <c r="D4" s="325" t="str">
        <f>Text!F5</f>
        <v>Billing authorities only</v>
      </c>
      <c r="E4" s="51"/>
      <c r="F4" s="51"/>
      <c r="G4" s="51"/>
      <c r="H4" s="51"/>
      <c r="I4" s="51"/>
      <c r="J4" s="51"/>
      <c r="K4" s="51"/>
      <c r="L4" s="51"/>
      <c r="M4" s="51"/>
      <c r="N4" s="51"/>
      <c r="O4" s="380"/>
    </row>
    <row r="5" spans="2:15" ht="15" customHeight="1" x14ac:dyDescent="0.4">
      <c r="B5" s="326"/>
      <c r="C5" s="51"/>
      <c r="D5" s="51"/>
      <c r="E5" s="325"/>
      <c r="F5" s="51"/>
      <c r="G5" s="51"/>
      <c r="H5" s="51"/>
      <c r="I5" s="51"/>
      <c r="J5" s="51"/>
      <c r="K5" s="51"/>
      <c r="L5" s="51"/>
      <c r="M5" s="51"/>
      <c r="N5" s="51"/>
      <c r="O5" s="380"/>
    </row>
    <row r="6" spans="2:15" ht="15" customHeight="1" x14ac:dyDescent="0.35">
      <c r="B6" s="326"/>
      <c r="C6" s="51"/>
      <c r="D6" s="51"/>
      <c r="E6" s="78"/>
      <c r="F6" s="51"/>
      <c r="G6" s="78"/>
      <c r="H6" s="51"/>
      <c r="I6" s="51"/>
      <c r="J6" s="51"/>
      <c r="K6" s="80"/>
      <c r="L6" s="79"/>
      <c r="M6" s="80"/>
      <c r="N6" s="81"/>
      <c r="O6" s="381"/>
    </row>
    <row r="7" spans="2:15" ht="15" customHeight="1" x14ac:dyDescent="0.35">
      <c r="B7" s="326"/>
      <c r="C7" s="51"/>
      <c r="D7" s="51"/>
      <c r="E7" s="52">
        <v>2</v>
      </c>
      <c r="F7" s="51"/>
      <c r="G7" s="51"/>
      <c r="H7" s="51"/>
      <c r="I7" s="51"/>
      <c r="J7" s="51"/>
      <c r="K7" s="51"/>
      <c r="L7" s="169">
        <v>0</v>
      </c>
      <c r="M7" s="51"/>
      <c r="N7" s="51"/>
      <c r="O7" s="380"/>
    </row>
    <row r="8" spans="2:15" ht="7.5" customHeight="1" x14ac:dyDescent="0.35">
      <c r="B8" s="326"/>
      <c r="C8" s="51"/>
      <c r="D8" s="51"/>
      <c r="E8" s="52"/>
      <c r="F8" s="51"/>
      <c r="G8" s="51"/>
      <c r="H8" s="51"/>
      <c r="I8" s="51"/>
      <c r="J8" s="51"/>
      <c r="K8" s="51"/>
      <c r="L8" s="169"/>
      <c r="M8" s="51"/>
      <c r="N8" s="51"/>
      <c r="O8" s="380"/>
    </row>
    <row r="9" spans="2:15" ht="15" customHeight="1" x14ac:dyDescent="0.35">
      <c r="B9" s="326"/>
      <c r="C9" s="51"/>
      <c r="D9" s="502" t="str">
        <f>Text!F6</f>
        <v>Please select your authority and if necessary, amend any incorrect details</v>
      </c>
      <c r="E9" s="52"/>
      <c r="F9" s="51"/>
      <c r="G9" s="51"/>
      <c r="H9" s="51"/>
      <c r="I9" s="51"/>
      <c r="J9" s="51"/>
      <c r="K9" s="51"/>
      <c r="L9" s="169"/>
      <c r="M9" s="51"/>
      <c r="N9" s="51"/>
      <c r="O9" s="380"/>
    </row>
    <row r="10" spans="2:15" ht="7.5" customHeight="1" x14ac:dyDescent="0.35">
      <c r="B10" s="326"/>
      <c r="C10" s="51"/>
      <c r="D10" s="55"/>
      <c r="E10" s="52"/>
      <c r="F10" s="51"/>
      <c r="G10" s="51"/>
      <c r="H10" s="51"/>
      <c r="I10" s="51"/>
      <c r="J10" s="51"/>
      <c r="K10" s="51"/>
      <c r="L10" s="169"/>
      <c r="M10" s="51"/>
      <c r="N10" s="51"/>
      <c r="O10" s="380"/>
    </row>
    <row r="11" spans="2:15" ht="15" customHeight="1" x14ac:dyDescent="0.35">
      <c r="B11" s="326"/>
      <c r="C11" s="51"/>
      <c r="D11" s="51"/>
      <c r="E11" s="51"/>
      <c r="F11" s="51"/>
      <c r="G11" s="51"/>
      <c r="H11" s="51"/>
      <c r="I11" s="51"/>
      <c r="J11" s="51"/>
      <c r="K11" s="51"/>
      <c r="L11" s="51"/>
      <c r="M11" s="51"/>
      <c r="N11" s="51"/>
      <c r="O11" s="380"/>
    </row>
    <row r="12" spans="2:15" ht="15" customHeight="1" x14ac:dyDescent="0.35">
      <c r="B12" s="326"/>
      <c r="C12" s="51"/>
      <c r="D12" s="51"/>
      <c r="E12" s="51"/>
      <c r="F12" s="97">
        <v>1</v>
      </c>
      <c r="G12" s="97">
        <v>5</v>
      </c>
      <c r="H12" s="51"/>
      <c r="I12" s="51"/>
      <c r="J12" s="51"/>
      <c r="K12" s="51"/>
      <c r="L12" s="51"/>
      <c r="M12" s="51"/>
      <c r="N12" s="51"/>
      <c r="O12" s="380"/>
    </row>
    <row r="13" spans="2:15" ht="13.5" customHeight="1" x14ac:dyDescent="0.35">
      <c r="B13" s="326"/>
      <c r="C13" s="51"/>
      <c r="D13" s="51"/>
      <c r="E13" s="51"/>
      <c r="F13" s="51"/>
      <c r="G13" s="51"/>
      <c r="H13" s="51"/>
      <c r="I13" s="51"/>
      <c r="J13" s="51"/>
      <c r="K13" s="51"/>
      <c r="L13" s="51"/>
      <c r="M13" s="51"/>
      <c r="N13" s="51"/>
      <c r="O13" s="380"/>
    </row>
    <row r="14" spans="2:15" ht="18.75" customHeight="1" x14ac:dyDescent="0.35">
      <c r="B14" s="326"/>
      <c r="C14" s="51"/>
      <c r="D14" s="51"/>
      <c r="E14" s="420"/>
      <c r="F14" s="276" t="str">
        <f>IF(UANumber=0,"",VLOOKUP(UANumber,Addresses,3,FALSE))</f>
        <v/>
      </c>
      <c r="G14" s="421"/>
      <c r="H14" s="53"/>
      <c r="I14" s="53"/>
      <c r="J14" s="53"/>
      <c r="K14" s="53"/>
      <c r="L14" s="51"/>
      <c r="M14" s="51"/>
      <c r="N14" s="51"/>
      <c r="O14" s="380"/>
    </row>
    <row r="15" spans="2:15" ht="15" customHeight="1" x14ac:dyDescent="0.35">
      <c r="B15" s="326"/>
      <c r="C15" s="51"/>
      <c r="D15" s="51"/>
      <c r="E15" s="422"/>
      <c r="F15" s="423" t="str">
        <f>IF(UANumber=0,"",VLOOKUP(UANumber,Addresses,4,FALSE))</f>
        <v/>
      </c>
      <c r="G15" s="424"/>
      <c r="H15" s="53"/>
      <c r="I15" s="53"/>
      <c r="J15" s="53"/>
      <c r="K15" s="53"/>
      <c r="L15" s="51"/>
      <c r="M15" s="51"/>
      <c r="N15" s="51"/>
      <c r="O15" s="380"/>
    </row>
    <row r="16" spans="2:15" ht="15" customHeight="1" x14ac:dyDescent="0.35">
      <c r="B16" s="326"/>
      <c r="C16" s="51"/>
      <c r="D16" s="51"/>
      <c r="E16" s="422"/>
      <c r="F16" s="423" t="str">
        <f>IF(UANumber=0,"",IF(VLOOKUP(UANumber,Addresses,5,FALSE)="","",VLOOKUP(UANumber,Addresses,5,FALSE)))</f>
        <v/>
      </c>
      <c r="G16" s="424"/>
      <c r="H16" s="53"/>
      <c r="I16" s="53"/>
      <c r="J16" s="53"/>
      <c r="K16" s="53"/>
      <c r="L16" s="51"/>
      <c r="M16" s="51"/>
      <c r="N16" s="51"/>
      <c r="O16" s="380"/>
    </row>
    <row r="17" spans="2:15" ht="15" customHeight="1" x14ac:dyDescent="0.35">
      <c r="B17" s="326"/>
      <c r="C17" s="51"/>
      <c r="D17" s="51"/>
      <c r="E17" s="422"/>
      <c r="F17" s="423" t="str">
        <f>IF(UANumber=0,"",IF(VLOOKUP(UANumber,Addresses,6,FALSE)="","",VLOOKUP(UANumber,Addresses,6,FALSE)))</f>
        <v/>
      </c>
      <c r="G17" s="424"/>
      <c r="H17" s="53"/>
      <c r="I17" s="53"/>
      <c r="J17" s="53"/>
      <c r="K17" s="53"/>
      <c r="L17" s="51"/>
      <c r="M17" s="51"/>
      <c r="N17" s="51"/>
      <c r="O17" s="380"/>
    </row>
    <row r="18" spans="2:15" ht="15" customHeight="1" x14ac:dyDescent="0.35">
      <c r="B18" s="326"/>
      <c r="C18" s="51"/>
      <c r="D18" s="51"/>
      <c r="E18" s="422"/>
      <c r="F18" s="423" t="str">
        <f>IF(UANumber=0,"",IF(VLOOKUP(UANumber,Addresses,7,FALSE)="","",VLOOKUP(UANumber,Addresses,7,FALSE)))</f>
        <v/>
      </c>
      <c r="G18" s="424"/>
      <c r="H18" s="53"/>
      <c r="I18" s="53"/>
      <c r="J18" s="53"/>
      <c r="K18" s="53"/>
      <c r="L18" s="51"/>
      <c r="M18" s="51"/>
      <c r="N18" s="51"/>
      <c r="O18" s="380"/>
    </row>
    <row r="19" spans="2:15" ht="15" customHeight="1" x14ac:dyDescent="0.35">
      <c r="B19" s="326"/>
      <c r="C19" s="51"/>
      <c r="D19" s="51"/>
      <c r="E19" s="425"/>
      <c r="F19" s="426" t="str">
        <f>IF(UANumber=0,"",VLOOKUP(UANumber,Addresses,8,FALSE))</f>
        <v/>
      </c>
      <c r="G19" s="427"/>
      <c r="H19" s="53"/>
      <c r="I19" s="53"/>
      <c r="J19" s="53"/>
      <c r="K19" s="53"/>
      <c r="L19" s="51"/>
      <c r="M19" s="51"/>
      <c r="N19" s="51"/>
      <c r="O19" s="380"/>
    </row>
    <row r="20" spans="2:15" ht="7.5" customHeight="1" x14ac:dyDescent="0.35">
      <c r="B20" s="326"/>
      <c r="C20" s="51"/>
      <c r="D20" s="51"/>
      <c r="E20" s="53"/>
      <c r="F20" s="53"/>
      <c r="G20" s="53"/>
      <c r="H20" s="53"/>
      <c r="I20" s="53"/>
      <c r="J20" s="53"/>
      <c r="K20" s="53"/>
      <c r="L20" s="51"/>
      <c r="M20" s="51"/>
      <c r="N20" s="51"/>
      <c r="O20" s="380"/>
    </row>
    <row r="21" spans="2:15" ht="20.25" customHeight="1" x14ac:dyDescent="0.35">
      <c r="B21" s="326"/>
      <c r="C21" s="51"/>
      <c r="D21" s="51"/>
      <c r="E21" s="53"/>
      <c r="F21" s="56" t="str">
        <f>Text!F7&amp;" "</f>
        <v xml:space="preserve">Name: </v>
      </c>
      <c r="G21" s="575" t="str">
        <f>IF(UANumber=0,"",VLOOKUP(UANumber,Addresses,9,FALSE))</f>
        <v/>
      </c>
      <c r="H21" s="576"/>
      <c r="I21" s="576"/>
      <c r="J21" s="576"/>
      <c r="K21" s="576"/>
      <c r="L21" s="576"/>
      <c r="M21" s="576"/>
      <c r="N21" s="577"/>
      <c r="O21" s="380"/>
    </row>
    <row r="22" spans="2:15" ht="20.25" customHeight="1" x14ac:dyDescent="0.35">
      <c r="B22" s="326"/>
      <c r="C22" s="51"/>
      <c r="D22" s="51"/>
      <c r="E22" s="53"/>
      <c r="F22" s="56"/>
      <c r="G22" s="578"/>
      <c r="H22" s="579"/>
      <c r="I22" s="579"/>
      <c r="J22" s="579"/>
      <c r="K22" s="579"/>
      <c r="L22" s="579"/>
      <c r="M22" s="579"/>
      <c r="N22" s="580"/>
      <c r="O22" s="380"/>
    </row>
    <row r="23" spans="2:15" ht="7.5" customHeight="1" x14ac:dyDescent="0.35">
      <c r="B23" s="326"/>
      <c r="C23" s="51"/>
      <c r="D23" s="51"/>
      <c r="E23" s="53"/>
      <c r="F23" s="53"/>
      <c r="G23" s="57"/>
      <c r="H23" s="57"/>
      <c r="I23" s="57"/>
      <c r="J23" s="57"/>
      <c r="K23" s="57"/>
      <c r="L23" s="51"/>
      <c r="M23" s="51"/>
      <c r="N23" s="51"/>
      <c r="O23" s="380"/>
    </row>
    <row r="24" spans="2:15" ht="20.25" customHeight="1" x14ac:dyDescent="0.35">
      <c r="B24" s="326"/>
      <c r="C24" s="51"/>
      <c r="D24" s="51"/>
      <c r="E24" s="53"/>
      <c r="F24" s="328" t="str">
        <f>Text!F8&amp;" "</f>
        <v xml:space="preserve">E-mail (please enter N/A if unavailable): </v>
      </c>
      <c r="G24" s="575" t="str">
        <f>IF(UANumber=0,"",VLOOKUP(UANumber,Addresses,12,FALSE))</f>
        <v/>
      </c>
      <c r="H24" s="576"/>
      <c r="I24" s="576"/>
      <c r="J24" s="576"/>
      <c r="K24" s="576"/>
      <c r="L24" s="576"/>
      <c r="M24" s="576"/>
      <c r="N24" s="577"/>
      <c r="O24" s="380"/>
    </row>
    <row r="25" spans="2:15" ht="20.25" customHeight="1" x14ac:dyDescent="0.35">
      <c r="B25" s="326"/>
      <c r="C25" s="51"/>
      <c r="D25" s="51"/>
      <c r="E25" s="53"/>
      <c r="F25" s="327"/>
      <c r="G25" s="578"/>
      <c r="H25" s="579"/>
      <c r="I25" s="579"/>
      <c r="J25" s="579"/>
      <c r="K25" s="579"/>
      <c r="L25" s="579"/>
      <c r="M25" s="579"/>
      <c r="N25" s="580"/>
      <c r="O25" s="380"/>
    </row>
    <row r="26" spans="2:15" ht="7.5" customHeight="1" x14ac:dyDescent="0.35">
      <c r="B26" s="326"/>
      <c r="C26" s="51"/>
      <c r="D26" s="51"/>
      <c r="E26" s="53"/>
      <c r="F26" s="53"/>
      <c r="G26" s="57"/>
      <c r="H26" s="57"/>
      <c r="I26" s="57"/>
      <c r="J26" s="57"/>
      <c r="K26" s="57"/>
      <c r="L26" s="51"/>
      <c r="M26" s="51"/>
      <c r="N26" s="51"/>
      <c r="O26" s="380"/>
    </row>
    <row r="27" spans="2:15" ht="20.25" customHeight="1" x14ac:dyDescent="0.35">
      <c r="B27" s="326"/>
      <c r="C27" s="51"/>
      <c r="D27" s="51"/>
      <c r="E27" s="53"/>
      <c r="F27" s="56" t="str">
        <f>Text!F9&amp;" "</f>
        <v xml:space="preserve">Telephone: </v>
      </c>
      <c r="G27" s="575" t="str">
        <f>IF(UANumber=0,"",VLOOKUP(UANumber,Addresses,10,FALSE)&amp;" "&amp;VLOOKUP(UANumber,Addresses,11,FALSE))</f>
        <v/>
      </c>
      <c r="H27" s="576"/>
      <c r="I27" s="576"/>
      <c r="J27" s="576"/>
      <c r="K27" s="576"/>
      <c r="L27" s="576"/>
      <c r="M27" s="576"/>
      <c r="N27" s="577"/>
      <c r="O27" s="380"/>
    </row>
    <row r="28" spans="2:15" ht="20.25" customHeight="1" x14ac:dyDescent="0.35">
      <c r="B28" s="326"/>
      <c r="C28" s="51"/>
      <c r="D28" s="51"/>
      <c r="E28" s="53"/>
      <c r="F28" s="53"/>
      <c r="G28" s="578"/>
      <c r="H28" s="579"/>
      <c r="I28" s="579"/>
      <c r="J28" s="579"/>
      <c r="K28" s="579"/>
      <c r="L28" s="579"/>
      <c r="M28" s="579"/>
      <c r="N28" s="580"/>
      <c r="O28" s="380"/>
    </row>
    <row r="29" spans="2:15" ht="7.5" customHeight="1" x14ac:dyDescent="0.35">
      <c r="B29" s="326"/>
      <c r="C29" s="51"/>
      <c r="D29" s="51"/>
      <c r="E29" s="51"/>
      <c r="F29" s="51"/>
      <c r="G29" s="51"/>
      <c r="H29" s="51"/>
      <c r="I29" s="51"/>
      <c r="J29" s="51"/>
      <c r="K29" s="51"/>
      <c r="L29" s="51"/>
      <c r="M29" s="51"/>
      <c r="N29" s="51"/>
      <c r="O29" s="380"/>
    </row>
    <row r="30" spans="2:15" ht="7.5" customHeight="1" x14ac:dyDescent="0.35">
      <c r="B30" s="442"/>
      <c r="C30" s="581"/>
      <c r="D30" s="581"/>
      <c r="E30" s="581"/>
      <c r="F30" s="581"/>
      <c r="G30" s="581"/>
      <c r="H30" s="581"/>
      <c r="I30" s="581"/>
      <c r="J30" s="581"/>
      <c r="K30" s="581"/>
      <c r="L30" s="581"/>
      <c r="M30" s="581"/>
      <c r="N30" s="581"/>
      <c r="O30" s="443"/>
    </row>
    <row r="31" spans="2:15" ht="30" customHeight="1" x14ac:dyDescent="0.35">
      <c r="B31" s="442"/>
      <c r="C31" s="586" t="str">
        <f>Text!F11</f>
        <v>The information on this form must be submitted under section 64 of the Local Government Finance Act 1992, as amended.</v>
      </c>
      <c r="D31" s="586"/>
      <c r="E31" s="586"/>
      <c r="F31" s="586"/>
      <c r="G31" s="586"/>
      <c r="H31" s="586"/>
      <c r="I31" s="586"/>
      <c r="J31" s="586"/>
      <c r="K31" s="586"/>
      <c r="L31" s="586"/>
      <c r="M31" s="586"/>
      <c r="N31" s="586"/>
      <c r="O31" s="443"/>
    </row>
    <row r="32" spans="2:15" ht="15" customHeight="1" x14ac:dyDescent="0.35">
      <c r="B32" s="442"/>
      <c r="C32" s="586" t="str">
        <f>Text!F12</f>
        <v>This form must be returned within 7 days of calculating your Budget Requirement.</v>
      </c>
      <c r="D32" s="586"/>
      <c r="E32" s="586"/>
      <c r="F32" s="586"/>
      <c r="G32" s="586"/>
      <c r="H32" s="586"/>
      <c r="I32" s="586"/>
      <c r="J32" s="586"/>
      <c r="K32" s="586"/>
      <c r="L32" s="586"/>
      <c r="M32" s="586"/>
      <c r="N32" s="586"/>
      <c r="O32" s="443"/>
    </row>
    <row r="33" spans="2:15" ht="7.5" customHeight="1" x14ac:dyDescent="0.35">
      <c r="B33" s="442"/>
      <c r="C33" s="444"/>
      <c r="D33" s="445"/>
      <c r="E33" s="445"/>
      <c r="F33" s="445"/>
      <c r="G33" s="445"/>
      <c r="H33" s="445"/>
      <c r="I33" s="445"/>
      <c r="J33" s="445"/>
      <c r="K33" s="445"/>
      <c r="L33" s="445"/>
      <c r="M33" s="445"/>
      <c r="N33" s="445"/>
      <c r="O33" s="443"/>
    </row>
    <row r="34" spans="2:15" ht="25" customHeight="1" x14ac:dyDescent="0.35">
      <c r="B34" s="442"/>
      <c r="C34" s="587" t="str">
        <f>Text!F13&amp;" "&amp;TEXT(Details!G5,"dd mmmm yyyy")</f>
        <v>The latest date for return is 14 March 2024</v>
      </c>
      <c r="D34" s="588"/>
      <c r="E34" s="588"/>
      <c r="F34" s="588"/>
      <c r="G34" s="588"/>
      <c r="H34" s="588"/>
      <c r="I34" s="588"/>
      <c r="J34" s="588"/>
      <c r="K34" s="588"/>
      <c r="L34" s="588"/>
      <c r="M34" s="588"/>
      <c r="N34" s="589"/>
      <c r="O34" s="443"/>
    </row>
    <row r="35" spans="2:15" ht="7.4" customHeight="1" x14ac:dyDescent="0.35">
      <c r="B35" s="442"/>
      <c r="C35" s="444"/>
      <c r="D35" s="445"/>
      <c r="E35" s="445"/>
      <c r="F35" s="445"/>
      <c r="G35" s="445"/>
      <c r="H35" s="445"/>
      <c r="I35" s="445"/>
      <c r="J35" s="445"/>
      <c r="K35" s="445"/>
      <c r="L35" s="445"/>
      <c r="M35" s="445"/>
      <c r="N35" s="445"/>
      <c r="O35" s="443"/>
    </row>
    <row r="36" spans="2:15" ht="7.5" customHeight="1" x14ac:dyDescent="0.35">
      <c r="B36" s="442"/>
      <c r="C36" s="592"/>
      <c r="D36" s="592"/>
      <c r="E36" s="592"/>
      <c r="F36" s="592"/>
      <c r="G36" s="592"/>
      <c r="H36" s="592"/>
      <c r="I36" s="592"/>
      <c r="J36" s="592"/>
      <c r="K36" s="592"/>
      <c r="L36" s="592"/>
      <c r="M36" s="592"/>
      <c r="N36" s="592"/>
      <c r="O36" s="443"/>
    </row>
    <row r="37" spans="2:15" ht="15" customHeight="1" x14ac:dyDescent="0.35">
      <c r="B37" s="442"/>
      <c r="C37" s="593"/>
      <c r="D37" s="591" t="str">
        <f>Text!F90</f>
        <v>Once certified, please send the following:</v>
      </c>
      <c r="E37" s="591"/>
      <c r="F37" s="591"/>
      <c r="G37" s="591"/>
      <c r="H37" s="591"/>
      <c r="I37" s="591"/>
      <c r="J37" s="591"/>
      <c r="K37" s="591"/>
      <c r="L37" s="591"/>
      <c r="M37" s="591"/>
      <c r="N37" s="591"/>
      <c r="O37" s="443"/>
    </row>
    <row r="38" spans="2:15" ht="15" customHeight="1" x14ac:dyDescent="0.35">
      <c r="B38" s="442"/>
      <c r="C38" s="593"/>
      <c r="D38" s="446" t="s">
        <v>3030</v>
      </c>
      <c r="E38" s="586" t="str">
        <f>Text!F91</f>
        <v>An electronic copy of the spreadsheet, preferably with an image of the CFO signature and date added.</v>
      </c>
      <c r="F38" s="586"/>
      <c r="G38" s="586"/>
      <c r="H38" s="586"/>
      <c r="I38" s="586"/>
      <c r="J38" s="586"/>
      <c r="K38" s="586"/>
      <c r="L38" s="586"/>
      <c r="M38" s="586"/>
      <c r="N38" s="586"/>
      <c r="O38" s="443"/>
    </row>
    <row r="39" spans="2:15" ht="15" customHeight="1" x14ac:dyDescent="0.35">
      <c r="B39" s="442"/>
      <c r="C39" s="593"/>
      <c r="D39" s="446" t="s">
        <v>3030</v>
      </c>
      <c r="E39" s="586" t="str">
        <f>Text!F92</f>
        <v>Or an electronic copy and a separate, signed copy (preferably as a PDF, or a hard copy by post).</v>
      </c>
      <c r="F39" s="586"/>
      <c r="G39" s="586"/>
      <c r="H39" s="586"/>
      <c r="I39" s="586"/>
      <c r="J39" s="586"/>
      <c r="K39" s="586"/>
      <c r="L39" s="586"/>
      <c r="M39" s="586"/>
      <c r="N39" s="586"/>
      <c r="O39" s="443"/>
    </row>
    <row r="40" spans="2:15" ht="7.5" customHeight="1" x14ac:dyDescent="0.35">
      <c r="B40" s="442"/>
      <c r="C40" s="592"/>
      <c r="D40" s="592"/>
      <c r="E40" s="592"/>
      <c r="F40" s="592"/>
      <c r="G40" s="592"/>
      <c r="H40" s="592"/>
      <c r="I40" s="592"/>
      <c r="J40" s="592"/>
      <c r="K40" s="592"/>
      <c r="L40" s="592"/>
      <c r="M40" s="592"/>
      <c r="N40" s="592"/>
      <c r="O40" s="443"/>
    </row>
    <row r="41" spans="2:15" ht="7.4" customHeight="1" x14ac:dyDescent="0.35">
      <c r="B41" s="442"/>
      <c r="C41" s="444"/>
      <c r="D41" s="444"/>
      <c r="E41" s="444"/>
      <c r="F41" s="444"/>
      <c r="G41" s="444"/>
      <c r="H41" s="444"/>
      <c r="I41" s="444"/>
      <c r="J41" s="444"/>
      <c r="K41" s="444"/>
      <c r="L41" s="444"/>
      <c r="M41" s="444"/>
      <c r="N41" s="444"/>
      <c r="O41" s="443"/>
    </row>
    <row r="42" spans="2:15" ht="31.5" customHeight="1" x14ac:dyDescent="0.35">
      <c r="B42" s="442"/>
      <c r="C42" s="590" t="str">
        <f>Text!F93</f>
        <v>N.B. The signed copy figures must match the electronic copy. We’ll need another signed copy if they don’t.</v>
      </c>
      <c r="D42" s="590"/>
      <c r="E42" s="590"/>
      <c r="F42" s="590"/>
      <c r="G42" s="590"/>
      <c r="H42" s="590"/>
      <c r="I42" s="590"/>
      <c r="J42" s="590"/>
      <c r="K42" s="590"/>
      <c r="L42" s="590"/>
      <c r="M42" s="590"/>
      <c r="N42" s="590"/>
      <c r="O42" s="443"/>
    </row>
    <row r="43" spans="2:15" ht="7.4" customHeight="1" x14ac:dyDescent="0.35">
      <c r="B43" s="442"/>
      <c r="C43" s="447"/>
      <c r="D43" s="448"/>
      <c r="E43" s="448"/>
      <c r="F43" s="448"/>
      <c r="G43" s="448"/>
      <c r="H43" s="448"/>
      <c r="I43" s="448"/>
      <c r="J43" s="448"/>
      <c r="K43" s="448"/>
      <c r="L43" s="448"/>
      <c r="M43" s="448"/>
      <c r="N43" s="448"/>
      <c r="O43" s="443"/>
    </row>
    <row r="44" spans="2:15" ht="30" customHeight="1" x14ac:dyDescent="0.35">
      <c r="B44" s="382"/>
      <c r="C44" s="78"/>
      <c r="D44" s="582" t="str">
        <f>Text!F14</f>
        <v>Any queries on completion of the form or spreadsheet should be directed in the first instance, via telephone or e-mail, as directed below:</v>
      </c>
      <c r="E44" s="583"/>
      <c r="F44" s="583"/>
      <c r="G44" s="583"/>
      <c r="H44" s="583"/>
      <c r="I44" s="583"/>
      <c r="J44" s="583"/>
      <c r="K44" s="583"/>
      <c r="L44" s="583"/>
      <c r="M44" s="583"/>
      <c r="N44" s="137"/>
      <c r="O44" s="383"/>
    </row>
    <row r="45" spans="2:15" ht="30" customHeight="1" x14ac:dyDescent="0.35">
      <c r="B45" s="326"/>
      <c r="C45" s="51"/>
      <c r="D45" s="584" t="str">
        <f>Text!F15</f>
        <v>It is a Welsh Government audit requirement that all cells are completed.  Please ensure that all blank cells are populated with zeros, those that are not will be assumed to be zero.</v>
      </c>
      <c r="E45" s="585"/>
      <c r="F45" s="585"/>
      <c r="G45" s="585"/>
      <c r="H45" s="585"/>
      <c r="I45" s="585"/>
      <c r="J45" s="585"/>
      <c r="K45" s="585"/>
      <c r="L45" s="585"/>
      <c r="M45" s="585"/>
      <c r="N45" s="59"/>
      <c r="O45" s="380"/>
    </row>
    <row r="46" spans="2:15" ht="15" customHeight="1" x14ac:dyDescent="0.35">
      <c r="B46" s="326"/>
      <c r="C46" s="51"/>
      <c r="D46" s="59"/>
      <c r="E46" s="59"/>
      <c r="F46" s="59"/>
      <c r="G46" s="59"/>
      <c r="H46" s="59"/>
      <c r="I46" s="59"/>
      <c r="J46" s="59"/>
      <c r="K46" s="59"/>
      <c r="L46" s="59"/>
      <c r="M46" s="59"/>
      <c r="N46" s="59"/>
      <c r="O46" s="380"/>
    </row>
    <row r="47" spans="2:15" ht="15" customHeight="1" x14ac:dyDescent="0.35">
      <c r="B47" s="326"/>
      <c r="C47" s="51"/>
      <c r="D47" s="54" t="str">
        <f>Text!F16</f>
        <v>Local Government Financial Statistics Unit,</v>
      </c>
      <c r="E47" s="60"/>
      <c r="F47" s="60"/>
      <c r="G47" s="60"/>
      <c r="H47" s="60"/>
      <c r="I47" s="60"/>
      <c r="J47" s="54"/>
      <c r="K47" s="58"/>
      <c r="L47" s="58"/>
      <c r="M47" s="58"/>
      <c r="N47" s="58"/>
      <c r="O47" s="380"/>
    </row>
    <row r="48" spans="2:15" ht="15" customHeight="1" x14ac:dyDescent="0.35">
      <c r="B48" s="326"/>
      <c r="C48" s="51"/>
      <c r="D48" s="54" t="str">
        <f>Text!F17</f>
        <v>Welsh Government,</v>
      </c>
      <c r="E48" s="60"/>
      <c r="F48" s="60"/>
      <c r="G48" s="60"/>
      <c r="H48" s="60"/>
      <c r="I48" s="60"/>
      <c r="J48" s="54"/>
      <c r="K48" s="58"/>
      <c r="L48" s="58"/>
      <c r="M48" s="58"/>
      <c r="N48" s="58"/>
      <c r="O48" s="380"/>
    </row>
    <row r="49" spans="2:27" ht="15" customHeight="1" x14ac:dyDescent="0.35">
      <c r="B49" s="326"/>
      <c r="C49" s="51"/>
      <c r="D49" s="54" t="str">
        <f>Text!F18</f>
        <v>CP2</v>
      </c>
      <c r="E49" s="60"/>
      <c r="F49" s="60"/>
      <c r="G49" s="60"/>
      <c r="H49" s="60"/>
      <c r="I49" s="60"/>
      <c r="J49" s="54"/>
      <c r="K49" s="58"/>
      <c r="L49" s="58"/>
      <c r="M49" s="58"/>
      <c r="N49" s="58"/>
      <c r="O49" s="380"/>
    </row>
    <row r="50" spans="2:27" ht="15" customHeight="1" x14ac:dyDescent="0.35">
      <c r="B50" s="326"/>
      <c r="C50" s="51"/>
      <c r="D50" s="54" t="str">
        <f>Text!F19</f>
        <v>Cathays Park,</v>
      </c>
      <c r="E50" s="60"/>
      <c r="F50" s="60"/>
      <c r="G50" s="60"/>
      <c r="H50" s="60"/>
      <c r="I50" s="60"/>
      <c r="J50" s="60"/>
      <c r="K50" s="58"/>
      <c r="L50" s="58"/>
      <c r="M50" s="58"/>
      <c r="N50" s="58"/>
      <c r="O50" s="380"/>
    </row>
    <row r="51" spans="2:27" ht="15" customHeight="1" x14ac:dyDescent="0.35">
      <c r="B51" s="326"/>
      <c r="C51" s="51"/>
      <c r="D51" s="54" t="str">
        <f>Text!F20</f>
        <v>CARDIFF,</v>
      </c>
      <c r="E51" s="60"/>
      <c r="F51" s="60"/>
      <c r="G51" s="60"/>
      <c r="H51" s="60"/>
      <c r="I51" s="60"/>
      <c r="J51" s="54"/>
      <c r="K51" s="58"/>
      <c r="L51" s="58"/>
      <c r="M51" s="58"/>
      <c r="N51" s="58"/>
      <c r="O51" s="380"/>
    </row>
    <row r="52" spans="2:27" ht="15" customHeight="1" x14ac:dyDescent="0.35">
      <c r="B52" s="326"/>
      <c r="C52" s="51"/>
      <c r="D52" s="54" t="str">
        <f>Text!F21</f>
        <v>CF10 3NQ.</v>
      </c>
      <c r="E52" s="60"/>
      <c r="F52" s="60"/>
      <c r="G52" s="60"/>
      <c r="H52" s="60"/>
      <c r="I52" s="60"/>
      <c r="J52" s="54"/>
      <c r="K52" s="58"/>
      <c r="L52" s="58"/>
      <c r="M52" s="58"/>
      <c r="N52" s="58"/>
      <c r="O52" s="380"/>
    </row>
    <row r="53" spans="2:27" ht="15" customHeight="1" x14ac:dyDescent="0.35">
      <c r="B53" s="326"/>
      <c r="C53" s="51"/>
      <c r="D53" s="133" t="str">
        <f>Text!F22</f>
        <v>E-mail:</v>
      </c>
      <c r="E53" s="61"/>
      <c r="F53" s="133" t="str">
        <f>Details!G7</f>
        <v>LGFS.Transfer@gov.wales</v>
      </c>
      <c r="G53" s="60"/>
      <c r="H53" s="60"/>
      <c r="I53" s="60"/>
      <c r="J53" s="54"/>
      <c r="K53" s="58"/>
      <c r="L53" s="58"/>
      <c r="M53" s="58"/>
      <c r="N53" s="58"/>
      <c r="O53" s="380"/>
    </row>
    <row r="54" spans="2:27" ht="15" customHeight="1" x14ac:dyDescent="0.35">
      <c r="B54" s="326"/>
      <c r="C54" s="51"/>
      <c r="D54" s="134" t="str">
        <f>Text!F23</f>
        <v>Telephone:</v>
      </c>
      <c r="E54" s="61"/>
      <c r="F54" s="134" t="s">
        <v>3029</v>
      </c>
      <c r="G54" s="60"/>
      <c r="H54" s="61"/>
      <c r="I54" s="61"/>
      <c r="J54" s="61"/>
      <c r="K54" s="62"/>
      <c r="L54" s="62"/>
      <c r="M54" s="62"/>
      <c r="N54" s="62"/>
      <c r="O54" s="380"/>
    </row>
    <row r="55" spans="2:27" ht="15" customHeight="1" x14ac:dyDescent="0.35">
      <c r="B55" s="384"/>
      <c r="C55" s="385"/>
      <c r="D55" s="385"/>
      <c r="E55" s="385"/>
      <c r="F55" s="385"/>
      <c r="G55" s="385"/>
      <c r="H55" s="385"/>
      <c r="I55" s="385"/>
      <c r="J55" s="385"/>
      <c r="K55" s="385"/>
      <c r="L55" s="385"/>
      <c r="M55" s="385"/>
      <c r="N55" s="385"/>
      <c r="O55" s="386"/>
    </row>
    <row r="56" spans="2:27" ht="15" customHeight="1" x14ac:dyDescent="0.35">
      <c r="B56" s="365"/>
      <c r="C56" s="365"/>
      <c r="D56" s="365"/>
      <c r="E56" s="365"/>
      <c r="F56" s="365"/>
      <c r="G56" s="365"/>
      <c r="H56" s="365"/>
      <c r="I56" s="365"/>
      <c r="J56" s="365"/>
      <c r="K56" s="365"/>
      <c r="L56" s="365"/>
      <c r="M56" s="365"/>
      <c r="N56" s="365"/>
      <c r="O56" s="365"/>
      <c r="AA56" s="225"/>
    </row>
  </sheetData>
  <sheetProtection sheet="1" objects="1" scenarios="1"/>
  <mergeCells count="18">
    <mergeCell ref="C30:N30"/>
    <mergeCell ref="D44:M44"/>
    <mergeCell ref="D45:M45"/>
    <mergeCell ref="C31:N31"/>
    <mergeCell ref="C32:N32"/>
    <mergeCell ref="C34:N34"/>
    <mergeCell ref="C42:N42"/>
    <mergeCell ref="E39:N39"/>
    <mergeCell ref="E38:N38"/>
    <mergeCell ref="D37:N37"/>
    <mergeCell ref="C40:N40"/>
    <mergeCell ref="C36:N36"/>
    <mergeCell ref="C37:C39"/>
    <mergeCell ref="N2:O2"/>
    <mergeCell ref="D2:G2"/>
    <mergeCell ref="G21:N22"/>
    <mergeCell ref="G24:N25"/>
    <mergeCell ref="G27:N28"/>
  </mergeCells>
  <printOptions horizontalCentered="1" verticalCentered="1"/>
  <pageMargins left="0.23622047244094491" right="0.23622047244094491" top="0.47244094488188981" bottom="0.74803149606299213" header="0.31496062992125984" footer="0.31496062992125984"/>
  <pageSetup paperSize="9" scale="93" fitToHeight="0" orientation="portrait"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65546" r:id="rId4" name="Drop Down 10">
              <controlPr defaultSize="0" autoLine="0" autoPict="0">
                <anchor moveWithCells="1">
                  <from>
                    <xdr:col>4</xdr:col>
                    <xdr:colOff>0</xdr:colOff>
                    <xdr:row>10</xdr:row>
                    <xdr:rowOff>88900</xdr:rowOff>
                  </from>
                  <to>
                    <xdr:col>7</xdr:col>
                    <xdr:colOff>260350</xdr:colOff>
                    <xdr:row>12</xdr:row>
                    <xdr:rowOff>0</xdr:rowOff>
                  </to>
                </anchor>
              </controlPr>
            </control>
          </mc:Choice>
        </mc:AlternateContent>
        <mc:AlternateContent xmlns:mc="http://schemas.openxmlformats.org/markup-compatibility/2006">
          <mc:Choice Requires="x14">
            <control shapeId="65547" r:id="rId5" name="Drop Down 11">
              <controlPr defaultSize="0" autoLine="0" autoPict="0">
                <anchor moveWithCells="1">
                  <from>
                    <xdr:col>4</xdr:col>
                    <xdr:colOff>0</xdr:colOff>
                    <xdr:row>5</xdr:row>
                    <xdr:rowOff>95250</xdr:rowOff>
                  </from>
                  <to>
                    <xdr:col>5</xdr:col>
                    <xdr:colOff>1314450</xdr:colOff>
                    <xdr:row>7</xdr:row>
                    <xdr:rowOff>12700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tabColor rgb="FFFFCC99"/>
  </sheetPr>
  <dimension ref="A2:R119"/>
  <sheetViews>
    <sheetView zoomScale="86" zoomScaleNormal="86" workbookViewId="0">
      <pane xSplit="2" ySplit="3" topLeftCell="C4" activePane="bottomRight" state="frozen"/>
      <selection activeCell="R27" sqref="R27"/>
      <selection pane="topRight" activeCell="R27" sqref="R27"/>
      <selection pane="bottomLeft" activeCell="R27" sqref="R27"/>
      <selection pane="bottomRight" activeCell="R27" sqref="R27"/>
    </sheetView>
  </sheetViews>
  <sheetFormatPr defaultRowHeight="15.5" x14ac:dyDescent="0.35"/>
  <cols>
    <col min="2" max="2" width="20.765625" bestFit="1" customWidth="1"/>
    <col min="3" max="3" width="2.765625" customWidth="1"/>
    <col min="4" max="4" width="8.07421875" bestFit="1" customWidth="1"/>
    <col min="5" max="5" width="2.765625" customWidth="1"/>
    <col min="6" max="6" width="25.53515625" bestFit="1" customWidth="1"/>
    <col min="7" max="7" width="2.765625" customWidth="1"/>
    <col min="8" max="8" width="15.3046875" bestFit="1" customWidth="1"/>
    <col min="9" max="9" width="2.765625" hidden="1" customWidth="1"/>
    <col min="10" max="10" width="12.23046875" bestFit="1" customWidth="1"/>
    <col min="11" max="11" width="2.765625" customWidth="1"/>
    <col min="13" max="13" width="2.765625" customWidth="1"/>
    <col min="14" max="14" width="9.4609375" bestFit="1" customWidth="1"/>
    <col min="15" max="15" width="2.765625" customWidth="1"/>
    <col min="16" max="16" width="11.765625" customWidth="1"/>
    <col min="18" max="18" width="11.69140625" customWidth="1"/>
    <col min="19" max="19" width="10.07421875" bestFit="1" customWidth="1"/>
    <col min="20" max="20" width="8.07421875" bestFit="1" customWidth="1"/>
  </cols>
  <sheetData>
    <row r="2" spans="1:18" x14ac:dyDescent="0.35">
      <c r="L2" s="661" t="s">
        <v>3146</v>
      </c>
      <c r="P2" s="661" t="s">
        <v>3147</v>
      </c>
      <c r="Q2" s="8" t="s">
        <v>3314</v>
      </c>
    </row>
    <row r="3" spans="1:18" ht="15" customHeight="1" x14ac:dyDescent="0.35">
      <c r="B3" s="237" t="s">
        <v>3148</v>
      </c>
      <c r="C3" s="237"/>
      <c r="D3" s="238" t="s">
        <v>3149</v>
      </c>
      <c r="E3" s="237"/>
      <c r="F3" s="237" t="s">
        <v>3150</v>
      </c>
      <c r="G3" s="237"/>
      <c r="H3" s="237" t="s">
        <v>3151</v>
      </c>
      <c r="I3" s="237"/>
      <c r="J3" s="237" t="s">
        <v>3152</v>
      </c>
      <c r="K3" s="237"/>
      <c r="L3" s="662"/>
      <c r="M3" s="237"/>
      <c r="N3" s="237" t="s">
        <v>1115</v>
      </c>
      <c r="O3" s="237"/>
      <c r="P3" s="662"/>
      <c r="Q3" s="8" t="s">
        <v>3315</v>
      </c>
      <c r="R3" s="8" t="s">
        <v>3316</v>
      </c>
    </row>
    <row r="5" spans="1:18" x14ac:dyDescent="0.35">
      <c r="A5">
        <v>1</v>
      </c>
      <c r="B5" t="s">
        <v>3153</v>
      </c>
      <c r="D5" s="8" t="s">
        <v>3154</v>
      </c>
      <c r="F5" t="s">
        <v>3155</v>
      </c>
      <c r="H5" t="s">
        <v>3156</v>
      </c>
      <c r="J5" t="s">
        <v>3157</v>
      </c>
      <c r="L5" s="239" t="s">
        <v>179</v>
      </c>
      <c r="N5" s="240"/>
      <c r="P5" s="241" t="s">
        <v>194</v>
      </c>
      <c r="Q5" s="8" t="s">
        <v>3317</v>
      </c>
    </row>
    <row r="6" spans="1:18" x14ac:dyDescent="0.35">
      <c r="D6" s="8"/>
      <c r="H6" t="s">
        <v>3340</v>
      </c>
      <c r="J6" t="s">
        <v>3341</v>
      </c>
      <c r="L6" s="239" t="s">
        <v>179</v>
      </c>
      <c r="N6" s="240"/>
      <c r="P6" s="462"/>
      <c r="Q6" s="8" t="s">
        <v>222</v>
      </c>
      <c r="R6" s="461">
        <v>44944</v>
      </c>
    </row>
    <row r="7" spans="1:18" x14ac:dyDescent="0.35">
      <c r="H7" t="s">
        <v>289</v>
      </c>
      <c r="J7" t="s">
        <v>3158</v>
      </c>
      <c r="L7" s="239" t="s">
        <v>179</v>
      </c>
      <c r="N7" s="242"/>
      <c r="P7" s="243"/>
      <c r="Q7" s="8" t="s">
        <v>3317</v>
      </c>
    </row>
    <row r="8" spans="1:18" x14ac:dyDescent="0.35">
      <c r="H8" t="s">
        <v>11</v>
      </c>
      <c r="J8" t="s">
        <v>3159</v>
      </c>
      <c r="L8" s="239" t="s">
        <v>179</v>
      </c>
      <c r="N8" s="242"/>
      <c r="P8" s="243"/>
      <c r="Q8" s="8" t="s">
        <v>222</v>
      </c>
      <c r="R8" s="461">
        <v>44944</v>
      </c>
    </row>
    <row r="9" spans="1:18" x14ac:dyDescent="0.35">
      <c r="H9" t="s">
        <v>285</v>
      </c>
      <c r="J9" t="s">
        <v>3160</v>
      </c>
      <c r="L9" s="239" t="s">
        <v>179</v>
      </c>
      <c r="N9" s="242"/>
      <c r="P9" s="243"/>
      <c r="Q9" s="8" t="s">
        <v>222</v>
      </c>
      <c r="R9" s="461">
        <v>44944</v>
      </c>
    </row>
    <row r="10" spans="1:18" x14ac:dyDescent="0.35">
      <c r="H10" t="s">
        <v>286</v>
      </c>
      <c r="J10" t="s">
        <v>3161</v>
      </c>
      <c r="L10" s="239" t="s">
        <v>179</v>
      </c>
      <c r="N10" s="242"/>
      <c r="P10" s="243"/>
      <c r="Q10" s="8" t="s">
        <v>222</v>
      </c>
      <c r="R10" s="461">
        <v>44944</v>
      </c>
    </row>
    <row r="11" spans="1:18" x14ac:dyDescent="0.35">
      <c r="H11" t="s">
        <v>287</v>
      </c>
      <c r="J11" t="s">
        <v>3162</v>
      </c>
      <c r="L11" s="239" t="s">
        <v>179</v>
      </c>
      <c r="N11" s="242"/>
      <c r="P11" s="243"/>
      <c r="Q11" s="8" t="s">
        <v>222</v>
      </c>
      <c r="R11" s="461">
        <v>44944</v>
      </c>
    </row>
    <row r="12" spans="1:18" x14ac:dyDescent="0.35">
      <c r="H12" t="s">
        <v>288</v>
      </c>
      <c r="J12" t="s">
        <v>3163</v>
      </c>
      <c r="L12" s="239" t="s">
        <v>179</v>
      </c>
      <c r="N12" s="242"/>
      <c r="P12" s="243"/>
      <c r="Q12" s="8" t="s">
        <v>222</v>
      </c>
      <c r="R12" s="461">
        <v>44944</v>
      </c>
    </row>
    <row r="13" spans="1:18" x14ac:dyDescent="0.35">
      <c r="H13" t="s">
        <v>290</v>
      </c>
      <c r="J13" t="s">
        <v>3164</v>
      </c>
      <c r="L13" s="239" t="s">
        <v>185</v>
      </c>
      <c r="N13" s="242"/>
      <c r="P13" s="243"/>
      <c r="Q13" s="8" t="s">
        <v>3317</v>
      </c>
    </row>
    <row r="14" spans="1:18" x14ac:dyDescent="0.35">
      <c r="H14" t="s">
        <v>85</v>
      </c>
      <c r="J14" s="8" t="s">
        <v>3338</v>
      </c>
      <c r="L14" s="209" t="s">
        <v>179</v>
      </c>
      <c r="N14" s="242"/>
      <c r="P14" s="243"/>
      <c r="Q14" s="8" t="s">
        <v>222</v>
      </c>
      <c r="R14" s="461">
        <v>44966</v>
      </c>
    </row>
    <row r="15" spans="1:18" x14ac:dyDescent="0.35">
      <c r="H15" t="s">
        <v>84</v>
      </c>
      <c r="J15" s="8" t="s">
        <v>3339</v>
      </c>
      <c r="L15" s="209" t="s">
        <v>179</v>
      </c>
      <c r="N15" s="242"/>
      <c r="P15" s="244"/>
      <c r="Q15" s="8" t="s">
        <v>222</v>
      </c>
      <c r="R15" s="461">
        <v>44966</v>
      </c>
    </row>
    <row r="16" spans="1:18" x14ac:dyDescent="0.35">
      <c r="B16" s="237"/>
      <c r="C16" s="237"/>
      <c r="D16" s="237"/>
      <c r="E16" s="237"/>
      <c r="F16" s="237"/>
      <c r="G16" s="237"/>
      <c r="H16" s="237"/>
      <c r="I16" s="237"/>
      <c r="J16" s="237"/>
      <c r="K16" s="237"/>
      <c r="L16" s="237"/>
      <c r="M16" s="237"/>
      <c r="N16" s="237"/>
      <c r="O16" s="237"/>
      <c r="P16" s="237"/>
    </row>
    <row r="18" spans="1:16" x14ac:dyDescent="0.35">
      <c r="A18">
        <v>2</v>
      </c>
      <c r="B18" t="s">
        <v>2907</v>
      </c>
      <c r="D18" t="s">
        <v>3165</v>
      </c>
      <c r="F18" s="8" t="s">
        <v>3166</v>
      </c>
      <c r="L18" s="239" t="s">
        <v>185</v>
      </c>
      <c r="N18" s="242"/>
      <c r="P18" s="245" t="s">
        <v>184</v>
      </c>
    </row>
    <row r="19" spans="1:16" x14ac:dyDescent="0.35">
      <c r="F19" s="8" t="s">
        <v>3167</v>
      </c>
      <c r="L19" s="239"/>
      <c r="N19" s="242"/>
      <c r="P19" s="246"/>
    </row>
    <row r="20" spans="1:16" x14ac:dyDescent="0.35">
      <c r="F20" s="8" t="s">
        <v>3168</v>
      </c>
      <c r="L20" s="239"/>
      <c r="N20" s="242"/>
      <c r="P20" s="246"/>
    </row>
    <row r="21" spans="1:16" x14ac:dyDescent="0.35">
      <c r="L21" s="239"/>
      <c r="N21" s="242"/>
      <c r="P21" s="246"/>
    </row>
    <row r="22" spans="1:16" x14ac:dyDescent="0.35">
      <c r="B22" s="8"/>
      <c r="L22" s="239"/>
      <c r="N22" s="242"/>
      <c r="P22" s="247"/>
    </row>
    <row r="23" spans="1:16" x14ac:dyDescent="0.35">
      <c r="B23" s="237"/>
      <c r="C23" s="237"/>
      <c r="D23" s="237"/>
      <c r="E23" s="237"/>
      <c r="F23" s="237"/>
      <c r="G23" s="237"/>
      <c r="H23" s="237"/>
      <c r="I23" s="237"/>
      <c r="J23" s="237"/>
      <c r="K23" s="237"/>
      <c r="L23" s="237"/>
      <c r="M23" s="237"/>
      <c r="N23" s="237"/>
      <c r="O23" s="237"/>
      <c r="P23" s="237"/>
    </row>
    <row r="25" spans="1:16" x14ac:dyDescent="0.35">
      <c r="A25">
        <v>3</v>
      </c>
      <c r="B25" t="s">
        <v>1</v>
      </c>
      <c r="D25" t="s">
        <v>3165</v>
      </c>
      <c r="F25" t="s">
        <v>3063</v>
      </c>
      <c r="L25" s="239"/>
      <c r="N25" s="242"/>
      <c r="P25" s="245" t="s">
        <v>184</v>
      </c>
    </row>
    <row r="26" spans="1:16" x14ac:dyDescent="0.35">
      <c r="F26" t="s">
        <v>3155</v>
      </c>
      <c r="J26" t="s">
        <v>3342</v>
      </c>
      <c r="L26" s="239" t="s">
        <v>179</v>
      </c>
      <c r="N26" s="242"/>
      <c r="P26" s="246"/>
    </row>
    <row r="27" spans="1:16" x14ac:dyDescent="0.35">
      <c r="F27" t="s">
        <v>3155</v>
      </c>
      <c r="J27" t="s">
        <v>3343</v>
      </c>
      <c r="L27" s="239" t="s">
        <v>179</v>
      </c>
      <c r="N27" s="242"/>
      <c r="P27" s="246"/>
    </row>
    <row r="28" spans="1:16" x14ac:dyDescent="0.35">
      <c r="H28" s="8" t="s">
        <v>239</v>
      </c>
      <c r="J28" s="8" t="s">
        <v>3184</v>
      </c>
      <c r="L28" s="209" t="s">
        <v>185</v>
      </c>
      <c r="N28" s="242"/>
      <c r="P28" s="246"/>
    </row>
    <row r="29" spans="1:16" x14ac:dyDescent="0.35">
      <c r="F29" s="8"/>
      <c r="H29" t="s">
        <v>3194</v>
      </c>
      <c r="J29" t="s">
        <v>3195</v>
      </c>
      <c r="L29" s="209" t="s">
        <v>185</v>
      </c>
      <c r="N29" s="242"/>
      <c r="P29" s="246"/>
    </row>
    <row r="30" spans="1:16" x14ac:dyDescent="0.35">
      <c r="F30" s="8" t="s">
        <v>3169</v>
      </c>
      <c r="J30" t="s">
        <v>3170</v>
      </c>
      <c r="L30" s="209" t="s">
        <v>185</v>
      </c>
      <c r="N30" s="240"/>
      <c r="P30" s="246"/>
    </row>
    <row r="31" spans="1:16" x14ac:dyDescent="0.35">
      <c r="F31" s="8" t="s">
        <v>3169</v>
      </c>
      <c r="J31" t="s">
        <v>3171</v>
      </c>
      <c r="L31" s="209" t="s">
        <v>185</v>
      </c>
      <c r="N31" s="240"/>
      <c r="P31" s="246"/>
    </row>
    <row r="32" spans="1:16" x14ac:dyDescent="0.35">
      <c r="F32" s="8" t="s">
        <v>3169</v>
      </c>
      <c r="J32" t="s">
        <v>3172</v>
      </c>
      <c r="L32" s="209" t="s">
        <v>185</v>
      </c>
      <c r="N32" s="240"/>
      <c r="P32" s="246"/>
    </row>
    <row r="33" spans="1:16" x14ac:dyDescent="0.35">
      <c r="F33" s="8" t="s">
        <v>3063</v>
      </c>
      <c r="J33" s="3" t="s">
        <v>3173</v>
      </c>
      <c r="L33" s="209" t="s">
        <v>185</v>
      </c>
      <c r="N33" s="240"/>
      <c r="P33" s="247"/>
    </row>
    <row r="34" spans="1:16" x14ac:dyDescent="0.35">
      <c r="B34" s="237"/>
      <c r="C34" s="237"/>
      <c r="D34" s="237"/>
      <c r="E34" s="237"/>
      <c r="F34" s="238"/>
      <c r="G34" s="237"/>
      <c r="H34" s="237"/>
      <c r="I34" s="237"/>
      <c r="J34" s="13"/>
      <c r="K34" s="237"/>
      <c r="L34" s="248"/>
      <c r="M34" s="248"/>
      <c r="N34" s="248"/>
      <c r="O34" s="248"/>
      <c r="P34" s="248"/>
    </row>
    <row r="35" spans="1:16" x14ac:dyDescent="0.35">
      <c r="F35" s="8"/>
      <c r="J35" s="3"/>
      <c r="L35" s="209"/>
      <c r="M35" s="209"/>
      <c r="N35" s="209"/>
      <c r="O35" s="209"/>
      <c r="P35" s="209"/>
    </row>
    <row r="36" spans="1:16" x14ac:dyDescent="0.35">
      <c r="A36">
        <v>4</v>
      </c>
      <c r="B36" t="s">
        <v>155</v>
      </c>
      <c r="D36" t="s">
        <v>3165</v>
      </c>
      <c r="J36" s="8" t="s">
        <v>3174</v>
      </c>
      <c r="L36" s="209" t="s">
        <v>185</v>
      </c>
      <c r="N36" s="242"/>
      <c r="P36" s="245" t="s">
        <v>184</v>
      </c>
    </row>
    <row r="37" spans="1:16" x14ac:dyDescent="0.35">
      <c r="J37" s="8" t="s">
        <v>3175</v>
      </c>
      <c r="L37" s="209" t="s">
        <v>185</v>
      </c>
      <c r="N37" s="242"/>
      <c r="P37" s="247"/>
    </row>
    <row r="38" spans="1:16" x14ac:dyDescent="0.35">
      <c r="B38" s="237"/>
      <c r="C38" s="237"/>
      <c r="D38" s="237"/>
      <c r="E38" s="237"/>
      <c r="F38" s="237"/>
      <c r="G38" s="237"/>
      <c r="H38" s="237"/>
      <c r="I38" s="237"/>
      <c r="J38" s="237"/>
      <c r="K38" s="237"/>
      <c r="L38" s="237"/>
      <c r="M38" s="237"/>
      <c r="N38" s="237"/>
      <c r="O38" s="237"/>
      <c r="P38" s="237"/>
    </row>
    <row r="40" spans="1:16" x14ac:dyDescent="0.35">
      <c r="A40">
        <v>5</v>
      </c>
      <c r="B40" t="s">
        <v>1115</v>
      </c>
      <c r="D40" t="s">
        <v>3165</v>
      </c>
      <c r="J40" s="8" t="s">
        <v>3175</v>
      </c>
      <c r="N40" s="242"/>
      <c r="P40" s="245" t="s">
        <v>184</v>
      </c>
    </row>
    <row r="41" spans="1:16" x14ac:dyDescent="0.35">
      <c r="J41" s="8" t="s">
        <v>3175</v>
      </c>
      <c r="N41" s="242"/>
      <c r="P41" s="246"/>
    </row>
    <row r="42" spans="1:16" x14ac:dyDescent="0.35">
      <c r="J42" s="8" t="s">
        <v>3175</v>
      </c>
      <c r="N42" s="242"/>
      <c r="P42" s="246"/>
    </row>
    <row r="43" spans="1:16" x14ac:dyDescent="0.35">
      <c r="J43" s="8" t="s">
        <v>3175</v>
      </c>
      <c r="L43" s="239"/>
      <c r="N43" s="242"/>
      <c r="P43" s="247"/>
    </row>
    <row r="44" spans="1:16" x14ac:dyDescent="0.35">
      <c r="B44" s="237"/>
      <c r="C44" s="237"/>
      <c r="D44" s="237"/>
      <c r="E44" s="237"/>
      <c r="F44" s="237"/>
      <c r="G44" s="237"/>
      <c r="H44" s="237"/>
      <c r="I44" s="237"/>
      <c r="J44" s="237"/>
      <c r="K44" s="237"/>
      <c r="L44" s="277"/>
      <c r="M44" s="237"/>
      <c r="N44" s="237"/>
      <c r="O44" s="237"/>
      <c r="P44" s="277"/>
    </row>
    <row r="45" spans="1:16" x14ac:dyDescent="0.35">
      <c r="L45" s="239"/>
      <c r="P45" s="239"/>
    </row>
    <row r="46" spans="1:16" x14ac:dyDescent="0.35">
      <c r="L46" s="239"/>
      <c r="P46" s="239"/>
    </row>
    <row r="47" spans="1:16" x14ac:dyDescent="0.35">
      <c r="L47" s="239"/>
    </row>
    <row r="48" spans="1:16" x14ac:dyDescent="0.35">
      <c r="L48" s="239"/>
    </row>
    <row r="49" spans="1:17" x14ac:dyDescent="0.35">
      <c r="A49">
        <v>6</v>
      </c>
      <c r="B49" t="s">
        <v>3176</v>
      </c>
      <c r="L49" s="239"/>
      <c r="P49" s="301" t="s">
        <v>194</v>
      </c>
    </row>
    <row r="50" spans="1:17" x14ac:dyDescent="0.35">
      <c r="L50" s="239"/>
    </row>
    <row r="51" spans="1:17" x14ac:dyDescent="0.35">
      <c r="L51" s="239"/>
    </row>
    <row r="53" spans="1:17" x14ac:dyDescent="0.35">
      <c r="A53">
        <v>7</v>
      </c>
      <c r="B53" t="s">
        <v>3177</v>
      </c>
      <c r="J53" t="s">
        <v>3178</v>
      </c>
      <c r="P53" s="301" t="s">
        <v>194</v>
      </c>
      <c r="Q53" t="s">
        <v>3317</v>
      </c>
    </row>
    <row r="57" spans="1:17" x14ac:dyDescent="0.35">
      <c r="A57">
        <v>8</v>
      </c>
      <c r="B57" t="s">
        <v>3179</v>
      </c>
      <c r="P57" s="301" t="s">
        <v>194</v>
      </c>
    </row>
    <row r="60" spans="1:17" x14ac:dyDescent="0.35">
      <c r="A60">
        <v>9</v>
      </c>
      <c r="B60" t="s">
        <v>3180</v>
      </c>
      <c r="F60" t="s">
        <v>3155</v>
      </c>
      <c r="H60" t="s">
        <v>3048</v>
      </c>
      <c r="J60" t="s">
        <v>3203</v>
      </c>
      <c r="L60" s="239" t="s">
        <v>179</v>
      </c>
      <c r="P60" s="301" t="s">
        <v>194</v>
      </c>
      <c r="Q60" t="s">
        <v>3317</v>
      </c>
    </row>
    <row r="70" spans="2:12" x14ac:dyDescent="0.35">
      <c r="B70" s="193" t="s">
        <v>3181</v>
      </c>
    </row>
    <row r="71" spans="2:12" x14ac:dyDescent="0.35">
      <c r="B71" s="237"/>
      <c r="C71" s="237"/>
      <c r="D71" s="237" t="s">
        <v>3148</v>
      </c>
      <c r="E71" s="237"/>
      <c r="F71" s="237"/>
      <c r="G71" s="237"/>
      <c r="H71" s="238" t="s">
        <v>3151</v>
      </c>
      <c r="I71" s="237"/>
      <c r="J71" s="237" t="s">
        <v>3152</v>
      </c>
    </row>
    <row r="72" spans="2:12" x14ac:dyDescent="0.35">
      <c r="B72" s="249">
        <v>3.1</v>
      </c>
      <c r="D72" s="250" t="s">
        <v>3176</v>
      </c>
      <c r="H72" t="s">
        <v>3182</v>
      </c>
      <c r="J72" t="s">
        <v>3183</v>
      </c>
    </row>
    <row r="73" spans="2:12" x14ac:dyDescent="0.35">
      <c r="B73" s="251">
        <v>1.4</v>
      </c>
      <c r="D73" s="252" t="s">
        <v>3153</v>
      </c>
      <c r="H73" t="s">
        <v>11</v>
      </c>
      <c r="J73" t="s">
        <v>3159</v>
      </c>
    </row>
    <row r="74" spans="2:12" x14ac:dyDescent="0.35">
      <c r="B74" s="253">
        <v>1.3</v>
      </c>
      <c r="D74" s="254" t="s">
        <v>3153</v>
      </c>
      <c r="H74" t="s">
        <v>289</v>
      </c>
      <c r="J74" t="s">
        <v>3158</v>
      </c>
    </row>
    <row r="75" spans="2:12" x14ac:dyDescent="0.35">
      <c r="B75" s="255">
        <v>2.1</v>
      </c>
      <c r="D75" s="256" t="s">
        <v>1</v>
      </c>
      <c r="H75" t="s">
        <v>239</v>
      </c>
      <c r="J75" t="s">
        <v>3184</v>
      </c>
    </row>
    <row r="76" spans="2:12" x14ac:dyDescent="0.35">
      <c r="B76" s="251">
        <v>1.9</v>
      </c>
      <c r="D76" s="252" t="s">
        <v>3153</v>
      </c>
      <c r="H76" s="242" t="s">
        <v>288</v>
      </c>
      <c r="J76" t="s">
        <v>3185</v>
      </c>
    </row>
    <row r="77" spans="2:12" x14ac:dyDescent="0.35">
      <c r="B77" s="253">
        <v>1.1000000000000001</v>
      </c>
      <c r="D77" s="254" t="s">
        <v>3153</v>
      </c>
      <c r="H77" t="s">
        <v>3186</v>
      </c>
      <c r="J77" t="s">
        <v>3187</v>
      </c>
      <c r="L77" t="s">
        <v>3188</v>
      </c>
    </row>
    <row r="78" spans="2:12" x14ac:dyDescent="0.35">
      <c r="B78" s="253">
        <v>1.5</v>
      </c>
      <c r="D78" s="254" t="s">
        <v>3153</v>
      </c>
      <c r="H78" s="257" t="s">
        <v>89</v>
      </c>
      <c r="J78" t="s">
        <v>3189</v>
      </c>
      <c r="L78" t="s">
        <v>3190</v>
      </c>
    </row>
    <row r="79" spans="2:12" x14ac:dyDescent="0.35">
      <c r="B79" s="258">
        <v>1.8</v>
      </c>
      <c r="D79" s="259" t="s">
        <v>3153</v>
      </c>
      <c r="H79" s="242" t="s">
        <v>287</v>
      </c>
      <c r="J79" t="s">
        <v>3191</v>
      </c>
    </row>
    <row r="80" spans="2:12" x14ac:dyDescent="0.35">
      <c r="B80" s="260">
        <v>3.2</v>
      </c>
      <c r="D80" s="261" t="s">
        <v>3176</v>
      </c>
      <c r="H80" t="s">
        <v>3192</v>
      </c>
      <c r="J80" t="s">
        <v>3193</v>
      </c>
    </row>
    <row r="81" spans="2:11" x14ac:dyDescent="0.35">
      <c r="B81" s="255">
        <v>2.2000000000000002</v>
      </c>
      <c r="D81" s="256" t="s">
        <v>1</v>
      </c>
      <c r="H81" t="s">
        <v>3194</v>
      </c>
      <c r="J81" t="s">
        <v>3195</v>
      </c>
    </row>
    <row r="82" spans="2:11" x14ac:dyDescent="0.35">
      <c r="B82" s="251">
        <v>1.7</v>
      </c>
      <c r="D82" s="252" t="s">
        <v>3153</v>
      </c>
      <c r="H82" s="242" t="s">
        <v>286</v>
      </c>
      <c r="J82" t="s">
        <v>3196</v>
      </c>
    </row>
    <row r="83" spans="2:11" x14ac:dyDescent="0.35">
      <c r="B83" s="253">
        <v>1.6</v>
      </c>
      <c r="D83" s="254" t="s">
        <v>3153</v>
      </c>
      <c r="H83" s="262" t="s">
        <v>285</v>
      </c>
      <c r="J83" t="s">
        <v>3197</v>
      </c>
    </row>
    <row r="84" spans="2:11" x14ac:dyDescent="0.35">
      <c r="B84" s="253">
        <v>1.2</v>
      </c>
      <c r="D84" s="254" t="s">
        <v>3153</v>
      </c>
      <c r="H84" t="s">
        <v>290</v>
      </c>
      <c r="J84" t="s">
        <v>3164</v>
      </c>
    </row>
    <row r="85" spans="2:11" x14ac:dyDescent="0.35">
      <c r="B85" s="263">
        <v>4</v>
      </c>
      <c r="D85" s="264" t="s">
        <v>3180</v>
      </c>
      <c r="H85" t="s">
        <v>3198</v>
      </c>
      <c r="J85" t="s">
        <v>3199</v>
      </c>
    </row>
    <row r="86" spans="2:11" x14ac:dyDescent="0.35">
      <c r="B86" s="258">
        <v>1.1000000000000001</v>
      </c>
      <c r="D86" s="259" t="s">
        <v>3153</v>
      </c>
      <c r="H86" t="s">
        <v>3156</v>
      </c>
      <c r="J86" t="s">
        <v>3157</v>
      </c>
    </row>
    <row r="87" spans="2:11" x14ac:dyDescent="0.35">
      <c r="B87" s="265">
        <v>5</v>
      </c>
      <c r="D87" s="266" t="s">
        <v>3179</v>
      </c>
      <c r="H87" t="s">
        <v>305</v>
      </c>
      <c r="J87" t="s">
        <v>3200</v>
      </c>
    </row>
    <row r="88" spans="2:11" x14ac:dyDescent="0.35">
      <c r="B88" s="267">
        <v>4</v>
      </c>
      <c r="D88" s="268" t="s">
        <v>3180</v>
      </c>
      <c r="H88" t="s">
        <v>3045</v>
      </c>
      <c r="J88" t="s">
        <v>3201</v>
      </c>
    </row>
    <row r="89" spans="2:11" x14ac:dyDescent="0.35">
      <c r="B89" s="269">
        <v>4</v>
      </c>
      <c r="D89" s="270" t="s">
        <v>3180</v>
      </c>
      <c r="H89" t="s">
        <v>3046</v>
      </c>
      <c r="J89" t="s">
        <v>3202</v>
      </c>
    </row>
    <row r="90" spans="2:11" x14ac:dyDescent="0.35">
      <c r="B90" s="269">
        <v>4</v>
      </c>
      <c r="D90" s="270" t="s">
        <v>3180</v>
      </c>
      <c r="H90" t="s">
        <v>3048</v>
      </c>
      <c r="J90" t="s">
        <v>3203</v>
      </c>
    </row>
    <row r="91" spans="2:11" x14ac:dyDescent="0.35">
      <c r="B91" s="271">
        <v>4</v>
      </c>
      <c r="D91" s="272" t="s">
        <v>3180</v>
      </c>
      <c r="H91" t="s">
        <v>3204</v>
      </c>
      <c r="J91" t="s">
        <v>3205</v>
      </c>
    </row>
    <row r="93" spans="2:11" x14ac:dyDescent="0.35">
      <c r="H93" s="273" t="s">
        <v>3206</v>
      </c>
      <c r="I93" s="274"/>
      <c r="J93" s="274"/>
      <c r="K93" s="275"/>
    </row>
    <row r="96" spans="2:11" x14ac:dyDescent="0.35">
      <c r="D96" t="str">
        <f>MID(I96,2,FIND("!",I96)-2)</f>
        <v>Transfer</v>
      </c>
      <c r="H96" t="s">
        <v>3182</v>
      </c>
      <c r="I96" t="s">
        <v>3233</v>
      </c>
      <c r="J96" t="str">
        <f>MID(I96,FIND("!",I96)+1,LEN(I96))</f>
        <v>$A$2:$F$20</v>
      </c>
    </row>
    <row r="97" spans="4:10" x14ac:dyDescent="0.35">
      <c r="D97" t="str">
        <f t="shared" ref="D97:D119" si="0">MID(I97,2,FIND("!",I97)-2)</f>
        <v>'\\Hba59\erdms_sjlg\Local Government Finance\SSA calculations 2017-18\Models\[Non-Financial_2016-17_Provisional_Yr1.xls]UA_details'</v>
      </c>
      <c r="H97" t="s">
        <v>3234</v>
      </c>
      <c r="I97" t="s">
        <v>3235</v>
      </c>
      <c r="J97" t="str">
        <f t="shared" ref="J97:J119" si="1">MID(I97,FIND("!",I97)+1,LEN(I97))</f>
        <v>$A$1:$B$22</v>
      </c>
    </row>
    <row r="98" spans="4:10" x14ac:dyDescent="0.35">
      <c r="D98" t="str">
        <f t="shared" si="0"/>
        <v>'U:\DefaultHome\Objects\[BR1 Return 2019-20 DELETE.xlsx]Details'</v>
      </c>
      <c r="H98" t="s">
        <v>11</v>
      </c>
      <c r="I98" t="s">
        <v>3236</v>
      </c>
      <c r="J98" t="str">
        <f t="shared" si="1"/>
        <v>$I$7:$T$29</v>
      </c>
    </row>
    <row r="99" spans="4:10" x14ac:dyDescent="0.35">
      <c r="D99" t="str">
        <f t="shared" si="0"/>
        <v>'U:\DefaultHome\Objects\[BR1 Return 2019-20 DELETE.xlsx]Details'</v>
      </c>
      <c r="H99" t="s">
        <v>289</v>
      </c>
      <c r="I99" t="s">
        <v>3237</v>
      </c>
      <c r="J99" t="str">
        <f t="shared" si="1"/>
        <v>$A$6:$E$29</v>
      </c>
    </row>
    <row r="100" spans="4:10" x14ac:dyDescent="0.35">
      <c r="D100" t="str">
        <f t="shared" si="0"/>
        <v>'U:\DefaultHome\Objects\[BR1 Return 2019-20 DELETE.xlsx]BR1'</v>
      </c>
      <c r="H100" t="s">
        <v>239</v>
      </c>
      <c r="I100" t="s">
        <v>3238</v>
      </c>
      <c r="J100" t="str">
        <f t="shared" si="1"/>
        <v>$C$9:$G$35</v>
      </c>
    </row>
    <row r="101" spans="4:10" x14ac:dyDescent="0.35">
      <c r="D101" t="str">
        <f t="shared" si="0"/>
        <v>'U:\DefaultHome\Objects\[BR1 Return 2019-20 DELETE.xlsx]Details'</v>
      </c>
      <c r="H101" t="s">
        <v>288</v>
      </c>
      <c r="I101" t="s">
        <v>3239</v>
      </c>
      <c r="J101" t="str">
        <f t="shared" si="1"/>
        <v>$AQ$8:$AR$30</v>
      </c>
    </row>
    <row r="102" spans="4:10" x14ac:dyDescent="0.35">
      <c r="D102" t="str">
        <f t="shared" si="0"/>
        <v>'\\Hba59\erdms_sjlg\Local Government Finance\SSA calculations 2017-18\Models\[Non-Financial_2016-17_Provisional_Yr1.xls]Types'</v>
      </c>
      <c r="H102" t="s">
        <v>3240</v>
      </c>
      <c r="I102" t="s">
        <v>3241</v>
      </c>
      <c r="J102" t="str">
        <f t="shared" si="1"/>
        <v>$A$1:$B$78</v>
      </c>
    </row>
    <row r="103" spans="4:10" x14ac:dyDescent="0.35">
      <c r="D103" t="str">
        <f t="shared" si="0"/>
        <v>Details</v>
      </c>
      <c r="H103" t="s">
        <v>3242</v>
      </c>
      <c r="I103" t="s">
        <v>3243</v>
      </c>
      <c r="J103" t="str">
        <f t="shared" si="1"/>
        <v>#REF!</v>
      </c>
    </row>
    <row r="104" spans="4:10" x14ac:dyDescent="0.35">
      <c r="D104" t="str">
        <f t="shared" si="0"/>
        <v>'U:\DefaultHome\Objects\[BR1 Return 2019-20 DELETE.xlsx]Details'</v>
      </c>
      <c r="H104" t="s">
        <v>89</v>
      </c>
      <c r="I104" t="s">
        <v>3244</v>
      </c>
      <c r="J104" t="str">
        <f t="shared" si="1"/>
        <v>$V$8:$AA$29</v>
      </c>
    </row>
    <row r="105" spans="4:10" x14ac:dyDescent="0.35">
      <c r="D105" t="str">
        <f t="shared" si="0"/>
        <v>'U:\DefaultHome\Objects\[BR1 Return 2019-20 DELETE.xlsx]Details'</v>
      </c>
      <c r="H105" t="s">
        <v>287</v>
      </c>
      <c r="I105" t="s">
        <v>3245</v>
      </c>
      <c r="J105" t="str">
        <f t="shared" si="1"/>
        <v>$AM$8:$AN$30</v>
      </c>
    </row>
    <row r="106" spans="4:10" x14ac:dyDescent="0.35">
      <c r="D106" t="str">
        <f t="shared" si="0"/>
        <v>'\\Hba59\erdms_sjlg\Local Government Finance\SSA calculations 2012-13\SAS SSA run\test runs\[SasRun1213_06_Final.xls]Data'</v>
      </c>
      <c r="H106" t="s">
        <v>3246</v>
      </c>
      <c r="I106" t="s">
        <v>3247</v>
      </c>
      <c r="J106" t="str">
        <f t="shared" si="1"/>
        <v>$E$4:$I$1320</v>
      </c>
    </row>
    <row r="107" spans="4:10" x14ac:dyDescent="0.35">
      <c r="D107" t="str">
        <f t="shared" si="0"/>
        <v>'U:\DefaultHome\Objects\[BR1 Return 2019-20 DELETE.xlsx]Transfer'</v>
      </c>
      <c r="H107" t="s">
        <v>3192</v>
      </c>
      <c r="I107" t="s">
        <v>3248</v>
      </c>
      <c r="J107" t="str">
        <f t="shared" si="1"/>
        <v>$J$2:$K$101</v>
      </c>
    </row>
    <row r="108" spans="4:10" x14ac:dyDescent="0.35">
      <c r="D108" t="str">
        <f t="shared" si="0"/>
        <v>'U:\DefaultHome\Objects\[BR1 Return 2019-20 DELETE.xlsx]BR1'</v>
      </c>
      <c r="H108" t="s">
        <v>3194</v>
      </c>
      <c r="I108" t="s">
        <v>3249</v>
      </c>
      <c r="J108" t="str">
        <f t="shared" si="1"/>
        <v>$O$12:$AE$35</v>
      </c>
    </row>
    <row r="109" spans="4:10" x14ac:dyDescent="0.35">
      <c r="D109" t="str">
        <f t="shared" si="0"/>
        <v>'\\Hba59\erdms_sjlg\Local Government Finance\SSA calculations 2017-18\Models\[Non-Financial_2016-17_Provisional_Yr1.xls]_PREC_DRAIN'</v>
      </c>
      <c r="H109" t="s">
        <v>3250</v>
      </c>
      <c r="I109" t="s">
        <v>3251</v>
      </c>
      <c r="J109" t="str">
        <f t="shared" si="1"/>
        <v>$C$37</v>
      </c>
    </row>
    <row r="110" spans="4:10" x14ac:dyDescent="0.35">
      <c r="D110" t="str">
        <f t="shared" si="0"/>
        <v>'U:\DefaultHome\Objects\[BR1 Return 2019-20 DELETE.xlsx]Details'</v>
      </c>
      <c r="H110" t="s">
        <v>286</v>
      </c>
      <c r="I110" t="s">
        <v>3252</v>
      </c>
      <c r="J110" t="str">
        <f t="shared" si="1"/>
        <v>$AI$8:$AJ$30</v>
      </c>
    </row>
    <row r="111" spans="4:10" x14ac:dyDescent="0.35">
      <c r="D111" t="str">
        <f t="shared" si="0"/>
        <v>'\\Hba59\erdms_sjlg\Local Government Finance\SSA calculations 2017-18\Models\[Capital_2017-18_Provisional.xls]Intro'</v>
      </c>
      <c r="H111" t="s">
        <v>3253</v>
      </c>
      <c r="I111" t="s">
        <v>3254</v>
      </c>
      <c r="J111" t="str">
        <f t="shared" si="1"/>
        <v>$E$12</v>
      </c>
    </row>
    <row r="112" spans="4:10" x14ac:dyDescent="0.35">
      <c r="D112" t="str">
        <f t="shared" si="0"/>
        <v>'\\Hba59\erdms_sjlg\Local Government Finance\SSA calculations 2014-15\SAS SSA run\test runs\[SasRun1415_09_Provisional.xls]Data'</v>
      </c>
      <c r="H112" t="s">
        <v>3255</v>
      </c>
      <c r="I112" t="s">
        <v>3256</v>
      </c>
      <c r="J112" t="str">
        <f t="shared" si="1"/>
        <v>$L$4:$S$62</v>
      </c>
    </row>
    <row r="113" spans="4:10" x14ac:dyDescent="0.35">
      <c r="D113" t="str">
        <f t="shared" si="0"/>
        <v>#REF</v>
      </c>
      <c r="H113" t="s">
        <v>3257</v>
      </c>
      <c r="I113" t="s">
        <v>3258</v>
      </c>
      <c r="J113" t="str">
        <f t="shared" si="1"/>
        <v>#REF!</v>
      </c>
    </row>
    <row r="114" spans="4:10" x14ac:dyDescent="0.35">
      <c r="D114" t="str">
        <f t="shared" si="0"/>
        <v>'U:\DefaultHome\Objects\[BR1 Return 2019-20 DELETE.xlsx]Details'</v>
      </c>
      <c r="H114" t="s">
        <v>285</v>
      </c>
      <c r="I114" t="s">
        <v>3259</v>
      </c>
      <c r="J114" t="str">
        <f t="shared" si="1"/>
        <v>$AD$8:$AF$30</v>
      </c>
    </row>
    <row r="115" spans="4:10" x14ac:dyDescent="0.35">
      <c r="D115" t="str">
        <f t="shared" si="0"/>
        <v>'\\Hba59\erdms_sjlg\Local Government Finance\SSA calculations 2017-18\Models\[Non-Financial_2016-17_Provisional_Yr1.xls]UA_details'</v>
      </c>
      <c r="H115" t="s">
        <v>3260</v>
      </c>
      <c r="I115" t="s">
        <v>3261</v>
      </c>
      <c r="J115" t="str">
        <f t="shared" si="1"/>
        <v>$B$1:$C$22</v>
      </c>
    </row>
    <row r="116" spans="4:10" x14ac:dyDescent="0.35">
      <c r="D116" t="str">
        <f t="shared" si="0"/>
        <v>'U:\DefaultHome\Objects\[BR1 Return 2019-20 DELETE.xlsx]Details'</v>
      </c>
      <c r="H116" t="s">
        <v>290</v>
      </c>
      <c r="I116" t="s">
        <v>3262</v>
      </c>
      <c r="J116" t="str">
        <f t="shared" si="1"/>
        <v>$C$2</v>
      </c>
    </row>
    <row r="117" spans="4:10" x14ac:dyDescent="0.35">
      <c r="D117" t="str">
        <f t="shared" si="0"/>
        <v>ValData</v>
      </c>
      <c r="H117" t="s">
        <v>3198</v>
      </c>
      <c r="I117" t="s">
        <v>3263</v>
      </c>
      <c r="J117" t="str">
        <f t="shared" si="1"/>
        <v>$B$3:$Q$20</v>
      </c>
    </row>
    <row r="118" spans="4:10" x14ac:dyDescent="0.35">
      <c r="D118" t="str">
        <f t="shared" si="0"/>
        <v>'U:\DefaultHome\Objects\[BR1 Return 2019-20 DELETE.xlsx]Details'</v>
      </c>
      <c r="H118" t="s">
        <v>3156</v>
      </c>
      <c r="I118" t="s">
        <v>3264</v>
      </c>
      <c r="J118" t="str">
        <f t="shared" si="1"/>
        <v>$A$1</v>
      </c>
    </row>
    <row r="119" spans="4:10" x14ac:dyDescent="0.35">
      <c r="D119" t="str">
        <f t="shared" si="0"/>
        <v>'\\Hba59\erdms_sjlg\Local Government Finance\SSA calculations 2016-17\Models\[Capital_2016-17_Provisional.xls]MODEL'</v>
      </c>
      <c r="H119" t="s">
        <v>3265</v>
      </c>
      <c r="I119" t="s">
        <v>3266</v>
      </c>
      <c r="J119" t="str">
        <f t="shared" si="1"/>
        <v>$B$8</v>
      </c>
    </row>
  </sheetData>
  <sheetProtection sheet="1" objects="1" scenarios="1"/>
  <mergeCells count="2">
    <mergeCell ref="L2:L3"/>
    <mergeCell ref="P2:P3"/>
  </mergeCells>
  <pageMargins left="0.7" right="0.7" top="0.75" bottom="0.75" header="0.3" footer="0.3"/>
  <pageSetup paperSize="9" orientation="portrait" horizontalDpi="300" verticalDpi="300"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pageSetUpPr fitToPage="1"/>
  </sheetPr>
  <dimension ref="A1:AE48"/>
  <sheetViews>
    <sheetView zoomScaleNormal="100" workbookViewId="0">
      <selection activeCell="H15" sqref="H15"/>
    </sheetView>
  </sheetViews>
  <sheetFormatPr defaultColWidth="8.84375" defaultRowHeight="15" customHeight="1" x14ac:dyDescent="0.35"/>
  <cols>
    <col min="1" max="2" width="1.3046875" style="15" customWidth="1"/>
    <col min="3" max="3" width="3.69140625" style="15" customWidth="1"/>
    <col min="4" max="4" width="4.4609375" style="15" customWidth="1"/>
    <col min="5" max="6" width="25.3046875" style="15" customWidth="1"/>
    <col min="7" max="7" width="1.765625" style="15" customWidth="1"/>
    <col min="8" max="8" width="14.69140625" style="15" customWidth="1"/>
    <col min="9" max="9" width="1.3046875" style="15" customWidth="1"/>
    <col min="10" max="10" width="1.3046875" style="225" customWidth="1"/>
    <col min="11" max="11" width="12.23046875" style="15" customWidth="1"/>
    <col min="12" max="12" width="11.53515625" style="15" customWidth="1"/>
    <col min="13" max="13" width="1.765625" style="225" customWidth="1"/>
    <col min="14" max="14" width="2.3046875" style="15" hidden="1" customWidth="1"/>
    <col min="15" max="15" width="10.53515625" style="15" customWidth="1"/>
    <col min="16" max="18" width="10.4609375" style="15" customWidth="1"/>
    <col min="19" max="19" width="6" style="15" bestFit="1" customWidth="1"/>
    <col min="20" max="21" width="2.53515625" style="15" hidden="1" customWidth="1"/>
    <col min="22" max="22" width="1.84375" style="15" customWidth="1"/>
    <col min="23" max="23" width="3" style="15" customWidth="1"/>
    <col min="24" max="25" width="3" style="15" hidden="1" customWidth="1"/>
    <col min="26" max="26" width="3.23046875" style="15" hidden="1" customWidth="1"/>
    <col min="27" max="27" width="63" style="15" customWidth="1"/>
    <col min="28" max="28" width="10.07421875" style="15" customWidth="1"/>
    <col min="29" max="29" width="5.07421875" style="15" customWidth="1"/>
    <col min="30" max="30" width="6.07421875" style="15" customWidth="1"/>
    <col min="31" max="16384" width="8.84375" style="15"/>
  </cols>
  <sheetData>
    <row r="1" spans="1:30" ht="15" customHeight="1" x14ac:dyDescent="0.35">
      <c r="A1" s="225"/>
      <c r="B1" s="226"/>
      <c r="C1" s="226"/>
      <c r="D1" s="226"/>
      <c r="E1" s="226"/>
      <c r="F1" s="226"/>
      <c r="G1" s="226"/>
      <c r="H1" s="226"/>
      <c r="I1" s="226"/>
      <c r="J1" s="16"/>
      <c r="N1" s="16"/>
      <c r="O1" s="16"/>
      <c r="P1" s="16"/>
      <c r="R1"/>
      <c r="S1" s="212" t="str">
        <f>ValData!AO48</f>
        <v>Please follow the instructions below when completing this page:</v>
      </c>
      <c r="T1"/>
      <c r="U1"/>
      <c r="V1"/>
      <c r="W1"/>
      <c r="X1"/>
      <c r="Y1"/>
      <c r="Z1"/>
      <c r="AA1"/>
      <c r="AB1"/>
      <c r="AC1"/>
      <c r="AD1"/>
    </row>
    <row r="2" spans="1:30" ht="15" customHeight="1" x14ac:dyDescent="0.35">
      <c r="A2" s="225"/>
      <c r="B2" s="140"/>
      <c r="C2" s="449" t="str">
        <f>FrontPage!D2</f>
        <v>Budget Requirement Return, 2024-25</v>
      </c>
      <c r="D2" s="450"/>
      <c r="E2" s="450"/>
      <c r="F2" s="330"/>
      <c r="G2" s="330"/>
      <c r="H2" s="141" t="str">
        <f>FrontPage!M2</f>
        <v>BR1</v>
      </c>
      <c r="I2" s="139"/>
      <c r="N2" s="16"/>
      <c r="O2" s="98"/>
      <c r="P2" s="98"/>
      <c r="Q2" s="98"/>
      <c r="R2"/>
      <c r="S2"/>
      <c r="T2"/>
      <c r="U2"/>
      <c r="V2"/>
      <c r="W2"/>
      <c r="X2"/>
      <c r="Y2"/>
      <c r="Z2"/>
      <c r="AA2"/>
      <c r="AB2"/>
      <c r="AC2"/>
      <c r="AD2"/>
    </row>
    <row r="3" spans="1:30" ht="15" customHeight="1" x14ac:dyDescent="0.35">
      <c r="A3" s="225"/>
      <c r="B3" s="102"/>
      <c r="C3" s="100"/>
      <c r="D3" s="100"/>
      <c r="E3" s="100"/>
      <c r="F3" s="100"/>
      <c r="G3" s="100"/>
      <c r="H3" s="100"/>
      <c r="I3" s="329"/>
      <c r="N3" s="16"/>
      <c r="O3" s="98"/>
      <c r="P3" s="98"/>
      <c r="Q3" s="98"/>
      <c r="R3"/>
      <c r="S3"/>
      <c r="T3"/>
      <c r="U3"/>
      <c r="V3"/>
      <c r="W3"/>
      <c r="X3"/>
      <c r="Y3"/>
      <c r="Z3"/>
      <c r="AA3"/>
      <c r="AB3"/>
      <c r="AC3"/>
      <c r="AD3"/>
    </row>
    <row r="4" spans="1:30" ht="15" customHeight="1" x14ac:dyDescent="0.35">
      <c r="A4" s="225"/>
      <c r="B4" s="99"/>
      <c r="C4" s="371"/>
      <c r="D4" s="370" t="str">
        <f>Text!F24&amp;":"</f>
        <v>Code:</v>
      </c>
      <c r="E4" s="503" t="str">
        <f>IF(UANumber=0,"",UANumber)</f>
        <v/>
      </c>
      <c r="F4" s="610"/>
      <c r="G4" s="610"/>
      <c r="H4" s="610"/>
      <c r="I4" s="101"/>
      <c r="K4" s="606" t="str">
        <f>Text!F58</f>
        <v>Key for cells in column H:</v>
      </c>
      <c r="L4" s="428" t="str">
        <f>Text!F59</f>
        <v>Input</v>
      </c>
      <c r="N4" s="98"/>
      <c r="O4" s="98"/>
      <c r="P4" s="98"/>
      <c r="Q4" s="98"/>
      <c r="R4"/>
      <c r="S4"/>
      <c r="T4"/>
      <c r="U4"/>
      <c r="V4"/>
      <c r="W4"/>
      <c r="X4"/>
      <c r="Y4"/>
      <c r="Z4"/>
      <c r="AA4"/>
      <c r="AB4"/>
      <c r="AC4"/>
      <c r="AD4"/>
    </row>
    <row r="5" spans="1:30" ht="15" customHeight="1" x14ac:dyDescent="0.35">
      <c r="A5" s="225"/>
      <c r="B5" s="102"/>
      <c r="C5" s="372"/>
      <c r="D5" s="370" t="str">
        <f>Text!F25&amp;":"</f>
        <v>Authority:</v>
      </c>
      <c r="E5" s="503" t="str">
        <f>Details!C5</f>
        <v>Please select your authority on the FrontPage</v>
      </c>
      <c r="F5" s="369"/>
      <c r="G5" s="369"/>
      <c r="H5" s="373"/>
      <c r="I5" s="105"/>
      <c r="K5" s="607"/>
      <c r="L5" s="429" t="str">
        <f>Text!F60</f>
        <v>Adjustable</v>
      </c>
      <c r="N5" s="16"/>
      <c r="O5" s="98"/>
      <c r="P5" s="224"/>
      <c r="Q5" s="98"/>
      <c r="R5"/>
      <c r="S5"/>
      <c r="T5"/>
      <c r="U5"/>
      <c r="V5"/>
      <c r="W5"/>
      <c r="X5"/>
      <c r="Y5"/>
      <c r="Z5"/>
      <c r="AA5"/>
      <c r="AB5"/>
      <c r="AC5"/>
      <c r="AD5"/>
    </row>
    <row r="6" spans="1:30" ht="15" customHeight="1" x14ac:dyDescent="0.35">
      <c r="A6" s="225"/>
      <c r="B6" s="102"/>
      <c r="C6" s="317"/>
      <c r="D6" s="317"/>
      <c r="E6" s="317"/>
      <c r="F6" s="318"/>
      <c r="G6" s="104"/>
      <c r="H6" s="318"/>
      <c r="I6" s="105"/>
      <c r="K6" s="608"/>
      <c r="L6" s="430" t="str">
        <f>Text!F61</f>
        <v>Locked</v>
      </c>
      <c r="N6" s="16"/>
      <c r="P6" s="98"/>
      <c r="Q6"/>
      <c r="R6"/>
      <c r="S6"/>
      <c r="T6"/>
      <c r="U6"/>
      <c r="V6"/>
      <c r="W6"/>
      <c r="X6"/>
      <c r="Y6"/>
      <c r="Z6"/>
      <c r="AA6"/>
      <c r="AB6"/>
      <c r="AC6"/>
      <c r="AD6"/>
    </row>
    <row r="7" spans="1:30" ht="15" customHeight="1" x14ac:dyDescent="0.35">
      <c r="A7" s="225"/>
      <c r="B7" s="102"/>
      <c r="C7" s="603" t="s">
        <v>3018</v>
      </c>
      <c r="D7" s="604"/>
      <c r="E7" s="604"/>
      <c r="F7" s="604"/>
      <c r="G7" s="604"/>
      <c r="H7" s="605"/>
      <c r="I7" s="105"/>
      <c r="K7" s="331"/>
      <c r="L7" s="332"/>
      <c r="N7" s="16"/>
      <c r="P7" s="98"/>
      <c r="Q7"/>
      <c r="R7"/>
      <c r="S7"/>
      <c r="T7"/>
      <c r="U7"/>
      <c r="V7"/>
      <c r="W7"/>
      <c r="X7"/>
      <c r="Y7"/>
      <c r="Z7"/>
      <c r="AA7"/>
      <c r="AB7"/>
      <c r="AC7"/>
      <c r="AD7"/>
    </row>
    <row r="8" spans="1:30" ht="23.25" customHeight="1" x14ac:dyDescent="0.35">
      <c r="A8" s="225"/>
      <c r="B8" s="102"/>
      <c r="C8" s="439"/>
      <c r="D8" s="408"/>
      <c r="E8" s="458" t="s">
        <v>3139</v>
      </c>
      <c r="F8" s="458" t="s">
        <v>2936</v>
      </c>
      <c r="G8" s="408"/>
      <c r="H8" s="440"/>
      <c r="I8" s="105"/>
      <c r="K8" s="331"/>
      <c r="L8" s="291"/>
      <c r="N8" s="16"/>
      <c r="P8" s="98"/>
      <c r="Q8"/>
      <c r="R8"/>
      <c r="S8"/>
      <c r="T8"/>
      <c r="U8"/>
      <c r="V8"/>
      <c r="W8"/>
      <c r="X8"/>
      <c r="Y8"/>
      <c r="Z8"/>
      <c r="AA8"/>
      <c r="AB8"/>
      <c r="AC8"/>
      <c r="AD8"/>
    </row>
    <row r="9" spans="1:30" ht="15" customHeight="1" x14ac:dyDescent="0.35">
      <c r="A9" s="225"/>
      <c r="B9" s="102"/>
      <c r="C9" s="317"/>
      <c r="D9" s="317"/>
      <c r="E9" s="317"/>
      <c r="F9" s="104"/>
      <c r="G9" s="104"/>
      <c r="H9" s="441"/>
      <c r="I9" s="105"/>
      <c r="K9" s="331"/>
      <c r="L9" s="291"/>
      <c r="N9" s="16"/>
      <c r="P9" s="98"/>
      <c r="Q9"/>
      <c r="R9"/>
      <c r="S9"/>
      <c r="T9"/>
      <c r="U9"/>
      <c r="V9"/>
      <c r="W9"/>
      <c r="X9"/>
      <c r="Y9"/>
      <c r="Z9"/>
      <c r="AA9"/>
      <c r="AB9"/>
      <c r="AC9"/>
      <c r="AD9"/>
    </row>
    <row r="10" spans="1:30" ht="15" customHeight="1" x14ac:dyDescent="0.35">
      <c r="A10" s="225"/>
      <c r="B10" s="102"/>
      <c r="C10" s="317"/>
      <c r="D10" s="317"/>
      <c r="E10" s="317"/>
      <c r="F10" s="104"/>
      <c r="G10" s="104"/>
      <c r="H10" s="441"/>
      <c r="I10" s="105"/>
      <c r="K10" s="331"/>
      <c r="L10" s="291"/>
      <c r="N10" s="16"/>
      <c r="P10" s="98"/>
      <c r="Q10" s="233"/>
      <c r="R10"/>
      <c r="S10"/>
      <c r="T10"/>
      <c r="U10"/>
      <c r="V10"/>
      <c r="W10"/>
      <c r="X10"/>
      <c r="Y10"/>
      <c r="Z10"/>
      <c r="AA10"/>
      <c r="AB10"/>
      <c r="AC10"/>
      <c r="AD10"/>
    </row>
    <row r="11" spans="1:30" ht="15" customHeight="1" x14ac:dyDescent="0.35">
      <c r="A11" s="225"/>
      <c r="B11" s="102"/>
      <c r="C11" s="603" t="str">
        <f>"Setliadau Terfynol Llywodraeth Leol / Final Local Government Settlement / "&amp;Details!E32</f>
        <v>Setliadau Terfynol Llywodraeth Leol / Final Local Government Settlement / 2024-25</v>
      </c>
      <c r="D11" s="604"/>
      <c r="E11" s="604"/>
      <c r="F11" s="604"/>
      <c r="G11" s="604"/>
      <c r="H11" s="605"/>
      <c r="I11" s="105"/>
      <c r="K11" s="611" t="str">
        <f>ValData!AO45</f>
        <v>Any totals not = zero in column "V" will be flagged in 'auto' column and highlighted in red.</v>
      </c>
      <c r="L11" s="612"/>
      <c r="N11" s="16"/>
      <c r="O11" s="205" t="str">
        <f>"% "&amp;ValData!AO42</f>
        <v>% tolerance:</v>
      </c>
      <c r="P11" s="407">
        <v>5</v>
      </c>
      <c r="Q11" s="233"/>
      <c r="R11"/>
      <c r="S11"/>
      <c r="T11" s="598" t="str">
        <f>ValData!AO43</f>
        <v>zero?</v>
      </c>
      <c r="U11" s="599"/>
      <c r="V11"/>
      <c r="W11" s="412" t="str">
        <f>ValData!AO44</f>
        <v>Totals</v>
      </c>
      <c r="X11" s="409"/>
      <c r="Y11" s="413"/>
      <c r="Z11"/>
      <c r="AA11"/>
      <c r="AB11"/>
      <c r="AC11"/>
      <c r="AD11"/>
    </row>
    <row r="12" spans="1:30" ht="23.25" customHeight="1" x14ac:dyDescent="0.35">
      <c r="A12" s="225"/>
      <c r="B12" s="102"/>
      <c r="C12" s="439"/>
      <c r="D12" s="408"/>
      <c r="E12" s="458" t="s">
        <v>3231</v>
      </c>
      <c r="F12" s="458" t="s">
        <v>3232</v>
      </c>
      <c r="G12" s="408"/>
      <c r="H12" s="440"/>
      <c r="I12" s="101"/>
      <c r="K12" s="613"/>
      <c r="L12" s="614"/>
      <c r="N12" s="16"/>
      <c r="O12" s="98"/>
      <c r="P12" s="98"/>
      <c r="Q12" s="98"/>
      <c r="R12"/>
      <c r="S12"/>
      <c r="T12" s="596">
        <f>P14</f>
        <v>202324</v>
      </c>
      <c r="U12" s="596">
        <f>Q14</f>
        <v>202425</v>
      </c>
      <c r="V12"/>
      <c r="W12" s="415" t="e">
        <f>SUM(W15:W38)</f>
        <v>#N/A</v>
      </c>
      <c r="X12" s="392">
        <f>SUM(X15:X38)</f>
        <v>0</v>
      </c>
      <c r="Y12" s="419">
        <f>SUM(Y15:Y38)</f>
        <v>0</v>
      </c>
      <c r="Z12"/>
      <c r="AA12"/>
      <c r="AB12"/>
      <c r="AC12"/>
      <c r="AD12"/>
    </row>
    <row r="13" spans="1:30" ht="15" customHeight="1" x14ac:dyDescent="0.35">
      <c r="A13" s="225"/>
      <c r="B13" s="102"/>
      <c r="C13" s="104"/>
      <c r="D13" s="104"/>
      <c r="E13" s="104"/>
      <c r="F13" s="104"/>
      <c r="G13" s="104"/>
      <c r="H13" s="336" t="s">
        <v>3299</v>
      </c>
      <c r="I13" s="101"/>
      <c r="K13" s="613"/>
      <c r="L13" s="614"/>
      <c r="N13" s="16"/>
      <c r="O13" s="389" t="str">
        <f>ValData!AO47</f>
        <v>YOY Figures</v>
      </c>
      <c r="P13" s="294"/>
      <c r="Q13" s="300"/>
      <c r="R13" s="388" t="str">
        <f>ValData!AO41</f>
        <v>difference</v>
      </c>
      <c r="S13" s="409"/>
      <c r="T13" s="597"/>
      <c r="U13" s="597"/>
      <c r="V13" s="600" t="str">
        <f>ValData!AO32</f>
        <v>type</v>
      </c>
      <c r="W13" s="601" t="str">
        <f>ValData!AO33</f>
        <v>auto</v>
      </c>
      <c r="X13" s="601" t="s">
        <v>3062</v>
      </c>
      <c r="Y13" s="602" t="str">
        <f>ValData!AO35</f>
        <v>check</v>
      </c>
      <c r="Z13" s="594" t="str">
        <f>ValData!AO36</f>
        <v>status</v>
      </c>
      <c r="AA13"/>
      <c r="AB13"/>
      <c r="AC13"/>
      <c r="AD13"/>
    </row>
    <row r="14" spans="1:30" ht="26.5" x14ac:dyDescent="0.35">
      <c r="A14" s="225"/>
      <c r="B14" s="102"/>
      <c r="C14" s="124" t="str">
        <f>Text!F27</f>
        <v>Expenditure and income</v>
      </c>
      <c r="D14" s="108"/>
      <c r="E14" s="100"/>
      <c r="F14" s="100"/>
      <c r="G14" s="100"/>
      <c r="H14" s="107" t="s">
        <v>5</v>
      </c>
      <c r="I14" s="109"/>
      <c r="K14" s="615"/>
      <c r="L14" s="616"/>
      <c r="N14" s="16"/>
      <c r="O14" s="452">
        <f>P14-101</f>
        <v>202223</v>
      </c>
      <c r="P14" s="452">
        <f>Q14-101</f>
        <v>202324</v>
      </c>
      <c r="Q14" s="457">
        <f>Year</f>
        <v>202425</v>
      </c>
      <c r="R14" s="395" t="str">
        <f>ValData!AO31</f>
        <v>value</v>
      </c>
      <c r="S14" s="410" t="s">
        <v>3047</v>
      </c>
      <c r="T14" s="597"/>
      <c r="U14" s="597"/>
      <c r="V14" s="595"/>
      <c r="W14" s="595"/>
      <c r="X14" s="595"/>
      <c r="Y14" s="595"/>
      <c r="Z14" s="595"/>
      <c r="AA14" s="414" t="str">
        <f>ValData!AO37</f>
        <v>Your comments</v>
      </c>
      <c r="AB14" s="396" t="str">
        <f>ValData!AO38</f>
        <v>Our comments</v>
      </c>
      <c r="AC14" s="397" t="str">
        <f>ValData!AO39</f>
        <v>signed by</v>
      </c>
      <c r="AD14" s="398" t="str">
        <f>ValData!AO40</f>
        <v>date</v>
      </c>
    </row>
    <row r="15" spans="1:30" ht="15" customHeight="1" x14ac:dyDescent="0.35">
      <c r="A15" s="225"/>
      <c r="B15" s="110"/>
      <c r="C15" s="111">
        <v>15</v>
      </c>
      <c r="D15" s="112" t="str">
        <f>Text!F28</f>
        <v>Community council precepts</v>
      </c>
      <c r="E15" s="100"/>
      <c r="F15" s="111"/>
      <c r="G15" s="111"/>
      <c r="H15" s="230">
        <v>0</v>
      </c>
      <c r="I15" s="109"/>
      <c r="K15" s="331"/>
      <c r="L15" s="332"/>
      <c r="N15" s="199">
        <f t="shared" ref="N15:N22" si="0">C15</f>
        <v>15</v>
      </c>
      <c r="O15" s="399" t="e">
        <f>VLOOKUP(UANumber&amp;"_"&amp;$C15&amp;"_"&amp;O$14,ValData!$AD$4:$AK$795,8,FALSE)</f>
        <v>#N/A</v>
      </c>
      <c r="P15" s="399" t="e">
        <f>VLOOKUP(UANumber&amp;"_"&amp;$C15&amp;"_"&amp;P$14,ValData!$AD$4:$AK$795,8,FALSE)</f>
        <v>#N/A</v>
      </c>
      <c r="Q15" s="401">
        <f t="shared" ref="Q15:Q22" si="1">H15</f>
        <v>0</v>
      </c>
      <c r="R15" s="401" t="e">
        <f t="shared" ref="R15:R16" si="2">Q15-P15</f>
        <v>#N/A</v>
      </c>
      <c r="S15" s="406" t="e">
        <f t="shared" ref="S15:S16" si="3">IF(OR(P15=0,Q15=0),0,(R15/P15)*100)</f>
        <v>#N/A</v>
      </c>
      <c r="T15" s="411" t="e">
        <f t="shared" ref="T15:T16" si="4">IF(P15=0,1,"")</f>
        <v>#N/A</v>
      </c>
      <c r="U15" s="411">
        <f t="shared" ref="U15:U16" si="5">IF(Q15=0,1,"")</f>
        <v>1</v>
      </c>
      <c r="V15" s="390" t="e">
        <f t="shared" ref="V15:V16" si="6">IF(SUM(T15:U15)=2,"",IF(SUM(T15:U15)=1,9,IF(ABS(ROUND(S15,2))&gt;$P$11,2,"")))</f>
        <v>#N/A</v>
      </c>
      <c r="W15" s="391" t="e">
        <f t="shared" ref="W15:W16" si="7">IF(V15&lt;&gt;"",1,0)</f>
        <v>#N/A</v>
      </c>
      <c r="X15" s="416"/>
      <c r="Y15" s="417">
        <f t="shared" ref="Y15:Y16" si="8">IF(Z15="C",0,IF(X15=1,1,0))</f>
        <v>0</v>
      </c>
      <c r="Z15" s="418"/>
      <c r="AA15" s="393"/>
      <c r="AB15" s="394"/>
      <c r="AC15" s="394"/>
      <c r="AD15" s="405"/>
    </row>
    <row r="16" spans="1:30" ht="15" customHeight="1" x14ac:dyDescent="0.35">
      <c r="A16" s="225"/>
      <c r="B16" s="99"/>
      <c r="C16" s="111">
        <v>17</v>
      </c>
      <c r="D16" s="112" t="str">
        <f>Text!F29&amp;" "&amp;"("&amp;Text!F54&amp;")"</f>
        <v>Budget requirement (excluding community council precepts)</v>
      </c>
      <c r="E16" s="100"/>
      <c r="F16" s="113"/>
      <c r="G16" s="113"/>
      <c r="H16" s="230">
        <v>0</v>
      </c>
      <c r="I16" s="109"/>
      <c r="K16" s="331"/>
      <c r="L16" s="333" t="s">
        <v>3069</v>
      </c>
      <c r="N16" s="199">
        <f t="shared" si="0"/>
        <v>17</v>
      </c>
      <c r="O16" s="400" t="e">
        <f>VLOOKUP(UANumber&amp;"_"&amp;$C16&amp;"_"&amp;O$14,ValData!$AD$4:$AK$795,8,FALSE)</f>
        <v>#N/A</v>
      </c>
      <c r="P16" s="400" t="e">
        <f>VLOOKUP(UANumber&amp;"_"&amp;$C16&amp;"_"&amp;P$14,ValData!$AD$4:$AK$795,8,FALSE)</f>
        <v>#N/A</v>
      </c>
      <c r="Q16" s="402">
        <f t="shared" si="1"/>
        <v>0</v>
      </c>
      <c r="R16" s="402" t="e">
        <f t="shared" si="2"/>
        <v>#N/A</v>
      </c>
      <c r="S16" s="404" t="e">
        <f t="shared" si="3"/>
        <v>#N/A</v>
      </c>
      <c r="T16" s="201" t="e">
        <f t="shared" si="4"/>
        <v>#N/A</v>
      </c>
      <c r="U16" s="201">
        <f t="shared" si="5"/>
        <v>1</v>
      </c>
      <c r="V16" s="216" t="e">
        <f t="shared" si="6"/>
        <v>#N/A</v>
      </c>
      <c r="W16" s="208" t="e">
        <f t="shared" si="7"/>
        <v>#N/A</v>
      </c>
      <c r="X16" s="211"/>
      <c r="Y16" s="217">
        <f t="shared" si="8"/>
        <v>0</v>
      </c>
      <c r="Z16" s="218"/>
      <c r="AA16" s="236"/>
      <c r="AB16" s="235"/>
      <c r="AC16" s="235"/>
      <c r="AD16" s="405"/>
    </row>
    <row r="17" spans="1:30" ht="15" customHeight="1" x14ac:dyDescent="0.35">
      <c r="A17" s="225"/>
      <c r="B17" s="99"/>
      <c r="C17" s="111">
        <v>1</v>
      </c>
      <c r="D17" s="112" t="str">
        <f>Text!F30&amp;" "&amp;"("&amp;Text!F55&amp;")"</f>
        <v>Budget requirement (including community council precepts (Lines 15 + 17))</v>
      </c>
      <c r="E17" s="100"/>
      <c r="F17" s="113"/>
      <c r="G17" s="113"/>
      <c r="H17" s="231">
        <f>+H15+H16</f>
        <v>0</v>
      </c>
      <c r="I17" s="114"/>
      <c r="K17" s="619" t="str">
        <f>Text!F62</f>
        <v>For information</v>
      </c>
      <c r="L17" s="619" t="str">
        <f>Text!F63</f>
        <v>Validation</v>
      </c>
      <c r="N17" s="199">
        <f t="shared" si="0"/>
        <v>1</v>
      </c>
      <c r="O17" s="400" t="e">
        <f>VLOOKUP(UANumber&amp;"_"&amp;$C17&amp;"_"&amp;O$14,ValData!$AD$4:$AK$795,8,FALSE)</f>
        <v>#N/A</v>
      </c>
      <c r="P17" s="400" t="e">
        <f>VLOOKUP(UANumber&amp;"_"&amp;$C17&amp;"_"&amp;P$14,ValData!$AD$4:$AK$795,8,FALSE)</f>
        <v>#N/A</v>
      </c>
      <c r="Q17" s="402">
        <f t="shared" si="1"/>
        <v>0</v>
      </c>
      <c r="R17" s="402" t="e">
        <f>Q17-P17</f>
        <v>#N/A</v>
      </c>
      <c r="S17" s="404" t="e">
        <f>IF(OR(P17=0,Q17=0),0,(R17/P17)*100)</f>
        <v>#N/A</v>
      </c>
      <c r="T17"/>
      <c r="U17"/>
      <c r="V17"/>
      <c r="W17"/>
      <c r="X17"/>
      <c r="Y17"/>
      <c r="Z17"/>
      <c r="AA17"/>
      <c r="AB17"/>
      <c r="AC17"/>
      <c r="AD17"/>
    </row>
    <row r="18" spans="1:30" ht="15" customHeight="1" x14ac:dyDescent="0.35">
      <c r="A18" s="225"/>
      <c r="B18" s="99"/>
      <c r="C18" s="111">
        <v>2</v>
      </c>
      <c r="D18" s="112" t="str">
        <f>Text!F31</f>
        <v>Discretionary non-domestic rate relief</v>
      </c>
      <c r="E18" s="100"/>
      <c r="F18" s="113"/>
      <c r="G18" s="113"/>
      <c r="H18" s="230">
        <v>0</v>
      </c>
      <c r="I18" s="114"/>
      <c r="K18" s="619"/>
      <c r="L18" s="619"/>
      <c r="N18" s="199">
        <f t="shared" si="0"/>
        <v>2</v>
      </c>
      <c r="O18" s="400" t="e">
        <f>VLOOKUP(UANumber&amp;"_"&amp;$C18&amp;"_"&amp;O$14,ValData!$AD$4:$AK$795,8,FALSE)</f>
        <v>#N/A</v>
      </c>
      <c r="P18" s="400" t="e">
        <f>VLOOKUP(UANumber&amp;"_"&amp;$C18&amp;"_"&amp;P$14,ValData!$AD$4:$AK$795,8,FALSE)</f>
        <v>#N/A</v>
      </c>
      <c r="Q18" s="402">
        <f t="shared" si="1"/>
        <v>0</v>
      </c>
      <c r="R18" s="402" t="e">
        <f t="shared" ref="R18:R21" si="9">Q18-P18</f>
        <v>#N/A</v>
      </c>
      <c r="S18" s="404" t="e">
        <f t="shared" ref="S18:S21" si="10">IF(OR(P18=0,Q18=0),0,(R18/P18)*100)</f>
        <v>#N/A</v>
      </c>
      <c r="T18" s="201" t="e">
        <f t="shared" ref="T18" si="11">IF(P18=0,1,"")</f>
        <v>#N/A</v>
      </c>
      <c r="U18" s="201">
        <f t="shared" ref="U18" si="12">IF(Q18=0,1,"")</f>
        <v>1</v>
      </c>
      <c r="V18" s="216" t="e">
        <f t="shared" ref="V18" si="13">IF(SUM(T18:U18)=2,"",IF(SUM(T18:U18)=1,9,IF(ABS(ROUND(S18,2))&gt;$P$11,2,"")))</f>
        <v>#N/A</v>
      </c>
      <c r="W18" s="208" t="e">
        <f t="shared" ref="W18" si="14">IF(V18&lt;&gt;"",1,0)</f>
        <v>#N/A</v>
      </c>
      <c r="X18" s="211"/>
      <c r="Y18" s="217">
        <f t="shared" ref="Y18" si="15">IF(Z18="C",0,IF(X18=1,1,0))</f>
        <v>0</v>
      </c>
      <c r="Z18" s="218"/>
      <c r="AA18" s="236"/>
      <c r="AB18" s="235"/>
      <c r="AC18" s="235"/>
      <c r="AD18" s="405"/>
    </row>
    <row r="19" spans="1:30" ht="15" customHeight="1" x14ac:dyDescent="0.35">
      <c r="A19" s="225"/>
      <c r="B19" s="99"/>
      <c r="C19" s="111">
        <v>3</v>
      </c>
      <c r="D19" s="112" t="str">
        <f>Text!F32</f>
        <v>Re-distributed non-domestic rates</v>
      </c>
      <c r="E19" s="100"/>
      <c r="F19" s="113"/>
      <c r="G19" s="113"/>
      <c r="H19" s="231">
        <f>+K19</f>
        <v>0</v>
      </c>
      <c r="I19" s="115"/>
      <c r="K19" s="451">
        <f>IF(UANumber=0,0,VLOOKUP(UANumber,Data,5,FALSE))</f>
        <v>0</v>
      </c>
      <c r="L19" s="323" t="str">
        <f>IF(H19=0,"",H19-K19)</f>
        <v/>
      </c>
      <c r="N19" s="199">
        <f t="shared" si="0"/>
        <v>3</v>
      </c>
      <c r="O19" s="400" t="e">
        <f>VLOOKUP(UANumber&amp;"_"&amp;$C19&amp;"_"&amp;O$14,ValData!$AD$4:$AK$795,8,FALSE)</f>
        <v>#N/A</v>
      </c>
      <c r="P19" s="400" t="e">
        <f>VLOOKUP(UANumber&amp;"_"&amp;$C19&amp;"_"&amp;P$14,ValData!$AD$4:$AK$795,8,FALSE)</f>
        <v>#N/A</v>
      </c>
      <c r="Q19" s="402">
        <f t="shared" si="1"/>
        <v>0</v>
      </c>
      <c r="R19" s="402" t="e">
        <f t="shared" si="9"/>
        <v>#N/A</v>
      </c>
      <c r="S19" s="404" t="e">
        <f t="shared" si="10"/>
        <v>#N/A</v>
      </c>
      <c r="T19"/>
      <c r="U19"/>
      <c r="V19"/>
      <c r="W19"/>
      <c r="X19"/>
      <c r="Y19"/>
      <c r="Z19"/>
      <c r="AA19"/>
      <c r="AB19"/>
      <c r="AC19"/>
      <c r="AD19"/>
    </row>
    <row r="20" spans="1:30" ht="15" customHeight="1" x14ac:dyDescent="0.35">
      <c r="A20" s="225"/>
      <c r="B20" s="99"/>
      <c r="C20" s="111">
        <v>4</v>
      </c>
      <c r="D20" s="112" t="str">
        <f>Text!F33</f>
        <v>Revenue support grant (including floor funding)</v>
      </c>
      <c r="E20" s="100"/>
      <c r="F20" s="113"/>
      <c r="G20" s="113"/>
      <c r="H20" s="231">
        <f>+K20</f>
        <v>0</v>
      </c>
      <c r="I20" s="116"/>
      <c r="K20" s="451">
        <f>IF(UANumber=0,0,VLOOKUP(UANumber,Data,4,FALSE))</f>
        <v>0</v>
      </c>
      <c r="L20" s="323" t="str">
        <f>IF(H20=0,"",H20-K20)</f>
        <v/>
      </c>
      <c r="N20" s="199">
        <f t="shared" si="0"/>
        <v>4</v>
      </c>
      <c r="O20" s="400" t="e">
        <f>VLOOKUP(UANumber&amp;"_"&amp;$C20&amp;"_"&amp;O$14,ValData!$AD$4:$AK$795,8,FALSE)</f>
        <v>#N/A</v>
      </c>
      <c r="P20" s="400" t="e">
        <f>VLOOKUP(UANumber&amp;"_"&amp;$C20&amp;"_"&amp;P$14,ValData!$AD$4:$AK$795,8,FALSE)</f>
        <v>#N/A</v>
      </c>
      <c r="Q20" s="402">
        <f t="shared" si="1"/>
        <v>0</v>
      </c>
      <c r="R20" s="402" t="e">
        <f t="shared" si="9"/>
        <v>#N/A</v>
      </c>
      <c r="S20" s="404" t="e">
        <f t="shared" si="10"/>
        <v>#N/A</v>
      </c>
      <c r="T20"/>
      <c r="U20"/>
      <c r="V20"/>
      <c r="W20"/>
      <c r="X20"/>
      <c r="Y20"/>
      <c r="Z20"/>
      <c r="AA20"/>
      <c r="AB20"/>
      <c r="AC20"/>
      <c r="AD20"/>
    </row>
    <row r="21" spans="1:30" ht="15" customHeight="1" x14ac:dyDescent="0.35">
      <c r="A21" s="225"/>
      <c r="B21" s="99"/>
      <c r="C21" s="111">
        <v>19</v>
      </c>
      <c r="D21" s="112" t="str">
        <f>Text!F34</f>
        <v>Total Central government support (calculated) (Lines 3 + 4)</v>
      </c>
      <c r="E21" s="100"/>
      <c r="F21" s="113"/>
      <c r="G21" s="113"/>
      <c r="H21" s="231">
        <f>SUM(H19:H20)</f>
        <v>0</v>
      </c>
      <c r="I21" s="116"/>
      <c r="K21" s="620" t="str">
        <f>Text!F64</f>
        <v>Cells K19 and K20 above come from the Local Government Settlement, they must be repeated in cells H19 and H20 which is why those cells are locked.</v>
      </c>
      <c r="L21" s="621"/>
      <c r="N21" s="202">
        <f t="shared" si="0"/>
        <v>19</v>
      </c>
      <c r="O21" s="400" t="e">
        <f>VLOOKUP(UANumber&amp;"_"&amp;$C21&amp;"_"&amp;O$14,ValData!$AD$4:$AK$795,8,FALSE)</f>
        <v>#N/A</v>
      </c>
      <c r="P21" s="400" t="e">
        <f>VLOOKUP(UANumber&amp;"_"&amp;$C21&amp;"_"&amp;P$14,ValData!$AD$4:$AK$795,8,FALSE)</f>
        <v>#N/A</v>
      </c>
      <c r="Q21" s="402">
        <f t="shared" si="1"/>
        <v>0</v>
      </c>
      <c r="R21" s="402" t="e">
        <f t="shared" si="9"/>
        <v>#N/A</v>
      </c>
      <c r="S21" s="404" t="e">
        <f t="shared" si="10"/>
        <v>#N/A</v>
      </c>
      <c r="T21"/>
      <c r="U21"/>
      <c r="V21"/>
      <c r="W21"/>
      <c r="X21"/>
      <c r="Y21"/>
      <c r="Z21"/>
      <c r="AA21"/>
      <c r="AB21"/>
      <c r="AC21"/>
      <c r="AD21"/>
    </row>
    <row r="22" spans="1:30" ht="15" customHeight="1" x14ac:dyDescent="0.35">
      <c r="A22" s="225"/>
      <c r="B22" s="99"/>
      <c r="C22" s="111">
        <v>5</v>
      </c>
      <c r="D22" s="112" t="str">
        <f>Text!F35</f>
        <v>Amount to be collected from the council tax (Lines 1 + 2 - 19)</v>
      </c>
      <c r="E22" s="100"/>
      <c r="F22" s="113"/>
      <c r="G22" s="113"/>
      <c r="H22" s="231">
        <f>H17+H18-H21</f>
        <v>0</v>
      </c>
      <c r="I22" s="117"/>
      <c r="K22" s="622"/>
      <c r="L22" s="623"/>
      <c r="N22" s="199">
        <f t="shared" si="0"/>
        <v>5</v>
      </c>
      <c r="O22" s="400" t="e">
        <f>VLOOKUP(UANumber&amp;"_"&amp;$C22&amp;"_"&amp;O$14,ValData!$AD$4:$AK$795,8,FALSE)</f>
        <v>#N/A</v>
      </c>
      <c r="P22" s="400" t="e">
        <f>VLOOKUP(UANumber&amp;"_"&amp;$C22&amp;"_"&amp;P$14,ValData!$AD$4:$AK$795,8,FALSE)</f>
        <v>#N/A</v>
      </c>
      <c r="Q22" s="402">
        <f t="shared" si="1"/>
        <v>0</v>
      </c>
      <c r="R22" s="402" t="e">
        <f>Q22-P22</f>
        <v>#N/A</v>
      </c>
      <c r="S22" s="404" t="e">
        <f>IF(OR(P22=0,Q22=0),0,(R22/P22)*100)</f>
        <v>#N/A</v>
      </c>
      <c r="T22"/>
      <c r="U22"/>
      <c r="V22"/>
      <c r="W22"/>
      <c r="X22"/>
      <c r="Y22"/>
      <c r="Z22"/>
      <c r="AA22"/>
      <c r="AB22"/>
      <c r="AC22"/>
      <c r="AD22"/>
    </row>
    <row r="23" spans="1:30" ht="15" customHeight="1" x14ac:dyDescent="0.35">
      <c r="A23" s="225"/>
      <c r="B23" s="99"/>
      <c r="C23" s="100"/>
      <c r="D23" s="112"/>
      <c r="E23" s="100"/>
      <c r="F23" s="100"/>
      <c r="G23" s="100"/>
      <c r="H23" s="100"/>
      <c r="I23" s="101"/>
      <c r="K23" s="622"/>
      <c r="L23" s="623"/>
      <c r="N23" s="16"/>
      <c r="O23"/>
      <c r="P23" s="207"/>
      <c r="Q23" s="207"/>
      <c r="R23" s="207"/>
      <c r="S23" s="207"/>
      <c r="T23" s="207"/>
      <c r="U23" s="207"/>
      <c r="V23" s="207"/>
      <c r="W23" s="207"/>
      <c r="X23" s="207"/>
      <c r="Y23" s="207"/>
      <c r="Z23" s="207"/>
      <c r="AA23" s="207"/>
      <c r="AB23" s="207"/>
      <c r="AC23" s="207"/>
      <c r="AD23"/>
    </row>
    <row r="24" spans="1:30" ht="15" customHeight="1" x14ac:dyDescent="0.35">
      <c r="A24" s="225"/>
      <c r="B24" s="110"/>
      <c r="C24" s="111">
        <v>16</v>
      </c>
      <c r="D24" s="112" t="str">
        <f>Text!F36</f>
        <v>Police authority precept</v>
      </c>
      <c r="E24" s="100"/>
      <c r="F24" s="118"/>
      <c r="G24" s="118"/>
      <c r="H24" s="1">
        <v>0</v>
      </c>
      <c r="I24" s="114"/>
      <c r="K24" s="622"/>
      <c r="L24" s="623"/>
      <c r="N24" s="199">
        <f>C24</f>
        <v>16</v>
      </c>
      <c r="O24" s="400" t="e">
        <f>VLOOKUP(UANumber&amp;"_"&amp;$C24&amp;"_"&amp;O$14,ValData!$AD$4:$AK$795,8,FALSE)</f>
        <v>#N/A</v>
      </c>
      <c r="P24" s="400" t="e">
        <f>VLOOKUP(UANumber&amp;"_"&amp;$C24&amp;"_"&amp;P$14,ValData!$AD$4:$AK$795,8,FALSE)</f>
        <v>#N/A</v>
      </c>
      <c r="Q24" s="402">
        <f>H24</f>
        <v>0</v>
      </c>
      <c r="R24" s="402" t="e">
        <f t="shared" ref="R24" si="16">Q24-P24</f>
        <v>#N/A</v>
      </c>
      <c r="S24" s="404" t="e">
        <f t="shared" ref="S24" si="17">IF(OR(P24=0,Q24=0),0,(R24/P24)*100)</f>
        <v>#N/A</v>
      </c>
      <c r="T24" s="201" t="e">
        <f t="shared" ref="T24" si="18">IF(P24=0,1,"")</f>
        <v>#N/A</v>
      </c>
      <c r="U24" s="201">
        <f t="shared" ref="U24" si="19">IF(Q24=0,1,"")</f>
        <v>1</v>
      </c>
      <c r="V24" s="216" t="e">
        <f t="shared" ref="V24" si="20">IF(SUM(T24:U24)=2,"",IF(SUM(T24:U24)=1,9,IF(ABS(ROUND(S24,2))&gt;$P$11,2,"")))</f>
        <v>#N/A</v>
      </c>
      <c r="W24" s="208" t="e">
        <f t="shared" ref="W24" si="21">IF(V24&lt;&gt;"",1,0)</f>
        <v>#N/A</v>
      </c>
      <c r="X24" s="222"/>
      <c r="Y24" s="217">
        <f t="shared" ref="Y24" si="22">IF(Z24="C",0,IF(X24=1,1,0))</f>
        <v>0</v>
      </c>
      <c r="Z24" s="218"/>
      <c r="AA24" s="236"/>
      <c r="AB24" s="235"/>
      <c r="AC24" s="235"/>
      <c r="AD24" s="405"/>
    </row>
    <row r="25" spans="1:30" ht="18" customHeight="1" x14ac:dyDescent="0.35">
      <c r="A25" s="225"/>
      <c r="B25" s="99"/>
      <c r="C25" s="100"/>
      <c r="D25" s="100"/>
      <c r="E25" s="100"/>
      <c r="F25" s="100"/>
      <c r="G25" s="100"/>
      <c r="H25" s="100"/>
      <c r="I25" s="101"/>
      <c r="K25" s="622"/>
      <c r="L25" s="623"/>
      <c r="N25" s="16"/>
      <c r="O25"/>
      <c r="P25" s="207"/>
      <c r="Q25" s="207"/>
      <c r="R25" s="207"/>
      <c r="S25" s="200"/>
      <c r="T25" s="98"/>
      <c r="U25" s="98"/>
      <c r="V25" s="219"/>
      <c r="W25" s="209"/>
      <c r="X25" s="98"/>
      <c r="Y25" s="220"/>
      <c r="Z25" s="221"/>
      <c r="AA25" s="234"/>
      <c r="AB25" s="234"/>
      <c r="AC25" s="234"/>
      <c r="AD25"/>
    </row>
    <row r="26" spans="1:30" ht="20.149999999999999" customHeight="1" x14ac:dyDescent="0.35">
      <c r="A26" s="225"/>
      <c r="B26" s="119"/>
      <c r="C26" s="124" t="str">
        <f>Text!F37</f>
        <v>Band D equivalent dwellings</v>
      </c>
      <c r="D26" s="108"/>
      <c r="E26" s="100"/>
      <c r="F26" s="100"/>
      <c r="G26" s="100"/>
      <c r="H26" s="107" t="str">
        <f>Text!F52</f>
        <v>number</v>
      </c>
      <c r="I26" s="109"/>
      <c r="J26" s="15"/>
      <c r="K26" s="624"/>
      <c r="L26" s="625"/>
      <c r="N26" s="16"/>
      <c r="O26"/>
      <c r="P26" s="207"/>
      <c r="Q26" s="207"/>
      <c r="R26" s="207"/>
      <c r="S26" s="200"/>
      <c r="T26" s="98"/>
      <c r="U26" s="98"/>
      <c r="V26" s="219"/>
      <c r="W26" s="209"/>
      <c r="X26" s="98"/>
      <c r="Y26" s="220"/>
      <c r="Z26" s="221"/>
      <c r="AA26" s="234"/>
      <c r="AB26" s="234"/>
      <c r="AC26" s="234"/>
      <c r="AD26"/>
    </row>
    <row r="27" spans="1:30" ht="15" customHeight="1" x14ac:dyDescent="0.35">
      <c r="A27" s="225"/>
      <c r="B27" s="110"/>
      <c r="C27" s="111">
        <v>6</v>
      </c>
      <c r="D27" s="112" t="str">
        <f>Text!F38</f>
        <v>Council tax base before collection rate adjustment (adjustable, 2 decimal places)</v>
      </c>
      <c r="E27" s="100"/>
      <c r="F27" s="113"/>
      <c r="G27" s="113"/>
      <c r="H27" s="319">
        <f>+K27</f>
        <v>0</v>
      </c>
      <c r="I27" s="120"/>
      <c r="K27" s="228">
        <f>IF(UANumber=0,0,VLOOKUP(UANumber,CT1_Discount_Dwellings,2,FALSE))</f>
        <v>0</v>
      </c>
      <c r="L27" s="228" t="str">
        <f>IF(H27=0,"",H27-K27)</f>
        <v/>
      </c>
      <c r="N27" s="199">
        <f>C27</f>
        <v>6</v>
      </c>
      <c r="O27" s="400" t="e">
        <f>VLOOKUP(UANumber&amp;"_"&amp;$C27&amp;"_"&amp;O$14,ValData!$AD$4:$AK$795,8,FALSE)</f>
        <v>#N/A</v>
      </c>
      <c r="P27" s="400" t="e">
        <f>VLOOKUP(UANumber&amp;"_"&amp;$C27&amp;"_"&amp;P$14,ValData!$AD$4:$AK$795,8,FALSE)</f>
        <v>#N/A</v>
      </c>
      <c r="Q27" s="402">
        <f>H27</f>
        <v>0</v>
      </c>
      <c r="R27" s="402" t="e">
        <f t="shared" ref="R27:R29" si="23">Q27-P27</f>
        <v>#N/A</v>
      </c>
      <c r="S27" s="404" t="e">
        <f t="shared" ref="S27:S29" si="24">IF(OR(P27=0,Q27=0),0,(R27/P27)*100)</f>
        <v>#N/A</v>
      </c>
      <c r="T27" s="201" t="e">
        <f t="shared" ref="T27:T29" si="25">IF(P27=0,1,"")</f>
        <v>#N/A</v>
      </c>
      <c r="U27" s="201">
        <f t="shared" ref="U27:U29" si="26">IF(Q27=0,1,"")</f>
        <v>1</v>
      </c>
      <c r="V27" s="216" t="e">
        <f t="shared" ref="V27:V29" si="27">IF(SUM(T27:U27)=2,"",IF(SUM(T27:U27)=1,9,IF(ABS(ROUND(S27,2))&gt;$P$11,2,"")))</f>
        <v>#N/A</v>
      </c>
      <c r="W27" s="208" t="e">
        <f t="shared" ref="W27:W29" si="28">IF(V27&lt;&gt;"",1,0)</f>
        <v>#N/A</v>
      </c>
      <c r="X27" s="222"/>
      <c r="Y27" s="217">
        <f t="shared" ref="Y27:Y29" si="29">IF(Z27="C",0,IF(X27=1,1,0))</f>
        <v>0</v>
      </c>
      <c r="Z27" s="218"/>
      <c r="AA27" s="236"/>
      <c r="AB27" s="235"/>
      <c r="AC27" s="235"/>
      <c r="AD27" s="405"/>
    </row>
    <row r="28" spans="1:30" ht="15" customHeight="1" x14ac:dyDescent="0.35">
      <c r="A28" s="225"/>
      <c r="B28" s="110"/>
      <c r="C28" s="111">
        <v>7</v>
      </c>
      <c r="D28" s="112" t="str">
        <f>Text!F39</f>
        <v>Collection rate assumed (adjustable, 2 decimal places)</v>
      </c>
      <c r="E28" s="100"/>
      <c r="F28" s="113"/>
      <c r="G28" s="113"/>
      <c r="H28" s="320">
        <f>+K28</f>
        <v>0</v>
      </c>
      <c r="I28" s="121"/>
      <c r="K28" s="229">
        <f>IF(UANumber=0,0,VLOOKUP(UANumber,CT1_Percent,2,FALSE)/100)</f>
        <v>0</v>
      </c>
      <c r="L28" s="229" t="str">
        <f>IF(H28=0,"",H28-K28)</f>
        <v/>
      </c>
      <c r="N28" s="199">
        <f>C28</f>
        <v>7</v>
      </c>
      <c r="O28" s="403" t="e">
        <f>VLOOKUP(UANumber&amp;"_"&amp;$C28&amp;"_"&amp;O$14,ValData!$AD$4:$AK$795,8,FALSE)*100</f>
        <v>#N/A</v>
      </c>
      <c r="P28" s="403" t="e">
        <f>VLOOKUP(UANumber&amp;"_"&amp;$C28&amp;"_"&amp;P$14,ValData!$AD$4:$AK$795,8,FALSE)*100</f>
        <v>#N/A</v>
      </c>
      <c r="Q28" s="404">
        <f>H28*100</f>
        <v>0</v>
      </c>
      <c r="R28" s="404" t="e">
        <f t="shared" si="23"/>
        <v>#N/A</v>
      </c>
      <c r="S28" s="404" t="e">
        <f t="shared" si="24"/>
        <v>#N/A</v>
      </c>
      <c r="T28" s="201" t="e">
        <f t="shared" si="25"/>
        <v>#N/A</v>
      </c>
      <c r="U28" s="201">
        <f t="shared" si="26"/>
        <v>1</v>
      </c>
      <c r="V28" s="216" t="e">
        <f t="shared" si="27"/>
        <v>#N/A</v>
      </c>
      <c r="W28" s="208" t="e">
        <f t="shared" si="28"/>
        <v>#N/A</v>
      </c>
      <c r="X28" s="222"/>
      <c r="Y28" s="217">
        <f t="shared" si="29"/>
        <v>0</v>
      </c>
      <c r="Z28" s="218"/>
      <c r="AA28" s="236"/>
      <c r="AB28" s="235"/>
      <c r="AC28" s="235"/>
      <c r="AD28" s="405"/>
    </row>
    <row r="29" spans="1:30" ht="15" customHeight="1" x14ac:dyDescent="0.35">
      <c r="A29" s="225"/>
      <c r="B29" s="110"/>
      <c r="C29" s="111">
        <v>8</v>
      </c>
      <c r="D29" s="112" t="str">
        <f>Text!F40</f>
        <v>Class O exempt dwellings (adjustable, 2 decimal places)</v>
      </c>
      <c r="E29" s="100"/>
      <c r="F29" s="113"/>
      <c r="G29" s="113"/>
      <c r="H29" s="319">
        <f>+K29</f>
        <v>0</v>
      </c>
      <c r="I29" s="120"/>
      <c r="K29" s="228">
        <f>IF(UANumber=0,0,VLOOKUP(UANumber,CT1_Class_O,2,FALSE))</f>
        <v>0</v>
      </c>
      <c r="L29" s="228">
        <f>IF(K29=0,0,IF(H29=0,"",H29-K29))</f>
        <v>0</v>
      </c>
      <c r="N29" s="199">
        <f>C29</f>
        <v>8</v>
      </c>
      <c r="O29" s="400" t="e">
        <f>VLOOKUP(UANumber&amp;"_"&amp;$C29&amp;"_"&amp;O$14,ValData!$AD$4:$AK$795,8,FALSE)</f>
        <v>#N/A</v>
      </c>
      <c r="P29" s="400" t="e">
        <f>VLOOKUP(UANumber&amp;"_"&amp;$C29&amp;"_"&amp;P$14,ValData!$AD$4:$AK$795,8,FALSE)</f>
        <v>#N/A</v>
      </c>
      <c r="Q29" s="402">
        <f>H29</f>
        <v>0</v>
      </c>
      <c r="R29" s="402" t="e">
        <f t="shared" si="23"/>
        <v>#N/A</v>
      </c>
      <c r="S29" s="404" t="e">
        <f t="shared" si="24"/>
        <v>#N/A</v>
      </c>
      <c r="T29" s="201" t="e">
        <f t="shared" si="25"/>
        <v>#N/A</v>
      </c>
      <c r="U29" s="201">
        <f t="shared" si="26"/>
        <v>1</v>
      </c>
      <c r="V29" s="216" t="e">
        <f t="shared" si="27"/>
        <v>#N/A</v>
      </c>
      <c r="W29" s="208" t="e">
        <f t="shared" si="28"/>
        <v>#N/A</v>
      </c>
      <c r="X29" s="222"/>
      <c r="Y29" s="217">
        <f t="shared" si="29"/>
        <v>0</v>
      </c>
      <c r="Z29" s="218"/>
      <c r="AA29" s="236"/>
      <c r="AB29" s="235"/>
      <c r="AC29" s="235"/>
      <c r="AD29" s="405"/>
    </row>
    <row r="30" spans="1:30" ht="15" customHeight="1" x14ac:dyDescent="0.35">
      <c r="A30" s="225"/>
      <c r="B30" s="110"/>
      <c r="C30" s="111">
        <v>9</v>
      </c>
      <c r="D30" s="112" t="str">
        <f>Text!F41</f>
        <v>Council tax base for tax-setting purposes (lines 6 x 7 + 8)</v>
      </c>
      <c r="E30" s="100"/>
      <c r="F30" s="113"/>
      <c r="G30" s="113"/>
      <c r="H30" s="227">
        <f>(H27*H28+H29)</f>
        <v>0</v>
      </c>
      <c r="I30" s="117"/>
      <c r="K30" s="228">
        <f>IF(UANumber=0,0,VLOOKUP(UANumber,Data,6,FALSE))</f>
        <v>0</v>
      </c>
      <c r="L30" s="228" t="str">
        <f>IF(H30=0,"",ROUND(H30-K30,2))</f>
        <v/>
      </c>
      <c r="N30" s="199">
        <f>C30</f>
        <v>9</v>
      </c>
      <c r="O30" s="400" t="e">
        <f>VLOOKUP(UANumber&amp;"_"&amp;$C30&amp;"_"&amp;O$14,ValData!$AD$4:$AK$795,8,FALSE)</f>
        <v>#N/A</v>
      </c>
      <c r="P30" s="400" t="e">
        <f>VLOOKUP(UANumber&amp;"_"&amp;$C30&amp;"_"&amp;P$14,ValData!$AD$4:$AK$795,8,FALSE)</f>
        <v>#N/A</v>
      </c>
      <c r="Q30" s="402">
        <f>H30</f>
        <v>0</v>
      </c>
      <c r="R30" s="402" t="e">
        <f>Q30-P30</f>
        <v>#N/A</v>
      </c>
      <c r="S30" s="404" t="e">
        <f>IF(OR(P30=0,Q30=0),0,(R30/P30)*100)</f>
        <v>#N/A</v>
      </c>
      <c r="T30" s="98"/>
      <c r="U30" s="98"/>
      <c r="V30" s="219"/>
      <c r="W30" s="209"/>
      <c r="X30" s="209"/>
      <c r="Y30" s="209"/>
      <c r="Z30" s="209"/>
      <c r="AA30" s="209"/>
      <c r="AB30" s="209"/>
      <c r="AC30" s="209"/>
      <c r="AD30"/>
    </row>
    <row r="31" spans="1:30" ht="15" customHeight="1" x14ac:dyDescent="0.35">
      <c r="A31" s="225"/>
      <c r="B31" s="99"/>
      <c r="C31" s="100"/>
      <c r="D31" s="100"/>
      <c r="E31" s="100"/>
      <c r="F31" s="100"/>
      <c r="G31" s="100"/>
      <c r="H31" s="100"/>
      <c r="I31" s="101"/>
      <c r="K31" s="626" t="str">
        <f>Text!F65</f>
        <v>Cell K30 comes from your Council Tax Dwellings (CT1) return, 2024-25, part E, line 26.  Cell H30 must match it.</v>
      </c>
      <c r="L31" s="627"/>
      <c r="N31" s="16"/>
      <c r="O31"/>
      <c r="P31" s="207"/>
      <c r="Q31" s="207"/>
      <c r="R31" s="207"/>
      <c r="S31" s="200"/>
      <c r="T31" s="98"/>
      <c r="U31" s="98"/>
      <c r="V31" s="219"/>
      <c r="W31" s="209"/>
      <c r="X31" s="209"/>
      <c r="Y31" s="209"/>
      <c r="Z31" s="209"/>
      <c r="AA31" s="209"/>
      <c r="AB31" s="209"/>
      <c r="AC31" s="209"/>
      <c r="AD31"/>
    </row>
    <row r="32" spans="1:30" ht="15" customHeight="1" x14ac:dyDescent="0.35">
      <c r="A32" s="225"/>
      <c r="B32" s="99"/>
      <c r="C32" s="100"/>
      <c r="D32" s="100"/>
      <c r="E32" s="100"/>
      <c r="F32" s="100"/>
      <c r="G32" s="100"/>
      <c r="H32" s="100"/>
      <c r="I32" s="101"/>
      <c r="K32" s="628"/>
      <c r="L32" s="629"/>
      <c r="N32" s="16"/>
      <c r="O32"/>
      <c r="P32" s="207"/>
      <c r="Q32" s="207"/>
      <c r="R32" s="207"/>
      <c r="S32" s="207"/>
      <c r="T32" s="207"/>
      <c r="U32" s="207"/>
      <c r="V32" s="207"/>
      <c r="W32" s="207"/>
      <c r="X32" s="207"/>
      <c r="Y32" s="207"/>
      <c r="Z32" s="207"/>
      <c r="AA32" s="207"/>
      <c r="AB32" s="209"/>
      <c r="AC32" s="209"/>
      <c r="AD32"/>
    </row>
    <row r="33" spans="1:31" s="360" customFormat="1" ht="20.149999999999999" customHeight="1" x14ac:dyDescent="0.35">
      <c r="A33" s="356"/>
      <c r="B33" s="110"/>
      <c r="C33" s="124" t="str">
        <f>Text!F42</f>
        <v>£ per band D equivalent dwelling</v>
      </c>
      <c r="D33" s="103"/>
      <c r="E33" s="106"/>
      <c r="F33" s="106"/>
      <c r="G33" s="106"/>
      <c r="H33" s="107" t="str">
        <f>Text!F53</f>
        <v>£ to nearest penny</v>
      </c>
      <c r="I33" s="357"/>
      <c r="J33" s="356"/>
      <c r="K33" s="628"/>
      <c r="L33" s="629"/>
      <c r="M33" s="225"/>
      <c r="N33" s="16"/>
      <c r="O33"/>
      <c r="P33" s="358"/>
      <c r="Q33" s="358"/>
      <c r="R33" s="358"/>
      <c r="S33" s="358"/>
      <c r="T33" s="358"/>
      <c r="U33" s="358"/>
      <c r="V33" s="358"/>
      <c r="W33" s="358"/>
      <c r="X33" s="358"/>
      <c r="Y33" s="358"/>
      <c r="Z33" s="358"/>
      <c r="AA33" s="358"/>
      <c r="AB33" s="359"/>
      <c r="AC33" s="359"/>
      <c r="AD33"/>
      <c r="AE33" s="15"/>
    </row>
    <row r="34" spans="1:31" ht="15" customHeight="1" x14ac:dyDescent="0.35">
      <c r="A34" s="225"/>
      <c r="B34" s="110"/>
      <c r="C34" s="111">
        <v>22</v>
      </c>
      <c r="D34" s="112" t="str">
        <f>Text!F43</f>
        <v>Council tax excluding community council precepts  (line 10 - 23)</v>
      </c>
      <c r="E34" s="100"/>
      <c r="F34" s="113"/>
      <c r="G34" s="113"/>
      <c r="H34" s="122">
        <f>H36-H35</f>
        <v>0</v>
      </c>
      <c r="I34" s="117"/>
      <c r="K34" s="628"/>
      <c r="L34" s="629"/>
      <c r="N34" s="202">
        <f>C34</f>
        <v>22</v>
      </c>
      <c r="O34" s="403" t="e">
        <f>VLOOKUP(UANumber&amp;"_"&amp;$C34&amp;"_"&amp;O$14,ValData!$AD$4:$AK$795,8,FALSE)</f>
        <v>#N/A</v>
      </c>
      <c r="P34" s="403" t="e">
        <f>VLOOKUP(UANumber&amp;"_"&amp;$C34&amp;"_"&amp;P$14,ValData!$AD$4:$AK$795,8,FALSE)</f>
        <v>#N/A</v>
      </c>
      <c r="Q34" s="404">
        <f>H34</f>
        <v>0</v>
      </c>
      <c r="R34" s="404" t="e">
        <f>Q34-P34</f>
        <v>#N/A</v>
      </c>
      <c r="S34" s="404" t="e">
        <f>IF(OR(P34=0,Q34=0),0,(R34/P34)*100)</f>
        <v>#N/A</v>
      </c>
      <c r="T34" s="201" t="e">
        <f t="shared" ref="T34:U36" si="30">IF(P34=0,1,"")</f>
        <v>#N/A</v>
      </c>
      <c r="U34" s="201">
        <f t="shared" si="30"/>
        <v>1</v>
      </c>
      <c r="V34" s="216" t="e">
        <f>IF(SUM(T34:U34)=2,"",IF(SUM(T34:U34)=1,9,IF(ABS(ROUND(S34,2))&gt;$P$11,2,"")))</f>
        <v>#N/A</v>
      </c>
      <c r="W34" s="208" t="e">
        <f>IF(V34&lt;&gt;"",1,0)</f>
        <v>#N/A</v>
      </c>
      <c r="X34" s="211"/>
      <c r="Y34" s="217">
        <f>IF(Z34="C",0,IF(X34=1,1,0))</f>
        <v>0</v>
      </c>
      <c r="Z34" s="218"/>
      <c r="AA34" s="207"/>
      <c r="AB34" s="209"/>
      <c r="AC34" s="209"/>
      <c r="AD34"/>
    </row>
    <row r="35" spans="1:31" ht="15" customHeight="1" x14ac:dyDescent="0.35">
      <c r="A35" s="225"/>
      <c r="B35" s="110"/>
      <c r="C35" s="111">
        <v>23</v>
      </c>
      <c r="D35" s="112" t="str">
        <f>Text!F44</f>
        <v>Community council precepts (line 15 / line 9)</v>
      </c>
      <c r="E35" s="100"/>
      <c r="F35" s="118"/>
      <c r="G35" s="118"/>
      <c r="H35" s="122">
        <f>IF(H15=0,0,+H15/H30)</f>
        <v>0</v>
      </c>
      <c r="I35" s="117"/>
      <c r="J35" s="15"/>
      <c r="K35" s="630"/>
      <c r="L35" s="631"/>
      <c r="N35" s="199">
        <f>C35</f>
        <v>23</v>
      </c>
      <c r="O35" s="403" t="e">
        <f>VLOOKUP(UANumber&amp;"_"&amp;$C35&amp;"_"&amp;O$14,ValData!$AD$4:$AK$795,8,FALSE)</f>
        <v>#N/A</v>
      </c>
      <c r="P35" s="403" t="e">
        <f>VLOOKUP(UANumber&amp;"_"&amp;$C35&amp;"_"&amp;P$14,ValData!$AD$4:$AK$795,8,FALSE)</f>
        <v>#N/A</v>
      </c>
      <c r="Q35" s="404">
        <f>H35</f>
        <v>0</v>
      </c>
      <c r="R35" s="404" t="e">
        <f>Q35-P35</f>
        <v>#N/A</v>
      </c>
      <c r="S35" s="404" t="e">
        <f>IF(OR(P35=0,Q35=0),0,(R35/P35)*100)</f>
        <v>#N/A</v>
      </c>
      <c r="T35" s="201" t="e">
        <f t="shared" si="30"/>
        <v>#N/A</v>
      </c>
      <c r="U35" s="201">
        <f t="shared" si="30"/>
        <v>1</v>
      </c>
      <c r="V35" s="216" t="e">
        <f>IF(SUM(T35:U35)=2,"",IF(SUM(T35:U35)=1,9,IF(ABS(ROUND(S35,2))&gt;$P$11,2,"")))</f>
        <v>#N/A</v>
      </c>
      <c r="W35" s="208" t="e">
        <f>IF(V35&lt;&gt;"",1,0)</f>
        <v>#N/A</v>
      </c>
      <c r="X35" s="222"/>
      <c r="Y35" s="217">
        <f>IF(Z35="C",0,IF(X35=1,1,0))</f>
        <v>0</v>
      </c>
      <c r="Z35" s="218"/>
      <c r="AA35" s="207"/>
      <c r="AB35" s="209"/>
      <c r="AC35" s="209"/>
      <c r="AD35"/>
    </row>
    <row r="36" spans="1:31" ht="15" customHeight="1" x14ac:dyDescent="0.35">
      <c r="A36" s="225"/>
      <c r="B36" s="110"/>
      <c r="C36" s="111">
        <v>10</v>
      </c>
      <c r="D36" s="112" t="str">
        <f>Text!F45</f>
        <v>Council tax calculated under s33  (line 5 / line 9)</v>
      </c>
      <c r="E36" s="100"/>
      <c r="F36" s="113"/>
      <c r="G36" s="113"/>
      <c r="H36" s="122">
        <f>IF(H30=0,0,ROUND(H22/H30,2))</f>
        <v>0</v>
      </c>
      <c r="I36" s="120"/>
      <c r="J36" s="15"/>
      <c r="N36" s="199">
        <f>C36</f>
        <v>10</v>
      </c>
      <c r="O36" s="403" t="e">
        <f>VLOOKUP(UANumber&amp;"_"&amp;$C36&amp;"_"&amp;O$14,ValData!$AD$4:$AK$795,8,FALSE)</f>
        <v>#N/A</v>
      </c>
      <c r="P36" s="403" t="e">
        <f>VLOOKUP(UANumber&amp;"_"&amp;$C36&amp;"_"&amp;P$14,ValData!$AD$4:$AK$795,8,FALSE)</f>
        <v>#N/A</v>
      </c>
      <c r="Q36" s="404">
        <f>H36</f>
        <v>0</v>
      </c>
      <c r="R36" s="404" t="e">
        <f>Q36-P36</f>
        <v>#N/A</v>
      </c>
      <c r="S36" s="404" t="e">
        <f>IF(OR(P36=0,Q36=0),0,(R36/P36)*100)</f>
        <v>#N/A</v>
      </c>
      <c r="T36" s="201" t="e">
        <f t="shared" si="30"/>
        <v>#N/A</v>
      </c>
      <c r="U36" s="201">
        <f t="shared" si="30"/>
        <v>1</v>
      </c>
      <c r="V36" s="216" t="e">
        <f>IF(SUM(T36:U36)=2,"",IF(SUM(T36:U36)=1,9,IF(ABS(ROUND(S36,2))&gt;$P$11,2,"")))</f>
        <v>#N/A</v>
      </c>
      <c r="W36" s="208" t="e">
        <f>IF(V36&lt;&gt;"",1,0)</f>
        <v>#N/A</v>
      </c>
      <c r="X36" s="222"/>
      <c r="Y36" s="217">
        <f>IF(Z36="C",0,IF(X36=1,1,0))</f>
        <v>0</v>
      </c>
      <c r="Z36" s="218"/>
      <c r="AA36" s="207"/>
      <c r="AB36" s="209"/>
      <c r="AC36" s="209"/>
      <c r="AD36"/>
    </row>
    <row r="37" spans="1:31" ht="15" customHeight="1" x14ac:dyDescent="0.35">
      <c r="A37" s="225"/>
      <c r="B37" s="110"/>
      <c r="C37" s="111">
        <v>11</v>
      </c>
      <c r="D37" s="112" t="str">
        <f>Text!F46</f>
        <v>Council tax of police authority in billing authority's area  (line 16 / line 9)</v>
      </c>
      <c r="E37" s="100"/>
      <c r="F37" s="113"/>
      <c r="G37" s="113"/>
      <c r="H37" s="319">
        <f>IF(H24=0,0,H24/H30)</f>
        <v>0</v>
      </c>
      <c r="I37" s="123"/>
      <c r="K37" s="228">
        <f>IF(H30=0,0,H24/H30)</f>
        <v>0</v>
      </c>
      <c r="L37" s="228">
        <f>IF(K37=0,0,H37-K37)</f>
        <v>0</v>
      </c>
      <c r="N37" s="199">
        <f>C37</f>
        <v>11</v>
      </c>
      <c r="O37" s="403" t="e">
        <f>VLOOKUP(UANumber&amp;"_"&amp;$C37&amp;"_"&amp;O$14,ValData!$AD$4:$AK$795,8,FALSE)</f>
        <v>#N/A</v>
      </c>
      <c r="P37" s="403" t="e">
        <f>VLOOKUP(UANumber&amp;"_"&amp;$C37&amp;"_"&amp;P$14,ValData!$AD$4:$AK$795,8,FALSE)</f>
        <v>#N/A</v>
      </c>
      <c r="Q37" s="404">
        <f>H37</f>
        <v>0</v>
      </c>
      <c r="R37" s="404" t="e">
        <f>Q37-P37</f>
        <v>#N/A</v>
      </c>
      <c r="S37" s="404" t="e">
        <f>IF(OR(P37=0,Q37=0),0,(R37/P37)*100)</f>
        <v>#N/A</v>
      </c>
      <c r="T37" s="201" t="e">
        <f t="shared" ref="T37" si="31">IF(P37=0,1,"")</f>
        <v>#N/A</v>
      </c>
      <c r="U37" s="201">
        <f t="shared" ref="U37" si="32">IF(Q37=0,1,"")</f>
        <v>1</v>
      </c>
      <c r="V37" s="216" t="e">
        <f>IF(SUM(T37:U37)=2,"",IF(SUM(T37:U37)=1,9,IF(ABS(ROUND(S37,2))&gt;$P$11,2,"")))</f>
        <v>#N/A</v>
      </c>
      <c r="W37" s="208" t="e">
        <f>IF(V37&lt;&gt;"",1,0)</f>
        <v>#N/A</v>
      </c>
      <c r="X37" s="211"/>
      <c r="Y37" s="217">
        <f>IF(Z37="C",0,IF(X37=1,1,0))</f>
        <v>0</v>
      </c>
      <c r="Z37" s="218"/>
      <c r="AA37" s="236"/>
      <c r="AB37" s="235"/>
      <c r="AC37" s="235"/>
      <c r="AD37" s="405"/>
    </row>
    <row r="38" spans="1:31" ht="15" customHeight="1" thickBot="1" x14ac:dyDescent="0.4">
      <c r="A38" s="225"/>
      <c r="B38" s="110"/>
      <c r="C38" s="111">
        <v>12</v>
      </c>
      <c r="D38" s="112" t="str">
        <f>Text!F47</f>
        <v>Average council tax for area of billing authority (line 10 + 11)</v>
      </c>
      <c r="E38" s="100"/>
      <c r="F38" s="113"/>
      <c r="G38" s="113"/>
      <c r="H38" s="122">
        <f>IF(H36=0,0,H36+H37)</f>
        <v>0</v>
      </c>
      <c r="I38" s="117"/>
      <c r="K38" s="632" t="str">
        <f>Text!F66</f>
        <v>Cell H37 is calculated but it can be over written to allow for minor rounding adjustments.</v>
      </c>
      <c r="L38" s="633"/>
      <c r="N38" s="202">
        <f>C38</f>
        <v>12</v>
      </c>
      <c r="O38" s="403" t="e">
        <f>VLOOKUP(UANumber&amp;"_"&amp;$C38&amp;"_"&amp;O$14,ValData!$AD$4:$AK$795,8,FALSE)</f>
        <v>#N/A</v>
      </c>
      <c r="P38" s="403" t="e">
        <f>VLOOKUP(UANumber&amp;"_"&amp;$C38&amp;"_"&amp;P$14,ValData!$AD$4:$AK$795,8,FALSE)</f>
        <v>#N/A</v>
      </c>
      <c r="Q38" s="404">
        <f>H38</f>
        <v>0</v>
      </c>
      <c r="R38" s="404" t="e">
        <f>Q38-P38</f>
        <v>#N/A</v>
      </c>
      <c r="S38" s="404" t="e">
        <f>IF(OR(P38=0,Q38=0),0,(R38/P38)*100)</f>
        <v>#N/A</v>
      </c>
      <c r="T38" s="322"/>
      <c r="U38" s="322"/>
      <c r="V38"/>
      <c r="W38"/>
      <c r="X38"/>
      <c r="Y38"/>
      <c r="Z38"/>
      <c r="AA38"/>
      <c r="AB38"/>
      <c r="AC38"/>
      <c r="AD38"/>
    </row>
    <row r="39" spans="1:31" ht="15" customHeight="1" x14ac:dyDescent="0.35">
      <c r="A39" s="225"/>
      <c r="B39" s="99"/>
      <c r="C39" s="100"/>
      <c r="D39" s="100"/>
      <c r="E39" s="100"/>
      <c r="F39" s="100"/>
      <c r="G39" s="100"/>
      <c r="H39" s="100"/>
      <c r="I39" s="109"/>
      <c r="K39" s="634"/>
      <c r="L39" s="635"/>
      <c r="N39" s="132"/>
    </row>
    <row r="40" spans="1:31" ht="21.75" customHeight="1" x14ac:dyDescent="0.35">
      <c r="A40" s="225"/>
      <c r="B40" s="99"/>
      <c r="C40" s="459" t="str">
        <f>Text!F48</f>
        <v>Certificate of the Chief Financial Officer:</v>
      </c>
      <c r="D40" s="106"/>
      <c r="E40" s="106"/>
      <c r="F40" s="106"/>
      <c r="G40" s="106"/>
      <c r="H40" s="100"/>
      <c r="I40" s="101"/>
      <c r="K40" s="634"/>
      <c r="L40" s="635"/>
      <c r="N40" s="16"/>
      <c r="O40"/>
      <c r="P40"/>
      <c r="Q40"/>
      <c r="R40"/>
      <c r="S40"/>
      <c r="T40"/>
      <c r="U40"/>
      <c r="V40"/>
      <c r="W40"/>
      <c r="X40"/>
      <c r="Y40"/>
      <c r="Z40"/>
      <c r="AA40"/>
      <c r="AB40"/>
      <c r="AC40"/>
      <c r="AD40"/>
    </row>
    <row r="41" spans="1:31" ht="15" customHeight="1" x14ac:dyDescent="0.35">
      <c r="A41" s="225"/>
      <c r="B41" s="99"/>
      <c r="C41" s="609" t="str">
        <f>Text!F49</f>
        <v>I certify that, to the best of my knowledge and belief, the information provided on this form is correct and consistent with the estimates and calculations made by my authority for the purposes of making its calculations under sections 32 and 33 of the Local Government Finance Act 1992, as amended.</v>
      </c>
      <c r="D41" s="609"/>
      <c r="E41" s="609"/>
      <c r="F41" s="609"/>
      <c r="G41" s="609"/>
      <c r="H41" s="609"/>
      <c r="I41" s="101"/>
      <c r="K41" s="636"/>
      <c r="L41" s="637"/>
      <c r="N41" s="16"/>
      <c r="O41" s="98"/>
      <c r="P41" s="98"/>
      <c r="Q41" s="232"/>
      <c r="R41"/>
      <c r="S41"/>
      <c r="T41"/>
      <c r="U41"/>
      <c r="V41"/>
      <c r="W41"/>
      <c r="X41"/>
      <c r="Y41"/>
      <c r="Z41"/>
      <c r="AA41"/>
      <c r="AB41"/>
      <c r="AC41"/>
      <c r="AD41"/>
    </row>
    <row r="42" spans="1:31" ht="15" customHeight="1" x14ac:dyDescent="0.35">
      <c r="A42" s="225"/>
      <c r="B42" s="99"/>
      <c r="C42" s="609"/>
      <c r="D42" s="609"/>
      <c r="E42" s="609"/>
      <c r="F42" s="609"/>
      <c r="G42" s="609"/>
      <c r="H42" s="609"/>
      <c r="I42" s="101"/>
      <c r="L42" s="98"/>
      <c r="N42" s="16"/>
      <c r="O42" s="98"/>
      <c r="P42" s="98"/>
      <c r="Q42" s="98"/>
      <c r="R42"/>
      <c r="S42"/>
      <c r="T42"/>
      <c r="U42"/>
      <c r="V42"/>
      <c r="W42"/>
      <c r="X42"/>
      <c r="Y42"/>
      <c r="Z42"/>
      <c r="AA42"/>
      <c r="AB42"/>
      <c r="AC42"/>
      <c r="AD42"/>
    </row>
    <row r="43" spans="1:31" ht="15" customHeight="1" x14ac:dyDescent="0.35">
      <c r="A43" s="225"/>
      <c r="B43" s="99"/>
      <c r="C43" s="609"/>
      <c r="D43" s="609"/>
      <c r="E43" s="609"/>
      <c r="F43" s="609"/>
      <c r="G43" s="609"/>
      <c r="H43" s="609"/>
      <c r="I43" s="101"/>
      <c r="M43" s="98"/>
      <c r="N43" s="16"/>
      <c r="O43" s="223"/>
      <c r="P43" s="98"/>
      <c r="Q43" s="98"/>
      <c r="R43"/>
      <c r="S43"/>
      <c r="T43"/>
      <c r="U43"/>
      <c r="V43"/>
      <c r="W43"/>
      <c r="X43"/>
      <c r="Y43"/>
      <c r="Z43"/>
      <c r="AA43"/>
      <c r="AB43"/>
      <c r="AC43"/>
      <c r="AD43"/>
    </row>
    <row r="44" spans="1:31" ht="15" customHeight="1" x14ac:dyDescent="0.35">
      <c r="A44" s="225"/>
      <c r="B44" s="99"/>
      <c r="C44" s="100"/>
      <c r="D44" s="100"/>
      <c r="E44" s="100"/>
      <c r="F44" s="100"/>
      <c r="G44" s="100"/>
      <c r="H44" s="100"/>
      <c r="I44" s="101"/>
      <c r="M44" s="98"/>
      <c r="N44" s="16"/>
      <c r="O44" s="223"/>
      <c r="P44" s="98"/>
      <c r="Q44" s="98"/>
      <c r="R44"/>
      <c r="S44"/>
      <c r="T44"/>
      <c r="U44"/>
      <c r="V44"/>
      <c r="W44"/>
      <c r="X44"/>
      <c r="Y44"/>
      <c r="Z44"/>
      <c r="AA44"/>
      <c r="AB44"/>
      <c r="AC44"/>
      <c r="AD44"/>
    </row>
    <row r="45" spans="1:31" ht="45" customHeight="1" x14ac:dyDescent="0.35">
      <c r="A45" s="225"/>
      <c r="B45" s="99"/>
      <c r="C45" s="617" t="str">
        <f>Text!F50&amp;" "</f>
        <v xml:space="preserve">Signature of the Chief Financial Officer: </v>
      </c>
      <c r="D45" s="617"/>
      <c r="E45" s="618"/>
      <c r="F45" s="374"/>
      <c r="G45" s="371"/>
      <c r="H45" s="460" t="str">
        <f>Text!F51</f>
        <v>For Welsh Government use only</v>
      </c>
      <c r="I45" s="101"/>
      <c r="M45" s="98"/>
      <c r="N45" s="16"/>
      <c r="O45" s="223"/>
      <c r="P45" s="98"/>
      <c r="Q45" s="98"/>
      <c r="R45"/>
      <c r="S45"/>
      <c r="T45"/>
      <c r="U45"/>
      <c r="V45"/>
      <c r="W45"/>
      <c r="X45"/>
      <c r="Y45"/>
      <c r="Z45"/>
      <c r="AA45"/>
      <c r="AB45"/>
      <c r="AC45"/>
      <c r="AD45"/>
    </row>
    <row r="46" spans="1:31" ht="15.5" x14ac:dyDescent="0.35">
      <c r="A46" s="225"/>
      <c r="B46" s="99"/>
      <c r="C46" s="371"/>
      <c r="D46" s="375"/>
      <c r="E46" s="371"/>
      <c r="F46" s="371"/>
      <c r="G46" s="371"/>
      <c r="H46" s="437"/>
      <c r="I46" s="101"/>
      <c r="M46" s="98"/>
      <c r="N46" s="16"/>
      <c r="O46" s="98"/>
      <c r="P46" s="98"/>
      <c r="Q46" s="98"/>
      <c r="R46"/>
      <c r="S46"/>
      <c r="T46"/>
      <c r="U46"/>
      <c r="V46"/>
      <c r="W46"/>
      <c r="X46"/>
      <c r="Y46"/>
      <c r="Z46"/>
      <c r="AA46"/>
      <c r="AB46"/>
      <c r="AC46"/>
      <c r="AD46"/>
    </row>
    <row r="47" spans="1:31" ht="45" customHeight="1" x14ac:dyDescent="0.35">
      <c r="A47" s="225"/>
      <c r="B47" s="99"/>
      <c r="C47" s="617" t="str">
        <f>Text!F56&amp;" "</f>
        <v xml:space="preserve">Date: </v>
      </c>
      <c r="D47" s="617"/>
      <c r="E47" s="618"/>
      <c r="F47" s="376"/>
      <c r="G47" s="371"/>
      <c r="H47" s="438" t="str">
        <f>+Transfer!I39</f>
        <v>ZZZZZZZZZZZZZZ</v>
      </c>
      <c r="I47" s="101"/>
      <c r="M47" s="98"/>
      <c r="N47" s="16"/>
      <c r="O47" s="98"/>
      <c r="P47" s="98"/>
      <c r="Q47" s="98"/>
      <c r="R47"/>
      <c r="S47"/>
      <c r="T47"/>
      <c r="U47"/>
      <c r="V47"/>
      <c r="W47"/>
      <c r="X47"/>
      <c r="Y47"/>
      <c r="Z47"/>
      <c r="AA47"/>
      <c r="AB47"/>
      <c r="AC47"/>
      <c r="AD47"/>
    </row>
    <row r="48" spans="1:31" ht="15.5" x14ac:dyDescent="0.35">
      <c r="A48" s="225"/>
      <c r="B48" s="125"/>
      <c r="C48" s="126"/>
      <c r="D48" s="127"/>
      <c r="E48" s="128"/>
      <c r="F48" s="128"/>
      <c r="G48" s="128"/>
      <c r="H48" s="127"/>
      <c r="I48" s="129"/>
      <c r="M48" s="98"/>
      <c r="N48" s="16"/>
      <c r="O48" s="98"/>
      <c r="P48" s="98"/>
      <c r="Q48" s="98"/>
      <c r="R48"/>
      <c r="S48"/>
      <c r="T48"/>
      <c r="U48"/>
      <c r="V48"/>
      <c r="W48"/>
      <c r="X48"/>
      <c r="Y48"/>
      <c r="Z48"/>
      <c r="AA48"/>
      <c r="AB48"/>
      <c r="AC48"/>
      <c r="AD48"/>
    </row>
  </sheetData>
  <sheetProtection sheet="1" formatCells="0"/>
  <mergeCells count="21">
    <mergeCell ref="C45:E45"/>
    <mergeCell ref="C47:E47"/>
    <mergeCell ref="L17:L18"/>
    <mergeCell ref="K17:K18"/>
    <mergeCell ref="K21:L26"/>
    <mergeCell ref="K31:L35"/>
    <mergeCell ref="K38:L41"/>
    <mergeCell ref="C11:H11"/>
    <mergeCell ref="C7:H7"/>
    <mergeCell ref="K4:K6"/>
    <mergeCell ref="C41:H43"/>
    <mergeCell ref="F4:H4"/>
    <mergeCell ref="K11:L14"/>
    <mergeCell ref="Z13:Z14"/>
    <mergeCell ref="T12:T14"/>
    <mergeCell ref="U12:U14"/>
    <mergeCell ref="T11:U11"/>
    <mergeCell ref="V13:V14"/>
    <mergeCell ref="W13:W14"/>
    <mergeCell ref="X13:X14"/>
    <mergeCell ref="Y13:Y14"/>
  </mergeCells>
  <conditionalFormatting sqref="F45">
    <cfRule type="expression" dxfId="18" priority="10" stopIfTrue="1">
      <formula>"$G$44&lt;&gt;ZZZZZZZZZZZZZZ"</formula>
    </cfRule>
  </conditionalFormatting>
  <conditionalFormatting sqref="H45">
    <cfRule type="expression" dxfId="17" priority="89" stopIfTrue="1">
      <formula>"$G$44&lt;&gt;ZZZZZZZZZZZZZZ"</formula>
    </cfRule>
  </conditionalFormatting>
  <conditionalFormatting sqref="H47">
    <cfRule type="expression" dxfId="16" priority="9" stopIfTrue="1">
      <formula>"$G$44&lt;&gt;ZZZZZZZZZZZZZZ"</formula>
    </cfRule>
  </conditionalFormatting>
  <conditionalFormatting sqref="L19:L20 L27:L30">
    <cfRule type="cellIs" dxfId="15" priority="73" stopIfTrue="1" operator="notEqual">
      <formula>0</formula>
    </cfRule>
  </conditionalFormatting>
  <conditionalFormatting sqref="W15:W16 W18 W30:AC31 AB32:AC36">
    <cfRule type="cellIs" dxfId="14" priority="74" stopIfTrue="1" operator="equal">
      <formula>1</formula>
    </cfRule>
  </conditionalFormatting>
  <conditionalFormatting sqref="W24:W29">
    <cfRule type="cellIs" dxfId="13" priority="68" stopIfTrue="1" operator="equal">
      <formula>1</formula>
    </cfRule>
  </conditionalFormatting>
  <conditionalFormatting sqref="W34:W37">
    <cfRule type="cellIs" dxfId="12" priority="14" stopIfTrue="1" operator="equal">
      <formula>1</formula>
    </cfRule>
  </conditionalFormatting>
  <conditionalFormatting sqref="W15:Z16 W18:Z18 W30:AC31 AB32:AC36 W24:Z24 W25:AC26 W34:Z36">
    <cfRule type="cellIs" priority="78" stopIfTrue="1" operator="equal">
      <formula>""</formula>
    </cfRule>
  </conditionalFormatting>
  <conditionalFormatting sqref="W15:Z16 W18:Z18 W30:AC31 AB32:AC36">
    <cfRule type="cellIs" dxfId="11" priority="77" stopIfTrue="1" operator="equal">
      <formula>0</formula>
    </cfRule>
  </conditionalFormatting>
  <conditionalFormatting sqref="W24:Z29">
    <cfRule type="cellIs" dxfId="10" priority="69" stopIfTrue="1" operator="equal">
      <formula>0</formula>
    </cfRule>
  </conditionalFormatting>
  <conditionalFormatting sqref="W27:Z29">
    <cfRule type="cellIs" priority="70" stopIfTrue="1" operator="equal">
      <formula>""</formula>
    </cfRule>
  </conditionalFormatting>
  <conditionalFormatting sqref="W34:Z37">
    <cfRule type="cellIs" dxfId="9" priority="15" stopIfTrue="1" operator="equal">
      <formula>0</formula>
    </cfRule>
  </conditionalFormatting>
  <conditionalFormatting sqref="W37:AD37">
    <cfRule type="cellIs" priority="16" stopIfTrue="1" operator="equal">
      <formula>""</formula>
    </cfRule>
  </conditionalFormatting>
  <conditionalFormatting sqref="Y15:Y16 Y18">
    <cfRule type="cellIs" dxfId="8" priority="72" stopIfTrue="1" operator="equal">
      <formula>1</formula>
    </cfRule>
  </conditionalFormatting>
  <conditionalFormatting sqref="Y24:Y29">
    <cfRule type="cellIs" dxfId="7" priority="67" stopIfTrue="1" operator="equal">
      <formula>1</formula>
    </cfRule>
  </conditionalFormatting>
  <conditionalFormatting sqref="Y34:Y37">
    <cfRule type="cellIs" dxfId="6" priority="13" stopIfTrue="1" operator="equal">
      <formula>1</formula>
    </cfRule>
  </conditionalFormatting>
  <conditionalFormatting sqref="AA25:AC26">
    <cfRule type="cellIs" dxfId="5" priority="79" stopIfTrue="1" operator="equal">
      <formula>0</formula>
    </cfRule>
  </conditionalFormatting>
  <conditionalFormatting sqref="AA15:AD16">
    <cfRule type="cellIs" priority="1" stopIfTrue="1" operator="equal">
      <formula>""</formula>
    </cfRule>
    <cfRule type="cellIs" dxfId="4" priority="2" stopIfTrue="1" operator="equal">
      <formula>0</formula>
    </cfRule>
  </conditionalFormatting>
  <conditionalFormatting sqref="AA18:AD18">
    <cfRule type="cellIs" priority="3" stopIfTrue="1" operator="equal">
      <formula>""</formula>
    </cfRule>
    <cfRule type="cellIs" dxfId="3" priority="4" stopIfTrue="1" operator="equal">
      <formula>0</formula>
    </cfRule>
  </conditionalFormatting>
  <conditionalFormatting sqref="AA24:AD24">
    <cfRule type="cellIs" priority="5" stopIfTrue="1" operator="equal">
      <formula>""</formula>
    </cfRule>
    <cfRule type="cellIs" dxfId="2" priority="6" stopIfTrue="1" operator="equal">
      <formula>0</formula>
    </cfRule>
  </conditionalFormatting>
  <conditionalFormatting sqref="AA27:AD29">
    <cfRule type="cellIs" priority="7" stopIfTrue="1" operator="equal">
      <formula>""</formula>
    </cfRule>
    <cfRule type="cellIs" dxfId="1" priority="8" stopIfTrue="1" operator="equal">
      <formula>0</formula>
    </cfRule>
  </conditionalFormatting>
  <conditionalFormatting sqref="AA37:AD37">
    <cfRule type="cellIs" dxfId="0" priority="21" stopIfTrue="1" operator="equal">
      <formula>0</formula>
    </cfRule>
  </conditionalFormatting>
  <dataValidations count="2">
    <dataValidation type="decimal" allowBlank="1" showInputMessage="1" showErrorMessage="1" errorTitle="Error" error="This figure should be between 0 and 100%" sqref="H28:I28" xr:uid="{00000000-0002-0000-0100-000000000000}">
      <formula1>0</formula1>
      <formula2>1</formula2>
    </dataValidation>
    <dataValidation type="decimal" allowBlank="1" showInputMessage="1" showErrorMessage="1" errorTitle="Error" error="This figure should be positive." sqref="H29:I29 H17:I18 H27:I27 H15:H16 H24:I24 K37 I37" xr:uid="{00000000-0002-0000-0100-000001000000}">
      <formula1>0</formula1>
      <formula2>100000000000000000000</formula2>
    </dataValidation>
  </dataValidations>
  <hyperlinks>
    <hyperlink ref="E12" r:id="rId1" xr:uid="{00000000-0004-0000-0100-000000000000}"/>
    <hyperlink ref="F12" r:id="rId2" xr:uid="{00000000-0004-0000-0100-000001000000}"/>
    <hyperlink ref="F8" r:id="rId3" xr:uid="{00000000-0004-0000-0100-000002000000}"/>
    <hyperlink ref="E8" r:id="rId4" xr:uid="{00000000-0004-0000-0100-000003000000}"/>
  </hyperlinks>
  <pageMargins left="0.25" right="0.25" top="0.75" bottom="0.75" header="0.3" footer="0.3"/>
  <pageSetup paperSize="9" scale="91" orientation="portrait" horizontalDpi="300" verticalDpi="300" r:id="rId5"/>
  <colBreaks count="1" manualBreakCount="1">
    <brk id="9" max="1048575" man="1"/>
  </colBreaks>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B1:W35"/>
  <sheetViews>
    <sheetView workbookViewId="0"/>
  </sheetViews>
  <sheetFormatPr defaultColWidth="8.84375" defaultRowHeight="15.5" x14ac:dyDescent="0.35"/>
  <cols>
    <col min="1" max="1" width="8.84375" style="15" customWidth="1"/>
    <col min="2" max="2" width="3.23046875" style="15" customWidth="1"/>
    <col min="3" max="11" width="8.84375" style="15" customWidth="1"/>
    <col min="12" max="12" width="3.23046875" style="15" customWidth="1"/>
    <col min="13" max="24" width="8.84375" style="15" customWidth="1"/>
    <col min="25" max="16384" width="8.84375" style="15"/>
  </cols>
  <sheetData>
    <row r="1" spans="2:23" s="145" customFormat="1" ht="15" customHeight="1" x14ac:dyDescent="0.35">
      <c r="W1" s="15"/>
    </row>
    <row r="2" spans="2:23" s="145" customFormat="1" ht="22.5" customHeight="1" x14ac:dyDescent="0.35">
      <c r="B2" s="150"/>
      <c r="C2" s="362" t="str">
        <f>'BR1'!D4&amp;" "&amp;'BR1'!E4</f>
        <v xml:space="preserve">Code: </v>
      </c>
      <c r="D2" s="363" t="str">
        <f>'BR1'!D5&amp;" "&amp;'BR1'!E5</f>
        <v>Authority: Please select your authority on the FrontPage</v>
      </c>
      <c r="E2" s="361"/>
      <c r="F2" s="151"/>
      <c r="G2" s="151"/>
      <c r="H2" s="151"/>
      <c r="I2" s="151"/>
      <c r="J2" s="453"/>
      <c r="K2" s="454" t="str">
        <f>FrontPage!M2&amp;", "&amp;Details!E32</f>
        <v>BR1, 2024-25</v>
      </c>
      <c r="L2" s="152"/>
      <c r="W2" s="15"/>
    </row>
    <row r="3" spans="2:23" s="145" customFormat="1" ht="15" customHeight="1" x14ac:dyDescent="0.35">
      <c r="B3" s="153"/>
      <c r="C3" s="154"/>
      <c r="D3" s="154"/>
      <c r="E3" s="155"/>
      <c r="F3" s="155"/>
      <c r="G3" s="155"/>
      <c r="H3" s="155"/>
      <c r="I3" s="155"/>
      <c r="J3" s="155"/>
      <c r="K3" s="155"/>
      <c r="L3" s="156"/>
      <c r="W3" s="15"/>
    </row>
    <row r="4" spans="2:23" s="145" customFormat="1" ht="15" customHeight="1" x14ac:dyDescent="0.35">
      <c r="B4" s="153"/>
      <c r="C4" s="157"/>
      <c r="D4" s="157"/>
      <c r="E4" s="157"/>
      <c r="F4" s="157"/>
      <c r="G4" s="157"/>
      <c r="H4" s="157"/>
      <c r="I4" s="157"/>
      <c r="J4" s="158"/>
      <c r="K4" s="158"/>
      <c r="L4" s="156"/>
      <c r="W4" s="15"/>
    </row>
    <row r="5" spans="2:23" s="145" customFormat="1" x14ac:dyDescent="0.35">
      <c r="B5" s="153"/>
      <c r="C5" s="157" t="str">
        <f>Text!F69</f>
        <v>Survey Response Burden</v>
      </c>
      <c r="D5" s="158"/>
      <c r="E5" s="158"/>
      <c r="F5" s="158"/>
      <c r="G5" s="158"/>
      <c r="H5" s="158"/>
      <c r="I5" s="158"/>
      <c r="J5" s="158"/>
      <c r="K5" s="158"/>
      <c r="L5" s="156"/>
      <c r="W5" s="15"/>
    </row>
    <row r="6" spans="2:23" s="146" customFormat="1" ht="38.25" customHeight="1" x14ac:dyDescent="0.35">
      <c r="B6" s="153"/>
      <c r="C6" s="641" t="str">
        <f>Text!F70</f>
        <v xml:space="preserve">The Welsh Government are monitoring the burden of completing this data collection form. </v>
      </c>
      <c r="D6" s="642"/>
      <c r="E6" s="642"/>
      <c r="F6" s="642"/>
      <c r="G6" s="642"/>
      <c r="H6" s="642"/>
      <c r="I6" s="642"/>
      <c r="J6" s="642"/>
      <c r="K6" s="642"/>
      <c r="L6" s="160"/>
      <c r="M6" s="145"/>
      <c r="N6" s="145"/>
      <c r="O6" s="145"/>
      <c r="P6" s="145"/>
      <c r="Q6" s="145"/>
      <c r="R6" s="145"/>
      <c r="S6" s="145"/>
      <c r="T6" s="145"/>
      <c r="U6" s="145"/>
      <c r="V6" s="145"/>
      <c r="W6" s="15"/>
    </row>
    <row r="7" spans="2:23" s="146" customFormat="1" ht="29.25" customHeight="1" x14ac:dyDescent="0.35">
      <c r="B7" s="153"/>
      <c r="C7" s="641" t="str">
        <f>Text!F71</f>
        <v>Please enter the time it has taken you (and any colleagues) to prepare and send the return.</v>
      </c>
      <c r="D7" s="642"/>
      <c r="E7" s="642"/>
      <c r="F7" s="642"/>
      <c r="G7" s="642"/>
      <c r="H7" s="642"/>
      <c r="I7" s="642"/>
      <c r="J7" s="642"/>
      <c r="K7" s="642"/>
      <c r="L7" s="160"/>
      <c r="M7" s="145"/>
      <c r="N7" s="145"/>
      <c r="O7" s="145"/>
      <c r="P7" s="145"/>
      <c r="Q7" s="145"/>
      <c r="R7" s="145"/>
      <c r="S7" s="145"/>
      <c r="T7" s="145"/>
      <c r="U7" s="145"/>
      <c r="V7" s="145"/>
      <c r="W7" s="15"/>
    </row>
    <row r="8" spans="2:23" s="146" customFormat="1" ht="15" customHeight="1" x14ac:dyDescent="0.35">
      <c r="B8" s="153"/>
      <c r="C8" s="641" t="str">
        <f>Text!F72</f>
        <v>Please only include time spent on activities to prepare and send this return, such as:</v>
      </c>
      <c r="D8" s="642"/>
      <c r="E8" s="642"/>
      <c r="F8" s="642"/>
      <c r="G8" s="642"/>
      <c r="H8" s="642"/>
      <c r="I8" s="642"/>
      <c r="J8" s="642"/>
      <c r="K8" s="642"/>
      <c r="L8" s="160"/>
      <c r="M8" s="145"/>
      <c r="N8" s="145"/>
      <c r="O8" s="145"/>
      <c r="P8" s="145"/>
      <c r="Q8" s="145"/>
      <c r="R8" s="145"/>
      <c r="S8" s="145"/>
      <c r="T8" s="145"/>
      <c r="U8" s="145"/>
      <c r="V8" s="145"/>
      <c r="W8" s="15"/>
    </row>
    <row r="9" spans="2:23" s="146" customFormat="1" ht="15" customHeight="1" x14ac:dyDescent="0.35">
      <c r="B9" s="153"/>
      <c r="C9" s="641" t="str">
        <f>"  ● "&amp;Text!F73</f>
        <v xml:space="preserve">  ● collection, analysis and aggregation of records and data required;</v>
      </c>
      <c r="D9" s="642"/>
      <c r="E9" s="642"/>
      <c r="F9" s="642"/>
      <c r="G9" s="642"/>
      <c r="H9" s="642"/>
      <c r="I9" s="642"/>
      <c r="J9" s="642"/>
      <c r="K9" s="642"/>
      <c r="L9" s="160"/>
      <c r="M9" s="145"/>
      <c r="N9" s="145"/>
      <c r="O9" s="145"/>
      <c r="P9" s="145"/>
      <c r="Q9" s="145"/>
      <c r="R9" s="145"/>
      <c r="S9" s="145"/>
      <c r="T9" s="145"/>
      <c r="U9" s="145"/>
      <c r="V9" s="145"/>
      <c r="W9" s="15"/>
    </row>
    <row r="10" spans="2:23" s="146" customFormat="1" ht="15" customHeight="1" x14ac:dyDescent="0.35">
      <c r="B10" s="153"/>
      <c r="C10" s="641" t="str">
        <f>"  ● "&amp;Text!F74</f>
        <v xml:space="preserve">  ● completing, checking, amending and approving the form.</v>
      </c>
      <c r="D10" s="642"/>
      <c r="E10" s="642"/>
      <c r="F10" s="642"/>
      <c r="G10" s="642"/>
      <c r="H10" s="642"/>
      <c r="I10" s="642"/>
      <c r="J10" s="642"/>
      <c r="K10" s="642"/>
      <c r="L10" s="160"/>
      <c r="M10" s="145"/>
      <c r="N10" s="145"/>
      <c r="O10" s="145"/>
      <c r="P10" s="145"/>
      <c r="Q10" s="145"/>
      <c r="R10" s="145"/>
      <c r="S10" s="145"/>
      <c r="T10" s="145"/>
      <c r="U10" s="145"/>
      <c r="V10" s="145"/>
      <c r="W10" s="15"/>
    </row>
    <row r="11" spans="2:23" s="146" customFormat="1" ht="15" customHeight="1" x14ac:dyDescent="0.35">
      <c r="B11" s="153"/>
      <c r="C11" s="159"/>
      <c r="D11" s="159"/>
      <c r="E11" s="159"/>
      <c r="F11" s="159"/>
      <c r="G11" s="159"/>
      <c r="H11" s="159"/>
      <c r="I11" s="159"/>
      <c r="J11" s="159"/>
      <c r="K11" s="159"/>
      <c r="L11" s="160"/>
      <c r="M11" s="145"/>
      <c r="N11" s="145"/>
      <c r="O11" s="145"/>
      <c r="P11" s="145"/>
      <c r="Q11" s="145"/>
      <c r="R11" s="145"/>
      <c r="S11" s="145"/>
      <c r="T11" s="145"/>
      <c r="U11" s="145"/>
      <c r="V11" s="145"/>
      <c r="W11" s="15"/>
    </row>
    <row r="12" spans="2:23" s="146" customFormat="1" ht="15" customHeight="1" x14ac:dyDescent="0.35">
      <c r="B12" s="153"/>
      <c r="C12" s="161" t="str">
        <f>Text!F75</f>
        <v>Hours taken</v>
      </c>
      <c r="D12" s="7">
        <v>0</v>
      </c>
      <c r="E12" s="166"/>
      <c r="F12" s="166"/>
      <c r="G12" s="166"/>
      <c r="H12" s="166"/>
      <c r="I12" s="167"/>
      <c r="J12" s="167"/>
      <c r="K12" s="22"/>
      <c r="L12" s="165"/>
      <c r="M12" s="145"/>
      <c r="N12" s="145"/>
      <c r="O12" s="145"/>
      <c r="P12" s="145"/>
      <c r="Q12" s="145"/>
      <c r="R12" s="145"/>
      <c r="S12" s="145"/>
      <c r="T12" s="145"/>
      <c r="U12" s="145"/>
      <c r="V12" s="145"/>
      <c r="W12" s="15"/>
    </row>
    <row r="13" spans="2:23" s="146" customFormat="1" ht="15" customHeight="1" x14ac:dyDescent="0.35">
      <c r="B13" s="153"/>
      <c r="C13" s="161"/>
      <c r="D13" s="22"/>
      <c r="E13" s="166"/>
      <c r="F13" s="166"/>
      <c r="G13" s="166"/>
      <c r="H13" s="166"/>
      <c r="I13" s="167"/>
      <c r="J13" s="167"/>
      <c r="K13" s="22"/>
      <c r="L13" s="165"/>
      <c r="M13" s="145"/>
      <c r="N13" s="145"/>
      <c r="O13" s="145"/>
      <c r="P13" s="145"/>
      <c r="Q13" s="145"/>
      <c r="R13" s="145"/>
      <c r="S13" s="145"/>
      <c r="T13" s="145"/>
      <c r="U13" s="145"/>
      <c r="V13" s="145"/>
      <c r="W13" s="15"/>
    </row>
    <row r="14" spans="2:23" s="146" customFormat="1" ht="19.5" customHeight="1" x14ac:dyDescent="0.35">
      <c r="B14" s="153"/>
      <c r="C14" s="501" t="str">
        <f>Text!F76</f>
        <v>Please feel free to add any comments</v>
      </c>
      <c r="D14" s="158"/>
      <c r="E14" s="158"/>
      <c r="F14" s="158"/>
      <c r="G14" s="158"/>
      <c r="H14" s="158"/>
      <c r="I14" s="158"/>
      <c r="J14" s="158"/>
      <c r="K14" s="158"/>
      <c r="L14" s="156"/>
      <c r="M14" s="145"/>
      <c r="N14" s="145"/>
      <c r="O14" s="145"/>
      <c r="P14" s="145"/>
      <c r="Q14" s="145"/>
      <c r="R14" s="145"/>
      <c r="S14" s="145"/>
      <c r="T14" s="145"/>
      <c r="U14" s="145"/>
      <c r="V14" s="145"/>
      <c r="W14" s="15"/>
    </row>
    <row r="15" spans="2:23" s="146" customFormat="1" ht="15" customHeight="1" x14ac:dyDescent="0.35">
      <c r="B15" s="153"/>
      <c r="C15" s="63"/>
      <c r="D15" s="63"/>
      <c r="E15" s="63"/>
      <c r="F15" s="63"/>
      <c r="G15" s="63"/>
      <c r="H15" s="63"/>
      <c r="I15" s="63"/>
      <c r="J15" s="63"/>
      <c r="K15" s="63"/>
      <c r="L15" s="156"/>
      <c r="M15" s="145"/>
      <c r="N15" s="145"/>
      <c r="O15" s="145"/>
      <c r="P15" s="145"/>
      <c r="Q15" s="145"/>
      <c r="R15" s="145"/>
      <c r="S15" s="145"/>
      <c r="T15" s="145"/>
      <c r="U15" s="145"/>
      <c r="V15" s="145"/>
      <c r="W15" s="15"/>
    </row>
    <row r="16" spans="2:23" s="146" customFormat="1" ht="15" customHeight="1" x14ac:dyDescent="0.35">
      <c r="B16" s="153"/>
      <c r="C16" s="63"/>
      <c r="D16" s="63"/>
      <c r="E16" s="63"/>
      <c r="F16" s="63"/>
      <c r="G16" s="63"/>
      <c r="H16" s="63"/>
      <c r="I16" s="63"/>
      <c r="J16" s="63"/>
      <c r="K16" s="63"/>
      <c r="L16" s="156"/>
      <c r="M16" s="145"/>
      <c r="N16" s="145"/>
      <c r="O16" s="145"/>
      <c r="P16" s="145"/>
      <c r="Q16" s="145"/>
      <c r="R16" s="145"/>
      <c r="S16" s="145"/>
      <c r="T16" s="145"/>
      <c r="U16" s="145"/>
      <c r="V16" s="145"/>
      <c r="W16" s="15"/>
    </row>
    <row r="17" spans="2:23" s="146" customFormat="1" ht="15" customHeight="1" x14ac:dyDescent="0.35">
      <c r="B17" s="153"/>
      <c r="C17" s="63"/>
      <c r="D17" s="63"/>
      <c r="E17" s="63"/>
      <c r="F17" s="63"/>
      <c r="G17" s="63"/>
      <c r="H17" s="63"/>
      <c r="I17" s="63"/>
      <c r="J17" s="63"/>
      <c r="K17" s="63"/>
      <c r="L17" s="156"/>
      <c r="M17" s="145"/>
      <c r="N17" s="145"/>
      <c r="O17" s="145"/>
      <c r="P17" s="145"/>
      <c r="Q17" s="145"/>
      <c r="R17" s="145"/>
      <c r="S17" s="145"/>
      <c r="T17" s="145"/>
      <c r="U17" s="145"/>
      <c r="V17" s="145"/>
      <c r="W17" s="15"/>
    </row>
    <row r="18" spans="2:23" s="146" customFormat="1" ht="15" customHeight="1" x14ac:dyDescent="0.35">
      <c r="B18" s="153"/>
      <c r="C18" s="63"/>
      <c r="D18" s="63"/>
      <c r="E18" s="63"/>
      <c r="F18" s="63"/>
      <c r="G18" s="63"/>
      <c r="H18" s="63"/>
      <c r="I18" s="63"/>
      <c r="J18" s="63"/>
      <c r="K18" s="63"/>
      <c r="L18" s="156"/>
      <c r="M18" s="145"/>
      <c r="N18" s="145"/>
      <c r="O18" s="145"/>
      <c r="P18" s="145"/>
      <c r="Q18" s="145"/>
      <c r="R18" s="145"/>
      <c r="S18" s="145"/>
      <c r="T18" s="145"/>
      <c r="U18" s="145"/>
      <c r="V18" s="145"/>
      <c r="W18" s="15"/>
    </row>
    <row r="19" spans="2:23" s="146" customFormat="1" ht="15" customHeight="1" x14ac:dyDescent="0.35">
      <c r="B19" s="153"/>
      <c r="C19" s="63"/>
      <c r="D19" s="63"/>
      <c r="E19" s="63"/>
      <c r="F19" s="63"/>
      <c r="G19" s="63"/>
      <c r="H19" s="63"/>
      <c r="I19" s="63"/>
      <c r="J19" s="63"/>
      <c r="K19" s="63"/>
      <c r="L19" s="156"/>
      <c r="M19" s="145"/>
      <c r="N19" s="145"/>
      <c r="O19" s="145"/>
      <c r="P19" s="145"/>
      <c r="Q19" s="145"/>
      <c r="R19" s="145"/>
      <c r="S19" s="145"/>
      <c r="T19" s="145"/>
      <c r="U19" s="145"/>
      <c r="V19" s="145"/>
      <c r="W19" s="15"/>
    </row>
    <row r="20" spans="2:23" s="146" customFormat="1" ht="15" customHeight="1" x14ac:dyDescent="0.35">
      <c r="B20" s="153"/>
      <c r="C20" s="638"/>
      <c r="D20" s="639"/>
      <c r="E20" s="639"/>
      <c r="F20" s="639"/>
      <c r="G20" s="639"/>
      <c r="H20" s="639"/>
      <c r="I20" s="639"/>
      <c r="J20" s="639"/>
      <c r="K20" s="640"/>
      <c r="L20" s="156"/>
      <c r="M20" s="145"/>
      <c r="N20" s="145"/>
      <c r="O20" s="145"/>
      <c r="P20" s="145"/>
      <c r="Q20" s="145"/>
      <c r="R20" s="145"/>
      <c r="S20" s="145"/>
      <c r="T20" s="145"/>
      <c r="U20" s="145"/>
      <c r="V20" s="145"/>
      <c r="W20" s="15"/>
    </row>
    <row r="21" spans="2:23" s="146" customFormat="1" ht="15" customHeight="1" x14ac:dyDescent="0.35">
      <c r="B21" s="162"/>
      <c r="C21" s="163"/>
      <c r="D21" s="163"/>
      <c r="E21" s="163"/>
      <c r="F21" s="163"/>
      <c r="G21" s="163"/>
      <c r="H21" s="163"/>
      <c r="I21" s="163"/>
      <c r="J21" s="163"/>
      <c r="K21" s="163"/>
      <c r="L21" s="164"/>
      <c r="M21" s="145"/>
      <c r="N21" s="145"/>
      <c r="O21" s="145"/>
      <c r="P21" s="145"/>
      <c r="Q21" s="145"/>
      <c r="R21" s="145"/>
      <c r="S21" s="145"/>
      <c r="T21" s="145"/>
      <c r="U21" s="145"/>
      <c r="V21" s="145"/>
      <c r="W21" s="15"/>
    </row>
    <row r="22" spans="2:23" s="145" customFormat="1" x14ac:dyDescent="0.35">
      <c r="W22" s="15"/>
    </row>
    <row r="23" spans="2:23" s="145" customFormat="1" x14ac:dyDescent="0.35">
      <c r="W23" s="15"/>
    </row>
    <row r="24" spans="2:23" s="145" customFormat="1" x14ac:dyDescent="0.35">
      <c r="W24" s="15"/>
    </row>
    <row r="25" spans="2:23" s="145" customFormat="1" x14ac:dyDescent="0.35">
      <c r="W25" s="15"/>
    </row>
    <row r="26" spans="2:23" s="145" customFormat="1" x14ac:dyDescent="0.35">
      <c r="W26" s="15"/>
    </row>
    <row r="27" spans="2:23" s="145" customFormat="1" x14ac:dyDescent="0.35">
      <c r="W27" s="15"/>
    </row>
    <row r="28" spans="2:23" s="145" customFormat="1" x14ac:dyDescent="0.35">
      <c r="W28" s="15"/>
    </row>
    <row r="29" spans="2:23" s="145" customFormat="1" x14ac:dyDescent="0.35">
      <c r="W29" s="15"/>
    </row>
    <row r="30" spans="2:23" s="145" customFormat="1" x14ac:dyDescent="0.35">
      <c r="W30" s="15"/>
    </row>
    <row r="31" spans="2:23" s="145" customFormat="1" x14ac:dyDescent="0.35">
      <c r="W31" s="15"/>
    </row>
    <row r="32" spans="2:23" s="145" customFormat="1" x14ac:dyDescent="0.35">
      <c r="W32" s="15"/>
    </row>
    <row r="33" spans="23:23" s="145" customFormat="1" x14ac:dyDescent="0.35">
      <c r="W33" s="15"/>
    </row>
    <row r="34" spans="23:23" s="145" customFormat="1" x14ac:dyDescent="0.35">
      <c r="W34" s="15"/>
    </row>
    <row r="35" spans="23:23" s="145" customFormat="1" x14ac:dyDescent="0.35">
      <c r="W35" s="15"/>
    </row>
  </sheetData>
  <sheetProtection sheet="1" objects="1" scenarios="1"/>
  <mergeCells count="6">
    <mergeCell ref="C20:K20"/>
    <mergeCell ref="C6:K6"/>
    <mergeCell ref="C7:K7"/>
    <mergeCell ref="C8:K8"/>
    <mergeCell ref="C9:K9"/>
    <mergeCell ref="C10:K10"/>
  </mergeCells>
  <pageMargins left="0.25" right="0.25" top="0.75" bottom="0.75" header="0.3" footer="0.3"/>
  <pageSetup paperSize="9" scale="96"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X43"/>
  <sheetViews>
    <sheetView zoomScaleNormal="100" workbookViewId="0"/>
  </sheetViews>
  <sheetFormatPr defaultColWidth="10.765625" defaultRowHeight="15" customHeight="1" x14ac:dyDescent="0.35"/>
  <cols>
    <col min="1" max="1" width="8.84375" style="8" customWidth="1"/>
    <col min="2" max="2" width="3.23046875" style="8" customWidth="1"/>
    <col min="3" max="10" width="8.84375" style="8" customWidth="1"/>
    <col min="11" max="11" width="3.23046875" style="9" customWidth="1"/>
    <col min="12" max="24" width="8.84375" style="148" customWidth="1"/>
  </cols>
  <sheetData>
    <row r="1" spans="1:24" s="8" customFormat="1" ht="15.5" x14ac:dyDescent="0.35">
      <c r="A1" s="138"/>
      <c r="B1" s="138"/>
      <c r="C1" s="138"/>
      <c r="D1" s="138"/>
      <c r="E1" s="138"/>
      <c r="F1" s="138"/>
      <c r="G1" s="138"/>
      <c r="H1" s="138"/>
      <c r="I1" s="138"/>
      <c r="J1" s="138"/>
      <c r="K1" s="138"/>
      <c r="L1" s="147"/>
      <c r="M1" s="147"/>
      <c r="N1" s="147"/>
      <c r="O1" s="147"/>
      <c r="P1" s="147"/>
      <c r="Q1" s="147"/>
      <c r="R1" s="147"/>
      <c r="S1" s="147"/>
      <c r="T1" s="147"/>
      <c r="U1" s="147"/>
      <c r="V1" s="147"/>
      <c r="W1" s="147"/>
      <c r="X1" s="147"/>
    </row>
    <row r="2" spans="1:24" s="8" customFormat="1" ht="22.5" customHeight="1" x14ac:dyDescent="0.35">
      <c r="A2" s="138"/>
      <c r="B2" s="142"/>
      <c r="C2" s="364" t="str">
        <f>'BR1'!D4&amp;" "&amp;'BR1'!E4</f>
        <v xml:space="preserve">Code: </v>
      </c>
      <c r="D2" s="363" t="str">
        <f>'BR1'!D5&amp;" "&amp;'BR1'!E5</f>
        <v>Authority: Please select your authority on the FrontPage</v>
      </c>
      <c r="E2" s="143"/>
      <c r="F2" s="143"/>
      <c r="G2" s="144"/>
      <c r="H2" s="144"/>
      <c r="I2" s="144"/>
      <c r="J2" s="455"/>
      <c r="K2" s="456" t="str">
        <f>FrontPage!M2&amp;", "&amp;Details!E32</f>
        <v>BR1, 2024-25</v>
      </c>
      <c r="L2" s="147"/>
      <c r="M2" s="147"/>
      <c r="N2" s="147"/>
      <c r="O2" s="147"/>
      <c r="P2" s="147"/>
      <c r="Q2" s="147"/>
      <c r="R2" s="147"/>
      <c r="S2" s="147"/>
      <c r="T2" s="147"/>
      <c r="U2" s="147"/>
      <c r="V2" s="147"/>
      <c r="W2" s="147"/>
      <c r="X2" s="147"/>
    </row>
    <row r="3" spans="1:24" s="8" customFormat="1" ht="15" customHeight="1" x14ac:dyDescent="0.35">
      <c r="A3" s="138"/>
      <c r="B3" s="21"/>
      <c r="C3" s="22"/>
      <c r="D3" s="22"/>
      <c r="E3" s="22"/>
      <c r="F3" s="22"/>
      <c r="G3" s="22"/>
      <c r="H3" s="22"/>
      <c r="I3" s="22"/>
      <c r="J3" s="22"/>
      <c r="K3" s="23"/>
      <c r="L3" s="147"/>
      <c r="M3" s="147"/>
      <c r="N3" s="147"/>
      <c r="O3" s="147"/>
      <c r="P3" s="147"/>
      <c r="Q3" s="147"/>
      <c r="R3" s="147"/>
      <c r="S3" s="147"/>
      <c r="T3" s="147"/>
      <c r="U3" s="147"/>
      <c r="V3" s="147"/>
      <c r="W3" s="147"/>
      <c r="X3" s="147"/>
    </row>
    <row r="4" spans="1:24" s="8" customFormat="1" ht="47.25" customHeight="1" x14ac:dyDescent="0.35">
      <c r="A4" s="138"/>
      <c r="B4" s="21"/>
      <c r="C4" s="22"/>
      <c r="D4" s="22"/>
      <c r="E4" s="22"/>
      <c r="F4" s="22"/>
      <c r="G4" s="22"/>
      <c r="H4" s="22"/>
      <c r="I4" s="22"/>
      <c r="J4" s="22"/>
      <c r="K4" s="23"/>
      <c r="L4" s="147"/>
      <c r="M4" s="147"/>
      <c r="N4" s="147"/>
      <c r="O4" s="147"/>
      <c r="P4" s="147"/>
      <c r="Q4" s="147"/>
      <c r="R4" s="147"/>
      <c r="S4" s="147"/>
      <c r="T4" s="147"/>
      <c r="U4" s="147"/>
      <c r="V4" s="147"/>
      <c r="W4" s="147"/>
      <c r="X4" s="147"/>
    </row>
    <row r="5" spans="1:24" s="8" customFormat="1" ht="24" customHeight="1" x14ac:dyDescent="0.35">
      <c r="A5" s="138"/>
      <c r="B5" s="21"/>
      <c r="C5" s="500" t="str">
        <f>Text!F81</f>
        <v>Form Design</v>
      </c>
      <c r="D5" s="22"/>
      <c r="E5" s="22"/>
      <c r="F5" s="22"/>
      <c r="G5" s="22"/>
      <c r="H5" s="22"/>
      <c r="I5" s="22"/>
      <c r="J5" s="22"/>
      <c r="K5" s="23"/>
      <c r="L5" s="147"/>
      <c r="M5" s="147"/>
      <c r="N5" s="147"/>
      <c r="O5" s="147"/>
      <c r="P5" s="147"/>
      <c r="Q5" s="147"/>
      <c r="R5" s="147"/>
      <c r="S5" s="147"/>
      <c r="T5" s="147"/>
      <c r="U5" s="147"/>
      <c r="V5" s="147"/>
      <c r="W5" s="147"/>
      <c r="X5" s="147"/>
    </row>
    <row r="6" spans="1:24" s="8" customFormat="1" ht="15" customHeight="1" x14ac:dyDescent="0.35">
      <c r="A6" s="138"/>
      <c r="B6" s="21"/>
      <c r="C6" s="22"/>
      <c r="D6" s="22"/>
      <c r="E6" s="22"/>
      <c r="F6" s="22"/>
      <c r="G6" s="22"/>
      <c r="H6" s="22"/>
      <c r="I6" s="22"/>
      <c r="J6" s="22"/>
      <c r="K6" s="23"/>
      <c r="L6" s="147"/>
      <c r="M6" s="147"/>
      <c r="N6" s="147"/>
      <c r="O6" s="147"/>
      <c r="P6" s="147"/>
      <c r="Q6" s="147"/>
      <c r="R6" s="147"/>
      <c r="S6" s="147"/>
      <c r="T6" s="147"/>
      <c r="U6" s="147"/>
      <c r="V6" s="147"/>
      <c r="W6" s="147"/>
      <c r="X6" s="147"/>
    </row>
    <row r="7" spans="1:24" s="8" customFormat="1" ht="15" customHeight="1" x14ac:dyDescent="0.35">
      <c r="A7" s="138"/>
      <c r="B7" s="21"/>
      <c r="C7" s="22"/>
      <c r="D7" s="22"/>
      <c r="E7" s="22"/>
      <c r="F7" s="22"/>
      <c r="G7" s="22"/>
      <c r="H7" s="22"/>
      <c r="I7" s="22"/>
      <c r="J7" s="22"/>
      <c r="K7" s="23"/>
      <c r="L7" s="147"/>
      <c r="M7" s="147"/>
      <c r="N7" s="147"/>
      <c r="O7" s="147"/>
      <c r="P7" s="147"/>
      <c r="Q7" s="147"/>
      <c r="R7" s="147"/>
      <c r="S7" s="147"/>
      <c r="T7" s="147"/>
      <c r="U7" s="147"/>
      <c r="V7" s="147"/>
      <c r="W7" s="147"/>
      <c r="X7" s="147"/>
    </row>
    <row r="8" spans="1:24" s="8" customFormat="1" ht="15" customHeight="1" x14ac:dyDescent="0.35">
      <c r="A8" s="138"/>
      <c r="B8" s="21"/>
      <c r="C8" s="22"/>
      <c r="D8" s="22"/>
      <c r="E8" s="22"/>
      <c r="F8" s="22"/>
      <c r="G8" s="22"/>
      <c r="H8" s="22"/>
      <c r="I8" s="22"/>
      <c r="J8" s="22"/>
      <c r="K8" s="23"/>
      <c r="L8" s="147"/>
      <c r="M8" s="147"/>
      <c r="N8" s="147"/>
      <c r="O8" s="147"/>
      <c r="P8" s="147"/>
      <c r="Q8" s="147"/>
      <c r="R8" s="147"/>
      <c r="S8" s="147"/>
      <c r="T8" s="147"/>
      <c r="U8" s="147"/>
      <c r="V8" s="147"/>
      <c r="W8" s="147"/>
      <c r="X8" s="147"/>
    </row>
    <row r="9" spans="1:24" s="8" customFormat="1" ht="15" customHeight="1" x14ac:dyDescent="0.35">
      <c r="A9" s="138"/>
      <c r="B9" s="21"/>
      <c r="C9" s="22"/>
      <c r="D9" s="22"/>
      <c r="E9" s="22"/>
      <c r="F9" s="22"/>
      <c r="G9" s="22"/>
      <c r="H9" s="22"/>
      <c r="I9" s="22"/>
      <c r="J9" s="22"/>
      <c r="K9" s="23"/>
      <c r="L9" s="147"/>
      <c r="M9" s="147"/>
      <c r="N9" s="147"/>
      <c r="O9" s="147"/>
      <c r="P9" s="147"/>
      <c r="Q9" s="147"/>
      <c r="R9" s="147"/>
      <c r="S9" s="147"/>
      <c r="T9" s="147"/>
      <c r="U9" s="147"/>
      <c r="V9" s="147"/>
      <c r="W9" s="147"/>
      <c r="X9" s="147"/>
    </row>
    <row r="10" spans="1:24" s="8" customFormat="1" ht="15" customHeight="1" x14ac:dyDescent="0.35">
      <c r="A10" s="138"/>
      <c r="B10" s="21"/>
      <c r="C10" s="22"/>
      <c r="D10" s="22"/>
      <c r="E10" s="22"/>
      <c r="F10" s="22"/>
      <c r="G10" s="22"/>
      <c r="H10" s="22"/>
      <c r="I10" s="22"/>
      <c r="J10" s="22"/>
      <c r="K10" s="23"/>
      <c r="L10" s="147"/>
      <c r="M10" s="147"/>
      <c r="N10" s="147"/>
      <c r="O10" s="147"/>
      <c r="P10" s="147"/>
      <c r="Q10" s="147"/>
      <c r="R10" s="147"/>
      <c r="S10" s="147"/>
      <c r="T10" s="147"/>
      <c r="U10" s="147"/>
      <c r="V10" s="147"/>
      <c r="W10" s="147"/>
      <c r="X10" s="147"/>
    </row>
    <row r="11" spans="1:24" s="8" customFormat="1" ht="15" customHeight="1" x14ac:dyDescent="0.35">
      <c r="A11" s="138"/>
      <c r="B11" s="21"/>
      <c r="C11" s="22"/>
      <c r="D11" s="22"/>
      <c r="E11" s="22"/>
      <c r="F11" s="22"/>
      <c r="G11" s="22"/>
      <c r="H11" s="22"/>
      <c r="I11" s="22"/>
      <c r="J11" s="22"/>
      <c r="K11" s="23"/>
      <c r="L11" s="147"/>
      <c r="M11" s="147"/>
      <c r="N11" s="147"/>
      <c r="O11" s="147"/>
      <c r="P11" s="147"/>
      <c r="Q11" s="147"/>
      <c r="R11" s="147"/>
      <c r="S11" s="147"/>
      <c r="T11" s="147"/>
      <c r="U11" s="147"/>
      <c r="V11" s="147"/>
      <c r="W11" s="147"/>
      <c r="X11" s="147"/>
    </row>
    <row r="12" spans="1:24" s="8" customFormat="1" ht="15" customHeight="1" x14ac:dyDescent="0.35">
      <c r="A12" s="138"/>
      <c r="B12" s="21"/>
      <c r="C12" s="22"/>
      <c r="D12" s="22"/>
      <c r="E12" s="22"/>
      <c r="F12" s="22"/>
      <c r="G12" s="22"/>
      <c r="H12" s="22"/>
      <c r="I12" s="22"/>
      <c r="J12" s="22"/>
      <c r="K12" s="23"/>
      <c r="L12" s="147"/>
      <c r="M12" s="147"/>
      <c r="N12" s="147"/>
      <c r="O12" s="147"/>
      <c r="P12" s="147"/>
      <c r="Q12" s="147"/>
      <c r="R12" s="147"/>
      <c r="S12" s="147"/>
      <c r="T12" s="147"/>
      <c r="U12" s="147"/>
      <c r="V12" s="147"/>
      <c r="W12" s="147"/>
      <c r="X12" s="147"/>
    </row>
    <row r="13" spans="1:24" s="8" customFormat="1" ht="15" customHeight="1" x14ac:dyDescent="0.35">
      <c r="A13" s="138"/>
      <c r="B13" s="21"/>
      <c r="C13" s="22"/>
      <c r="D13" s="22"/>
      <c r="E13" s="22"/>
      <c r="F13" s="22"/>
      <c r="G13" s="22"/>
      <c r="H13" s="22"/>
      <c r="I13" s="22"/>
      <c r="J13" s="22"/>
      <c r="K13" s="23"/>
      <c r="L13" s="147"/>
      <c r="M13" s="147"/>
      <c r="N13" s="147"/>
      <c r="O13" s="147"/>
      <c r="P13" s="147"/>
      <c r="Q13" s="147"/>
      <c r="R13" s="147"/>
      <c r="S13" s="147"/>
      <c r="T13" s="147"/>
      <c r="U13" s="147"/>
      <c r="V13" s="147"/>
      <c r="W13" s="147"/>
      <c r="X13" s="147"/>
    </row>
    <row r="14" spans="1:24" s="8" customFormat="1" ht="15" customHeight="1" x14ac:dyDescent="0.35">
      <c r="A14" s="138"/>
      <c r="B14" s="21"/>
      <c r="C14" s="22"/>
      <c r="D14" s="22"/>
      <c r="E14" s="22"/>
      <c r="F14" s="22"/>
      <c r="G14" s="22"/>
      <c r="H14" s="22"/>
      <c r="I14" s="22"/>
      <c r="J14" s="22"/>
      <c r="K14" s="23"/>
      <c r="L14" s="147"/>
      <c r="M14" s="147"/>
      <c r="N14" s="147"/>
      <c r="O14" s="147"/>
      <c r="P14" s="147"/>
      <c r="Q14" s="147"/>
      <c r="R14" s="147"/>
      <c r="S14" s="147"/>
      <c r="T14" s="147"/>
      <c r="U14" s="147"/>
      <c r="V14" s="147"/>
      <c r="W14" s="147"/>
      <c r="X14" s="147"/>
    </row>
    <row r="15" spans="1:24" s="8" customFormat="1" ht="15" customHeight="1" x14ac:dyDescent="0.35">
      <c r="A15" s="138"/>
      <c r="B15" s="21"/>
      <c r="C15" s="500" t="str">
        <f>Text!F82</f>
        <v>Validation</v>
      </c>
      <c r="D15" s="22"/>
      <c r="E15" s="22"/>
      <c r="F15" s="22"/>
      <c r="G15" s="22"/>
      <c r="H15" s="22"/>
      <c r="I15" s="22"/>
      <c r="J15" s="22"/>
      <c r="K15" s="23"/>
      <c r="L15" s="147"/>
      <c r="M15" s="147"/>
      <c r="N15" s="147"/>
      <c r="O15" s="147"/>
      <c r="P15" s="147"/>
      <c r="Q15" s="147"/>
      <c r="R15" s="147"/>
      <c r="S15" s="147"/>
      <c r="T15" s="147"/>
      <c r="U15" s="147"/>
      <c r="V15" s="147"/>
      <c r="W15" s="147"/>
      <c r="X15" s="147"/>
    </row>
    <row r="16" spans="1:24" s="8" customFormat="1" ht="15" customHeight="1" x14ac:dyDescent="0.35">
      <c r="A16" s="138"/>
      <c r="B16" s="21"/>
      <c r="C16" s="22"/>
      <c r="D16" s="22"/>
      <c r="E16" s="22"/>
      <c r="F16" s="22"/>
      <c r="G16" s="22"/>
      <c r="H16" s="22"/>
      <c r="I16" s="22"/>
      <c r="J16" s="22"/>
      <c r="K16" s="23"/>
      <c r="L16" s="147"/>
      <c r="M16" s="147"/>
      <c r="N16" s="147"/>
      <c r="O16" s="147"/>
      <c r="P16" s="147"/>
      <c r="Q16" s="147"/>
      <c r="R16" s="147"/>
      <c r="S16" s="147"/>
      <c r="T16" s="147"/>
      <c r="U16" s="147"/>
      <c r="V16" s="147"/>
      <c r="W16" s="147"/>
      <c r="X16" s="147"/>
    </row>
    <row r="17" spans="1:24" s="8" customFormat="1" ht="15" customHeight="1" x14ac:dyDescent="0.35">
      <c r="A17" s="138"/>
      <c r="B17" s="21"/>
      <c r="C17" s="22"/>
      <c r="D17" s="22"/>
      <c r="E17" s="22"/>
      <c r="F17" s="22"/>
      <c r="G17" s="22"/>
      <c r="H17" s="22"/>
      <c r="I17" s="22"/>
      <c r="J17" s="22"/>
      <c r="K17" s="23"/>
      <c r="L17" s="147"/>
      <c r="M17" s="147"/>
      <c r="N17" s="147"/>
      <c r="O17" s="147"/>
      <c r="P17" s="147"/>
      <c r="Q17" s="147"/>
      <c r="R17" s="147"/>
      <c r="S17" s="147"/>
      <c r="T17" s="147"/>
      <c r="U17" s="147"/>
      <c r="V17" s="147"/>
      <c r="W17" s="147"/>
      <c r="X17" s="147"/>
    </row>
    <row r="18" spans="1:24" s="8" customFormat="1" ht="15" customHeight="1" x14ac:dyDescent="0.35">
      <c r="A18" s="138"/>
      <c r="B18" s="21"/>
      <c r="C18" s="22"/>
      <c r="D18" s="22"/>
      <c r="E18" s="22"/>
      <c r="F18" s="22"/>
      <c r="G18" s="22"/>
      <c r="H18" s="22"/>
      <c r="I18" s="22"/>
      <c r="J18" s="22"/>
      <c r="K18" s="23"/>
      <c r="L18" s="147"/>
      <c r="M18" s="147"/>
      <c r="N18" s="147"/>
      <c r="O18" s="147"/>
      <c r="P18" s="147"/>
      <c r="Q18" s="147"/>
      <c r="R18" s="147"/>
      <c r="S18" s="147"/>
      <c r="T18" s="147"/>
      <c r="U18" s="147"/>
      <c r="V18" s="147"/>
      <c r="W18" s="147"/>
      <c r="X18" s="147"/>
    </row>
    <row r="19" spans="1:24" s="8" customFormat="1" ht="15" customHeight="1" x14ac:dyDescent="0.35">
      <c r="A19" s="138"/>
      <c r="B19" s="21"/>
      <c r="C19" s="22"/>
      <c r="D19" s="22"/>
      <c r="E19" s="22"/>
      <c r="F19" s="22"/>
      <c r="G19" s="22"/>
      <c r="H19" s="22"/>
      <c r="I19" s="22"/>
      <c r="J19" s="22"/>
      <c r="K19" s="23"/>
      <c r="L19" s="147"/>
      <c r="M19" s="147"/>
      <c r="N19" s="147"/>
      <c r="O19" s="147"/>
      <c r="P19" s="147"/>
      <c r="Q19" s="147"/>
      <c r="R19" s="147"/>
      <c r="S19" s="147"/>
      <c r="T19" s="147"/>
      <c r="U19" s="147"/>
      <c r="V19" s="147"/>
      <c r="W19" s="147"/>
      <c r="X19" s="147"/>
    </row>
    <row r="20" spans="1:24" s="8" customFormat="1" ht="15" customHeight="1" x14ac:dyDescent="0.35">
      <c r="A20" s="138"/>
      <c r="B20" s="21"/>
      <c r="C20" s="22"/>
      <c r="D20" s="22"/>
      <c r="E20" s="22"/>
      <c r="F20" s="22"/>
      <c r="G20" s="22"/>
      <c r="H20" s="22"/>
      <c r="I20" s="22"/>
      <c r="J20" s="22"/>
      <c r="K20" s="23"/>
      <c r="L20" s="147"/>
      <c r="M20" s="147"/>
      <c r="N20" s="147"/>
      <c r="O20" s="147"/>
      <c r="P20" s="147"/>
      <c r="Q20" s="147"/>
      <c r="R20" s="147"/>
      <c r="S20" s="147"/>
      <c r="T20" s="147"/>
      <c r="U20" s="147"/>
      <c r="V20" s="147"/>
      <c r="W20" s="147"/>
      <c r="X20" s="147"/>
    </row>
    <row r="21" spans="1:24" s="8" customFormat="1" ht="15" customHeight="1" x14ac:dyDescent="0.35">
      <c r="A21" s="138"/>
      <c r="B21" s="21"/>
      <c r="C21" s="22"/>
      <c r="D21" s="22"/>
      <c r="E21" s="22"/>
      <c r="F21" s="22"/>
      <c r="G21" s="22"/>
      <c r="H21" s="22"/>
      <c r="I21" s="22"/>
      <c r="J21" s="22"/>
      <c r="K21" s="23"/>
      <c r="L21" s="147"/>
      <c r="M21" s="147"/>
      <c r="N21" s="147"/>
      <c r="O21" s="147"/>
      <c r="P21" s="147"/>
      <c r="Q21" s="147"/>
      <c r="R21" s="147"/>
      <c r="S21" s="147"/>
      <c r="T21" s="147"/>
      <c r="U21" s="147"/>
      <c r="V21" s="147"/>
      <c r="W21" s="147"/>
      <c r="X21" s="147"/>
    </row>
    <row r="22" spans="1:24" s="8" customFormat="1" ht="15" customHeight="1" x14ac:dyDescent="0.35">
      <c r="A22" s="138"/>
      <c r="B22" s="21"/>
      <c r="C22" s="22"/>
      <c r="D22" s="22"/>
      <c r="E22" s="22"/>
      <c r="F22" s="22"/>
      <c r="G22" s="22"/>
      <c r="H22" s="22"/>
      <c r="I22" s="22"/>
      <c r="J22" s="22"/>
      <c r="K22" s="23"/>
      <c r="L22" s="147"/>
      <c r="M22" s="147"/>
      <c r="N22" s="147"/>
      <c r="O22" s="147"/>
      <c r="P22" s="147"/>
      <c r="Q22" s="147"/>
      <c r="R22" s="147"/>
      <c r="S22" s="147"/>
      <c r="T22" s="147"/>
      <c r="U22" s="147"/>
      <c r="V22" s="147"/>
      <c r="W22" s="147"/>
      <c r="X22" s="147"/>
    </row>
    <row r="23" spans="1:24" s="8" customFormat="1" ht="15" customHeight="1" x14ac:dyDescent="0.35">
      <c r="A23" s="138"/>
      <c r="B23" s="21"/>
      <c r="C23" s="22"/>
      <c r="D23" s="22"/>
      <c r="E23" s="22"/>
      <c r="F23" s="22"/>
      <c r="G23" s="22"/>
      <c r="H23" s="22"/>
      <c r="I23" s="22"/>
      <c r="J23" s="22"/>
      <c r="K23" s="23"/>
      <c r="L23" s="147"/>
      <c r="M23" s="147"/>
      <c r="N23" s="147"/>
      <c r="O23" s="147"/>
      <c r="P23" s="147"/>
      <c r="Q23" s="147"/>
      <c r="R23" s="147"/>
      <c r="S23" s="147"/>
      <c r="T23" s="149"/>
      <c r="U23" s="147"/>
      <c r="V23" s="147"/>
      <c r="W23" s="147"/>
      <c r="X23" s="147"/>
    </row>
    <row r="24" spans="1:24" s="8" customFormat="1" ht="15" customHeight="1" x14ac:dyDescent="0.35">
      <c r="A24" s="138"/>
      <c r="B24" s="21"/>
      <c r="C24" s="22"/>
      <c r="D24" s="22"/>
      <c r="E24" s="22"/>
      <c r="F24" s="22"/>
      <c r="G24" s="22"/>
      <c r="H24" s="22"/>
      <c r="I24" s="22"/>
      <c r="J24" s="22"/>
      <c r="K24" s="23"/>
      <c r="L24" s="147"/>
      <c r="M24" s="147"/>
      <c r="N24" s="147"/>
      <c r="O24" s="147"/>
      <c r="P24" s="147"/>
      <c r="Q24" s="147"/>
      <c r="R24" s="147"/>
      <c r="S24" s="147"/>
      <c r="T24" s="149"/>
      <c r="U24" s="147"/>
      <c r="V24" s="147"/>
      <c r="W24" s="147"/>
      <c r="X24" s="147"/>
    </row>
    <row r="25" spans="1:24" s="8" customFormat="1" ht="15" customHeight="1" x14ac:dyDescent="0.35">
      <c r="A25" s="138"/>
      <c r="B25" s="21"/>
      <c r="C25" s="500" t="str">
        <f>Text!F83</f>
        <v>Documentation</v>
      </c>
      <c r="D25" s="22"/>
      <c r="E25" s="22"/>
      <c r="F25" s="22"/>
      <c r="G25" s="22"/>
      <c r="H25" s="22"/>
      <c r="I25" s="22"/>
      <c r="J25" s="22"/>
      <c r="K25" s="23"/>
      <c r="L25" s="147"/>
      <c r="M25" s="147"/>
      <c r="N25" s="147"/>
      <c r="O25" s="147"/>
      <c r="P25" s="147"/>
      <c r="Q25" s="147"/>
      <c r="R25" s="147"/>
      <c r="S25" s="147"/>
      <c r="T25" s="147"/>
      <c r="U25" s="147"/>
      <c r="V25" s="147"/>
      <c r="W25" s="147"/>
      <c r="X25" s="147"/>
    </row>
    <row r="26" spans="1:24" s="8" customFormat="1" ht="15" customHeight="1" x14ac:dyDescent="0.35">
      <c r="A26" s="138"/>
      <c r="B26" s="21"/>
      <c r="C26" s="22"/>
      <c r="D26" s="22"/>
      <c r="E26" s="22"/>
      <c r="F26" s="22"/>
      <c r="G26" s="22"/>
      <c r="H26" s="22"/>
      <c r="I26" s="22"/>
      <c r="J26" s="22"/>
      <c r="K26" s="23"/>
      <c r="L26" s="147"/>
      <c r="M26" s="147"/>
      <c r="N26" s="147"/>
      <c r="O26" s="147"/>
      <c r="P26" s="147"/>
      <c r="Q26" s="147"/>
      <c r="R26" s="147"/>
      <c r="S26" s="147"/>
      <c r="T26" s="147"/>
      <c r="U26" s="147"/>
      <c r="V26" s="147"/>
      <c r="W26" s="147"/>
      <c r="X26" s="147"/>
    </row>
    <row r="27" spans="1:24" s="8" customFormat="1" ht="15" customHeight="1" x14ac:dyDescent="0.35">
      <c r="A27" s="138"/>
      <c r="B27" s="21"/>
      <c r="C27" s="22"/>
      <c r="D27" s="22"/>
      <c r="E27" s="22"/>
      <c r="F27" s="22"/>
      <c r="G27" s="22"/>
      <c r="H27" s="22"/>
      <c r="I27" s="22"/>
      <c r="J27" s="22"/>
      <c r="K27" s="23"/>
      <c r="L27" s="147"/>
      <c r="M27" s="147"/>
      <c r="N27" s="147"/>
      <c r="O27" s="147"/>
      <c r="P27" s="147"/>
      <c r="Q27" s="147"/>
      <c r="R27" s="147"/>
      <c r="S27" s="147"/>
      <c r="T27" s="147"/>
      <c r="U27" s="147"/>
      <c r="V27" s="147"/>
      <c r="W27" s="147"/>
      <c r="X27" s="147"/>
    </row>
    <row r="28" spans="1:24" s="8" customFormat="1" ht="15" customHeight="1" x14ac:dyDescent="0.35">
      <c r="A28" s="138"/>
      <c r="B28" s="21"/>
      <c r="C28" s="22"/>
      <c r="D28" s="22"/>
      <c r="E28" s="22"/>
      <c r="F28" s="22"/>
      <c r="G28" s="22"/>
      <c r="H28" s="22"/>
      <c r="I28" s="22"/>
      <c r="J28" s="22"/>
      <c r="K28" s="23"/>
      <c r="L28" s="147"/>
      <c r="M28" s="147"/>
      <c r="N28" s="147"/>
      <c r="O28" s="147"/>
      <c r="P28" s="147"/>
      <c r="Q28" s="147"/>
      <c r="R28" s="147"/>
      <c r="S28" s="147"/>
      <c r="T28" s="147"/>
      <c r="U28" s="147"/>
      <c r="V28" s="147"/>
      <c r="W28" s="147"/>
      <c r="X28" s="147"/>
    </row>
    <row r="29" spans="1:24" s="8" customFormat="1" ht="15" customHeight="1" x14ac:dyDescent="0.35">
      <c r="A29" s="138"/>
      <c r="B29" s="21"/>
      <c r="C29" s="22"/>
      <c r="D29" s="22"/>
      <c r="E29" s="22"/>
      <c r="F29" s="22"/>
      <c r="G29" s="22"/>
      <c r="H29" s="22"/>
      <c r="I29" s="22"/>
      <c r="J29" s="22"/>
      <c r="K29" s="23"/>
      <c r="L29" s="147"/>
      <c r="M29" s="147"/>
      <c r="N29" s="147"/>
      <c r="O29" s="147"/>
      <c r="P29" s="147"/>
      <c r="Q29" s="147"/>
      <c r="R29" s="147"/>
      <c r="S29" s="147"/>
      <c r="T29" s="147"/>
      <c r="U29" s="147"/>
      <c r="V29" s="147"/>
      <c r="W29" s="147"/>
      <c r="X29" s="147"/>
    </row>
    <row r="30" spans="1:24" s="8" customFormat="1" ht="15" customHeight="1" x14ac:dyDescent="0.35">
      <c r="A30" s="138"/>
      <c r="B30" s="21"/>
      <c r="C30" s="22"/>
      <c r="D30" s="22"/>
      <c r="E30" s="22"/>
      <c r="F30" s="22"/>
      <c r="G30" s="22"/>
      <c r="H30" s="22"/>
      <c r="I30" s="22"/>
      <c r="J30" s="22"/>
      <c r="K30" s="23"/>
      <c r="L30" s="147"/>
      <c r="M30" s="147"/>
      <c r="N30" s="147"/>
      <c r="O30" s="147"/>
      <c r="P30" s="147"/>
      <c r="Q30" s="147"/>
      <c r="R30" s="147"/>
      <c r="S30" s="147"/>
      <c r="T30" s="147"/>
      <c r="U30" s="147"/>
      <c r="V30" s="147"/>
      <c r="W30" s="147"/>
      <c r="X30" s="147"/>
    </row>
    <row r="31" spans="1:24" s="8" customFormat="1" ht="15" customHeight="1" x14ac:dyDescent="0.35">
      <c r="A31" s="138"/>
      <c r="B31" s="21"/>
      <c r="C31" s="22"/>
      <c r="D31" s="22"/>
      <c r="E31" s="22"/>
      <c r="F31" s="22"/>
      <c r="G31" s="22"/>
      <c r="H31" s="22"/>
      <c r="I31" s="22"/>
      <c r="J31" s="22"/>
      <c r="K31" s="23"/>
      <c r="L31" s="147"/>
      <c r="M31" s="147"/>
      <c r="N31" s="147"/>
      <c r="O31" s="147"/>
      <c r="P31" s="147"/>
      <c r="Q31" s="147"/>
      <c r="R31" s="147"/>
      <c r="S31" s="147"/>
      <c r="T31" s="147"/>
      <c r="U31" s="147"/>
      <c r="V31" s="147"/>
      <c r="W31" s="147"/>
      <c r="X31" s="147"/>
    </row>
    <row r="32" spans="1:24" s="8" customFormat="1" ht="15" customHeight="1" x14ac:dyDescent="0.35">
      <c r="A32" s="138"/>
      <c r="B32" s="21"/>
      <c r="C32" s="22"/>
      <c r="D32" s="22"/>
      <c r="E32" s="22"/>
      <c r="F32" s="22"/>
      <c r="G32" s="22"/>
      <c r="H32" s="22"/>
      <c r="I32" s="22"/>
      <c r="J32" s="22"/>
      <c r="K32" s="23"/>
      <c r="L32" s="147"/>
      <c r="M32" s="147"/>
      <c r="N32" s="147"/>
      <c r="O32" s="147"/>
      <c r="P32" s="147"/>
      <c r="Q32" s="147"/>
      <c r="R32" s="147"/>
      <c r="S32" s="147"/>
      <c r="T32" s="147"/>
      <c r="U32" s="147"/>
      <c r="V32" s="147"/>
      <c r="W32" s="147"/>
      <c r="X32" s="147"/>
    </row>
    <row r="33" spans="1:24" s="8" customFormat="1" ht="15" customHeight="1" x14ac:dyDescent="0.35">
      <c r="A33" s="138"/>
      <c r="B33" s="21"/>
      <c r="C33" s="22"/>
      <c r="D33" s="22"/>
      <c r="E33" s="22"/>
      <c r="F33" s="22"/>
      <c r="G33" s="22"/>
      <c r="H33" s="22"/>
      <c r="I33" s="22"/>
      <c r="J33" s="22"/>
      <c r="K33" s="23"/>
      <c r="L33" s="147"/>
      <c r="M33" s="147"/>
      <c r="N33" s="147"/>
      <c r="O33" s="147"/>
      <c r="P33" s="147"/>
      <c r="Q33" s="147"/>
      <c r="R33" s="147"/>
      <c r="S33" s="147"/>
      <c r="T33" s="147"/>
      <c r="U33" s="147"/>
      <c r="V33" s="147"/>
      <c r="W33" s="147"/>
      <c r="X33" s="147"/>
    </row>
    <row r="34" spans="1:24" s="8" customFormat="1" ht="15" customHeight="1" x14ac:dyDescent="0.35">
      <c r="A34" s="138"/>
      <c r="B34" s="21"/>
      <c r="C34" s="22"/>
      <c r="D34" s="22"/>
      <c r="E34" s="22"/>
      <c r="F34" s="22"/>
      <c r="G34" s="22"/>
      <c r="H34" s="22"/>
      <c r="I34" s="22"/>
      <c r="J34" s="22"/>
      <c r="K34" s="23"/>
      <c r="L34" s="147"/>
      <c r="M34" s="147"/>
      <c r="N34" s="147"/>
      <c r="O34" s="147"/>
      <c r="P34" s="147"/>
      <c r="Q34" s="147"/>
      <c r="R34" s="147"/>
      <c r="S34" s="147"/>
      <c r="T34" s="147"/>
      <c r="U34" s="147"/>
      <c r="V34" s="147"/>
      <c r="W34" s="147"/>
      <c r="X34" s="147"/>
    </row>
    <row r="35" spans="1:24" s="8" customFormat="1" ht="15" customHeight="1" x14ac:dyDescent="0.35">
      <c r="A35" s="138"/>
      <c r="B35" s="21"/>
      <c r="C35" s="500" t="str">
        <f>Text!F84</f>
        <v>General comments</v>
      </c>
      <c r="D35" s="22"/>
      <c r="E35" s="22"/>
      <c r="F35" s="22"/>
      <c r="G35" s="22"/>
      <c r="H35" s="22"/>
      <c r="I35" s="22"/>
      <c r="J35" s="22"/>
      <c r="K35" s="23"/>
      <c r="L35" s="147"/>
      <c r="M35" s="147"/>
      <c r="N35" s="147"/>
      <c r="O35" s="147"/>
      <c r="P35" s="147"/>
      <c r="Q35" s="147"/>
      <c r="R35" s="147"/>
      <c r="S35" s="147"/>
      <c r="T35" s="147"/>
      <c r="U35" s="147"/>
      <c r="V35" s="147"/>
      <c r="W35" s="147"/>
      <c r="X35" s="147"/>
    </row>
    <row r="36" spans="1:24" s="8" customFormat="1" ht="15" customHeight="1" x14ac:dyDescent="0.35">
      <c r="A36" s="138"/>
      <c r="B36" s="21"/>
      <c r="C36" s="22"/>
      <c r="D36" s="22"/>
      <c r="E36" s="22"/>
      <c r="F36" s="22"/>
      <c r="G36" s="22"/>
      <c r="H36" s="22"/>
      <c r="I36" s="22"/>
      <c r="J36" s="22"/>
      <c r="K36" s="23"/>
      <c r="L36" s="147"/>
      <c r="M36" s="147"/>
      <c r="N36" s="147"/>
      <c r="O36" s="147"/>
      <c r="P36" s="147"/>
      <c r="Q36" s="147"/>
      <c r="R36" s="147"/>
      <c r="S36" s="147"/>
      <c r="T36" s="147"/>
      <c r="U36" s="147"/>
      <c r="V36" s="147"/>
      <c r="W36" s="147"/>
      <c r="X36" s="147"/>
    </row>
    <row r="37" spans="1:24" s="8" customFormat="1" ht="15" customHeight="1" x14ac:dyDescent="0.35">
      <c r="A37" s="138"/>
      <c r="B37" s="21"/>
      <c r="C37" s="22"/>
      <c r="D37" s="22"/>
      <c r="E37" s="22"/>
      <c r="F37" s="22"/>
      <c r="G37" s="22"/>
      <c r="H37" s="22"/>
      <c r="I37" s="22"/>
      <c r="J37" s="22"/>
      <c r="K37" s="23"/>
      <c r="L37" s="147"/>
      <c r="M37" s="147"/>
      <c r="N37" s="147"/>
      <c r="O37" s="147"/>
      <c r="P37" s="147"/>
      <c r="Q37" s="147"/>
      <c r="R37" s="147"/>
      <c r="S37" s="147"/>
      <c r="T37" s="147"/>
      <c r="U37" s="147"/>
      <c r="V37" s="147"/>
      <c r="W37" s="147"/>
      <c r="X37" s="147"/>
    </row>
    <row r="38" spans="1:24" s="8" customFormat="1" ht="15" customHeight="1" x14ac:dyDescent="0.35">
      <c r="A38" s="138"/>
      <c r="B38" s="21"/>
      <c r="C38" s="22"/>
      <c r="D38" s="22"/>
      <c r="E38" s="22"/>
      <c r="F38" s="22"/>
      <c r="G38" s="22"/>
      <c r="H38" s="22"/>
      <c r="I38" s="22"/>
      <c r="J38" s="22"/>
      <c r="K38" s="23"/>
      <c r="L38" s="147"/>
      <c r="M38" s="147"/>
      <c r="N38" s="147"/>
      <c r="O38" s="147"/>
      <c r="P38" s="147"/>
      <c r="Q38" s="147"/>
      <c r="R38" s="147"/>
      <c r="S38" s="147"/>
      <c r="T38" s="147"/>
      <c r="U38" s="147"/>
      <c r="V38" s="147"/>
      <c r="W38" s="147"/>
      <c r="X38" s="147"/>
    </row>
    <row r="39" spans="1:24" s="8" customFormat="1" ht="15" customHeight="1" x14ac:dyDescent="0.35">
      <c r="A39" s="138"/>
      <c r="B39" s="21"/>
      <c r="C39" s="22"/>
      <c r="D39" s="22"/>
      <c r="E39" s="22"/>
      <c r="F39" s="22"/>
      <c r="G39" s="22"/>
      <c r="H39" s="22"/>
      <c r="I39" s="22"/>
      <c r="J39" s="22"/>
      <c r="K39" s="23"/>
      <c r="L39" s="147"/>
      <c r="M39" s="147"/>
      <c r="N39" s="147"/>
      <c r="O39" s="147"/>
      <c r="P39" s="147"/>
      <c r="Q39" s="147"/>
      <c r="R39" s="147"/>
      <c r="S39" s="147"/>
      <c r="T39" s="147"/>
      <c r="U39" s="147"/>
      <c r="V39" s="147"/>
      <c r="W39" s="147"/>
      <c r="X39" s="147"/>
    </row>
    <row r="40" spans="1:24" s="8" customFormat="1" ht="15" customHeight="1" x14ac:dyDescent="0.35">
      <c r="A40" s="138"/>
      <c r="B40" s="21"/>
      <c r="C40" s="22"/>
      <c r="D40" s="22"/>
      <c r="E40" s="22"/>
      <c r="F40" s="22"/>
      <c r="G40" s="22"/>
      <c r="H40" s="22"/>
      <c r="I40" s="22"/>
      <c r="J40" s="22"/>
      <c r="K40" s="23"/>
      <c r="L40" s="147"/>
      <c r="M40" s="147"/>
      <c r="N40" s="147"/>
      <c r="O40" s="147"/>
      <c r="P40" s="147"/>
      <c r="Q40" s="147"/>
      <c r="R40" s="147"/>
      <c r="S40" s="147"/>
      <c r="T40" s="147"/>
      <c r="U40" s="147"/>
      <c r="V40" s="147"/>
      <c r="W40" s="147"/>
      <c r="X40" s="147"/>
    </row>
    <row r="41" spans="1:24" s="8" customFormat="1" ht="15" customHeight="1" x14ac:dyDescent="0.35">
      <c r="A41" s="138"/>
      <c r="B41" s="21"/>
      <c r="C41" s="22"/>
      <c r="D41" s="22"/>
      <c r="E41" s="22"/>
      <c r="F41" s="22"/>
      <c r="G41" s="22"/>
      <c r="H41" s="22"/>
      <c r="I41" s="22"/>
      <c r="J41" s="22"/>
      <c r="K41" s="23"/>
      <c r="L41" s="147"/>
      <c r="M41" s="147"/>
      <c r="N41" s="147"/>
      <c r="O41" s="147"/>
      <c r="P41" s="147"/>
      <c r="Q41" s="147"/>
      <c r="R41" s="147"/>
      <c r="S41" s="147"/>
      <c r="T41" s="147"/>
      <c r="U41" s="147"/>
      <c r="V41" s="147"/>
      <c r="W41" s="147"/>
      <c r="X41" s="147"/>
    </row>
    <row r="42" spans="1:24" s="8" customFormat="1" ht="15" customHeight="1" x14ac:dyDescent="0.35">
      <c r="A42" s="138"/>
      <c r="B42" s="21"/>
      <c r="C42" s="22"/>
      <c r="D42" s="22"/>
      <c r="E42" s="22"/>
      <c r="F42" s="22"/>
      <c r="G42" s="22"/>
      <c r="H42" s="22"/>
      <c r="I42" s="22"/>
      <c r="J42" s="22"/>
      <c r="K42" s="23"/>
      <c r="L42" s="147"/>
      <c r="M42" s="147"/>
      <c r="N42" s="147"/>
      <c r="O42" s="147"/>
      <c r="P42" s="147"/>
      <c r="Q42" s="147"/>
      <c r="R42" s="147"/>
      <c r="S42" s="147"/>
      <c r="T42" s="147"/>
      <c r="U42" s="147"/>
      <c r="V42" s="147"/>
      <c r="W42" s="147"/>
      <c r="X42" s="147"/>
    </row>
    <row r="43" spans="1:24" s="8" customFormat="1" ht="15.5" x14ac:dyDescent="0.35">
      <c r="A43" s="138"/>
      <c r="B43" s="24"/>
      <c r="C43" s="25"/>
      <c r="D43" s="25"/>
      <c r="E43" s="25"/>
      <c r="F43" s="25"/>
      <c r="G43" s="25"/>
      <c r="H43" s="25"/>
      <c r="I43" s="25"/>
      <c r="J43" s="25"/>
      <c r="K43" s="26"/>
      <c r="L43" s="147"/>
      <c r="M43" s="147"/>
      <c r="N43" s="147"/>
      <c r="O43" s="147"/>
      <c r="P43" s="147"/>
      <c r="Q43" s="147"/>
      <c r="R43" s="147"/>
      <c r="S43" s="147"/>
      <c r="T43" s="147"/>
      <c r="U43" s="147"/>
      <c r="V43" s="147"/>
      <c r="W43" s="147"/>
      <c r="X43" s="147"/>
    </row>
  </sheetData>
  <sheetProtection sheet="1" objects="1" scenarios="1"/>
  <phoneticPr fontId="11" type="noConversion"/>
  <pageMargins left="0.25" right="0.25" top="0.75" bottom="0.75" header="0.3" footer="0.3"/>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
    <tabColor rgb="FFFFCC99"/>
  </sheetPr>
  <dimension ref="A1:Z102"/>
  <sheetViews>
    <sheetView workbookViewId="0">
      <selection activeCell="R27" sqref="R27"/>
    </sheetView>
  </sheetViews>
  <sheetFormatPr defaultColWidth="8.84375" defaultRowHeight="12.5" x14ac:dyDescent="0.25"/>
  <cols>
    <col min="1" max="1" width="5.765625" style="98" bestFit="1" customWidth="1"/>
    <col min="2" max="2" width="7.69140625" style="98" customWidth="1"/>
    <col min="3" max="3" width="6" style="98" bestFit="1" customWidth="1"/>
    <col min="4" max="4" width="5.53515625" style="98" bestFit="1" customWidth="1"/>
    <col min="5" max="6" width="7.69140625" style="98" bestFit="1" customWidth="1"/>
    <col min="7" max="7" width="10.69140625" style="98" customWidth="1"/>
    <col min="8" max="8" width="1.765625" style="98" customWidth="1"/>
    <col min="9" max="9" width="11.53515625" style="98" bestFit="1" customWidth="1"/>
    <col min="10" max="10" width="9.69140625" style="98" bestFit="1" customWidth="1"/>
    <col min="11" max="11" width="1.765625" style="98" customWidth="1"/>
    <col min="12" max="12" width="2.4609375" style="98" bestFit="1" customWidth="1"/>
    <col min="13" max="13" width="3.23046875" style="98" bestFit="1" customWidth="1"/>
    <col min="14" max="14" width="8.84375" style="98"/>
    <col min="15" max="15" width="7.23046875" style="98" bestFit="1" customWidth="1"/>
    <col min="16" max="16" width="6" style="98" bestFit="1" customWidth="1"/>
    <col min="17" max="17" width="5.53515625" style="98" bestFit="1" customWidth="1"/>
    <col min="18" max="18" width="7.69140625" style="98" bestFit="1" customWidth="1"/>
    <col min="19" max="19" width="7" style="98" bestFit="1" customWidth="1"/>
    <col min="20" max="20" width="10.23046875" style="98" bestFit="1" customWidth="1"/>
    <col min="21" max="21" width="11.3046875" style="98" bestFit="1" customWidth="1"/>
    <col min="22" max="22" width="6.23046875" style="98" bestFit="1" customWidth="1"/>
    <col min="23" max="23" width="7.07421875" style="98" bestFit="1" customWidth="1"/>
    <col min="24" max="25" width="4.53515625" style="98" bestFit="1" customWidth="1"/>
    <col min="26" max="26" width="10.23046875" style="98" bestFit="1" customWidth="1"/>
    <col min="27" max="16384" width="8.84375" style="98"/>
  </cols>
  <sheetData>
    <row r="1" spans="1:26" ht="15.5" x14ac:dyDescent="0.35">
      <c r="B1" s="193" t="s">
        <v>3302</v>
      </c>
      <c r="L1" s="193" t="s">
        <v>3303</v>
      </c>
    </row>
    <row r="2" spans="1:26" ht="15.5" x14ac:dyDescent="0.35">
      <c r="B2" s="193"/>
      <c r="L2" s="193"/>
      <c r="O2" s="98" t="s">
        <v>3418</v>
      </c>
    </row>
    <row r="3" spans="1:26" ht="15.5" x14ac:dyDescent="0.35">
      <c r="A3" s="98" t="s">
        <v>3312</v>
      </c>
      <c r="B3" s="278" t="s">
        <v>115</v>
      </c>
      <c r="C3" s="279" t="s">
        <v>107</v>
      </c>
      <c r="D3" s="279" t="s">
        <v>108</v>
      </c>
      <c r="E3" s="279" t="s">
        <v>109</v>
      </c>
      <c r="F3" s="279" t="s">
        <v>114</v>
      </c>
      <c r="G3" s="280" t="s">
        <v>89</v>
      </c>
      <c r="H3" s="281"/>
      <c r="L3" s="282">
        <v>1</v>
      </c>
      <c r="M3" s="283" t="s">
        <v>172</v>
      </c>
      <c r="O3" t="s">
        <v>3055</v>
      </c>
      <c r="P3" t="s">
        <v>114</v>
      </c>
      <c r="Q3" t="s">
        <v>107</v>
      </c>
      <c r="R3" t="s">
        <v>108</v>
      </c>
      <c r="S3" t="s">
        <v>109</v>
      </c>
      <c r="T3" t="s">
        <v>89</v>
      </c>
      <c r="U3" s="284"/>
      <c r="V3" s="223" t="s">
        <v>295</v>
      </c>
      <c r="W3" s="223" t="s">
        <v>107</v>
      </c>
      <c r="X3" s="223" t="s">
        <v>296</v>
      </c>
      <c r="Y3" s="223" t="s">
        <v>297</v>
      </c>
      <c r="Z3" s="223" t="s">
        <v>89</v>
      </c>
    </row>
    <row r="4" spans="1:26" ht="15.5" x14ac:dyDescent="0.35">
      <c r="A4" s="522">
        <f>FrontPage!$N$2</f>
        <v>1</v>
      </c>
      <c r="B4" s="303">
        <f t="shared" ref="B4:B21" si="0">Year</f>
        <v>202425</v>
      </c>
      <c r="C4" s="98" t="s">
        <v>1</v>
      </c>
      <c r="D4" s="285">
        <v>1</v>
      </c>
      <c r="E4" s="98">
        <v>1</v>
      </c>
      <c r="F4" s="286">
        <f>UANumber</f>
        <v>0</v>
      </c>
      <c r="G4" s="287">
        <f t="shared" ref="G4:G21" si="1">VLOOKUP(D4,BR,6,FALSE)</f>
        <v>0</v>
      </c>
      <c r="H4" s="288"/>
      <c r="I4" s="289">
        <v>5.0299999999999997E-3</v>
      </c>
      <c r="J4" s="207">
        <f>+G4*I4</f>
        <v>0</v>
      </c>
      <c r="L4" s="290">
        <v>2</v>
      </c>
      <c r="M4" s="291" t="s">
        <v>173</v>
      </c>
      <c r="O4">
        <v>202425</v>
      </c>
      <c r="P4">
        <v>512</v>
      </c>
      <c r="Q4" t="s">
        <v>1</v>
      </c>
      <c r="R4">
        <v>1</v>
      </c>
      <c r="S4">
        <v>1</v>
      </c>
      <c r="T4">
        <v>0</v>
      </c>
      <c r="U4" s="292"/>
      <c r="V4" s="288">
        <f>B4-O4</f>
        <v>0</v>
      </c>
      <c r="W4" s="288" t="e">
        <f>C4-Q4</f>
        <v>#VALUE!</v>
      </c>
      <c r="X4" s="288">
        <f>D4-R4</f>
        <v>0</v>
      </c>
      <c r="Y4" s="288">
        <f>E4-S4</f>
        <v>0</v>
      </c>
      <c r="Z4" s="288">
        <f>G4-T4</f>
        <v>0</v>
      </c>
    </row>
    <row r="5" spans="1:26" ht="15.5" x14ac:dyDescent="0.35">
      <c r="A5" s="522">
        <f>FrontPage!$N$2</f>
        <v>1</v>
      </c>
      <c r="B5" s="303">
        <f t="shared" si="0"/>
        <v>202425</v>
      </c>
      <c r="C5" s="98" t="s">
        <v>1</v>
      </c>
      <c r="D5" s="285">
        <v>2</v>
      </c>
      <c r="E5" s="98">
        <v>1</v>
      </c>
      <c r="F5" s="286">
        <f t="shared" ref="F5:F21" si="2">UANumber</f>
        <v>0</v>
      </c>
      <c r="G5" s="287">
        <f t="shared" si="1"/>
        <v>0</v>
      </c>
      <c r="H5" s="288"/>
      <c r="I5" s="289">
        <v>0.43580000000000002</v>
      </c>
      <c r="J5" s="207">
        <f t="shared" ref="J5:J19" si="3">+G5*I5</f>
        <v>0</v>
      </c>
      <c r="L5" s="290">
        <v>3</v>
      </c>
      <c r="M5" s="291" t="s">
        <v>174</v>
      </c>
      <c r="O5">
        <v>202425</v>
      </c>
      <c r="P5">
        <v>512</v>
      </c>
      <c r="Q5" t="s">
        <v>1</v>
      </c>
      <c r="R5">
        <v>2</v>
      </c>
      <c r="S5">
        <v>1</v>
      </c>
      <c r="T5">
        <v>0</v>
      </c>
      <c r="U5" s="292"/>
      <c r="V5" s="288">
        <f t="shared" ref="V5:V21" si="4">B5-O5</f>
        <v>0</v>
      </c>
      <c r="W5" s="288" t="e">
        <f t="shared" ref="W5:W21" si="5">C5-Q5</f>
        <v>#VALUE!</v>
      </c>
      <c r="X5" s="288">
        <f t="shared" ref="X5:X21" si="6">D5-R5</f>
        <v>0</v>
      </c>
      <c r="Y5" s="288">
        <f t="shared" ref="Y5:Y21" si="7">E5-S5</f>
        <v>0</v>
      </c>
      <c r="Z5" s="288">
        <f t="shared" ref="Z5:Z21" si="8">G5-T5</f>
        <v>0</v>
      </c>
    </row>
    <row r="6" spans="1:26" ht="15.5" x14ac:dyDescent="0.35">
      <c r="A6" s="522">
        <f>FrontPage!$N$2</f>
        <v>1</v>
      </c>
      <c r="B6" s="303">
        <f t="shared" si="0"/>
        <v>202425</v>
      </c>
      <c r="C6" s="98" t="s">
        <v>1</v>
      </c>
      <c r="D6" s="285">
        <v>3</v>
      </c>
      <c r="E6" s="98">
        <v>1</v>
      </c>
      <c r="F6" s="286">
        <f t="shared" si="2"/>
        <v>0</v>
      </c>
      <c r="G6" s="287">
        <f t="shared" si="1"/>
        <v>0</v>
      </c>
      <c r="H6" s="288"/>
      <c r="I6" s="289">
        <v>0.91447999999999996</v>
      </c>
      <c r="J6" s="207">
        <f t="shared" si="3"/>
        <v>0</v>
      </c>
      <c r="L6" s="290">
        <v>4</v>
      </c>
      <c r="M6" s="291" t="s">
        <v>175</v>
      </c>
      <c r="O6">
        <v>202425</v>
      </c>
      <c r="P6">
        <v>512</v>
      </c>
      <c r="Q6" t="s">
        <v>1</v>
      </c>
      <c r="R6">
        <v>3</v>
      </c>
      <c r="S6">
        <v>1</v>
      </c>
      <c r="T6">
        <v>0</v>
      </c>
      <c r="U6" s="292"/>
      <c r="V6" s="288">
        <f t="shared" si="4"/>
        <v>0</v>
      </c>
      <c r="W6" s="288" t="e">
        <f t="shared" si="5"/>
        <v>#VALUE!</v>
      </c>
      <c r="X6" s="288">
        <f t="shared" si="6"/>
        <v>0</v>
      </c>
      <c r="Y6" s="288">
        <f t="shared" si="7"/>
        <v>0</v>
      </c>
      <c r="Z6" s="288">
        <f t="shared" si="8"/>
        <v>0</v>
      </c>
    </row>
    <row r="7" spans="1:26" ht="15.5" x14ac:dyDescent="0.35">
      <c r="A7" s="522">
        <f>FrontPage!$N$2</f>
        <v>1</v>
      </c>
      <c r="B7" s="303">
        <f t="shared" si="0"/>
        <v>202425</v>
      </c>
      <c r="C7" s="98" t="s">
        <v>1</v>
      </c>
      <c r="D7" s="285">
        <v>4</v>
      </c>
      <c r="E7" s="98">
        <v>1</v>
      </c>
      <c r="F7" s="286">
        <f t="shared" si="2"/>
        <v>0</v>
      </c>
      <c r="G7" s="287">
        <f t="shared" si="1"/>
        <v>0</v>
      </c>
      <c r="H7" s="288"/>
      <c r="I7" s="289">
        <v>0.90025999999999995</v>
      </c>
      <c r="J7" s="207">
        <f t="shared" si="3"/>
        <v>0</v>
      </c>
      <c r="L7" s="290">
        <v>5</v>
      </c>
      <c r="M7" s="291" t="s">
        <v>23</v>
      </c>
      <c r="O7">
        <v>202425</v>
      </c>
      <c r="P7">
        <v>512</v>
      </c>
      <c r="Q7" t="s">
        <v>1</v>
      </c>
      <c r="R7">
        <v>4</v>
      </c>
      <c r="S7">
        <v>1</v>
      </c>
      <c r="T7">
        <v>0</v>
      </c>
      <c r="U7" s="292"/>
      <c r="V7" s="288">
        <f t="shared" si="4"/>
        <v>0</v>
      </c>
      <c r="W7" s="288" t="e">
        <f t="shared" si="5"/>
        <v>#VALUE!</v>
      </c>
      <c r="X7" s="288">
        <f t="shared" si="6"/>
        <v>0</v>
      </c>
      <c r="Y7" s="288">
        <f t="shared" si="7"/>
        <v>0</v>
      </c>
      <c r="Z7" s="288">
        <f t="shared" si="8"/>
        <v>0</v>
      </c>
    </row>
    <row r="8" spans="1:26" ht="15.5" x14ac:dyDescent="0.35">
      <c r="A8" s="522">
        <f>FrontPage!$N$2</f>
        <v>1</v>
      </c>
      <c r="B8" s="303">
        <f t="shared" si="0"/>
        <v>202425</v>
      </c>
      <c r="C8" s="98" t="s">
        <v>1</v>
      </c>
      <c r="D8" s="285">
        <v>5</v>
      </c>
      <c r="E8" s="98">
        <v>1</v>
      </c>
      <c r="F8" s="286">
        <f t="shared" si="2"/>
        <v>0</v>
      </c>
      <c r="G8" s="287">
        <f t="shared" si="1"/>
        <v>0</v>
      </c>
      <c r="H8" s="288"/>
      <c r="I8" s="289">
        <v>0.71709999999999996</v>
      </c>
      <c r="J8" s="207">
        <f t="shared" si="3"/>
        <v>0</v>
      </c>
      <c r="L8" s="290">
        <v>6</v>
      </c>
      <c r="M8" s="291" t="s">
        <v>176</v>
      </c>
      <c r="O8">
        <v>202425</v>
      </c>
      <c r="P8">
        <v>512</v>
      </c>
      <c r="Q8" t="s">
        <v>1</v>
      </c>
      <c r="R8">
        <v>5</v>
      </c>
      <c r="S8">
        <v>1</v>
      </c>
      <c r="T8">
        <v>0</v>
      </c>
      <c r="U8" s="292"/>
      <c r="V8" s="288">
        <f t="shared" si="4"/>
        <v>0</v>
      </c>
      <c r="W8" s="288" t="e">
        <f t="shared" si="5"/>
        <v>#VALUE!</v>
      </c>
      <c r="X8" s="288">
        <f t="shared" si="6"/>
        <v>0</v>
      </c>
      <c r="Y8" s="288">
        <f t="shared" si="7"/>
        <v>0</v>
      </c>
      <c r="Z8" s="288">
        <f t="shared" si="8"/>
        <v>0</v>
      </c>
    </row>
    <row r="9" spans="1:26" ht="15.5" x14ac:dyDescent="0.35">
      <c r="A9" s="522">
        <f>FrontPage!$N$2</f>
        <v>1</v>
      </c>
      <c r="B9" s="303">
        <f t="shared" si="0"/>
        <v>202425</v>
      </c>
      <c r="C9" s="98" t="s">
        <v>1</v>
      </c>
      <c r="D9" s="285">
        <v>6</v>
      </c>
      <c r="E9" s="98">
        <v>1</v>
      </c>
      <c r="F9" s="286">
        <f t="shared" si="2"/>
        <v>0</v>
      </c>
      <c r="G9" s="287">
        <f t="shared" si="1"/>
        <v>0</v>
      </c>
      <c r="H9" s="288"/>
      <c r="I9" s="289">
        <v>0.89215</v>
      </c>
      <c r="J9" s="207">
        <f t="shared" si="3"/>
        <v>0</v>
      </c>
      <c r="L9" s="290">
        <v>7</v>
      </c>
      <c r="M9" s="291" t="s">
        <v>177</v>
      </c>
      <c r="O9">
        <v>202425</v>
      </c>
      <c r="P9">
        <v>512</v>
      </c>
      <c r="Q9" t="s">
        <v>1</v>
      </c>
      <c r="R9">
        <v>6</v>
      </c>
      <c r="S9">
        <v>1</v>
      </c>
      <c r="T9">
        <v>0</v>
      </c>
      <c r="U9" s="292"/>
      <c r="V9" s="288">
        <f t="shared" si="4"/>
        <v>0</v>
      </c>
      <c r="W9" s="288" t="e">
        <f t="shared" si="5"/>
        <v>#VALUE!</v>
      </c>
      <c r="X9" s="288">
        <f t="shared" si="6"/>
        <v>0</v>
      </c>
      <c r="Y9" s="288">
        <f t="shared" si="7"/>
        <v>0</v>
      </c>
      <c r="Z9" s="288">
        <f t="shared" si="8"/>
        <v>0</v>
      </c>
    </row>
    <row r="10" spans="1:26" ht="15.5" x14ac:dyDescent="0.35">
      <c r="A10" s="522">
        <f>FrontPage!$N$2</f>
        <v>1</v>
      </c>
      <c r="B10" s="303">
        <f t="shared" si="0"/>
        <v>202425</v>
      </c>
      <c r="C10" s="98" t="s">
        <v>1</v>
      </c>
      <c r="D10" s="285">
        <v>7</v>
      </c>
      <c r="E10" s="98">
        <v>1</v>
      </c>
      <c r="F10" s="286">
        <f t="shared" si="2"/>
        <v>0</v>
      </c>
      <c r="G10" s="293">
        <f t="shared" si="1"/>
        <v>0</v>
      </c>
      <c r="H10" s="288"/>
      <c r="I10" s="289">
        <v>0.11462</v>
      </c>
      <c r="J10" s="207">
        <f t="shared" si="3"/>
        <v>0</v>
      </c>
      <c r="L10" s="290">
        <v>8</v>
      </c>
      <c r="M10" s="291" t="s">
        <v>178</v>
      </c>
      <c r="O10">
        <v>202425</v>
      </c>
      <c r="P10">
        <v>512</v>
      </c>
      <c r="Q10" t="s">
        <v>1</v>
      </c>
      <c r="R10">
        <v>7</v>
      </c>
      <c r="S10">
        <v>1</v>
      </c>
      <c r="T10">
        <v>0</v>
      </c>
      <c r="U10" s="292"/>
      <c r="V10" s="288">
        <f t="shared" si="4"/>
        <v>0</v>
      </c>
      <c r="W10" s="288" t="e">
        <f t="shared" si="5"/>
        <v>#VALUE!</v>
      </c>
      <c r="X10" s="288">
        <f t="shared" si="6"/>
        <v>0</v>
      </c>
      <c r="Y10" s="288">
        <f t="shared" si="7"/>
        <v>0</v>
      </c>
      <c r="Z10" s="288">
        <f t="shared" si="8"/>
        <v>0</v>
      </c>
    </row>
    <row r="11" spans="1:26" ht="15.5" x14ac:dyDescent="0.35">
      <c r="A11" s="522">
        <f>FrontPage!$N$2</f>
        <v>1</v>
      </c>
      <c r="B11" s="303">
        <f t="shared" si="0"/>
        <v>202425</v>
      </c>
      <c r="C11" s="98" t="s">
        <v>1</v>
      </c>
      <c r="D11" s="285">
        <v>8</v>
      </c>
      <c r="E11" s="98">
        <v>1</v>
      </c>
      <c r="F11" s="286">
        <f t="shared" si="2"/>
        <v>0</v>
      </c>
      <c r="G11" s="287">
        <f t="shared" si="1"/>
        <v>0</v>
      </c>
      <c r="H11" s="288"/>
      <c r="I11" s="289">
        <v>0.55796999999999997</v>
      </c>
      <c r="J11" s="207">
        <f t="shared" si="3"/>
        <v>0</v>
      </c>
      <c r="L11" s="290">
        <v>9</v>
      </c>
      <c r="M11" s="291" t="s">
        <v>179</v>
      </c>
      <c r="O11">
        <v>202425</v>
      </c>
      <c r="P11">
        <v>512</v>
      </c>
      <c r="Q11" t="s">
        <v>1</v>
      </c>
      <c r="R11">
        <v>8</v>
      </c>
      <c r="S11">
        <v>1</v>
      </c>
      <c r="T11">
        <v>0</v>
      </c>
      <c r="U11" s="292"/>
      <c r="V11" s="288">
        <f t="shared" si="4"/>
        <v>0</v>
      </c>
      <c r="W11" s="288" t="e">
        <f t="shared" si="5"/>
        <v>#VALUE!</v>
      </c>
      <c r="X11" s="288">
        <f t="shared" si="6"/>
        <v>0</v>
      </c>
      <c r="Y11" s="288">
        <f t="shared" si="7"/>
        <v>0</v>
      </c>
      <c r="Z11" s="288">
        <f t="shared" si="8"/>
        <v>0</v>
      </c>
    </row>
    <row r="12" spans="1:26" ht="15.5" x14ac:dyDescent="0.35">
      <c r="A12" s="522">
        <f>FrontPage!$N$2</f>
        <v>1</v>
      </c>
      <c r="B12" s="303">
        <f t="shared" si="0"/>
        <v>202425</v>
      </c>
      <c r="C12" s="98" t="s">
        <v>1</v>
      </c>
      <c r="D12" s="285">
        <v>9</v>
      </c>
      <c r="E12" s="98">
        <v>1</v>
      </c>
      <c r="F12" s="286">
        <f t="shared" si="2"/>
        <v>0</v>
      </c>
      <c r="G12" s="287">
        <f t="shared" si="1"/>
        <v>0</v>
      </c>
      <c r="H12" s="288"/>
      <c r="I12" s="289">
        <v>6.5490000000000007E-2</v>
      </c>
      <c r="J12" s="207">
        <f t="shared" si="3"/>
        <v>0</v>
      </c>
      <c r="L12" s="290">
        <v>10</v>
      </c>
      <c r="M12" s="291" t="s">
        <v>180</v>
      </c>
      <c r="O12">
        <v>202425</v>
      </c>
      <c r="P12">
        <v>512</v>
      </c>
      <c r="Q12" t="s">
        <v>1</v>
      </c>
      <c r="R12">
        <v>9</v>
      </c>
      <c r="S12">
        <v>1</v>
      </c>
      <c r="T12">
        <v>0</v>
      </c>
      <c r="U12" s="292"/>
      <c r="V12" s="288">
        <f t="shared" si="4"/>
        <v>0</v>
      </c>
      <c r="W12" s="288" t="e">
        <f t="shared" si="5"/>
        <v>#VALUE!</v>
      </c>
      <c r="X12" s="288">
        <f t="shared" si="6"/>
        <v>0</v>
      </c>
      <c r="Y12" s="288">
        <f t="shared" si="7"/>
        <v>0</v>
      </c>
      <c r="Z12" s="288">
        <f t="shared" si="8"/>
        <v>0</v>
      </c>
    </row>
    <row r="13" spans="1:26" ht="15.5" x14ac:dyDescent="0.35">
      <c r="A13" s="522">
        <f>FrontPage!$N$2</f>
        <v>1</v>
      </c>
      <c r="B13" s="303">
        <f t="shared" si="0"/>
        <v>202425</v>
      </c>
      <c r="C13" s="98" t="s">
        <v>1</v>
      </c>
      <c r="D13" s="285">
        <v>10</v>
      </c>
      <c r="E13" s="98">
        <v>1</v>
      </c>
      <c r="F13" s="286">
        <f t="shared" si="2"/>
        <v>0</v>
      </c>
      <c r="G13" s="287">
        <f t="shared" si="1"/>
        <v>0</v>
      </c>
      <c r="H13" s="288"/>
      <c r="I13" s="289">
        <v>0.44879000000000002</v>
      </c>
      <c r="J13" s="207">
        <f t="shared" si="3"/>
        <v>0</v>
      </c>
      <c r="L13" s="290">
        <v>11</v>
      </c>
      <c r="M13" s="291" t="s">
        <v>181</v>
      </c>
      <c r="O13">
        <v>202425</v>
      </c>
      <c r="P13">
        <v>512</v>
      </c>
      <c r="Q13" t="s">
        <v>1</v>
      </c>
      <c r="R13">
        <v>10</v>
      </c>
      <c r="S13">
        <v>1</v>
      </c>
      <c r="T13">
        <v>0</v>
      </c>
      <c r="U13" s="292"/>
      <c r="V13" s="288">
        <f t="shared" si="4"/>
        <v>0</v>
      </c>
      <c r="W13" s="288" t="e">
        <f t="shared" si="5"/>
        <v>#VALUE!</v>
      </c>
      <c r="X13" s="288">
        <f t="shared" si="6"/>
        <v>0</v>
      </c>
      <c r="Y13" s="288">
        <f t="shared" si="7"/>
        <v>0</v>
      </c>
      <c r="Z13" s="288">
        <f t="shared" si="8"/>
        <v>0</v>
      </c>
    </row>
    <row r="14" spans="1:26" ht="15.5" x14ac:dyDescent="0.35">
      <c r="A14" s="522">
        <f>FrontPage!$N$2</f>
        <v>1</v>
      </c>
      <c r="B14" s="303">
        <f t="shared" si="0"/>
        <v>202425</v>
      </c>
      <c r="C14" s="98" t="s">
        <v>1</v>
      </c>
      <c r="D14" s="285">
        <v>11</v>
      </c>
      <c r="E14" s="98">
        <v>1</v>
      </c>
      <c r="F14" s="286">
        <f t="shared" si="2"/>
        <v>0</v>
      </c>
      <c r="G14" s="287">
        <f t="shared" si="1"/>
        <v>0</v>
      </c>
      <c r="H14" s="288"/>
      <c r="I14" s="289">
        <v>0.42997999999999997</v>
      </c>
      <c r="J14" s="207">
        <f t="shared" si="3"/>
        <v>0</v>
      </c>
      <c r="L14" s="290">
        <v>12</v>
      </c>
      <c r="M14" s="291" t="s">
        <v>182</v>
      </c>
      <c r="O14">
        <v>202425</v>
      </c>
      <c r="P14">
        <v>512</v>
      </c>
      <c r="Q14" t="s">
        <v>1</v>
      </c>
      <c r="R14">
        <v>11</v>
      </c>
      <c r="S14">
        <v>1</v>
      </c>
      <c r="T14">
        <v>0</v>
      </c>
      <c r="U14" s="292"/>
      <c r="V14" s="288">
        <f t="shared" si="4"/>
        <v>0</v>
      </c>
      <c r="W14" s="288" t="e">
        <f t="shared" si="5"/>
        <v>#VALUE!</v>
      </c>
      <c r="X14" s="288">
        <f t="shared" si="6"/>
        <v>0</v>
      </c>
      <c r="Y14" s="288">
        <f t="shared" si="7"/>
        <v>0</v>
      </c>
      <c r="Z14" s="288">
        <f t="shared" si="8"/>
        <v>0</v>
      </c>
    </row>
    <row r="15" spans="1:26" ht="15.5" x14ac:dyDescent="0.35">
      <c r="A15" s="522">
        <f>FrontPage!$N$2</f>
        <v>1</v>
      </c>
      <c r="B15" s="303">
        <f t="shared" si="0"/>
        <v>202425</v>
      </c>
      <c r="C15" s="98" t="s">
        <v>1</v>
      </c>
      <c r="D15" s="285">
        <v>12</v>
      </c>
      <c r="E15" s="98">
        <v>1</v>
      </c>
      <c r="F15" s="286">
        <f t="shared" si="2"/>
        <v>0</v>
      </c>
      <c r="G15" s="287">
        <f t="shared" si="1"/>
        <v>0</v>
      </c>
      <c r="H15" s="288"/>
      <c r="I15" s="289">
        <v>0.87517</v>
      </c>
      <c r="J15" s="207">
        <f t="shared" si="3"/>
        <v>0</v>
      </c>
      <c r="L15" s="290">
        <v>13</v>
      </c>
      <c r="M15" s="291" t="s">
        <v>183</v>
      </c>
      <c r="O15">
        <v>202425</v>
      </c>
      <c r="P15">
        <v>512</v>
      </c>
      <c r="Q15" t="s">
        <v>1</v>
      </c>
      <c r="R15">
        <v>12</v>
      </c>
      <c r="S15">
        <v>1</v>
      </c>
      <c r="T15">
        <v>0</v>
      </c>
      <c r="U15" s="292"/>
      <c r="V15" s="288">
        <f t="shared" si="4"/>
        <v>0</v>
      </c>
      <c r="W15" s="288" t="e">
        <f t="shared" si="5"/>
        <v>#VALUE!</v>
      </c>
      <c r="X15" s="288">
        <f t="shared" si="6"/>
        <v>0</v>
      </c>
      <c r="Y15" s="288">
        <f t="shared" si="7"/>
        <v>0</v>
      </c>
      <c r="Z15" s="288">
        <f t="shared" si="8"/>
        <v>0</v>
      </c>
    </row>
    <row r="16" spans="1:26" ht="15.5" x14ac:dyDescent="0.35">
      <c r="A16" s="522">
        <f>FrontPage!$N$2</f>
        <v>1</v>
      </c>
      <c r="B16" s="303">
        <f t="shared" si="0"/>
        <v>202425</v>
      </c>
      <c r="C16" s="98" t="s">
        <v>1</v>
      </c>
      <c r="D16" s="285">
        <v>15</v>
      </c>
      <c r="E16" s="98">
        <v>1</v>
      </c>
      <c r="F16" s="286">
        <f t="shared" si="2"/>
        <v>0</v>
      </c>
      <c r="G16" s="287">
        <f t="shared" si="1"/>
        <v>0</v>
      </c>
      <c r="H16" s="288"/>
      <c r="I16" s="289">
        <v>0.55191999999999997</v>
      </c>
      <c r="J16" s="207">
        <f t="shared" si="3"/>
        <v>0</v>
      </c>
      <c r="L16" s="290">
        <v>14</v>
      </c>
      <c r="M16" s="291" t="s">
        <v>184</v>
      </c>
      <c r="O16">
        <v>202425</v>
      </c>
      <c r="P16">
        <v>512</v>
      </c>
      <c r="Q16" t="s">
        <v>1</v>
      </c>
      <c r="R16">
        <v>15</v>
      </c>
      <c r="S16">
        <v>1</v>
      </c>
      <c r="T16">
        <v>0</v>
      </c>
      <c r="U16" s="292"/>
      <c r="V16" s="288">
        <f t="shared" si="4"/>
        <v>0</v>
      </c>
      <c r="W16" s="288" t="e">
        <f t="shared" si="5"/>
        <v>#VALUE!</v>
      </c>
      <c r="X16" s="288">
        <f t="shared" si="6"/>
        <v>0</v>
      </c>
      <c r="Y16" s="288">
        <f t="shared" si="7"/>
        <v>0</v>
      </c>
      <c r="Z16" s="288">
        <f t="shared" si="8"/>
        <v>0</v>
      </c>
    </row>
    <row r="17" spans="1:26" ht="15.5" x14ac:dyDescent="0.35">
      <c r="A17" s="522">
        <f>FrontPage!$N$2</f>
        <v>1</v>
      </c>
      <c r="B17" s="303">
        <f t="shared" si="0"/>
        <v>202425</v>
      </c>
      <c r="C17" s="98" t="s">
        <v>1</v>
      </c>
      <c r="D17" s="285">
        <v>16</v>
      </c>
      <c r="E17" s="98">
        <v>1</v>
      </c>
      <c r="F17" s="286">
        <f t="shared" si="2"/>
        <v>0</v>
      </c>
      <c r="G17" s="287">
        <f t="shared" si="1"/>
        <v>0</v>
      </c>
      <c r="H17" s="288"/>
      <c r="I17" s="289">
        <v>0.51602999999999999</v>
      </c>
      <c r="J17" s="207">
        <f t="shared" si="3"/>
        <v>0</v>
      </c>
      <c r="L17" s="290">
        <v>15</v>
      </c>
      <c r="M17" s="291" t="s">
        <v>185</v>
      </c>
      <c r="O17">
        <v>202425</v>
      </c>
      <c r="P17">
        <v>512</v>
      </c>
      <c r="Q17" t="s">
        <v>1</v>
      </c>
      <c r="R17">
        <v>16</v>
      </c>
      <c r="S17">
        <v>1</v>
      </c>
      <c r="T17">
        <v>0</v>
      </c>
      <c r="U17" s="292"/>
      <c r="V17" s="288">
        <f t="shared" si="4"/>
        <v>0</v>
      </c>
      <c r="W17" s="288" t="e">
        <f t="shared" si="5"/>
        <v>#VALUE!</v>
      </c>
      <c r="X17" s="288">
        <f t="shared" si="6"/>
        <v>0</v>
      </c>
      <c r="Y17" s="288">
        <f t="shared" si="7"/>
        <v>0</v>
      </c>
      <c r="Z17" s="288">
        <f t="shared" si="8"/>
        <v>0</v>
      </c>
    </row>
    <row r="18" spans="1:26" ht="15.5" x14ac:dyDescent="0.35">
      <c r="A18" s="522">
        <f>FrontPage!$N$2</f>
        <v>1</v>
      </c>
      <c r="B18" s="303">
        <f t="shared" si="0"/>
        <v>202425</v>
      </c>
      <c r="C18" s="98" t="s">
        <v>1</v>
      </c>
      <c r="D18" s="285">
        <v>17</v>
      </c>
      <c r="E18" s="98">
        <v>1</v>
      </c>
      <c r="F18" s="286">
        <f t="shared" si="2"/>
        <v>0</v>
      </c>
      <c r="G18" s="287">
        <f t="shared" si="1"/>
        <v>0</v>
      </c>
      <c r="H18" s="288"/>
      <c r="I18" s="289">
        <v>0.38324000000000003</v>
      </c>
      <c r="J18" s="207">
        <f t="shared" si="3"/>
        <v>0</v>
      </c>
      <c r="L18" s="290">
        <v>16</v>
      </c>
      <c r="M18" s="291" t="s">
        <v>186</v>
      </c>
      <c r="O18">
        <v>202425</v>
      </c>
      <c r="P18">
        <v>512</v>
      </c>
      <c r="Q18" t="s">
        <v>1</v>
      </c>
      <c r="R18">
        <v>17</v>
      </c>
      <c r="S18">
        <v>1</v>
      </c>
      <c r="T18">
        <v>0</v>
      </c>
      <c r="U18" s="292"/>
      <c r="V18" s="288">
        <f t="shared" si="4"/>
        <v>0</v>
      </c>
      <c r="W18" s="288" t="e">
        <f t="shared" si="5"/>
        <v>#VALUE!</v>
      </c>
      <c r="X18" s="288">
        <f t="shared" si="6"/>
        <v>0</v>
      </c>
      <c r="Y18" s="288">
        <f t="shared" si="7"/>
        <v>0</v>
      </c>
      <c r="Z18" s="288">
        <f t="shared" si="8"/>
        <v>0</v>
      </c>
    </row>
    <row r="19" spans="1:26" ht="15.5" x14ac:dyDescent="0.35">
      <c r="A19" s="522">
        <f>FrontPage!$N$2</f>
        <v>1</v>
      </c>
      <c r="B19" s="303">
        <f t="shared" si="0"/>
        <v>202425</v>
      </c>
      <c r="C19" s="98" t="s">
        <v>1</v>
      </c>
      <c r="D19" s="285">
        <v>19</v>
      </c>
      <c r="E19" s="98">
        <v>1</v>
      </c>
      <c r="F19" s="286">
        <f t="shared" si="2"/>
        <v>0</v>
      </c>
      <c r="G19" s="287">
        <f t="shared" si="1"/>
        <v>0</v>
      </c>
      <c r="H19" s="288"/>
      <c r="I19" s="289">
        <v>0.85262000000000004</v>
      </c>
      <c r="J19" s="207">
        <f t="shared" si="3"/>
        <v>0</v>
      </c>
      <c r="L19" s="290">
        <v>17</v>
      </c>
      <c r="M19" s="291" t="s">
        <v>187</v>
      </c>
      <c r="O19">
        <v>202425</v>
      </c>
      <c r="P19">
        <v>512</v>
      </c>
      <c r="Q19" t="s">
        <v>1</v>
      </c>
      <c r="R19">
        <v>19</v>
      </c>
      <c r="S19">
        <v>1</v>
      </c>
      <c r="T19">
        <v>0</v>
      </c>
      <c r="U19" s="292"/>
      <c r="V19" s="288">
        <f t="shared" si="4"/>
        <v>0</v>
      </c>
      <c r="W19" s="288" t="e">
        <f t="shared" si="5"/>
        <v>#VALUE!</v>
      </c>
      <c r="X19" s="288">
        <f t="shared" si="6"/>
        <v>0</v>
      </c>
      <c r="Y19" s="288">
        <f t="shared" si="7"/>
        <v>0</v>
      </c>
      <c r="Z19" s="288">
        <f t="shared" si="8"/>
        <v>0</v>
      </c>
    </row>
    <row r="20" spans="1:26" ht="15.5" x14ac:dyDescent="0.35">
      <c r="A20" s="522">
        <f>FrontPage!$N$2</f>
        <v>1</v>
      </c>
      <c r="B20" s="303">
        <f t="shared" si="0"/>
        <v>202425</v>
      </c>
      <c r="C20" s="98" t="s">
        <v>1</v>
      </c>
      <c r="D20" s="285">
        <v>22</v>
      </c>
      <c r="E20" s="98">
        <v>1</v>
      </c>
      <c r="F20" s="286">
        <f t="shared" si="2"/>
        <v>0</v>
      </c>
      <c r="G20" s="287">
        <f t="shared" si="1"/>
        <v>0</v>
      </c>
      <c r="H20" s="288"/>
      <c r="I20" s="289">
        <v>0.23651</v>
      </c>
      <c r="J20" s="207">
        <f>+G20*I20</f>
        <v>0</v>
      </c>
      <c r="L20" s="290">
        <v>18</v>
      </c>
      <c r="M20" s="291" t="s">
        <v>188</v>
      </c>
      <c r="O20">
        <v>202425</v>
      </c>
      <c r="P20">
        <v>512</v>
      </c>
      <c r="Q20" t="s">
        <v>1</v>
      </c>
      <c r="R20">
        <v>22</v>
      </c>
      <c r="S20">
        <v>1</v>
      </c>
      <c r="T20">
        <v>0</v>
      </c>
      <c r="U20" s="292"/>
      <c r="V20" s="288">
        <f t="shared" si="4"/>
        <v>0</v>
      </c>
      <c r="W20" s="288" t="e">
        <f t="shared" si="5"/>
        <v>#VALUE!</v>
      </c>
      <c r="X20" s="288">
        <f t="shared" si="6"/>
        <v>0</v>
      </c>
      <c r="Y20" s="288">
        <f t="shared" si="7"/>
        <v>0</v>
      </c>
      <c r="Z20" s="288">
        <f t="shared" si="8"/>
        <v>0</v>
      </c>
    </row>
    <row r="21" spans="1:26" ht="15.5" x14ac:dyDescent="0.35">
      <c r="A21" s="522">
        <f>FrontPage!$N$2</f>
        <v>1</v>
      </c>
      <c r="B21" s="304">
        <f t="shared" si="0"/>
        <v>202425</v>
      </c>
      <c r="C21" s="294" t="s">
        <v>1</v>
      </c>
      <c r="D21" s="295">
        <v>23</v>
      </c>
      <c r="E21" s="294">
        <v>1</v>
      </c>
      <c r="F21" s="296">
        <f t="shared" si="2"/>
        <v>0</v>
      </c>
      <c r="G21" s="297">
        <f t="shared" si="1"/>
        <v>0</v>
      </c>
      <c r="H21" s="288"/>
      <c r="I21" s="289">
        <v>0.40619</v>
      </c>
      <c r="J21" s="207">
        <f>+G21*I21</f>
        <v>0</v>
      </c>
      <c r="L21" s="290">
        <v>19</v>
      </c>
      <c r="M21" s="291" t="s">
        <v>189</v>
      </c>
      <c r="O21">
        <v>202425</v>
      </c>
      <c r="P21">
        <v>512</v>
      </c>
      <c r="Q21" t="s">
        <v>1</v>
      </c>
      <c r="R21">
        <v>23</v>
      </c>
      <c r="S21">
        <v>1</v>
      </c>
      <c r="T21">
        <v>0</v>
      </c>
      <c r="U21" s="298"/>
      <c r="V21" s="288">
        <f t="shared" si="4"/>
        <v>0</v>
      </c>
      <c r="W21" s="288" t="e">
        <f t="shared" si="5"/>
        <v>#VALUE!</v>
      </c>
      <c r="X21" s="288">
        <f t="shared" si="6"/>
        <v>0</v>
      </c>
      <c r="Y21" s="288">
        <f t="shared" si="7"/>
        <v>0</v>
      </c>
      <c r="Z21" s="288">
        <f t="shared" si="8"/>
        <v>0</v>
      </c>
    </row>
    <row r="22" spans="1:26" x14ac:dyDescent="0.25">
      <c r="L22" s="290">
        <v>20</v>
      </c>
      <c r="M22" s="291" t="s">
        <v>190</v>
      </c>
    </row>
    <row r="23" spans="1:26" x14ac:dyDescent="0.25">
      <c r="L23" s="290">
        <v>21</v>
      </c>
      <c r="M23" s="291" t="s">
        <v>191</v>
      </c>
    </row>
    <row r="24" spans="1:26" ht="13" x14ac:dyDescent="0.3">
      <c r="D24" s="288" t="str">
        <f>VLOOKUP(D4,BR,2,FALSE)</f>
        <v>Budget requirement (including community council precepts (Lines 15 + 17))</v>
      </c>
      <c r="F24" s="286"/>
      <c r="H24" s="288"/>
      <c r="L24" s="290">
        <v>22</v>
      </c>
      <c r="M24" s="291" t="s">
        <v>192</v>
      </c>
      <c r="O24" s="210"/>
    </row>
    <row r="25" spans="1:26" ht="13" x14ac:dyDescent="0.3">
      <c r="L25" s="290">
        <v>23</v>
      </c>
      <c r="M25" s="291" t="s">
        <v>15</v>
      </c>
      <c r="O25" s="210"/>
    </row>
    <row r="26" spans="1:26" ht="13" x14ac:dyDescent="0.3">
      <c r="L26" s="290">
        <v>24</v>
      </c>
      <c r="M26" s="291" t="s">
        <v>193</v>
      </c>
      <c r="U26" s="210"/>
    </row>
    <row r="27" spans="1:26" x14ac:dyDescent="0.25">
      <c r="L27" s="290">
        <v>25</v>
      </c>
      <c r="M27" s="291" t="s">
        <v>194</v>
      </c>
      <c r="U27" s="207"/>
    </row>
    <row r="28" spans="1:26" x14ac:dyDescent="0.25">
      <c r="I28" s="98" t="s">
        <v>270</v>
      </c>
      <c r="L28" s="290">
        <v>26</v>
      </c>
      <c r="M28" s="291" t="s">
        <v>195</v>
      </c>
      <c r="U28" s="207"/>
    </row>
    <row r="29" spans="1:26" x14ac:dyDescent="0.25">
      <c r="I29" s="98">
        <f>SUM(J4:J21)</f>
        <v>0</v>
      </c>
      <c r="L29" s="290">
        <v>27</v>
      </c>
      <c r="M29" s="291" t="s">
        <v>196</v>
      </c>
      <c r="U29" s="207"/>
    </row>
    <row r="30" spans="1:26" x14ac:dyDescent="0.25">
      <c r="I30" s="98" t="str">
        <f>FIXED((I29*10000000),0,1)</f>
        <v>0</v>
      </c>
      <c r="L30" s="290">
        <v>28</v>
      </c>
      <c r="M30" s="291" t="s">
        <v>197</v>
      </c>
      <c r="U30" s="207"/>
    </row>
    <row r="31" spans="1:26" x14ac:dyDescent="0.25">
      <c r="I31" s="98">
        <f>VALUE(LEFT(I30,2))</f>
        <v>0</v>
      </c>
      <c r="L31" s="290">
        <v>29</v>
      </c>
      <c r="M31" s="291" t="s">
        <v>198</v>
      </c>
      <c r="U31" s="207"/>
    </row>
    <row r="32" spans="1:26" x14ac:dyDescent="0.25">
      <c r="I32" s="98">
        <f>VALUE(RIGHT(LEFT(I30,4),2))</f>
        <v>0</v>
      </c>
      <c r="L32" s="290">
        <v>30</v>
      </c>
      <c r="M32" s="291" t="s">
        <v>199</v>
      </c>
      <c r="U32" s="207"/>
    </row>
    <row r="33" spans="9:21" x14ac:dyDescent="0.25">
      <c r="I33" s="98">
        <f>VALUE(RIGHT(LEFT(I30,6),2))</f>
        <v>0</v>
      </c>
      <c r="L33" s="290">
        <v>31</v>
      </c>
      <c r="M33" s="291" t="s">
        <v>200</v>
      </c>
      <c r="U33" s="207"/>
    </row>
    <row r="34" spans="9:21" x14ac:dyDescent="0.25">
      <c r="I34" s="98">
        <f>VALUE(RIGHT(LEFT(I30,8),2))</f>
        <v>0</v>
      </c>
      <c r="L34" s="290">
        <v>32</v>
      </c>
      <c r="M34" s="291" t="s">
        <v>201</v>
      </c>
      <c r="U34" s="207"/>
    </row>
    <row r="35" spans="9:21" x14ac:dyDescent="0.25">
      <c r="I35" s="98">
        <f>VALUE(RIGHT(LEFT(I30,10),2))</f>
        <v>0</v>
      </c>
      <c r="L35" s="290">
        <v>33</v>
      </c>
      <c r="M35" s="291" t="s">
        <v>202</v>
      </c>
      <c r="U35" s="207"/>
    </row>
    <row r="36" spans="9:21" x14ac:dyDescent="0.25">
      <c r="I36" s="98">
        <f>VALUE(RIGHT(LEFT(I30,12),2))</f>
        <v>0</v>
      </c>
      <c r="L36" s="290">
        <v>34</v>
      </c>
      <c r="M36" s="291" t="s">
        <v>203</v>
      </c>
      <c r="U36" s="207"/>
    </row>
    <row r="37" spans="9:21" x14ac:dyDescent="0.25">
      <c r="I37" s="98">
        <f>VALUE(RIGHT(LEFT(I30,14),2))</f>
        <v>0</v>
      </c>
      <c r="L37" s="290">
        <v>35</v>
      </c>
      <c r="M37" s="291" t="s">
        <v>204</v>
      </c>
      <c r="U37" s="207"/>
    </row>
    <row r="38" spans="9:21" x14ac:dyDescent="0.25">
      <c r="I38" s="98">
        <f>VALUE(RIGHT(LEFT(I30,16),2))</f>
        <v>0</v>
      </c>
      <c r="L38" s="290">
        <v>36</v>
      </c>
      <c r="M38" s="291" t="s">
        <v>205</v>
      </c>
      <c r="U38" s="207"/>
    </row>
    <row r="39" spans="9:21" x14ac:dyDescent="0.25">
      <c r="I39" s="98" t="str">
        <f>VLOOKUP(I31,Letter,2,FALSE)&amp;VLOOKUP(I32,Letter,2,FALSE)&amp;VLOOKUP(I33,Letter,2,FALSE)&amp;VLOOKUP(I34,Letter,2,FALSE)&amp;VLOOKUP(I35,Letter,2,FALSE)&amp;VLOOKUP(I36,Letter,2,FALSE)&amp;VLOOKUP(I37,Letter,2,FALSE)</f>
        <v>ZZZZZZZZZZZZZZ</v>
      </c>
      <c r="L39" s="290">
        <v>37</v>
      </c>
      <c r="M39" s="291" t="s">
        <v>206</v>
      </c>
      <c r="U39" s="207"/>
    </row>
    <row r="40" spans="9:21" x14ac:dyDescent="0.25">
      <c r="L40" s="290">
        <v>38</v>
      </c>
      <c r="M40" s="291" t="s">
        <v>207</v>
      </c>
      <c r="U40" s="207"/>
    </row>
    <row r="41" spans="9:21" x14ac:dyDescent="0.25">
      <c r="L41" s="290">
        <v>39</v>
      </c>
      <c r="M41" s="291" t="s">
        <v>208</v>
      </c>
      <c r="U41" s="207"/>
    </row>
    <row r="42" spans="9:21" x14ac:dyDescent="0.25">
      <c r="L42" s="290">
        <v>40</v>
      </c>
      <c r="M42" s="291" t="s">
        <v>209</v>
      </c>
      <c r="U42" s="207"/>
    </row>
    <row r="43" spans="9:21" x14ac:dyDescent="0.25">
      <c r="L43" s="290">
        <v>41</v>
      </c>
      <c r="M43" s="291" t="s">
        <v>210</v>
      </c>
      <c r="U43" s="207"/>
    </row>
    <row r="44" spans="9:21" x14ac:dyDescent="0.25">
      <c r="L44" s="290">
        <v>42</v>
      </c>
      <c r="M44" s="291" t="s">
        <v>211</v>
      </c>
      <c r="U44" s="207"/>
    </row>
    <row r="45" spans="9:21" x14ac:dyDescent="0.25">
      <c r="L45" s="290">
        <v>43</v>
      </c>
      <c r="M45" s="291" t="s">
        <v>212</v>
      </c>
    </row>
    <row r="46" spans="9:21" x14ac:dyDescent="0.25">
      <c r="L46" s="290">
        <v>44</v>
      </c>
      <c r="M46" s="291" t="s">
        <v>213</v>
      </c>
    </row>
    <row r="47" spans="9:21" x14ac:dyDescent="0.25">
      <c r="L47" s="290">
        <v>45</v>
      </c>
      <c r="M47" s="291" t="s">
        <v>214</v>
      </c>
    </row>
    <row r="48" spans="9:21" x14ac:dyDescent="0.25">
      <c r="L48" s="290">
        <v>46</v>
      </c>
      <c r="M48" s="291" t="s">
        <v>215</v>
      </c>
    </row>
    <row r="49" spans="12:13" x14ac:dyDescent="0.25">
      <c r="L49" s="290">
        <v>47</v>
      </c>
      <c r="M49" s="291" t="s">
        <v>216</v>
      </c>
    </row>
    <row r="50" spans="12:13" x14ac:dyDescent="0.25">
      <c r="L50" s="290">
        <v>48</v>
      </c>
      <c r="M50" s="291" t="s">
        <v>217</v>
      </c>
    </row>
    <row r="51" spans="12:13" x14ac:dyDescent="0.25">
      <c r="L51" s="290">
        <v>49</v>
      </c>
      <c r="M51" s="291" t="s">
        <v>218</v>
      </c>
    </row>
    <row r="52" spans="12:13" x14ac:dyDescent="0.25">
      <c r="L52" s="290">
        <v>50</v>
      </c>
      <c r="M52" s="291" t="s">
        <v>219</v>
      </c>
    </row>
    <row r="53" spans="12:13" x14ac:dyDescent="0.25">
      <c r="L53" s="290">
        <v>51</v>
      </c>
      <c r="M53" s="291" t="s">
        <v>220</v>
      </c>
    </row>
    <row r="54" spans="12:13" x14ac:dyDescent="0.25">
      <c r="L54" s="290">
        <v>52</v>
      </c>
      <c r="M54" s="291" t="s">
        <v>221</v>
      </c>
    </row>
    <row r="55" spans="12:13" x14ac:dyDescent="0.25">
      <c r="L55" s="290">
        <v>53</v>
      </c>
      <c r="M55" s="291" t="s">
        <v>222</v>
      </c>
    </row>
    <row r="56" spans="12:13" x14ac:dyDescent="0.25">
      <c r="L56" s="290">
        <v>54</v>
      </c>
      <c r="M56" s="291" t="s">
        <v>223</v>
      </c>
    </row>
    <row r="57" spans="12:13" x14ac:dyDescent="0.25">
      <c r="L57" s="290">
        <v>55</v>
      </c>
      <c r="M57" s="291" t="s">
        <v>224</v>
      </c>
    </row>
    <row r="58" spans="12:13" x14ac:dyDescent="0.25">
      <c r="L58" s="290">
        <v>56</v>
      </c>
      <c r="M58" s="291" t="s">
        <v>225</v>
      </c>
    </row>
    <row r="59" spans="12:13" x14ac:dyDescent="0.25">
      <c r="L59" s="290">
        <v>57</v>
      </c>
      <c r="M59" s="291" t="s">
        <v>226</v>
      </c>
    </row>
    <row r="60" spans="12:13" x14ac:dyDescent="0.25">
      <c r="L60" s="290">
        <v>58</v>
      </c>
      <c r="M60" s="291" t="s">
        <v>227</v>
      </c>
    </row>
    <row r="61" spans="12:13" x14ac:dyDescent="0.25">
      <c r="L61" s="290">
        <v>59</v>
      </c>
      <c r="M61" s="291" t="s">
        <v>228</v>
      </c>
    </row>
    <row r="62" spans="12:13" x14ac:dyDescent="0.25">
      <c r="L62" s="290">
        <v>60</v>
      </c>
      <c r="M62" s="291" t="s">
        <v>229</v>
      </c>
    </row>
    <row r="63" spans="12:13" x14ac:dyDescent="0.25">
      <c r="L63" s="290">
        <v>61</v>
      </c>
      <c r="M63" s="291" t="s">
        <v>230</v>
      </c>
    </row>
    <row r="64" spans="12:13" x14ac:dyDescent="0.25">
      <c r="L64" s="290">
        <v>62</v>
      </c>
      <c r="M64" s="291" t="s">
        <v>231</v>
      </c>
    </row>
    <row r="65" spans="12:13" x14ac:dyDescent="0.25">
      <c r="L65" s="290">
        <v>63</v>
      </c>
      <c r="M65" s="291" t="s">
        <v>232</v>
      </c>
    </row>
    <row r="66" spans="12:13" x14ac:dyDescent="0.25">
      <c r="L66" s="290">
        <v>64</v>
      </c>
      <c r="M66" s="291" t="s">
        <v>233</v>
      </c>
    </row>
    <row r="67" spans="12:13" x14ac:dyDescent="0.25">
      <c r="L67" s="290">
        <v>65</v>
      </c>
      <c r="M67" s="291" t="s">
        <v>234</v>
      </c>
    </row>
    <row r="68" spans="12:13" x14ac:dyDescent="0.25">
      <c r="L68" s="290">
        <v>66</v>
      </c>
      <c r="M68" s="291" t="s">
        <v>235</v>
      </c>
    </row>
    <row r="69" spans="12:13" x14ac:dyDescent="0.25">
      <c r="L69" s="290">
        <v>67</v>
      </c>
      <c r="M69" s="291" t="s">
        <v>236</v>
      </c>
    </row>
    <row r="70" spans="12:13" x14ac:dyDescent="0.25">
      <c r="L70" s="290">
        <v>68</v>
      </c>
      <c r="M70" s="291" t="s">
        <v>237</v>
      </c>
    </row>
    <row r="71" spans="12:13" x14ac:dyDescent="0.25">
      <c r="L71" s="290">
        <v>69</v>
      </c>
      <c r="M71" s="291" t="s">
        <v>238</v>
      </c>
    </row>
    <row r="72" spans="12:13" x14ac:dyDescent="0.25">
      <c r="L72" s="290">
        <v>70</v>
      </c>
      <c r="M72" s="291" t="s">
        <v>239</v>
      </c>
    </row>
    <row r="73" spans="12:13" x14ac:dyDescent="0.25">
      <c r="L73" s="290">
        <v>71</v>
      </c>
      <c r="M73" s="291" t="s">
        <v>240</v>
      </c>
    </row>
    <row r="74" spans="12:13" x14ac:dyDescent="0.25">
      <c r="L74" s="290">
        <v>72</v>
      </c>
      <c r="M74" s="291" t="s">
        <v>241</v>
      </c>
    </row>
    <row r="75" spans="12:13" x14ac:dyDescent="0.25">
      <c r="L75" s="290">
        <v>73</v>
      </c>
      <c r="M75" s="291" t="s">
        <v>242</v>
      </c>
    </row>
    <row r="76" spans="12:13" x14ac:dyDescent="0.25">
      <c r="L76" s="290">
        <v>74</v>
      </c>
      <c r="M76" s="291" t="s">
        <v>243</v>
      </c>
    </row>
    <row r="77" spans="12:13" x14ac:dyDescent="0.25">
      <c r="L77" s="290">
        <v>75</v>
      </c>
      <c r="M77" s="291" t="s">
        <v>244</v>
      </c>
    </row>
    <row r="78" spans="12:13" x14ac:dyDescent="0.25">
      <c r="L78" s="290">
        <v>76</v>
      </c>
      <c r="M78" s="291" t="s">
        <v>245</v>
      </c>
    </row>
    <row r="79" spans="12:13" x14ac:dyDescent="0.25">
      <c r="L79" s="290">
        <v>77</v>
      </c>
      <c r="M79" s="291" t="s">
        <v>246</v>
      </c>
    </row>
    <row r="80" spans="12:13" x14ac:dyDescent="0.25">
      <c r="L80" s="290">
        <v>78</v>
      </c>
      <c r="M80" s="291" t="s">
        <v>247</v>
      </c>
    </row>
    <row r="81" spans="12:13" x14ac:dyDescent="0.25">
      <c r="L81" s="290">
        <v>79</v>
      </c>
      <c r="M81" s="291" t="s">
        <v>248</v>
      </c>
    </row>
    <row r="82" spans="12:13" x14ac:dyDescent="0.25">
      <c r="L82" s="290">
        <v>80</v>
      </c>
      <c r="M82" s="291" t="s">
        <v>249</v>
      </c>
    </row>
    <row r="83" spans="12:13" x14ac:dyDescent="0.25">
      <c r="L83" s="290">
        <v>81</v>
      </c>
      <c r="M83" s="291" t="s">
        <v>250</v>
      </c>
    </row>
    <row r="84" spans="12:13" x14ac:dyDescent="0.25">
      <c r="L84" s="290">
        <v>82</v>
      </c>
      <c r="M84" s="291" t="s">
        <v>251</v>
      </c>
    </row>
    <row r="85" spans="12:13" x14ac:dyDescent="0.25">
      <c r="L85" s="290">
        <v>83</v>
      </c>
      <c r="M85" s="291" t="s">
        <v>252</v>
      </c>
    </row>
    <row r="86" spans="12:13" x14ac:dyDescent="0.25">
      <c r="L86" s="290">
        <v>84</v>
      </c>
      <c r="M86" s="291" t="s">
        <v>253</v>
      </c>
    </row>
    <row r="87" spans="12:13" x14ac:dyDescent="0.25">
      <c r="L87" s="290">
        <v>85</v>
      </c>
      <c r="M87" s="291" t="s">
        <v>254</v>
      </c>
    </row>
    <row r="88" spans="12:13" x14ac:dyDescent="0.25">
      <c r="L88" s="290">
        <v>86</v>
      </c>
      <c r="M88" s="291" t="s">
        <v>255</v>
      </c>
    </row>
    <row r="89" spans="12:13" x14ac:dyDescent="0.25">
      <c r="L89" s="290">
        <v>87</v>
      </c>
      <c r="M89" s="291" t="s">
        <v>256</v>
      </c>
    </row>
    <row r="90" spans="12:13" x14ac:dyDescent="0.25">
      <c r="L90" s="290">
        <v>88</v>
      </c>
      <c r="M90" s="291" t="s">
        <v>257</v>
      </c>
    </row>
    <row r="91" spans="12:13" x14ac:dyDescent="0.25">
      <c r="L91" s="290">
        <v>89</v>
      </c>
      <c r="M91" s="291" t="s">
        <v>258</v>
      </c>
    </row>
    <row r="92" spans="12:13" x14ac:dyDescent="0.25">
      <c r="L92" s="290">
        <v>90</v>
      </c>
      <c r="M92" s="291" t="s">
        <v>259</v>
      </c>
    </row>
    <row r="93" spans="12:13" x14ac:dyDescent="0.25">
      <c r="L93" s="290">
        <v>91</v>
      </c>
      <c r="M93" s="291" t="s">
        <v>260</v>
      </c>
    </row>
    <row r="94" spans="12:13" x14ac:dyDescent="0.25">
      <c r="L94" s="290">
        <v>92</v>
      </c>
      <c r="M94" s="291" t="s">
        <v>261</v>
      </c>
    </row>
    <row r="95" spans="12:13" x14ac:dyDescent="0.25">
      <c r="L95" s="290">
        <v>93</v>
      </c>
      <c r="M95" s="291" t="s">
        <v>262</v>
      </c>
    </row>
    <row r="96" spans="12:13" x14ac:dyDescent="0.25">
      <c r="L96" s="290">
        <v>94</v>
      </c>
      <c r="M96" s="291" t="s">
        <v>263</v>
      </c>
    </row>
    <row r="97" spans="12:13" x14ac:dyDescent="0.25">
      <c r="L97" s="290">
        <v>95</v>
      </c>
      <c r="M97" s="291" t="s">
        <v>264</v>
      </c>
    </row>
    <row r="98" spans="12:13" x14ac:dyDescent="0.25">
      <c r="L98" s="290">
        <v>96</v>
      </c>
      <c r="M98" s="291" t="s">
        <v>265</v>
      </c>
    </row>
    <row r="99" spans="12:13" x14ac:dyDescent="0.25">
      <c r="L99" s="290">
        <v>97</v>
      </c>
      <c r="M99" s="291" t="s">
        <v>266</v>
      </c>
    </row>
    <row r="100" spans="12:13" x14ac:dyDescent="0.25">
      <c r="L100" s="290">
        <v>98</v>
      </c>
      <c r="M100" s="291" t="s">
        <v>267</v>
      </c>
    </row>
    <row r="101" spans="12:13" x14ac:dyDescent="0.25">
      <c r="L101" s="290">
        <v>99</v>
      </c>
      <c r="M101" s="291" t="s">
        <v>268</v>
      </c>
    </row>
    <row r="102" spans="12:13" x14ac:dyDescent="0.25">
      <c r="L102" s="299">
        <v>0</v>
      </c>
      <c r="M102" s="300" t="s">
        <v>269</v>
      </c>
    </row>
  </sheetData>
  <sheetProtection sheet="1" objects="1" scenarios="1"/>
  <phoneticPr fontId="11" type="noConversion"/>
  <pageMargins left="0.75" right="0.75" top="1" bottom="1" header="0.5" footer="0.5"/>
  <pageSetup paperSize="9" orientation="portrait" r:id="rId1"/>
  <headerFooter alignWithMargins="0"/>
  <tableParts count="1">
    <tablePart r:id="rId2"/>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tabColor rgb="FF99FF99"/>
    <pageSetUpPr fitToPage="1"/>
  </sheetPr>
  <dimension ref="A1:AR63"/>
  <sheetViews>
    <sheetView topLeftCell="Y32" workbookViewId="0">
      <selection activeCell="R27" sqref="R27"/>
    </sheetView>
  </sheetViews>
  <sheetFormatPr defaultColWidth="8.84375" defaultRowHeight="15" customHeight="1" x14ac:dyDescent="0.2"/>
  <cols>
    <col min="1" max="1" width="7" style="3" bestFit="1" customWidth="1"/>
    <col min="2" max="2" width="5.69140625" style="3" bestFit="1" customWidth="1"/>
    <col min="3" max="5" width="23.4609375" style="3" customWidth="1"/>
    <col min="6" max="6" width="12.53515625" style="3" customWidth="1"/>
    <col min="7" max="7" width="23.4609375" style="3" customWidth="1"/>
    <col min="8" max="8" width="2.765625" style="3" customWidth="1"/>
    <col min="9" max="9" width="5.69140625" style="3" bestFit="1" customWidth="1"/>
    <col min="10" max="10" width="23.4609375" style="3" bestFit="1" customWidth="1"/>
    <col min="11" max="11" width="16" style="3" bestFit="1" customWidth="1"/>
    <col min="12" max="12" width="18.84375" style="2" bestFit="1" customWidth="1"/>
    <col min="13" max="14" width="11" style="3" bestFit="1" customWidth="1"/>
    <col min="15" max="15" width="11.84375" style="3" customWidth="1"/>
    <col min="16" max="16" width="11" style="3" bestFit="1" customWidth="1"/>
    <col min="17" max="17" width="12.3046875" style="3" bestFit="1" customWidth="1"/>
    <col min="18" max="18" width="10.07421875" style="3" customWidth="1"/>
    <col min="19" max="19" width="12" style="3" customWidth="1"/>
    <col min="20" max="20" width="27.84375" style="3" customWidth="1"/>
    <col min="21" max="21" width="2.765625" style="3" customWidth="1"/>
    <col min="22" max="22" width="6.07421875" style="3" customWidth="1"/>
    <col min="23" max="23" width="6" style="3" bestFit="1" customWidth="1"/>
    <col min="24" max="24" width="23.23046875" style="3" customWidth="1"/>
    <col min="25" max="25" width="11.23046875" style="3" customWidth="1"/>
    <col min="26" max="26" width="10.53515625" style="4" bestFit="1" customWidth="1"/>
    <col min="27" max="27" width="11.84375" style="4" bestFit="1" customWidth="1"/>
    <col min="28" max="28" width="11" style="4" bestFit="1" customWidth="1"/>
    <col min="29" max="29" width="10" style="6" customWidth="1"/>
    <col min="30" max="30" width="16.84375" style="3" bestFit="1" customWidth="1"/>
    <col min="31" max="31" width="9.69140625" style="3" bestFit="1" customWidth="1"/>
    <col min="32" max="32" width="11.53515625" style="3" customWidth="1"/>
    <col min="33" max="33" width="8.84375" style="3" bestFit="1" customWidth="1"/>
    <col min="34" max="34" width="10" style="3" customWidth="1"/>
    <col min="35" max="36" width="8.07421875" style="3" bestFit="1" customWidth="1"/>
    <col min="37" max="37" width="2.765625" style="3" customWidth="1"/>
    <col min="38" max="38" width="10" style="3" bestFit="1" customWidth="1"/>
    <col min="39" max="39" width="9.69140625" style="3" bestFit="1" customWidth="1"/>
    <col min="40" max="40" width="8.07421875" style="3" bestFit="1" customWidth="1"/>
    <col min="41" max="41" width="2.765625" style="3" customWidth="1"/>
    <col min="42" max="42" width="11.3046875" style="3" bestFit="1" customWidth="1"/>
    <col min="43" max="43" width="9.53515625" style="3" bestFit="1" customWidth="1"/>
    <col min="44" max="44" width="8.07421875" style="3" bestFit="1" customWidth="1"/>
    <col min="45" max="16384" width="8.84375" style="3"/>
  </cols>
  <sheetData>
    <row r="1" spans="1:44" ht="15" customHeight="1" x14ac:dyDescent="0.35">
      <c r="V1" s="643" t="s">
        <v>89</v>
      </c>
      <c r="W1" s="644"/>
      <c r="X1" s="644"/>
      <c r="Y1" s="644"/>
      <c r="Z1" s="644"/>
      <c r="AA1" s="645"/>
      <c r="AB1"/>
      <c r="AC1" s="338" t="s">
        <v>2994</v>
      </c>
      <c r="AI1" s="324" t="s">
        <v>3344</v>
      </c>
      <c r="AJ1" s="302">
        <f>Year</f>
        <v>202425</v>
      </c>
      <c r="AL1" s="13"/>
      <c r="AM1" s="13"/>
    </row>
    <row r="2" spans="1:44" ht="20.5" thickBot="1" x14ac:dyDescent="0.45">
      <c r="C2" s="131" t="s">
        <v>290</v>
      </c>
      <c r="D2" s="5" t="s">
        <v>2937</v>
      </c>
      <c r="E2" s="65" t="s">
        <v>2935</v>
      </c>
      <c r="F2" s="66"/>
      <c r="G2" s="18" t="s">
        <v>2938</v>
      </c>
      <c r="I2" s="337" t="s">
        <v>284</v>
      </c>
      <c r="J2" s="312" t="s">
        <v>3402</v>
      </c>
      <c r="K2" s="308"/>
      <c r="M2" s="130" t="s">
        <v>299</v>
      </c>
      <c r="N2" s="17"/>
      <c r="O2" s="341"/>
      <c r="T2" s="178" t="s">
        <v>3031</v>
      </c>
      <c r="V2" s="434" t="s">
        <v>3310</v>
      </c>
      <c r="W2" s="435"/>
      <c r="X2" s="435"/>
      <c r="Y2" s="436"/>
      <c r="Z2" s="436"/>
      <c r="AA2" s="433" t="s">
        <v>3311</v>
      </c>
      <c r="AB2"/>
      <c r="AC2" s="339" t="s">
        <v>3349</v>
      </c>
      <c r="AD2" s="14"/>
      <c r="AE2" s="14"/>
      <c r="AF2" s="337" t="s">
        <v>284</v>
      </c>
      <c r="AG2" s="14"/>
      <c r="AH2" s="340" t="s">
        <v>3345</v>
      </c>
      <c r="AI2" s="14"/>
      <c r="AJ2" s="337" t="s">
        <v>284</v>
      </c>
      <c r="AK2" s="463" t="s">
        <v>3347</v>
      </c>
      <c r="AL2" s="355"/>
      <c r="AN2" s="337" t="s">
        <v>284</v>
      </c>
      <c r="AO2" s="14"/>
      <c r="AP2" s="340" t="s">
        <v>3346</v>
      </c>
      <c r="AQ2" s="14"/>
      <c r="AR2" s="337" t="s">
        <v>284</v>
      </c>
    </row>
    <row r="3" spans="1:44" ht="16" thickBot="1" x14ac:dyDescent="0.4">
      <c r="C3" s="68">
        <f>VLOOKUP(FrontPage!$F$12,Authority,2,FALSE)</f>
        <v>0</v>
      </c>
      <c r="D3" s="68">
        <f>FrontPage!F12</f>
        <v>1</v>
      </c>
      <c r="E3" s="67" t="s">
        <v>3139</v>
      </c>
      <c r="F3" s="65" t="s">
        <v>3012</v>
      </c>
      <c r="G3" s="68">
        <f>FrontPage!$E$7</f>
        <v>2</v>
      </c>
      <c r="T3" s="496" t="s">
        <v>3032</v>
      </c>
      <c r="AA3" s="3"/>
      <c r="AB3"/>
      <c r="AC3" s="476"/>
      <c r="AD3" s="98"/>
      <c r="AE3" s="98"/>
      <c r="AF3" s="98"/>
      <c r="AG3" s="98"/>
      <c r="AH3" s="98"/>
      <c r="AI3" s="98"/>
      <c r="AJ3" s="98"/>
      <c r="AK3" s="98"/>
      <c r="AL3" s="98"/>
      <c r="AM3" s="98"/>
      <c r="AN3" s="98"/>
      <c r="AO3" s="98"/>
      <c r="AP3" s="98"/>
      <c r="AQ3" s="98"/>
      <c r="AR3" s="291"/>
    </row>
    <row r="4" spans="1:44" ht="16" customHeight="1" thickBot="1" x14ac:dyDescent="0.4">
      <c r="C4" s="5" t="s">
        <v>2945</v>
      </c>
      <c r="E4" s="67" t="s">
        <v>2936</v>
      </c>
      <c r="F4" s="65" t="s">
        <v>3011</v>
      </c>
      <c r="G4" s="5" t="s">
        <v>2944</v>
      </c>
      <c r="I4" s="309" t="s">
        <v>3215</v>
      </c>
      <c r="J4" s="310"/>
      <c r="K4" s="311" t="s">
        <v>3216</v>
      </c>
      <c r="T4" s="497" t="s">
        <v>3033</v>
      </c>
      <c r="Y4" s="354" t="s">
        <v>283</v>
      </c>
      <c r="AA4" s="354" t="s">
        <v>300</v>
      </c>
      <c r="AB4"/>
      <c r="AC4" s="659" t="s">
        <v>3353</v>
      </c>
      <c r="AD4" s="648"/>
      <c r="AE4" s="648"/>
      <c r="AF4" s="648"/>
      <c r="AG4" s="98"/>
      <c r="AH4" s="648" t="s">
        <v>3352</v>
      </c>
      <c r="AI4" s="648"/>
      <c r="AJ4" s="648"/>
      <c r="AK4" s="98"/>
      <c r="AL4" s="654" t="s">
        <v>3351</v>
      </c>
      <c r="AM4" s="654"/>
      <c r="AN4" s="654"/>
      <c r="AO4" s="98"/>
      <c r="AP4" s="648" t="s">
        <v>3350</v>
      </c>
      <c r="AQ4" s="648"/>
      <c r="AR4" s="652"/>
    </row>
    <row r="5" spans="1:44" ht="16" thickBot="1" x14ac:dyDescent="0.4">
      <c r="C5" s="646" t="str">
        <f>IF(D3=0,"",VLOOKUP(D3,Authority,5,FALSE))</f>
        <v>Please select your authority on the FrontPage</v>
      </c>
      <c r="D5" s="647"/>
      <c r="F5" s="174" t="str">
        <f>IF(G3=1,F3,F4)</f>
        <v>March</v>
      </c>
      <c r="G5" s="175" t="str">
        <f>14&amp;" "&amp;$F$5&amp;" "&amp;LEFT(Year,4)</f>
        <v>14 March 2024</v>
      </c>
      <c r="T5" s="498" t="s">
        <v>3034</v>
      </c>
      <c r="V5" s="494">
        <v>1</v>
      </c>
      <c r="W5" s="494">
        <v>2</v>
      </c>
      <c r="X5" s="494">
        <v>3</v>
      </c>
      <c r="Y5" s="495">
        <v>4</v>
      </c>
      <c r="Z5" s="495">
        <v>5</v>
      </c>
      <c r="AA5" s="495">
        <v>6</v>
      </c>
      <c r="AB5"/>
      <c r="AC5" s="660"/>
      <c r="AD5" s="649"/>
      <c r="AE5" s="649"/>
      <c r="AF5" s="649"/>
      <c r="AG5" s="98"/>
      <c r="AH5" s="649"/>
      <c r="AI5" s="649"/>
      <c r="AJ5" s="649"/>
      <c r="AK5" s="98"/>
      <c r="AL5" s="655"/>
      <c r="AM5" s="655"/>
      <c r="AN5" s="655"/>
      <c r="AO5" s="98"/>
      <c r="AP5" s="649"/>
      <c r="AQ5" s="649"/>
      <c r="AR5" s="653"/>
    </row>
    <row r="6" spans="1:44" ht="16" thickBot="1" x14ac:dyDescent="0.4">
      <c r="A6" s="305" t="s">
        <v>289</v>
      </c>
      <c r="B6" s="306"/>
      <c r="C6" s="8" t="s">
        <v>3403</v>
      </c>
      <c r="F6" s="176" t="s">
        <v>3028</v>
      </c>
      <c r="G6" s="176" t="s">
        <v>3125</v>
      </c>
      <c r="I6" s="499" t="s">
        <v>291</v>
      </c>
      <c r="K6" s="308" t="s">
        <v>11</v>
      </c>
      <c r="L6" s="3"/>
      <c r="V6" s="467" t="s">
        <v>89</v>
      </c>
      <c r="W6" s="468"/>
      <c r="X6" s="468"/>
      <c r="Y6" s="349"/>
      <c r="Z6" s="349"/>
      <c r="AA6" s="350"/>
      <c r="AB6" s="3"/>
      <c r="AC6" s="536" t="s">
        <v>123</v>
      </c>
      <c r="AD6" s="537"/>
      <c r="AE6" s="538" t="s">
        <v>115</v>
      </c>
      <c r="AF6" s="539" t="s">
        <v>108</v>
      </c>
      <c r="AG6" s="98"/>
      <c r="AH6" s="477" t="s">
        <v>123</v>
      </c>
      <c r="AI6" s="505" t="s">
        <v>115</v>
      </c>
      <c r="AJ6" s="506" t="s">
        <v>108</v>
      </c>
      <c r="AK6" s="98"/>
      <c r="AL6" s="477" t="s">
        <v>123</v>
      </c>
      <c r="AM6" s="510" t="s">
        <v>115</v>
      </c>
      <c r="AN6" s="514" t="s">
        <v>108</v>
      </c>
      <c r="AO6" s="98"/>
      <c r="AP6" s="477" t="s">
        <v>123</v>
      </c>
      <c r="AQ6" s="505" t="s">
        <v>115</v>
      </c>
      <c r="AR6" s="506" t="s">
        <v>108</v>
      </c>
    </row>
    <row r="7" spans="1:44" ht="16" thickBot="1" x14ac:dyDescent="0.4">
      <c r="A7" s="69" t="s">
        <v>12</v>
      </c>
      <c r="B7" s="70" t="s">
        <v>0</v>
      </c>
      <c r="C7" s="70" t="s">
        <v>13</v>
      </c>
      <c r="D7" s="70" t="s">
        <v>2912</v>
      </c>
      <c r="E7" s="71" t="s">
        <v>2942</v>
      </c>
      <c r="F7" s="5"/>
      <c r="G7" s="177" t="str">
        <f>IF(G3=1,F6,G6)</f>
        <v>LGFS.Transfer@gov.wales</v>
      </c>
      <c r="I7" s="19">
        <v>1</v>
      </c>
      <c r="J7" s="19">
        <v>2</v>
      </c>
      <c r="K7" s="19">
        <v>3</v>
      </c>
      <c r="L7" s="20">
        <v>4</v>
      </c>
      <c r="M7" s="20">
        <v>5</v>
      </c>
      <c r="N7" s="20">
        <v>6</v>
      </c>
      <c r="O7" s="19">
        <v>7</v>
      </c>
      <c r="P7" s="19">
        <v>8</v>
      </c>
      <c r="Q7" s="19">
        <v>9</v>
      </c>
      <c r="R7" s="20">
        <v>10</v>
      </c>
      <c r="S7" s="20">
        <v>11</v>
      </c>
      <c r="T7" s="20">
        <v>12</v>
      </c>
      <c r="V7" s="290"/>
      <c r="W7" s="98"/>
      <c r="X7" s="98"/>
      <c r="Y7" s="432">
        <f>Year</f>
        <v>202425</v>
      </c>
      <c r="Z7" s="431">
        <f>Year</f>
        <v>202425</v>
      </c>
      <c r="AA7" s="307">
        <f>Year</f>
        <v>202425</v>
      </c>
      <c r="AB7" s="3"/>
      <c r="AC7" s="540"/>
      <c r="AD7" s="541"/>
      <c r="AE7" s="542">
        <v>202425</v>
      </c>
      <c r="AF7" s="543"/>
      <c r="AG7" s="98"/>
      <c r="AH7" s="478"/>
      <c r="AI7" s="477">
        <v>202425</v>
      </c>
      <c r="AJ7" s="507"/>
      <c r="AK7" s="98"/>
      <c r="AL7" s="479"/>
      <c r="AM7" s="480">
        <v>202425</v>
      </c>
      <c r="AN7" s="507"/>
      <c r="AO7" s="98"/>
      <c r="AP7" s="478"/>
      <c r="AQ7" s="477">
        <v>202425</v>
      </c>
      <c r="AR7" s="507"/>
    </row>
    <row r="8" spans="1:44" ht="52" x14ac:dyDescent="0.3">
      <c r="A8" s="72">
        <v>1</v>
      </c>
      <c r="B8" s="73">
        <v>0</v>
      </c>
      <c r="C8" s="73" t="s">
        <v>3015</v>
      </c>
      <c r="D8" s="73" t="s">
        <v>1409</v>
      </c>
      <c r="E8" s="74" t="str">
        <f t="shared" ref="E8:E30" si="0">IF($G$3=1,D8,C8)</f>
        <v>Please select your authority on the FrontPage</v>
      </c>
      <c r="I8" s="504" t="s">
        <v>0</v>
      </c>
      <c r="J8" s="517" t="s">
        <v>137</v>
      </c>
      <c r="K8" s="517" t="s">
        <v>138</v>
      </c>
      <c r="L8" s="518" t="s">
        <v>133</v>
      </c>
      <c r="M8" s="517" t="s">
        <v>134</v>
      </c>
      <c r="N8" s="517" t="s">
        <v>135</v>
      </c>
      <c r="O8" s="517" t="s">
        <v>136</v>
      </c>
      <c r="P8" s="517" t="s">
        <v>139</v>
      </c>
      <c r="Q8" s="517" t="s">
        <v>147</v>
      </c>
      <c r="R8" s="517" t="s">
        <v>149</v>
      </c>
      <c r="S8" s="517" t="s">
        <v>150</v>
      </c>
      <c r="T8" s="519" t="s">
        <v>148</v>
      </c>
      <c r="U8" s="5"/>
      <c r="V8" s="469" t="s">
        <v>0</v>
      </c>
      <c r="W8" s="470" t="s">
        <v>282</v>
      </c>
      <c r="X8" s="471" t="s">
        <v>13</v>
      </c>
      <c r="Y8" s="464" t="s">
        <v>85</v>
      </c>
      <c r="Z8" s="464" t="s">
        <v>84</v>
      </c>
      <c r="AA8" s="465" t="s">
        <v>86</v>
      </c>
      <c r="AB8" s="348"/>
      <c r="AC8" s="544" t="s">
        <v>114</v>
      </c>
      <c r="AD8" s="545" t="s">
        <v>124</v>
      </c>
      <c r="AE8" s="542">
        <v>26</v>
      </c>
      <c r="AF8" s="543"/>
      <c r="AG8" s="98"/>
      <c r="AH8" s="481" t="s">
        <v>114</v>
      </c>
      <c r="AI8" s="482">
        <v>23</v>
      </c>
      <c r="AJ8" s="507"/>
      <c r="AK8" s="98"/>
      <c r="AL8" s="483" t="s">
        <v>114</v>
      </c>
      <c r="AM8" s="484">
        <v>22</v>
      </c>
      <c r="AN8" s="507"/>
      <c r="AO8" s="98"/>
      <c r="AP8" s="481" t="s">
        <v>114</v>
      </c>
      <c r="AQ8" s="482">
        <v>25</v>
      </c>
      <c r="AR8" s="507"/>
    </row>
    <row r="9" spans="1:44" ht="12.5" x14ac:dyDescent="0.25">
      <c r="A9" s="72">
        <v>2</v>
      </c>
      <c r="B9" s="73">
        <v>512</v>
      </c>
      <c r="C9" s="73" t="s">
        <v>2933</v>
      </c>
      <c r="D9" s="73" t="s">
        <v>10</v>
      </c>
      <c r="E9" s="74" t="str">
        <f t="shared" si="0"/>
        <v>Isle of Anglesey County Council</v>
      </c>
      <c r="I9" s="343">
        <v>512</v>
      </c>
      <c r="J9" s="520" t="s">
        <v>10</v>
      </c>
      <c r="K9" s="520" t="s">
        <v>2939</v>
      </c>
      <c r="L9" s="521" t="s">
        <v>140</v>
      </c>
      <c r="M9" s="520" t="s">
        <v>16</v>
      </c>
      <c r="N9" s="520" t="s">
        <v>164</v>
      </c>
      <c r="O9" s="520" t="s">
        <v>3354</v>
      </c>
      <c r="P9" s="520" t="s">
        <v>17</v>
      </c>
      <c r="Q9" s="520" t="s">
        <v>3217</v>
      </c>
      <c r="R9" s="520" t="s">
        <v>3355</v>
      </c>
      <c r="S9" s="520" t="s">
        <v>3356</v>
      </c>
      <c r="T9" s="179" t="s">
        <v>3218</v>
      </c>
      <c r="V9" s="474">
        <v>512</v>
      </c>
      <c r="W9" s="475" t="s">
        <v>15</v>
      </c>
      <c r="X9" s="475" t="s">
        <v>10</v>
      </c>
      <c r="Y9" s="472">
        <f t="shared" ref="Y9:Y30" si="1">SUM(Y39:Z39)</f>
        <v>102244766</v>
      </c>
      <c r="Z9" s="472">
        <f t="shared" ref="Z9:Z30" si="2">AA39</f>
        <v>25341304</v>
      </c>
      <c r="AA9" s="466">
        <f t="shared" ref="AA9:AA30" si="3">VLOOKUP(V9,CT1_TaxBase_Pivot,3)</f>
        <v>33170.034722222219</v>
      </c>
      <c r="AB9" s="348"/>
      <c r="AC9" s="546">
        <v>512</v>
      </c>
      <c r="AD9" s="538" t="s">
        <v>125</v>
      </c>
      <c r="AE9" s="547">
        <v>33170.034722222219</v>
      </c>
      <c r="AF9" s="548"/>
      <c r="AG9" s="98"/>
      <c r="AH9" s="486">
        <v>512</v>
      </c>
      <c r="AI9" s="487">
        <v>98.5</v>
      </c>
      <c r="AJ9" s="508"/>
      <c r="AK9" s="98"/>
      <c r="AL9" s="488">
        <v>512</v>
      </c>
      <c r="AM9" s="515">
        <v>33544.055555555555</v>
      </c>
      <c r="AN9" s="508"/>
      <c r="AO9" s="98"/>
      <c r="AP9" s="485">
        <v>512</v>
      </c>
      <c r="AQ9" s="506">
        <v>129.13999999999999</v>
      </c>
      <c r="AR9" s="508"/>
    </row>
    <row r="10" spans="1:44" s="2" customFormat="1" ht="12.5" x14ac:dyDescent="0.25">
      <c r="A10" s="72">
        <v>3</v>
      </c>
      <c r="B10" s="73">
        <v>514</v>
      </c>
      <c r="C10" s="73" t="s">
        <v>2934</v>
      </c>
      <c r="D10" s="73" t="s">
        <v>18</v>
      </c>
      <c r="E10" s="74" t="str">
        <f t="shared" si="0"/>
        <v>Gwynedd Council</v>
      </c>
      <c r="F10" s="3"/>
      <c r="G10" s="3"/>
      <c r="I10" s="343">
        <v>514</v>
      </c>
      <c r="J10" s="520" t="s">
        <v>18</v>
      </c>
      <c r="K10" s="520" t="s">
        <v>3318</v>
      </c>
      <c r="L10" s="521" t="s">
        <v>104</v>
      </c>
      <c r="M10" s="520" t="s">
        <v>141</v>
      </c>
      <c r="N10" s="520" t="s">
        <v>19</v>
      </c>
      <c r="O10" s="520" t="s">
        <v>20</v>
      </c>
      <c r="P10" s="520" t="s">
        <v>21</v>
      </c>
      <c r="Q10" s="520" t="s">
        <v>3357</v>
      </c>
      <c r="R10" s="520" t="s">
        <v>3358</v>
      </c>
      <c r="S10" s="520" t="s">
        <v>3359</v>
      </c>
      <c r="T10" s="179" t="s">
        <v>3360</v>
      </c>
      <c r="V10" s="474">
        <v>514</v>
      </c>
      <c r="W10" s="475" t="s">
        <v>15</v>
      </c>
      <c r="X10" s="475" t="s">
        <v>18</v>
      </c>
      <c r="Y10" s="472">
        <f t="shared" si="1"/>
        <v>189952326</v>
      </c>
      <c r="Z10" s="472">
        <f t="shared" si="2"/>
        <v>43364454</v>
      </c>
      <c r="AA10" s="466">
        <f t="shared" si="3"/>
        <v>56109.267160000003</v>
      </c>
      <c r="AB10" s="348"/>
      <c r="AC10" s="549">
        <v>514</v>
      </c>
      <c r="AD10" s="538" t="s">
        <v>20</v>
      </c>
      <c r="AE10" s="550">
        <v>56109.267160000003</v>
      </c>
      <c r="AF10" s="551"/>
      <c r="AG10" s="98"/>
      <c r="AH10" s="489">
        <v>514</v>
      </c>
      <c r="AI10" s="490">
        <v>99</v>
      </c>
      <c r="AJ10" s="509"/>
      <c r="AK10" s="98"/>
      <c r="AL10" s="488">
        <v>514</v>
      </c>
      <c r="AM10" s="515">
        <v>56675.128444444446</v>
      </c>
      <c r="AN10" s="509"/>
      <c r="AO10" s="98"/>
      <c r="AP10" s="488">
        <v>514</v>
      </c>
      <c r="AQ10" s="512">
        <v>0.89</v>
      </c>
      <c r="AR10" s="509"/>
    </row>
    <row r="11" spans="1:44" s="2" customFormat="1" ht="12.5" x14ac:dyDescent="0.25">
      <c r="A11" s="72">
        <v>4</v>
      </c>
      <c r="B11" s="73">
        <v>516</v>
      </c>
      <c r="C11" s="73" t="s">
        <v>22</v>
      </c>
      <c r="D11" s="73" t="s">
        <v>2913</v>
      </c>
      <c r="E11" s="74" t="str">
        <f t="shared" si="0"/>
        <v>Conwy County Borough Council</v>
      </c>
      <c r="F11" s="3"/>
      <c r="G11" s="3"/>
      <c r="I11" s="343">
        <v>516</v>
      </c>
      <c r="J11" s="520" t="s">
        <v>22</v>
      </c>
      <c r="K11" s="520" t="s">
        <v>3319</v>
      </c>
      <c r="L11" s="521" t="s">
        <v>92</v>
      </c>
      <c r="M11" s="520" t="s">
        <v>93</v>
      </c>
      <c r="N11" s="520" t="s">
        <v>24</v>
      </c>
      <c r="O11" s="520" t="s">
        <v>3354</v>
      </c>
      <c r="P11" s="520" t="s">
        <v>25</v>
      </c>
      <c r="Q11" s="520" t="s">
        <v>3219</v>
      </c>
      <c r="R11" s="520" t="s">
        <v>3361</v>
      </c>
      <c r="S11" s="520" t="s">
        <v>3362</v>
      </c>
      <c r="T11" s="179" t="s">
        <v>3220</v>
      </c>
      <c r="V11" s="474">
        <v>516</v>
      </c>
      <c r="W11" s="475" t="s">
        <v>23</v>
      </c>
      <c r="X11" s="475" t="s">
        <v>22</v>
      </c>
      <c r="Y11" s="472">
        <f t="shared" si="1"/>
        <v>161068435</v>
      </c>
      <c r="Z11" s="472">
        <f t="shared" si="2"/>
        <v>42457612</v>
      </c>
      <c r="AA11" s="466">
        <f t="shared" si="3"/>
        <v>52442.549444444448</v>
      </c>
      <c r="AB11" s="348"/>
      <c r="AC11" s="549">
        <v>516</v>
      </c>
      <c r="AD11" s="538" t="s">
        <v>24</v>
      </c>
      <c r="AE11" s="550">
        <v>52442.549444444448</v>
      </c>
      <c r="AF11" s="551"/>
      <c r="AG11" s="98"/>
      <c r="AH11" s="489">
        <v>516</v>
      </c>
      <c r="AI11" s="490">
        <v>98</v>
      </c>
      <c r="AJ11" s="509"/>
      <c r="AK11" s="98"/>
      <c r="AL11" s="488">
        <v>516</v>
      </c>
      <c r="AM11" s="515">
        <v>53512.805555555562</v>
      </c>
      <c r="AN11" s="509"/>
      <c r="AO11" s="98"/>
      <c r="AP11" s="488">
        <v>516</v>
      </c>
      <c r="AQ11" s="512">
        <v>0</v>
      </c>
      <c r="AR11" s="509"/>
    </row>
    <row r="12" spans="1:44" s="2" customFormat="1" ht="12.5" x14ac:dyDescent="0.25">
      <c r="A12" s="72">
        <v>5</v>
      </c>
      <c r="B12" s="73">
        <v>518</v>
      </c>
      <c r="C12" s="73" t="s">
        <v>26</v>
      </c>
      <c r="D12" s="73" t="s">
        <v>2914</v>
      </c>
      <c r="E12" s="74" t="str">
        <f t="shared" si="0"/>
        <v>Denbighshire County Council</v>
      </c>
      <c r="F12" s="3"/>
      <c r="G12" s="3"/>
      <c r="I12" s="343">
        <v>518</v>
      </c>
      <c r="J12" s="520" t="s">
        <v>26</v>
      </c>
      <c r="K12" s="520" t="s">
        <v>3282</v>
      </c>
      <c r="L12" s="521" t="s">
        <v>29</v>
      </c>
      <c r="M12" s="520" t="s">
        <v>94</v>
      </c>
      <c r="N12" s="520" t="s">
        <v>95</v>
      </c>
      <c r="O12" s="520" t="s">
        <v>27</v>
      </c>
      <c r="P12" s="520" t="s">
        <v>142</v>
      </c>
      <c r="Q12" s="520" t="s">
        <v>3363</v>
      </c>
      <c r="R12" s="520" t="s">
        <v>3364</v>
      </c>
      <c r="S12" s="520" t="s">
        <v>3365</v>
      </c>
      <c r="T12" s="179" t="s">
        <v>3366</v>
      </c>
      <c r="V12" s="474">
        <v>518</v>
      </c>
      <c r="W12" s="475" t="s">
        <v>23</v>
      </c>
      <c r="X12" s="475" t="s">
        <v>26</v>
      </c>
      <c r="Y12" s="472">
        <f t="shared" si="1"/>
        <v>165800483</v>
      </c>
      <c r="Z12" s="472">
        <f t="shared" si="2"/>
        <v>34994055</v>
      </c>
      <c r="AA12" s="466">
        <f t="shared" si="3"/>
        <v>41868.064333333336</v>
      </c>
      <c r="AB12" s="348"/>
      <c r="AC12" s="549">
        <v>518</v>
      </c>
      <c r="AD12" s="538" t="s">
        <v>27</v>
      </c>
      <c r="AE12" s="550">
        <v>41868.064333333336</v>
      </c>
      <c r="AF12" s="551"/>
      <c r="AG12" s="98"/>
      <c r="AH12" s="489">
        <v>518</v>
      </c>
      <c r="AI12" s="490">
        <v>98.8</v>
      </c>
      <c r="AJ12" s="509"/>
      <c r="AK12" s="98"/>
      <c r="AL12" s="488">
        <v>518</v>
      </c>
      <c r="AM12" s="515">
        <v>42376.583333333336</v>
      </c>
      <c r="AN12" s="509"/>
      <c r="AO12" s="98"/>
      <c r="AP12" s="488">
        <v>518</v>
      </c>
      <c r="AQ12" s="512">
        <v>0</v>
      </c>
      <c r="AR12" s="509"/>
    </row>
    <row r="13" spans="1:44" s="2" customFormat="1" ht="12.5" x14ac:dyDescent="0.25">
      <c r="A13" s="72">
        <v>6</v>
      </c>
      <c r="B13" s="73">
        <v>520</v>
      </c>
      <c r="C13" s="73" t="s">
        <v>28</v>
      </c>
      <c r="D13" s="73" t="s">
        <v>2915</v>
      </c>
      <c r="E13" s="74" t="str">
        <f t="shared" si="0"/>
        <v>Flintshire County Council</v>
      </c>
      <c r="F13" s="3"/>
      <c r="G13" s="3"/>
      <c r="I13" s="343">
        <v>520</v>
      </c>
      <c r="J13" s="520" t="s">
        <v>28</v>
      </c>
      <c r="K13" s="520" t="s">
        <v>116</v>
      </c>
      <c r="L13" s="521" t="s">
        <v>29</v>
      </c>
      <c r="M13" s="520" t="s">
        <v>30</v>
      </c>
      <c r="N13" s="520" t="s">
        <v>31</v>
      </c>
      <c r="O13" s="520" t="s">
        <v>3354</v>
      </c>
      <c r="P13" s="520" t="s">
        <v>32</v>
      </c>
      <c r="Q13" s="520" t="s">
        <v>116</v>
      </c>
      <c r="R13" s="520" t="s">
        <v>3367</v>
      </c>
      <c r="S13" s="520" t="s">
        <v>3368</v>
      </c>
      <c r="T13" s="179" t="s">
        <v>3221</v>
      </c>
      <c r="V13" s="474">
        <v>520</v>
      </c>
      <c r="W13" s="475" t="s">
        <v>23</v>
      </c>
      <c r="X13" s="475" t="s">
        <v>28</v>
      </c>
      <c r="Y13" s="472">
        <f t="shared" si="1"/>
        <v>202163486</v>
      </c>
      <c r="Z13" s="472">
        <f t="shared" si="2"/>
        <v>56363734</v>
      </c>
      <c r="AA13" s="466">
        <f t="shared" si="3"/>
        <v>66081.002288888863</v>
      </c>
      <c r="AB13" s="348"/>
      <c r="AC13" s="549">
        <v>520</v>
      </c>
      <c r="AD13" s="538" t="s">
        <v>31</v>
      </c>
      <c r="AE13" s="550">
        <v>66081.002288888863</v>
      </c>
      <c r="AF13" s="551"/>
      <c r="AG13" s="98"/>
      <c r="AH13" s="489">
        <v>520</v>
      </c>
      <c r="AI13" s="490">
        <v>98.8</v>
      </c>
      <c r="AJ13" s="509"/>
      <c r="AK13" s="98"/>
      <c r="AL13" s="488">
        <v>520</v>
      </c>
      <c r="AM13" s="515">
        <v>66883.605555555536</v>
      </c>
      <c r="AN13" s="509"/>
      <c r="AO13" s="98"/>
      <c r="AP13" s="488">
        <v>520</v>
      </c>
      <c r="AQ13" s="512">
        <v>0</v>
      </c>
      <c r="AR13" s="509"/>
    </row>
    <row r="14" spans="1:44" s="2" customFormat="1" ht="12.5" x14ac:dyDescent="0.25">
      <c r="A14" s="72">
        <v>7</v>
      </c>
      <c r="B14" s="73">
        <v>522</v>
      </c>
      <c r="C14" s="73" t="s">
        <v>33</v>
      </c>
      <c r="D14" s="73" t="s">
        <v>2916</v>
      </c>
      <c r="E14" s="74" t="str">
        <f t="shared" si="0"/>
        <v>Wrexham County Borough Council</v>
      </c>
      <c r="F14" s="3"/>
      <c r="G14" s="3"/>
      <c r="I14" s="343">
        <v>522</v>
      </c>
      <c r="J14" s="520" t="s">
        <v>33</v>
      </c>
      <c r="K14" s="520" t="s">
        <v>3320</v>
      </c>
      <c r="L14" s="521" t="s">
        <v>276</v>
      </c>
      <c r="M14" s="520" t="s">
        <v>96</v>
      </c>
      <c r="N14" s="520" t="s">
        <v>3354</v>
      </c>
      <c r="O14" s="520" t="s">
        <v>34</v>
      </c>
      <c r="P14" s="520" t="s">
        <v>112</v>
      </c>
      <c r="Q14" s="520" t="s">
        <v>3321</v>
      </c>
      <c r="R14" s="520" t="s">
        <v>3369</v>
      </c>
      <c r="S14" s="520" t="s">
        <v>3370</v>
      </c>
      <c r="T14" s="179" t="s">
        <v>3322</v>
      </c>
      <c r="V14" s="474">
        <v>522</v>
      </c>
      <c r="W14" s="475" t="s">
        <v>23</v>
      </c>
      <c r="X14" s="475" t="s">
        <v>33</v>
      </c>
      <c r="Y14" s="472">
        <f t="shared" si="1"/>
        <v>184184535</v>
      </c>
      <c r="Z14" s="472">
        <f t="shared" si="2"/>
        <v>48680035</v>
      </c>
      <c r="AA14" s="466">
        <f t="shared" si="3"/>
        <v>54260.009249999996</v>
      </c>
      <c r="AB14" s="348"/>
      <c r="AC14" s="549">
        <v>522</v>
      </c>
      <c r="AD14" s="538" t="s">
        <v>34</v>
      </c>
      <c r="AE14" s="550">
        <v>54260.009249999996</v>
      </c>
      <c r="AF14" s="551"/>
      <c r="AG14" s="98"/>
      <c r="AH14" s="489">
        <v>522</v>
      </c>
      <c r="AI14" s="490">
        <v>98.1</v>
      </c>
      <c r="AJ14" s="509"/>
      <c r="AK14" s="98"/>
      <c r="AL14" s="488">
        <v>522</v>
      </c>
      <c r="AM14" s="515">
        <v>55310.916666666664</v>
      </c>
      <c r="AN14" s="509"/>
      <c r="AO14" s="98"/>
      <c r="AP14" s="488">
        <v>522</v>
      </c>
      <c r="AQ14" s="512">
        <v>0</v>
      </c>
      <c r="AR14" s="509"/>
    </row>
    <row r="15" spans="1:44" s="2" customFormat="1" ht="12.5" x14ac:dyDescent="0.25">
      <c r="A15" s="72">
        <v>8</v>
      </c>
      <c r="B15" s="73">
        <v>524</v>
      </c>
      <c r="C15" s="73" t="s">
        <v>35</v>
      </c>
      <c r="D15" s="73" t="s">
        <v>2917</v>
      </c>
      <c r="E15" s="74" t="str">
        <f t="shared" si="0"/>
        <v>Powys County Council</v>
      </c>
      <c r="F15" s="3"/>
      <c r="G15" s="3"/>
      <c r="I15" s="343">
        <v>524</v>
      </c>
      <c r="J15" s="520" t="s">
        <v>35</v>
      </c>
      <c r="K15" s="520" t="s">
        <v>3222</v>
      </c>
      <c r="L15" s="521" t="s">
        <v>29</v>
      </c>
      <c r="M15" s="520" t="s">
        <v>36</v>
      </c>
      <c r="N15" s="520" t="s">
        <v>37</v>
      </c>
      <c r="O15" s="520" t="s">
        <v>3354</v>
      </c>
      <c r="P15" s="520" t="s">
        <v>38</v>
      </c>
      <c r="Q15" s="520" t="s">
        <v>3323</v>
      </c>
      <c r="R15" s="520" t="s">
        <v>3371</v>
      </c>
      <c r="S15" s="520" t="s">
        <v>3372</v>
      </c>
      <c r="T15" s="179" t="s">
        <v>3324</v>
      </c>
      <c r="V15" s="474">
        <v>524</v>
      </c>
      <c r="W15" s="475" t="s">
        <v>23</v>
      </c>
      <c r="X15" s="475" t="s">
        <v>35</v>
      </c>
      <c r="Y15" s="472">
        <f t="shared" si="1"/>
        <v>185884568</v>
      </c>
      <c r="Z15" s="472">
        <f t="shared" si="2"/>
        <v>49980507</v>
      </c>
      <c r="AA15" s="466">
        <f t="shared" si="3"/>
        <v>64536.477638888893</v>
      </c>
      <c r="AB15" s="348"/>
      <c r="AC15" s="549">
        <v>524</v>
      </c>
      <c r="AD15" s="538" t="s">
        <v>37</v>
      </c>
      <c r="AE15" s="550">
        <v>64536.477638888893</v>
      </c>
      <c r="AF15" s="551"/>
      <c r="AG15" s="98"/>
      <c r="AH15" s="489">
        <v>524</v>
      </c>
      <c r="AI15" s="490">
        <v>98.5</v>
      </c>
      <c r="AJ15" s="509"/>
      <c r="AK15" s="98"/>
      <c r="AL15" s="488">
        <v>524</v>
      </c>
      <c r="AM15" s="515">
        <v>65328.972222222219</v>
      </c>
      <c r="AN15" s="509"/>
      <c r="AO15" s="98"/>
      <c r="AP15" s="488">
        <v>524</v>
      </c>
      <c r="AQ15" s="512">
        <v>187.44</v>
      </c>
      <c r="AR15" s="509"/>
    </row>
    <row r="16" spans="1:44" s="2" customFormat="1" ht="12.5" x14ac:dyDescent="0.25">
      <c r="A16" s="72">
        <v>9</v>
      </c>
      <c r="B16" s="73">
        <v>526</v>
      </c>
      <c r="C16" s="73" t="s">
        <v>39</v>
      </c>
      <c r="D16" s="73" t="s">
        <v>2918</v>
      </c>
      <c r="E16" s="74" t="str">
        <f t="shared" si="0"/>
        <v>Ceredigion County Council</v>
      </c>
      <c r="F16" s="3"/>
      <c r="G16" s="3"/>
      <c r="I16" s="343">
        <v>526</v>
      </c>
      <c r="J16" s="520" t="s">
        <v>39</v>
      </c>
      <c r="K16" s="520" t="s">
        <v>3325</v>
      </c>
      <c r="L16" s="521" t="s">
        <v>165</v>
      </c>
      <c r="M16" s="520" t="s">
        <v>166</v>
      </c>
      <c r="N16" s="520" t="s">
        <v>40</v>
      </c>
      <c r="O16" s="520" t="s">
        <v>41</v>
      </c>
      <c r="P16" s="520" t="s">
        <v>167</v>
      </c>
      <c r="Q16" s="520" t="s">
        <v>3223</v>
      </c>
      <c r="R16" s="520" t="s">
        <v>3373</v>
      </c>
      <c r="S16" s="520" t="s">
        <v>3374</v>
      </c>
      <c r="T16" s="179" t="s">
        <v>3224</v>
      </c>
      <c r="V16" s="474">
        <v>526</v>
      </c>
      <c r="W16" s="475" t="s">
        <v>23</v>
      </c>
      <c r="X16" s="475" t="s">
        <v>39</v>
      </c>
      <c r="Y16" s="472">
        <f t="shared" si="1"/>
        <v>108075375</v>
      </c>
      <c r="Z16" s="472">
        <f t="shared" si="2"/>
        <v>27210703</v>
      </c>
      <c r="AA16" s="466">
        <f t="shared" si="3"/>
        <v>33768.508750000008</v>
      </c>
      <c r="AB16" s="348"/>
      <c r="AC16" s="549">
        <v>526</v>
      </c>
      <c r="AD16" s="538" t="s">
        <v>41</v>
      </c>
      <c r="AE16" s="550">
        <v>33768.508750000008</v>
      </c>
      <c r="AF16" s="551"/>
      <c r="AG16" s="98"/>
      <c r="AH16" s="489">
        <v>526</v>
      </c>
      <c r="AI16" s="490">
        <v>98.5</v>
      </c>
      <c r="AJ16" s="509"/>
      <c r="AK16" s="98"/>
      <c r="AL16" s="488">
        <v>526</v>
      </c>
      <c r="AM16" s="515">
        <v>34282.750000000007</v>
      </c>
      <c r="AN16" s="509"/>
      <c r="AO16" s="98"/>
      <c r="AP16" s="488">
        <v>526</v>
      </c>
      <c r="AQ16" s="512">
        <v>0</v>
      </c>
      <c r="AR16" s="509"/>
    </row>
    <row r="17" spans="1:44" s="2" customFormat="1" ht="12.5" x14ac:dyDescent="0.25">
      <c r="A17" s="72">
        <v>10</v>
      </c>
      <c r="B17" s="73">
        <v>528</v>
      </c>
      <c r="C17" s="73" t="s">
        <v>42</v>
      </c>
      <c r="D17" s="73" t="s">
        <v>2919</v>
      </c>
      <c r="E17" s="74" t="str">
        <f t="shared" si="0"/>
        <v>Pembrokeshire County Council</v>
      </c>
      <c r="F17" s="3"/>
      <c r="G17" s="3"/>
      <c r="I17" s="343">
        <v>528</v>
      </c>
      <c r="J17" s="520" t="s">
        <v>42</v>
      </c>
      <c r="K17" s="520" t="s">
        <v>277</v>
      </c>
      <c r="L17" s="521" t="s">
        <v>29</v>
      </c>
      <c r="M17" s="520" t="s">
        <v>43</v>
      </c>
      <c r="N17" s="520" t="s">
        <v>44</v>
      </c>
      <c r="O17" s="520" t="s">
        <v>3354</v>
      </c>
      <c r="P17" s="520" t="s">
        <v>45</v>
      </c>
      <c r="Q17" s="520" t="s">
        <v>3375</v>
      </c>
      <c r="R17" s="520" t="s">
        <v>3376</v>
      </c>
      <c r="S17" s="520" t="s">
        <v>3377</v>
      </c>
      <c r="T17" s="179" t="s">
        <v>3378</v>
      </c>
      <c r="V17" s="474">
        <v>528</v>
      </c>
      <c r="W17" s="475" t="s">
        <v>23</v>
      </c>
      <c r="X17" s="475" t="s">
        <v>42</v>
      </c>
      <c r="Y17" s="472">
        <f t="shared" si="1"/>
        <v>173198194</v>
      </c>
      <c r="Z17" s="472">
        <f t="shared" si="2"/>
        <v>45671874</v>
      </c>
      <c r="AA17" s="466">
        <f t="shared" si="3"/>
        <v>64261.611666666679</v>
      </c>
      <c r="AB17" s="348"/>
      <c r="AC17" s="549">
        <v>528</v>
      </c>
      <c r="AD17" s="538" t="s">
        <v>44</v>
      </c>
      <c r="AE17" s="550">
        <v>64261.611666666679</v>
      </c>
      <c r="AF17" s="551"/>
      <c r="AG17" s="98"/>
      <c r="AH17" s="489">
        <v>528</v>
      </c>
      <c r="AI17" s="490">
        <v>98</v>
      </c>
      <c r="AJ17" s="509"/>
      <c r="AK17" s="98"/>
      <c r="AL17" s="488">
        <v>528</v>
      </c>
      <c r="AM17" s="515">
        <v>65435.583333333343</v>
      </c>
      <c r="AN17" s="509"/>
      <c r="AO17" s="98"/>
      <c r="AP17" s="488">
        <v>528</v>
      </c>
      <c r="AQ17" s="512">
        <v>134.74</v>
      </c>
      <c r="AR17" s="509"/>
    </row>
    <row r="18" spans="1:44" s="2" customFormat="1" ht="12.5" x14ac:dyDescent="0.25">
      <c r="A18" s="72">
        <v>11</v>
      </c>
      <c r="B18" s="73">
        <v>530</v>
      </c>
      <c r="C18" s="73" t="s">
        <v>46</v>
      </c>
      <c r="D18" s="73" t="s">
        <v>2920</v>
      </c>
      <c r="E18" s="74" t="str">
        <f t="shared" si="0"/>
        <v>Carmarthenshire County Council</v>
      </c>
      <c r="F18" s="3"/>
      <c r="G18" s="3"/>
      <c r="I18" s="343">
        <v>530</v>
      </c>
      <c r="J18" s="520" t="s">
        <v>46</v>
      </c>
      <c r="K18" s="520" t="s">
        <v>278</v>
      </c>
      <c r="L18" s="521" t="s">
        <v>29</v>
      </c>
      <c r="M18" s="520" t="s">
        <v>47</v>
      </c>
      <c r="N18" s="520" t="s">
        <v>90</v>
      </c>
      <c r="O18" s="520" t="s">
        <v>3354</v>
      </c>
      <c r="P18" s="520" t="s">
        <v>48</v>
      </c>
      <c r="Q18" s="520" t="s">
        <v>3283</v>
      </c>
      <c r="R18" s="520" t="s">
        <v>3379</v>
      </c>
      <c r="S18" s="520" t="s">
        <v>3380</v>
      </c>
      <c r="T18" s="179" t="s">
        <v>3284</v>
      </c>
      <c r="V18" s="474">
        <v>530</v>
      </c>
      <c r="W18" s="475" t="s">
        <v>23</v>
      </c>
      <c r="X18" s="475" t="s">
        <v>46</v>
      </c>
      <c r="Y18" s="472">
        <f t="shared" si="1"/>
        <v>281596869</v>
      </c>
      <c r="Z18" s="472">
        <f t="shared" si="2"/>
        <v>69049560</v>
      </c>
      <c r="AA18" s="466">
        <f t="shared" si="3"/>
        <v>76460.399166666655</v>
      </c>
      <c r="AB18" s="348"/>
      <c r="AC18" s="549">
        <v>530</v>
      </c>
      <c r="AD18" s="538" t="s">
        <v>90</v>
      </c>
      <c r="AE18" s="550">
        <v>76460.399166666655</v>
      </c>
      <c r="AF18" s="551"/>
      <c r="AG18" s="98"/>
      <c r="AH18" s="489">
        <v>530</v>
      </c>
      <c r="AI18" s="490">
        <v>97.5</v>
      </c>
      <c r="AJ18" s="509"/>
      <c r="AK18" s="98"/>
      <c r="AL18" s="488">
        <v>530</v>
      </c>
      <c r="AM18" s="515">
        <v>78420.922222222216</v>
      </c>
      <c r="AN18" s="509"/>
      <c r="AO18" s="98"/>
      <c r="AP18" s="488">
        <v>530</v>
      </c>
      <c r="AQ18" s="512">
        <v>0</v>
      </c>
      <c r="AR18" s="509"/>
    </row>
    <row r="19" spans="1:44" s="2" customFormat="1" ht="12.5" x14ac:dyDescent="0.25">
      <c r="A19" s="72">
        <v>12</v>
      </c>
      <c r="B19" s="73">
        <v>532</v>
      </c>
      <c r="C19" s="73" t="s">
        <v>49</v>
      </c>
      <c r="D19" s="73" t="s">
        <v>2921</v>
      </c>
      <c r="E19" s="74" t="str">
        <f t="shared" si="0"/>
        <v>City and County of Swansea</v>
      </c>
      <c r="F19" s="3"/>
      <c r="G19" s="3"/>
      <c r="I19" s="343">
        <v>532</v>
      </c>
      <c r="J19" s="520" t="s">
        <v>49</v>
      </c>
      <c r="K19" s="520" t="s">
        <v>3225</v>
      </c>
      <c r="L19" s="521" t="s">
        <v>54</v>
      </c>
      <c r="M19" s="520" t="s">
        <v>50</v>
      </c>
      <c r="N19" s="520" t="s">
        <v>51</v>
      </c>
      <c r="O19" s="520" t="s">
        <v>3354</v>
      </c>
      <c r="P19" s="520" t="s">
        <v>52</v>
      </c>
      <c r="Q19" s="520" t="s">
        <v>274</v>
      </c>
      <c r="R19" s="520" t="s">
        <v>3381</v>
      </c>
      <c r="S19" s="520" t="s">
        <v>3382</v>
      </c>
      <c r="T19" s="179" t="s">
        <v>275</v>
      </c>
      <c r="V19" s="474">
        <v>532</v>
      </c>
      <c r="W19" s="475" t="s">
        <v>23</v>
      </c>
      <c r="X19" s="475" t="s">
        <v>49</v>
      </c>
      <c r="Y19" s="472">
        <f t="shared" si="1"/>
        <v>346776736</v>
      </c>
      <c r="Z19" s="472">
        <f t="shared" si="2"/>
        <v>88244086</v>
      </c>
      <c r="AA19" s="466">
        <f t="shared" si="3"/>
        <v>93802.826666666675</v>
      </c>
      <c r="AB19" s="348"/>
      <c r="AC19" s="549">
        <v>532</v>
      </c>
      <c r="AD19" s="538" t="s">
        <v>51</v>
      </c>
      <c r="AE19" s="550">
        <v>93802.826666666675</v>
      </c>
      <c r="AF19" s="551"/>
      <c r="AG19" s="98"/>
      <c r="AH19" s="489">
        <v>532</v>
      </c>
      <c r="AI19" s="490">
        <v>96</v>
      </c>
      <c r="AJ19" s="509"/>
      <c r="AK19" s="98"/>
      <c r="AL19" s="488">
        <v>532</v>
      </c>
      <c r="AM19" s="515">
        <v>97711.277777777796</v>
      </c>
      <c r="AN19" s="509"/>
      <c r="AO19" s="98"/>
      <c r="AP19" s="488">
        <v>532</v>
      </c>
      <c r="AQ19" s="512">
        <v>0</v>
      </c>
      <c r="AR19" s="509"/>
    </row>
    <row r="20" spans="1:44" s="2" customFormat="1" ht="12.5" x14ac:dyDescent="0.25">
      <c r="A20" s="72">
        <v>13</v>
      </c>
      <c r="B20" s="73">
        <v>534</v>
      </c>
      <c r="C20" s="73" t="s">
        <v>53</v>
      </c>
      <c r="D20" s="73" t="s">
        <v>2922</v>
      </c>
      <c r="E20" s="74" t="str">
        <f t="shared" si="0"/>
        <v>Neath Port Talbot County Borough Council</v>
      </c>
      <c r="F20" s="3"/>
      <c r="G20" s="3"/>
      <c r="I20" s="343">
        <v>534</v>
      </c>
      <c r="J20" s="520" t="s">
        <v>53</v>
      </c>
      <c r="K20" s="520" t="s">
        <v>3326</v>
      </c>
      <c r="L20" s="521" t="s">
        <v>54</v>
      </c>
      <c r="M20" s="520" t="s">
        <v>55</v>
      </c>
      <c r="N20" s="520" t="s">
        <v>3354</v>
      </c>
      <c r="O20" s="520" t="s">
        <v>3354</v>
      </c>
      <c r="P20" s="520" t="s">
        <v>56</v>
      </c>
      <c r="Q20" s="520" t="s">
        <v>3327</v>
      </c>
      <c r="R20" s="520" t="s">
        <v>3383</v>
      </c>
      <c r="S20" s="520" t="s">
        <v>3384</v>
      </c>
      <c r="T20" s="179" t="s">
        <v>3328</v>
      </c>
      <c r="V20" s="474">
        <v>534</v>
      </c>
      <c r="W20" s="475" t="s">
        <v>23</v>
      </c>
      <c r="X20" s="475" t="s">
        <v>53</v>
      </c>
      <c r="Y20" s="472">
        <f t="shared" si="1"/>
        <v>233956773</v>
      </c>
      <c r="Z20" s="472">
        <f t="shared" si="2"/>
        <v>51637011</v>
      </c>
      <c r="AA20" s="466">
        <f t="shared" si="3"/>
        <v>48827.465555555551</v>
      </c>
      <c r="AB20" s="348"/>
      <c r="AC20" s="549">
        <v>534</v>
      </c>
      <c r="AD20" s="538" t="s">
        <v>126</v>
      </c>
      <c r="AE20" s="550">
        <v>48827.465555555551</v>
      </c>
      <c r="AF20" s="551"/>
      <c r="AG20" s="98"/>
      <c r="AH20" s="489">
        <v>534</v>
      </c>
      <c r="AI20" s="490">
        <v>98</v>
      </c>
      <c r="AJ20" s="509"/>
      <c r="AK20" s="98"/>
      <c r="AL20" s="488">
        <v>534</v>
      </c>
      <c r="AM20" s="515">
        <v>49823.944444444438</v>
      </c>
      <c r="AN20" s="509"/>
      <c r="AO20" s="98"/>
      <c r="AP20" s="488">
        <v>534</v>
      </c>
      <c r="AQ20" s="512">
        <v>0</v>
      </c>
      <c r="AR20" s="509"/>
    </row>
    <row r="21" spans="1:44" s="2" customFormat="1" ht="12.5" x14ac:dyDescent="0.25">
      <c r="A21" s="72">
        <v>14</v>
      </c>
      <c r="B21" s="73">
        <v>536</v>
      </c>
      <c r="C21" s="73" t="s">
        <v>57</v>
      </c>
      <c r="D21" s="73" t="s">
        <v>2923</v>
      </c>
      <c r="E21" s="74" t="str">
        <f t="shared" si="0"/>
        <v>Bridgend County Borough Council</v>
      </c>
      <c r="F21" s="3"/>
      <c r="G21" s="3"/>
      <c r="I21" s="343">
        <v>536</v>
      </c>
      <c r="J21" s="520" t="s">
        <v>57</v>
      </c>
      <c r="K21" s="520" t="s">
        <v>280</v>
      </c>
      <c r="L21" s="521" t="s">
        <v>97</v>
      </c>
      <c r="M21" s="520" t="s">
        <v>58</v>
      </c>
      <c r="N21" s="520" t="s">
        <v>98</v>
      </c>
      <c r="O21" s="520" t="s">
        <v>59</v>
      </c>
      <c r="P21" s="520" t="s">
        <v>3226</v>
      </c>
      <c r="Q21" s="520" t="s">
        <v>3329</v>
      </c>
      <c r="R21" s="520" t="s">
        <v>3385</v>
      </c>
      <c r="S21" s="520" t="s">
        <v>3386</v>
      </c>
      <c r="T21" s="179" t="s">
        <v>3330</v>
      </c>
      <c r="V21" s="474">
        <v>536</v>
      </c>
      <c r="W21" s="475" t="s">
        <v>23</v>
      </c>
      <c r="X21" s="475" t="s">
        <v>57</v>
      </c>
      <c r="Y21" s="472">
        <f t="shared" si="1"/>
        <v>205952692</v>
      </c>
      <c r="Z21" s="472">
        <f t="shared" si="2"/>
        <v>52971909</v>
      </c>
      <c r="AA21" s="466">
        <f t="shared" si="3"/>
        <v>55465.691666666673</v>
      </c>
      <c r="AB21" s="348"/>
      <c r="AC21" s="549">
        <v>536</v>
      </c>
      <c r="AD21" s="538" t="s">
        <v>59</v>
      </c>
      <c r="AE21" s="550">
        <v>55465.691666666673</v>
      </c>
      <c r="AF21" s="551"/>
      <c r="AG21" s="98"/>
      <c r="AH21" s="489">
        <v>536</v>
      </c>
      <c r="AI21" s="490">
        <v>97.5</v>
      </c>
      <c r="AJ21" s="509"/>
      <c r="AK21" s="98"/>
      <c r="AL21" s="488">
        <v>536</v>
      </c>
      <c r="AM21" s="515">
        <v>56887.888888888891</v>
      </c>
      <c r="AN21" s="509"/>
      <c r="AO21" s="98"/>
      <c r="AP21" s="488">
        <v>536</v>
      </c>
      <c r="AQ21" s="512">
        <v>0</v>
      </c>
      <c r="AR21" s="509"/>
    </row>
    <row r="22" spans="1:44" s="2" customFormat="1" ht="12.5" x14ac:dyDescent="0.25">
      <c r="A22" s="72">
        <v>15</v>
      </c>
      <c r="B22" s="73">
        <v>538</v>
      </c>
      <c r="C22" s="73" t="s">
        <v>60</v>
      </c>
      <c r="D22" s="73" t="s">
        <v>2924</v>
      </c>
      <c r="E22" s="74" t="str">
        <f t="shared" si="0"/>
        <v>The Vale of Glamorgan Council</v>
      </c>
      <c r="F22" s="3"/>
      <c r="G22" s="3"/>
      <c r="I22" s="343">
        <v>538</v>
      </c>
      <c r="J22" s="520" t="s">
        <v>143</v>
      </c>
      <c r="K22" s="520" t="s">
        <v>3331</v>
      </c>
      <c r="L22" s="521" t="s">
        <v>58</v>
      </c>
      <c r="M22" s="520" t="s">
        <v>61</v>
      </c>
      <c r="N22" s="520" t="s">
        <v>62</v>
      </c>
      <c r="O22" s="520" t="s">
        <v>3354</v>
      </c>
      <c r="P22" s="520" t="s">
        <v>63</v>
      </c>
      <c r="Q22" s="520" t="s">
        <v>3285</v>
      </c>
      <c r="R22" s="520" t="s">
        <v>3387</v>
      </c>
      <c r="S22" s="520" t="s">
        <v>3388</v>
      </c>
      <c r="T22" s="179" t="s">
        <v>3286</v>
      </c>
      <c r="V22" s="474">
        <v>538</v>
      </c>
      <c r="W22" s="475" t="s">
        <v>23</v>
      </c>
      <c r="X22" s="475" t="s">
        <v>60</v>
      </c>
      <c r="Y22" s="472">
        <f t="shared" si="1"/>
        <v>161928427</v>
      </c>
      <c r="Z22" s="472">
        <f t="shared" si="2"/>
        <v>47852915</v>
      </c>
      <c r="AA22" s="466">
        <f t="shared" si="3"/>
        <v>63396.529694444442</v>
      </c>
      <c r="AB22" s="348"/>
      <c r="AC22" s="549">
        <v>538</v>
      </c>
      <c r="AD22" s="538" t="s">
        <v>127</v>
      </c>
      <c r="AE22" s="550">
        <v>63396.529694444442</v>
      </c>
      <c r="AF22" s="551"/>
      <c r="AG22" s="98"/>
      <c r="AH22" s="489">
        <v>538</v>
      </c>
      <c r="AI22" s="490">
        <v>97.1</v>
      </c>
      <c r="AJ22" s="509"/>
      <c r="AK22" s="98"/>
      <c r="AL22" s="488">
        <v>538</v>
      </c>
      <c r="AM22" s="515">
        <v>65053.305555555562</v>
      </c>
      <c r="AN22" s="509"/>
      <c r="AO22" s="98"/>
      <c r="AP22" s="488">
        <v>538</v>
      </c>
      <c r="AQ22" s="512">
        <v>229.77</v>
      </c>
      <c r="AR22" s="509"/>
    </row>
    <row r="23" spans="1:44" s="2" customFormat="1" ht="12.5" x14ac:dyDescent="0.25">
      <c r="A23" s="72">
        <v>16</v>
      </c>
      <c r="B23" s="73">
        <v>540</v>
      </c>
      <c r="C23" s="73" t="s">
        <v>64</v>
      </c>
      <c r="D23" s="73" t="s">
        <v>2925</v>
      </c>
      <c r="E23" s="74" t="str">
        <f t="shared" si="0"/>
        <v>Rhondda, Cynon, Taff C.B.C.</v>
      </c>
      <c r="F23" s="3"/>
      <c r="G23" s="3"/>
      <c r="I23" s="343">
        <v>540</v>
      </c>
      <c r="J23" s="520" t="s">
        <v>3332</v>
      </c>
      <c r="K23" s="520" t="s">
        <v>3227</v>
      </c>
      <c r="L23" s="521" t="s">
        <v>118</v>
      </c>
      <c r="M23" s="520" t="s">
        <v>65</v>
      </c>
      <c r="N23" s="520" t="s">
        <v>99</v>
      </c>
      <c r="O23" s="520" t="s">
        <v>3354</v>
      </c>
      <c r="P23" s="520" t="s">
        <v>66</v>
      </c>
      <c r="Q23" s="520" t="s">
        <v>3228</v>
      </c>
      <c r="R23" s="520" t="s">
        <v>3389</v>
      </c>
      <c r="S23" s="520" t="s">
        <v>3390</v>
      </c>
      <c r="T23" s="179" t="s">
        <v>3229</v>
      </c>
      <c r="V23" s="474">
        <v>540</v>
      </c>
      <c r="W23" s="475" t="s">
        <v>23</v>
      </c>
      <c r="X23" s="475" t="s">
        <v>87</v>
      </c>
      <c r="Y23" s="472">
        <f t="shared" si="1"/>
        <v>399588947</v>
      </c>
      <c r="Z23" s="472">
        <f t="shared" si="2"/>
        <v>85977886</v>
      </c>
      <c r="AA23" s="466">
        <f t="shared" si="3"/>
        <v>79696.88826388889</v>
      </c>
      <c r="AB23" s="348"/>
      <c r="AC23" s="549">
        <v>540</v>
      </c>
      <c r="AD23" s="538" t="s">
        <v>128</v>
      </c>
      <c r="AE23" s="550">
        <v>79696.88826388889</v>
      </c>
      <c r="AF23" s="551"/>
      <c r="AG23" s="98"/>
      <c r="AH23" s="489">
        <v>540</v>
      </c>
      <c r="AI23" s="490">
        <v>97.25</v>
      </c>
      <c r="AJ23" s="509"/>
      <c r="AK23" s="98"/>
      <c r="AL23" s="488">
        <v>540</v>
      </c>
      <c r="AM23" s="515">
        <v>81950.527777777781</v>
      </c>
      <c r="AN23" s="509"/>
      <c r="AO23" s="98"/>
      <c r="AP23" s="488">
        <v>540</v>
      </c>
      <c r="AQ23" s="512">
        <v>0</v>
      </c>
      <c r="AR23" s="509"/>
    </row>
    <row r="24" spans="1:44" s="2" customFormat="1" ht="12.5" x14ac:dyDescent="0.25">
      <c r="A24" s="72">
        <v>17</v>
      </c>
      <c r="B24" s="73">
        <v>542</v>
      </c>
      <c r="C24" s="73" t="s">
        <v>67</v>
      </c>
      <c r="D24" s="73" t="s">
        <v>2926</v>
      </c>
      <c r="E24" s="74" t="str">
        <f t="shared" si="0"/>
        <v>Merthyr Tydfil County Borough Council</v>
      </c>
      <c r="F24" s="3"/>
      <c r="G24" s="3"/>
      <c r="I24" s="343">
        <v>542</v>
      </c>
      <c r="J24" s="520" t="s">
        <v>67</v>
      </c>
      <c r="K24" s="520" t="s">
        <v>168</v>
      </c>
      <c r="L24" s="521" t="s">
        <v>54</v>
      </c>
      <c r="M24" s="520" t="s">
        <v>100</v>
      </c>
      <c r="N24" s="520" t="s">
        <v>68</v>
      </c>
      <c r="O24" s="520" t="s">
        <v>3354</v>
      </c>
      <c r="P24" s="520" t="s">
        <v>69</v>
      </c>
      <c r="Q24" s="520" t="s">
        <v>3333</v>
      </c>
      <c r="R24" s="520" t="s">
        <v>3391</v>
      </c>
      <c r="S24" s="520" t="s">
        <v>3334</v>
      </c>
      <c r="T24" s="179" t="s">
        <v>3335</v>
      </c>
      <c r="V24" s="474">
        <v>542</v>
      </c>
      <c r="W24" s="475" t="s">
        <v>23</v>
      </c>
      <c r="X24" s="475" t="s">
        <v>67</v>
      </c>
      <c r="Y24" s="472">
        <f t="shared" si="1"/>
        <v>102470722</v>
      </c>
      <c r="Z24" s="472">
        <f t="shared" si="2"/>
        <v>21020893</v>
      </c>
      <c r="AA24" s="466">
        <f t="shared" si="3"/>
        <v>18943.919999999995</v>
      </c>
      <c r="AB24" s="348"/>
      <c r="AC24" s="549">
        <v>542</v>
      </c>
      <c r="AD24" s="538" t="s">
        <v>68</v>
      </c>
      <c r="AE24" s="550">
        <v>18943.919999999995</v>
      </c>
      <c r="AF24" s="551"/>
      <c r="AG24" s="98"/>
      <c r="AH24" s="489">
        <v>542</v>
      </c>
      <c r="AI24" s="490">
        <v>96</v>
      </c>
      <c r="AJ24" s="509"/>
      <c r="AK24" s="98"/>
      <c r="AL24" s="488">
        <v>542</v>
      </c>
      <c r="AM24" s="515">
        <v>19733.249999999996</v>
      </c>
      <c r="AN24" s="509"/>
      <c r="AO24" s="98"/>
      <c r="AP24" s="488">
        <v>542</v>
      </c>
      <c r="AQ24" s="512">
        <v>0</v>
      </c>
      <c r="AR24" s="509"/>
    </row>
    <row r="25" spans="1:44" s="2" customFormat="1" ht="12.5" x14ac:dyDescent="0.25">
      <c r="A25" s="72">
        <v>18</v>
      </c>
      <c r="B25" s="73">
        <v>544</v>
      </c>
      <c r="C25" s="73" t="s">
        <v>70</v>
      </c>
      <c r="D25" s="73" t="s">
        <v>2927</v>
      </c>
      <c r="E25" s="74" t="str">
        <f t="shared" si="0"/>
        <v>Caerphilly County Borough Council</v>
      </c>
      <c r="F25" s="3"/>
      <c r="G25" s="3"/>
      <c r="I25" s="343">
        <v>544</v>
      </c>
      <c r="J25" s="520" t="s">
        <v>70</v>
      </c>
      <c r="K25" s="520" t="s">
        <v>3287</v>
      </c>
      <c r="L25" s="521" t="s">
        <v>144</v>
      </c>
      <c r="M25" s="520" t="s">
        <v>145</v>
      </c>
      <c r="N25" s="520" t="s">
        <v>101</v>
      </c>
      <c r="O25" s="520" t="s">
        <v>3354</v>
      </c>
      <c r="P25" s="520" t="s">
        <v>146</v>
      </c>
      <c r="Q25" s="520" t="s">
        <v>113</v>
      </c>
      <c r="R25" s="520" t="s">
        <v>3389</v>
      </c>
      <c r="S25" s="520" t="s">
        <v>3392</v>
      </c>
      <c r="T25" s="179" t="s">
        <v>119</v>
      </c>
      <c r="V25" s="474">
        <v>544</v>
      </c>
      <c r="W25" s="475" t="s">
        <v>23</v>
      </c>
      <c r="X25" s="475" t="s">
        <v>70</v>
      </c>
      <c r="Y25" s="472">
        <f t="shared" si="1"/>
        <v>285495098</v>
      </c>
      <c r="Z25" s="472">
        <f t="shared" si="2"/>
        <v>63368887</v>
      </c>
      <c r="AA25" s="466">
        <f t="shared" si="3"/>
        <v>61292.661083333325</v>
      </c>
      <c r="AB25" s="348"/>
      <c r="AC25" s="549">
        <v>544</v>
      </c>
      <c r="AD25" s="538" t="s">
        <v>129</v>
      </c>
      <c r="AE25" s="550">
        <v>61292.661083333325</v>
      </c>
      <c r="AF25" s="551"/>
      <c r="AG25" s="98"/>
      <c r="AH25" s="489">
        <v>544</v>
      </c>
      <c r="AI25" s="490">
        <v>97.5</v>
      </c>
      <c r="AJ25" s="509"/>
      <c r="AK25" s="98"/>
      <c r="AL25" s="488">
        <v>544</v>
      </c>
      <c r="AM25" s="515">
        <v>62864.267777777772</v>
      </c>
      <c r="AN25" s="509"/>
      <c r="AO25" s="98"/>
      <c r="AP25" s="488">
        <v>544</v>
      </c>
      <c r="AQ25" s="512">
        <v>0</v>
      </c>
      <c r="AR25" s="509"/>
    </row>
    <row r="26" spans="1:44" s="2" customFormat="1" ht="12.5" x14ac:dyDescent="0.25">
      <c r="A26" s="72">
        <v>19</v>
      </c>
      <c r="B26" s="73">
        <v>545</v>
      </c>
      <c r="C26" s="73" t="s">
        <v>71</v>
      </c>
      <c r="D26" s="73" t="s">
        <v>2928</v>
      </c>
      <c r="E26" s="74" t="str">
        <f t="shared" si="0"/>
        <v>Blaenau Gwent County Borough Council</v>
      </c>
      <c r="F26" s="3"/>
      <c r="G26" s="3"/>
      <c r="I26" s="343">
        <v>545</v>
      </c>
      <c r="J26" s="520" t="s">
        <v>71</v>
      </c>
      <c r="K26" s="520" t="s">
        <v>3230</v>
      </c>
      <c r="L26" s="521" t="s">
        <v>102</v>
      </c>
      <c r="M26" s="520" t="s">
        <v>54</v>
      </c>
      <c r="N26" s="520" t="s">
        <v>72</v>
      </c>
      <c r="O26" s="520" t="s">
        <v>3354</v>
      </c>
      <c r="P26" s="520" t="s">
        <v>73</v>
      </c>
      <c r="Q26" s="520" t="s">
        <v>3336</v>
      </c>
      <c r="R26" s="520" t="s">
        <v>3393</v>
      </c>
      <c r="S26" s="520" t="s">
        <v>3394</v>
      </c>
      <c r="T26" s="179" t="s">
        <v>3337</v>
      </c>
      <c r="V26" s="474">
        <v>545</v>
      </c>
      <c r="W26" s="475" t="s">
        <v>23</v>
      </c>
      <c r="X26" s="475" t="s">
        <v>71</v>
      </c>
      <c r="Y26" s="472">
        <f t="shared" si="1"/>
        <v>119663098</v>
      </c>
      <c r="Z26" s="472">
        <f t="shared" si="2"/>
        <v>24380558</v>
      </c>
      <c r="AA26" s="466">
        <f t="shared" si="3"/>
        <v>20936.358888888888</v>
      </c>
      <c r="AB26" s="348"/>
      <c r="AC26" s="549">
        <v>545</v>
      </c>
      <c r="AD26" s="538" t="s">
        <v>130</v>
      </c>
      <c r="AE26" s="550">
        <v>20936.358888888888</v>
      </c>
      <c r="AF26" s="551"/>
      <c r="AG26" s="98"/>
      <c r="AH26" s="489">
        <v>545</v>
      </c>
      <c r="AI26" s="490">
        <v>95.5</v>
      </c>
      <c r="AJ26" s="509"/>
      <c r="AK26" s="98"/>
      <c r="AL26" s="488">
        <v>545</v>
      </c>
      <c r="AM26" s="515">
        <v>21922.888888888887</v>
      </c>
      <c r="AN26" s="509"/>
      <c r="AO26" s="98"/>
      <c r="AP26" s="488">
        <v>545</v>
      </c>
      <c r="AQ26" s="512">
        <v>0</v>
      </c>
      <c r="AR26" s="509"/>
    </row>
    <row r="27" spans="1:44" s="2" customFormat="1" ht="12.5" x14ac:dyDescent="0.25">
      <c r="A27" s="72">
        <v>20</v>
      </c>
      <c r="B27" s="73">
        <v>546</v>
      </c>
      <c r="C27" s="73" t="s">
        <v>74</v>
      </c>
      <c r="D27" s="73" t="s">
        <v>2929</v>
      </c>
      <c r="E27" s="74" t="str">
        <f t="shared" si="0"/>
        <v>Torfaen County Borough Council</v>
      </c>
      <c r="F27" s="3"/>
      <c r="G27" s="3"/>
      <c r="I27" s="343">
        <v>546</v>
      </c>
      <c r="J27" s="520" t="s">
        <v>74</v>
      </c>
      <c r="K27" s="520" t="s">
        <v>117</v>
      </c>
      <c r="L27" s="521" t="s">
        <v>54</v>
      </c>
      <c r="M27" s="520" t="s">
        <v>103</v>
      </c>
      <c r="N27" s="520" t="s">
        <v>75</v>
      </c>
      <c r="O27" s="520" t="s">
        <v>3354</v>
      </c>
      <c r="P27" s="520" t="s">
        <v>76</v>
      </c>
      <c r="Q27" s="520" t="s">
        <v>91</v>
      </c>
      <c r="R27" s="520" t="s">
        <v>3393</v>
      </c>
      <c r="S27" s="520" t="s">
        <v>3395</v>
      </c>
      <c r="T27" s="179" t="s">
        <v>120</v>
      </c>
      <c r="V27" s="474">
        <v>546</v>
      </c>
      <c r="W27" s="475" t="s">
        <v>23</v>
      </c>
      <c r="X27" s="475" t="s">
        <v>74</v>
      </c>
      <c r="Y27" s="472">
        <f t="shared" si="1"/>
        <v>145435881</v>
      </c>
      <c r="Z27" s="472">
        <f t="shared" si="2"/>
        <v>33296784</v>
      </c>
      <c r="AA27" s="466">
        <f t="shared" si="3"/>
        <v>34457.262777777782</v>
      </c>
      <c r="AB27" s="348"/>
      <c r="AC27" s="549">
        <v>546</v>
      </c>
      <c r="AD27" s="538" t="s">
        <v>75</v>
      </c>
      <c r="AE27" s="550">
        <v>34457.262777777782</v>
      </c>
      <c r="AF27" s="551"/>
      <c r="AG27" s="98"/>
      <c r="AH27" s="489">
        <v>546</v>
      </c>
      <c r="AI27" s="490">
        <v>98</v>
      </c>
      <c r="AJ27" s="509"/>
      <c r="AK27" s="98"/>
      <c r="AL27" s="488">
        <v>546</v>
      </c>
      <c r="AM27" s="515">
        <v>35160.472222222226</v>
      </c>
      <c r="AN27" s="509"/>
      <c r="AO27" s="98"/>
      <c r="AP27" s="488">
        <v>546</v>
      </c>
      <c r="AQ27" s="512">
        <v>0</v>
      </c>
      <c r="AR27" s="509"/>
    </row>
    <row r="28" spans="1:44" s="2" customFormat="1" ht="12.5" x14ac:dyDescent="0.25">
      <c r="A28" s="72">
        <v>21</v>
      </c>
      <c r="B28" s="73">
        <v>548</v>
      </c>
      <c r="C28" s="73" t="s">
        <v>77</v>
      </c>
      <c r="D28" s="73" t="s">
        <v>2930</v>
      </c>
      <c r="E28" s="74" t="str">
        <f t="shared" si="0"/>
        <v>Monmouthshire County Council</v>
      </c>
      <c r="F28" s="3"/>
      <c r="G28" s="3"/>
      <c r="I28" s="343">
        <v>548</v>
      </c>
      <c r="J28" s="520" t="s">
        <v>77</v>
      </c>
      <c r="K28" s="520" t="s">
        <v>3288</v>
      </c>
      <c r="L28" s="521" t="s">
        <v>29</v>
      </c>
      <c r="M28" s="520" t="s">
        <v>271</v>
      </c>
      <c r="N28" s="520" t="s">
        <v>272</v>
      </c>
      <c r="O28" s="520" t="s">
        <v>131</v>
      </c>
      <c r="P28" s="520" t="s">
        <v>273</v>
      </c>
      <c r="Q28" s="520" t="s">
        <v>2940</v>
      </c>
      <c r="R28" s="520" t="s">
        <v>3396</v>
      </c>
      <c r="S28" s="520" t="s">
        <v>3397</v>
      </c>
      <c r="T28" s="179" t="s">
        <v>2941</v>
      </c>
      <c r="V28" s="474">
        <v>548</v>
      </c>
      <c r="W28" s="475" t="s">
        <v>23</v>
      </c>
      <c r="X28" s="475" t="s">
        <v>77</v>
      </c>
      <c r="Y28" s="472">
        <f t="shared" si="1"/>
        <v>91148553</v>
      </c>
      <c r="Z28" s="472">
        <f t="shared" si="2"/>
        <v>34870848</v>
      </c>
      <c r="AA28" s="466">
        <f t="shared" si="3"/>
        <v>48465.532500000008</v>
      </c>
      <c r="AB28" s="348"/>
      <c r="AC28" s="549">
        <v>548</v>
      </c>
      <c r="AD28" s="538" t="s">
        <v>131</v>
      </c>
      <c r="AE28" s="550">
        <v>48465.532500000008</v>
      </c>
      <c r="AF28" s="551"/>
      <c r="AG28" s="98"/>
      <c r="AH28" s="489">
        <v>548</v>
      </c>
      <c r="AI28" s="490">
        <v>99</v>
      </c>
      <c r="AJ28" s="509"/>
      <c r="AK28" s="98"/>
      <c r="AL28" s="488">
        <v>548</v>
      </c>
      <c r="AM28" s="515">
        <v>48955.083333333343</v>
      </c>
      <c r="AN28" s="509"/>
      <c r="AO28" s="98"/>
      <c r="AP28" s="488">
        <v>548</v>
      </c>
      <c r="AQ28" s="512">
        <v>0</v>
      </c>
      <c r="AR28" s="509"/>
    </row>
    <row r="29" spans="1:44" s="2" customFormat="1" ht="12.5" x14ac:dyDescent="0.25">
      <c r="A29" s="72">
        <v>22</v>
      </c>
      <c r="B29" s="73">
        <v>550</v>
      </c>
      <c r="C29" s="73" t="s">
        <v>105</v>
      </c>
      <c r="D29" s="73" t="s">
        <v>2931</v>
      </c>
      <c r="E29" s="74" t="str">
        <f t="shared" si="0"/>
        <v>Newport City Council</v>
      </c>
      <c r="F29" s="3"/>
      <c r="G29" s="3"/>
      <c r="I29" s="343">
        <v>550</v>
      </c>
      <c r="J29" s="520" t="s">
        <v>105</v>
      </c>
      <c r="K29" s="520" t="s">
        <v>279</v>
      </c>
      <c r="L29" s="521" t="s">
        <v>54</v>
      </c>
      <c r="M29" s="520" t="s">
        <v>78</v>
      </c>
      <c r="N29" s="520" t="s">
        <v>3354</v>
      </c>
      <c r="O29" s="520" t="s">
        <v>3354</v>
      </c>
      <c r="P29" s="520" t="s">
        <v>121</v>
      </c>
      <c r="Q29" s="520" t="s">
        <v>3398</v>
      </c>
      <c r="R29" s="520" t="s">
        <v>3396</v>
      </c>
      <c r="S29" s="520" t="s">
        <v>3399</v>
      </c>
      <c r="T29" s="179" t="s">
        <v>3400</v>
      </c>
      <c r="V29" s="474">
        <v>550</v>
      </c>
      <c r="W29" s="475" t="s">
        <v>23</v>
      </c>
      <c r="X29" s="475" t="s">
        <v>105</v>
      </c>
      <c r="Y29" s="472">
        <f t="shared" si="1"/>
        <v>247443441</v>
      </c>
      <c r="Z29" s="472">
        <f t="shared" si="2"/>
        <v>56601542</v>
      </c>
      <c r="AA29" s="466">
        <f t="shared" si="3"/>
        <v>61328.998888888891</v>
      </c>
      <c r="AB29" s="348"/>
      <c r="AC29" s="549">
        <v>550</v>
      </c>
      <c r="AD29" s="538" t="s">
        <v>78</v>
      </c>
      <c r="AE29" s="550">
        <v>61328.998888888891</v>
      </c>
      <c r="AF29" s="551"/>
      <c r="AG29" s="98"/>
      <c r="AH29" s="489">
        <v>550</v>
      </c>
      <c r="AI29" s="490">
        <v>98</v>
      </c>
      <c r="AJ29" s="509"/>
      <c r="AK29" s="98"/>
      <c r="AL29" s="488">
        <v>550</v>
      </c>
      <c r="AM29" s="515">
        <v>62580.611111111109</v>
      </c>
      <c r="AN29" s="509"/>
      <c r="AO29" s="98"/>
      <c r="AP29" s="488">
        <v>550</v>
      </c>
      <c r="AQ29" s="512">
        <v>0</v>
      </c>
      <c r="AR29" s="509"/>
    </row>
    <row r="30" spans="1:44" s="2" customFormat="1" ht="12.5" x14ac:dyDescent="0.25">
      <c r="A30" s="75">
        <v>23</v>
      </c>
      <c r="B30" s="76">
        <v>552</v>
      </c>
      <c r="C30" s="76" t="s">
        <v>79</v>
      </c>
      <c r="D30" s="76" t="s">
        <v>2932</v>
      </c>
      <c r="E30" s="77" t="str">
        <f t="shared" si="0"/>
        <v>Cardiff County Council</v>
      </c>
      <c r="F30" s="3"/>
      <c r="G30" s="3"/>
      <c r="I30" s="344">
        <v>552</v>
      </c>
      <c r="J30" s="180" t="s">
        <v>281</v>
      </c>
      <c r="K30" s="180" t="s">
        <v>3289</v>
      </c>
      <c r="L30" s="181" t="s">
        <v>29</v>
      </c>
      <c r="M30" s="180" t="s">
        <v>80</v>
      </c>
      <c r="N30" s="180" t="s">
        <v>81</v>
      </c>
      <c r="O30" s="180" t="s">
        <v>3354</v>
      </c>
      <c r="P30" s="180" t="s">
        <v>82</v>
      </c>
      <c r="Q30" s="180" t="s">
        <v>3290</v>
      </c>
      <c r="R30" s="180" t="s">
        <v>3401</v>
      </c>
      <c r="S30" s="180" t="s">
        <v>3291</v>
      </c>
      <c r="T30" s="182" t="s">
        <v>3292</v>
      </c>
      <c r="V30" s="474">
        <v>552</v>
      </c>
      <c r="W30" s="475" t="s">
        <v>23</v>
      </c>
      <c r="X30" s="475" t="s">
        <v>88</v>
      </c>
      <c r="Y30" s="472">
        <f t="shared" si="1"/>
        <v>488633659</v>
      </c>
      <c r="Z30" s="472">
        <f t="shared" si="2"/>
        <v>134523843</v>
      </c>
      <c r="AA30" s="466">
        <f t="shared" si="3"/>
        <v>151372.00277777779</v>
      </c>
      <c r="AB30" s="348"/>
      <c r="AC30" s="549">
        <v>552</v>
      </c>
      <c r="AD30" s="538" t="s">
        <v>81</v>
      </c>
      <c r="AE30" s="550">
        <v>151372.00277777779</v>
      </c>
      <c r="AF30" s="551"/>
      <c r="AG30" s="98"/>
      <c r="AH30" s="489">
        <v>552</v>
      </c>
      <c r="AI30" s="490">
        <v>98.5</v>
      </c>
      <c r="AJ30" s="509"/>
      <c r="AK30" s="98"/>
      <c r="AL30" s="488">
        <v>552</v>
      </c>
      <c r="AM30" s="515">
        <v>153629.44444444444</v>
      </c>
      <c r="AN30" s="509"/>
      <c r="AO30" s="98"/>
      <c r="AP30" s="488">
        <v>552</v>
      </c>
      <c r="AQ30" s="512">
        <v>47</v>
      </c>
      <c r="AR30" s="509"/>
    </row>
    <row r="31" spans="1:44" s="2" customFormat="1" ht="13" x14ac:dyDescent="0.3">
      <c r="V31" s="12"/>
      <c r="W31" s="13"/>
      <c r="X31" s="13"/>
      <c r="Y31" s="473">
        <f>SUM(Y9:Y30)</f>
        <v>4582663064</v>
      </c>
      <c r="Z31" s="473">
        <f>SUM(Z9:Z30)</f>
        <v>1137861000</v>
      </c>
      <c r="AA31" s="535">
        <f>SUM(AA9:AA30)</f>
        <v>1280944.0631849999</v>
      </c>
      <c r="AB31" s="348"/>
      <c r="AC31" s="552">
        <v>596</v>
      </c>
      <c r="AD31" s="553" t="s">
        <v>132</v>
      </c>
      <c r="AE31" s="554">
        <v>1280944.0631849999</v>
      </c>
      <c r="AF31" s="555"/>
      <c r="AG31" s="98"/>
      <c r="AH31" s="491">
        <v>596</v>
      </c>
      <c r="AI31" s="492">
        <v>97.87</v>
      </c>
      <c r="AJ31" s="511"/>
      <c r="AK31" s="98"/>
      <c r="AL31" s="493">
        <v>596</v>
      </c>
      <c r="AM31" s="516">
        <v>1308044.2851111111</v>
      </c>
      <c r="AN31" s="511"/>
      <c r="AO31" s="98"/>
      <c r="AP31" s="493">
        <v>596</v>
      </c>
      <c r="AQ31" s="513">
        <v>728.98</v>
      </c>
      <c r="AR31" s="511"/>
    </row>
    <row r="32" spans="1:44" ht="15" customHeight="1" x14ac:dyDescent="0.35">
      <c r="C32" s="324" t="s">
        <v>3270</v>
      </c>
      <c r="D32" s="308">
        <v>202425</v>
      </c>
      <c r="E32" s="209" t="str">
        <f>LEFT(Year,4)&amp;"-"&amp;RIGHT(Year,2)</f>
        <v>2024-25</v>
      </c>
      <c r="F32" s="49"/>
      <c r="G32" s="49"/>
      <c r="L32" s="3"/>
      <c r="AB32" s="348"/>
      <c r="AC32" s="10"/>
      <c r="AR32" s="11"/>
    </row>
    <row r="33" spans="4:44" ht="20.149999999999999" customHeight="1" x14ac:dyDescent="0.4">
      <c r="D33" s="209">
        <f>Year-101</f>
        <v>202324</v>
      </c>
      <c r="E33" s="209" t="str">
        <f>LEFT(D33,4)&amp;"-"&amp;RIGHT(D33,2)</f>
        <v>2023-24</v>
      </c>
      <c r="L33" s="3"/>
      <c r="Y33" s="656" t="s">
        <v>3025</v>
      </c>
      <c r="Z33" s="657"/>
      <c r="AA33" s="658"/>
      <c r="AC33" s="346" t="s">
        <v>3300</v>
      </c>
      <c r="AD33" s="650" t="s">
        <v>3404</v>
      </c>
      <c r="AE33" s="650"/>
      <c r="AF33" s="650"/>
      <c r="AH33" s="650" t="s">
        <v>3405</v>
      </c>
      <c r="AI33" s="650"/>
      <c r="AJ33" s="650"/>
      <c r="AL33" s="648" t="s">
        <v>3406</v>
      </c>
      <c r="AM33" s="648"/>
      <c r="AN33" s="648"/>
      <c r="AP33" s="648" t="s">
        <v>3407</v>
      </c>
      <c r="AQ33" s="648"/>
      <c r="AR33" s="652"/>
    </row>
    <row r="34" spans="4:44" ht="16.5" customHeight="1" x14ac:dyDescent="0.35">
      <c r="D34" s="209">
        <f>D33-101</f>
        <v>202223</v>
      </c>
      <c r="E34" s="209" t="str">
        <f>LEFT(D34,4)&amp;"-"&amp;RIGHT(D34,2)</f>
        <v>2022-23</v>
      </c>
      <c r="L34" s="3"/>
      <c r="X34" s="3" t="s">
        <v>37</v>
      </c>
      <c r="Y34" s="168">
        <v>1236508</v>
      </c>
      <c r="AC34" s="353"/>
      <c r="AD34" s="651"/>
      <c r="AE34" s="651"/>
      <c r="AF34" s="651"/>
      <c r="AG34" s="13"/>
      <c r="AH34" s="651"/>
      <c r="AI34" s="651"/>
      <c r="AJ34" s="651"/>
      <c r="AK34" s="13"/>
      <c r="AL34" s="649"/>
      <c r="AM34" s="649"/>
      <c r="AN34" s="649"/>
      <c r="AO34" s="345"/>
      <c r="AP34" s="649"/>
      <c r="AQ34" s="649"/>
      <c r="AR34" s="653"/>
    </row>
    <row r="35" spans="4:44" ht="15" customHeight="1" x14ac:dyDescent="0.35">
      <c r="L35" s="3"/>
      <c r="M35" s="532" t="s">
        <v>3417</v>
      </c>
      <c r="X35" s="3" t="s">
        <v>68</v>
      </c>
      <c r="Y35" s="168">
        <v>391113</v>
      </c>
      <c r="AB35"/>
      <c r="AC35"/>
      <c r="AD35"/>
      <c r="AE35"/>
      <c r="AF35"/>
      <c r="AG35" s="4"/>
      <c r="AH35" s="4"/>
      <c r="AI35" s="4"/>
      <c r="AJ35" s="4"/>
      <c r="AK35" s="4"/>
      <c r="AL35" s="4"/>
      <c r="AM35" s="4"/>
      <c r="AN35" s="4"/>
      <c r="AO35" s="4"/>
      <c r="AP35" s="4"/>
      <c r="AQ35" s="4"/>
      <c r="AR35" s="4"/>
    </row>
    <row r="36" spans="4:44" ht="15" customHeight="1" thickBot="1" x14ac:dyDescent="0.4">
      <c r="L36" s="3"/>
      <c r="N36" s="98" t="s">
        <v>3408</v>
      </c>
      <c r="T36" s="533" t="s">
        <v>3416</v>
      </c>
      <c r="AC36"/>
      <c r="AD36"/>
      <c r="AE36"/>
      <c r="AF36"/>
      <c r="AG36" s="4"/>
      <c r="AH36" s="4"/>
      <c r="AI36" s="4"/>
      <c r="AJ36" s="4"/>
      <c r="AK36" s="4"/>
      <c r="AL36" s="4"/>
      <c r="AM36" s="4"/>
      <c r="AN36" s="4"/>
      <c r="AO36" s="4"/>
      <c r="AP36" s="4"/>
      <c r="AQ36" s="4"/>
      <c r="AR36" s="4"/>
    </row>
    <row r="37" spans="4:44" ht="15" customHeight="1" thickBot="1" x14ac:dyDescent="0.4">
      <c r="L37" s="3"/>
      <c r="N37" s="98" t="s">
        <v>3409</v>
      </c>
      <c r="Y37" s="197">
        <v>1</v>
      </c>
      <c r="Z37" s="197">
        <v>2</v>
      </c>
      <c r="AA37" s="197">
        <v>3</v>
      </c>
      <c r="AB37" s="351">
        <v>4</v>
      </c>
      <c r="AC37"/>
      <c r="AD37" s="564" t="s">
        <v>3420</v>
      </c>
      <c r="AE37" s="565"/>
      <c r="AF37" s="565"/>
      <c r="AG37" s="566"/>
      <c r="AH37" s="566"/>
      <c r="AI37" s="567"/>
      <c r="AJ37" s="4"/>
      <c r="AK37" s="4"/>
      <c r="AL37" s="4"/>
      <c r="AM37" s="4"/>
      <c r="AN37" s="4"/>
      <c r="AO37" s="4"/>
      <c r="AP37" s="4"/>
      <c r="AQ37" s="4"/>
      <c r="AR37" s="4"/>
    </row>
    <row r="38" spans="4:44" ht="38.25" customHeight="1" thickBot="1" x14ac:dyDescent="0.4">
      <c r="K38" s="98"/>
      <c r="L38" s="98"/>
      <c r="M38" s="531" t="s">
        <v>3410</v>
      </c>
      <c r="N38" s="529" t="s">
        <v>3411</v>
      </c>
      <c r="O38" s="529" t="s">
        <v>3412</v>
      </c>
      <c r="P38" s="529" t="s">
        <v>3413</v>
      </c>
      <c r="Q38" s="530" t="s">
        <v>302</v>
      </c>
      <c r="R38" s="530" t="s">
        <v>3414</v>
      </c>
      <c r="S38" s="530" t="s">
        <v>303</v>
      </c>
      <c r="T38" s="529" t="s">
        <v>3415</v>
      </c>
      <c r="Y38" s="342" t="s">
        <v>302</v>
      </c>
      <c r="Z38" s="342" t="s">
        <v>3208</v>
      </c>
      <c r="AA38" s="342" t="s">
        <v>303</v>
      </c>
      <c r="AB38" s="352" t="s">
        <v>3301</v>
      </c>
      <c r="AC38"/>
      <c r="AD38" s="563" t="s">
        <v>302</v>
      </c>
      <c r="AE38" s="563" t="s">
        <v>3419</v>
      </c>
      <c r="AF38" s="563" t="s">
        <v>303</v>
      </c>
      <c r="AG38" s="349"/>
      <c r="AH38" s="14"/>
      <c r="AI38" s="568"/>
    </row>
    <row r="39" spans="4:44" ht="15" customHeight="1" x14ac:dyDescent="0.35">
      <c r="K39" s="98"/>
      <c r="L39" s="207">
        <v>102244766</v>
      </c>
      <c r="M39" s="98" t="s">
        <v>3209</v>
      </c>
      <c r="N39" s="207">
        <v>31241.639999999996</v>
      </c>
      <c r="O39" s="207">
        <v>176490417.76023978</v>
      </c>
      <c r="P39" s="207">
        <v>48904347.37901745</v>
      </c>
      <c r="Q39" s="527">
        <v>102244766</v>
      </c>
      <c r="R39" s="527">
        <v>0</v>
      </c>
      <c r="S39" s="207">
        <v>25341304</v>
      </c>
      <c r="T39" s="207">
        <v>127586070</v>
      </c>
      <c r="X39" s="98" t="s">
        <v>3209</v>
      </c>
      <c r="Y39" s="527">
        <v>102244766</v>
      </c>
      <c r="Z39" s="527">
        <v>0</v>
      </c>
      <c r="AA39" s="207">
        <v>25341304</v>
      </c>
      <c r="AB39" s="347">
        <f t="shared" ref="AB39:AB60" si="4">SUM(Y39:Z39)</f>
        <v>102244766</v>
      </c>
      <c r="AC39"/>
      <c r="AD39" s="557">
        <v>102244766</v>
      </c>
      <c r="AE39" s="557">
        <v>0</v>
      </c>
      <c r="AF39" s="557">
        <v>25341304</v>
      </c>
      <c r="AG39" s="556">
        <f>AD39-Y39</f>
        <v>0</v>
      </c>
      <c r="AH39" s="556">
        <f t="shared" ref="AH39:AI39" si="5">AE39-Z39</f>
        <v>0</v>
      </c>
      <c r="AI39" s="569">
        <f t="shared" si="5"/>
        <v>0</v>
      </c>
    </row>
    <row r="40" spans="4:44" ht="15.5" x14ac:dyDescent="0.35">
      <c r="M40" s="98" t="s">
        <v>20</v>
      </c>
      <c r="N40" s="207">
        <v>50442.12</v>
      </c>
      <c r="O40" s="207">
        <v>311474494.7361787</v>
      </c>
      <c r="P40" s="207">
        <v>78959970.059641048</v>
      </c>
      <c r="Q40" s="527">
        <v>189150071</v>
      </c>
      <c r="R40" s="527">
        <v>802255</v>
      </c>
      <c r="S40" s="207">
        <v>43364454</v>
      </c>
      <c r="T40" s="207">
        <v>233316780</v>
      </c>
      <c r="X40" s="98" t="s">
        <v>20</v>
      </c>
      <c r="Y40" s="527">
        <v>189150071</v>
      </c>
      <c r="Z40" s="527">
        <v>802255</v>
      </c>
      <c r="AA40" s="207">
        <v>43364454</v>
      </c>
      <c r="AB40" s="347">
        <f t="shared" si="4"/>
        <v>189952326</v>
      </c>
      <c r="AC40"/>
      <c r="AD40" s="558">
        <v>189150071</v>
      </c>
      <c r="AE40" s="558">
        <v>802255</v>
      </c>
      <c r="AF40" s="558">
        <v>43364454</v>
      </c>
      <c r="AG40" s="556">
        <f t="shared" ref="AG40:AG51" si="6">AD40-Y40</f>
        <v>0</v>
      </c>
      <c r="AH40" s="556">
        <f t="shared" ref="AH40:AH52" si="7">AE40-Z40</f>
        <v>0</v>
      </c>
      <c r="AI40" s="569">
        <f t="shared" ref="AI40:AI52" si="8">AF40-AA40</f>
        <v>0</v>
      </c>
    </row>
    <row r="41" spans="4:44" ht="15" customHeight="1" x14ac:dyDescent="0.35">
      <c r="M41" s="98" t="s">
        <v>24</v>
      </c>
      <c r="N41" s="207">
        <v>51724.92</v>
      </c>
      <c r="O41" s="207">
        <v>283998608.33779746</v>
      </c>
      <c r="P41" s="207">
        <v>80968011.148962975</v>
      </c>
      <c r="Q41" s="527">
        <v>160572985</v>
      </c>
      <c r="R41" s="527">
        <v>495450</v>
      </c>
      <c r="S41" s="207">
        <v>42457612</v>
      </c>
      <c r="T41" s="207">
        <v>203526047</v>
      </c>
      <c r="X41" s="98" t="s">
        <v>24</v>
      </c>
      <c r="Y41" s="527">
        <v>160572985</v>
      </c>
      <c r="Z41" s="527">
        <v>495450</v>
      </c>
      <c r="AA41" s="207">
        <v>42457612</v>
      </c>
      <c r="AB41" s="347">
        <f t="shared" si="4"/>
        <v>161068435</v>
      </c>
      <c r="AC41"/>
      <c r="AD41" s="559">
        <v>160572985</v>
      </c>
      <c r="AE41" s="559">
        <v>495450</v>
      </c>
      <c r="AF41" s="559">
        <v>42457612</v>
      </c>
      <c r="AG41" s="556">
        <f t="shared" si="6"/>
        <v>0</v>
      </c>
      <c r="AH41" s="556">
        <f t="shared" si="7"/>
        <v>0</v>
      </c>
      <c r="AI41" s="569">
        <f t="shared" si="8"/>
        <v>0</v>
      </c>
    </row>
    <row r="42" spans="4:44" ht="15" customHeight="1" x14ac:dyDescent="0.35">
      <c r="M42" s="98" t="s">
        <v>27</v>
      </c>
      <c r="N42" s="207">
        <v>41319.81</v>
      </c>
      <c r="O42" s="207">
        <v>265474828.39702481</v>
      </c>
      <c r="P42" s="207">
        <v>64680290.211237282</v>
      </c>
      <c r="Q42" s="527">
        <v>165800483</v>
      </c>
      <c r="R42" s="527">
        <v>0</v>
      </c>
      <c r="S42" s="207">
        <v>34994055</v>
      </c>
      <c r="T42" s="207">
        <v>200794538</v>
      </c>
      <c r="X42" s="98" t="s">
        <v>27</v>
      </c>
      <c r="Y42" s="527">
        <v>165800483</v>
      </c>
      <c r="Z42" s="527">
        <v>0</v>
      </c>
      <c r="AA42" s="207">
        <v>34994055</v>
      </c>
      <c r="AB42" s="347">
        <f t="shared" si="4"/>
        <v>165800483</v>
      </c>
      <c r="AC42"/>
      <c r="AD42" s="558">
        <v>165800483</v>
      </c>
      <c r="AE42" s="558">
        <v>0</v>
      </c>
      <c r="AF42" s="558">
        <v>34994055</v>
      </c>
      <c r="AG42" s="556">
        <f t="shared" si="6"/>
        <v>0</v>
      </c>
      <c r="AH42" s="556">
        <f t="shared" si="7"/>
        <v>0</v>
      </c>
      <c r="AI42" s="569">
        <f t="shared" si="8"/>
        <v>0</v>
      </c>
    </row>
    <row r="43" spans="4:44" ht="15" customHeight="1" x14ac:dyDescent="0.35">
      <c r="M43" s="98" t="s">
        <v>31</v>
      </c>
      <c r="N43" s="207">
        <v>66274.259999999995</v>
      </c>
      <c r="O43" s="207">
        <v>362270154.96504521</v>
      </c>
      <c r="P43" s="207">
        <v>103742935.17649269</v>
      </c>
      <c r="Q43" s="527">
        <v>202163486</v>
      </c>
      <c r="R43" s="527">
        <v>0</v>
      </c>
      <c r="S43" s="207">
        <v>56363734</v>
      </c>
      <c r="T43" s="207">
        <v>258527220</v>
      </c>
      <c r="X43" s="98" t="s">
        <v>31</v>
      </c>
      <c r="Y43" s="527">
        <v>202163486</v>
      </c>
      <c r="Z43" s="527">
        <v>0</v>
      </c>
      <c r="AA43" s="207">
        <v>56363734</v>
      </c>
      <c r="AB43" s="347">
        <f t="shared" si="4"/>
        <v>202163486</v>
      </c>
      <c r="AC43"/>
      <c r="AD43" s="559">
        <v>202163486</v>
      </c>
      <c r="AE43" s="559">
        <v>0</v>
      </c>
      <c r="AF43" s="559">
        <v>56363734</v>
      </c>
      <c r="AG43" s="556">
        <f t="shared" si="6"/>
        <v>0</v>
      </c>
      <c r="AH43" s="556">
        <f t="shared" si="7"/>
        <v>0</v>
      </c>
      <c r="AI43" s="569">
        <f t="shared" si="8"/>
        <v>0</v>
      </c>
    </row>
    <row r="44" spans="4:44" ht="15" customHeight="1" x14ac:dyDescent="0.35">
      <c r="M44" s="98" t="s">
        <v>3210</v>
      </c>
      <c r="N44" s="207">
        <v>55079.25</v>
      </c>
      <c r="O44" s="207">
        <v>319083308.17192024</v>
      </c>
      <c r="P44" s="207">
        <v>86218738.048826739</v>
      </c>
      <c r="Q44" s="527">
        <v>184184535</v>
      </c>
      <c r="R44" s="527">
        <v>0</v>
      </c>
      <c r="S44" s="207">
        <v>48680035</v>
      </c>
      <c r="T44" s="207">
        <v>232864570</v>
      </c>
      <c r="X44" s="98" t="s">
        <v>3210</v>
      </c>
      <c r="Y44" s="527">
        <v>184184535</v>
      </c>
      <c r="Z44" s="527">
        <v>0</v>
      </c>
      <c r="AA44" s="207">
        <v>48680035</v>
      </c>
      <c r="AB44" s="347">
        <f t="shared" si="4"/>
        <v>184184535</v>
      </c>
      <c r="AC44"/>
      <c r="AD44" s="558">
        <v>184184535</v>
      </c>
      <c r="AE44" s="558">
        <v>0</v>
      </c>
      <c r="AF44" s="558">
        <v>48680035</v>
      </c>
      <c r="AG44" s="556">
        <f t="shared" si="6"/>
        <v>0</v>
      </c>
      <c r="AH44" s="556">
        <f t="shared" si="7"/>
        <v>0</v>
      </c>
      <c r="AI44" s="569">
        <f t="shared" si="8"/>
        <v>0</v>
      </c>
    </row>
    <row r="45" spans="4:44" ht="15" customHeight="1" x14ac:dyDescent="0.35">
      <c r="M45" s="98" t="s">
        <v>37</v>
      </c>
      <c r="N45" s="207">
        <v>63829.240000000005</v>
      </c>
      <c r="O45" s="207">
        <v>335780678.95723218</v>
      </c>
      <c r="P45" s="207">
        <v>99915603.851099893</v>
      </c>
      <c r="Q45" s="527">
        <v>185884568</v>
      </c>
      <c r="R45" s="527">
        <v>0</v>
      </c>
      <c r="S45" s="207">
        <v>49980507</v>
      </c>
      <c r="T45" s="207">
        <v>235865075</v>
      </c>
      <c r="X45" s="98" t="s">
        <v>37</v>
      </c>
      <c r="Y45" s="527">
        <v>185884568</v>
      </c>
      <c r="Z45" s="527">
        <v>0</v>
      </c>
      <c r="AA45" s="207">
        <v>49980507</v>
      </c>
      <c r="AB45" s="347">
        <f t="shared" si="4"/>
        <v>185884568</v>
      </c>
      <c r="AC45"/>
      <c r="AD45" s="559">
        <v>185884568</v>
      </c>
      <c r="AE45" s="559">
        <v>0</v>
      </c>
      <c r="AF45" s="559">
        <v>49980507</v>
      </c>
      <c r="AG45" s="556">
        <f t="shared" si="6"/>
        <v>0</v>
      </c>
      <c r="AH45" s="556">
        <f t="shared" si="7"/>
        <v>0</v>
      </c>
      <c r="AI45" s="569">
        <f t="shared" si="8"/>
        <v>0</v>
      </c>
    </row>
    <row r="46" spans="4:44" ht="15" customHeight="1" x14ac:dyDescent="0.35">
      <c r="M46" s="98" t="s">
        <v>41</v>
      </c>
      <c r="N46" s="207">
        <v>32622.36</v>
      </c>
      <c r="O46" s="207">
        <v>186351745.89528993</v>
      </c>
      <c r="P46" s="207">
        <v>51065668.312014475</v>
      </c>
      <c r="Q46" s="527">
        <v>108075375</v>
      </c>
      <c r="R46" s="527">
        <v>0</v>
      </c>
      <c r="S46" s="207">
        <v>27210703</v>
      </c>
      <c r="T46" s="207">
        <v>135286078</v>
      </c>
      <c r="X46" s="98" t="s">
        <v>41</v>
      </c>
      <c r="Y46" s="527">
        <v>108075375</v>
      </c>
      <c r="Z46" s="527">
        <v>0</v>
      </c>
      <c r="AA46" s="207">
        <v>27210703</v>
      </c>
      <c r="AB46" s="347">
        <f t="shared" si="4"/>
        <v>108075375</v>
      </c>
      <c r="AC46"/>
      <c r="AD46" s="558">
        <v>108075375</v>
      </c>
      <c r="AE46" s="558">
        <v>0</v>
      </c>
      <c r="AF46" s="558">
        <v>27210703</v>
      </c>
      <c r="AG46" s="556">
        <f t="shared" si="6"/>
        <v>0</v>
      </c>
      <c r="AH46" s="556">
        <f t="shared" si="7"/>
        <v>0</v>
      </c>
      <c r="AI46" s="569">
        <f t="shared" si="8"/>
        <v>0</v>
      </c>
    </row>
    <row r="47" spans="4:44" ht="15" customHeight="1" x14ac:dyDescent="0.35">
      <c r="M47" s="98" t="s">
        <v>44</v>
      </c>
      <c r="N47" s="207">
        <v>57157.1</v>
      </c>
      <c r="O47" s="207">
        <v>308341384.96589524</v>
      </c>
      <c r="P47" s="207">
        <v>89471316.921174392</v>
      </c>
      <c r="Q47" s="527">
        <v>173198194</v>
      </c>
      <c r="R47" s="527">
        <v>0</v>
      </c>
      <c r="S47" s="207">
        <v>45671874</v>
      </c>
      <c r="T47" s="207">
        <v>218870068</v>
      </c>
      <c r="X47" s="98" t="s">
        <v>44</v>
      </c>
      <c r="Y47" s="527">
        <v>173198194</v>
      </c>
      <c r="Z47" s="527">
        <v>0</v>
      </c>
      <c r="AA47" s="207">
        <v>45671874</v>
      </c>
      <c r="AB47" s="347">
        <f t="shared" si="4"/>
        <v>173198194</v>
      </c>
      <c r="AC47"/>
      <c r="AD47" s="559">
        <v>173198194</v>
      </c>
      <c r="AE47" s="559">
        <v>0</v>
      </c>
      <c r="AF47" s="559">
        <v>45671874</v>
      </c>
      <c r="AG47" s="556">
        <f t="shared" si="6"/>
        <v>0</v>
      </c>
      <c r="AH47" s="556">
        <f t="shared" si="7"/>
        <v>0</v>
      </c>
      <c r="AI47" s="569">
        <f t="shared" si="8"/>
        <v>0</v>
      </c>
    </row>
    <row r="48" spans="4:44" ht="15" customHeight="1" x14ac:dyDescent="0.35">
      <c r="M48" s="98" t="s">
        <v>90</v>
      </c>
      <c r="N48" s="207">
        <v>77240.03</v>
      </c>
      <c r="O48" s="207">
        <v>471554718.3596729</v>
      </c>
      <c r="P48" s="207">
        <v>120908289.66359416</v>
      </c>
      <c r="Q48" s="527">
        <v>281596869</v>
      </c>
      <c r="R48" s="527">
        <v>0</v>
      </c>
      <c r="S48" s="207">
        <v>69049560</v>
      </c>
      <c r="T48" s="207">
        <v>350646429</v>
      </c>
      <c r="X48" s="98" t="s">
        <v>90</v>
      </c>
      <c r="Y48" s="527">
        <v>281596869</v>
      </c>
      <c r="Z48" s="527">
        <v>0</v>
      </c>
      <c r="AA48" s="207">
        <v>69049560</v>
      </c>
      <c r="AB48" s="347">
        <f t="shared" si="4"/>
        <v>281596869</v>
      </c>
      <c r="AC48"/>
      <c r="AD48" s="558">
        <v>281596869</v>
      </c>
      <c r="AE48" s="558">
        <v>0</v>
      </c>
      <c r="AF48" s="558">
        <v>69049560</v>
      </c>
      <c r="AG48" s="556">
        <f t="shared" si="6"/>
        <v>0</v>
      </c>
      <c r="AH48" s="556">
        <f t="shared" si="7"/>
        <v>0</v>
      </c>
      <c r="AI48" s="569">
        <f t="shared" si="8"/>
        <v>0</v>
      </c>
    </row>
    <row r="49" spans="13:35" ht="15" customHeight="1" x14ac:dyDescent="0.35">
      <c r="M49" s="98" t="s">
        <v>3211</v>
      </c>
      <c r="N49" s="207">
        <v>95132.95</v>
      </c>
      <c r="O49" s="207">
        <v>583937934.95711732</v>
      </c>
      <c r="P49" s="207">
        <v>148917112.99377045</v>
      </c>
      <c r="Q49" s="527">
        <v>346776736</v>
      </c>
      <c r="R49" s="527">
        <v>0</v>
      </c>
      <c r="S49" s="207">
        <v>88244086</v>
      </c>
      <c r="T49" s="207">
        <v>435020822</v>
      </c>
      <c r="X49" s="98" t="s">
        <v>3211</v>
      </c>
      <c r="Y49" s="527">
        <v>346776736</v>
      </c>
      <c r="Z49" s="527">
        <v>0</v>
      </c>
      <c r="AA49" s="207">
        <v>88244086</v>
      </c>
      <c r="AB49" s="347">
        <f t="shared" si="4"/>
        <v>346776736</v>
      </c>
      <c r="AC49"/>
      <c r="AD49" s="559">
        <v>346776736</v>
      </c>
      <c r="AE49" s="559">
        <v>0</v>
      </c>
      <c r="AF49" s="559">
        <v>88244086</v>
      </c>
      <c r="AG49" s="556">
        <f t="shared" si="6"/>
        <v>0</v>
      </c>
      <c r="AH49" s="556">
        <f t="shared" si="7"/>
        <v>0</v>
      </c>
      <c r="AI49" s="569">
        <f t="shared" si="8"/>
        <v>0</v>
      </c>
    </row>
    <row r="50" spans="13:35" ht="15" customHeight="1" x14ac:dyDescent="0.35">
      <c r="M50" s="98" t="s">
        <v>3212</v>
      </c>
      <c r="N50" s="207">
        <v>49823.95</v>
      </c>
      <c r="O50" s="207">
        <v>363586097.25150657</v>
      </c>
      <c r="P50" s="207">
        <v>77992312.778548017</v>
      </c>
      <c r="Q50" s="527">
        <v>233956773</v>
      </c>
      <c r="R50" s="527">
        <v>0</v>
      </c>
      <c r="S50" s="207">
        <v>51637011</v>
      </c>
      <c r="T50" s="207">
        <v>285593784</v>
      </c>
      <c r="X50" s="98" t="s">
        <v>3212</v>
      </c>
      <c r="Y50" s="527">
        <v>233956773</v>
      </c>
      <c r="Z50" s="527">
        <v>0</v>
      </c>
      <c r="AA50" s="207">
        <v>51637011</v>
      </c>
      <c r="AB50" s="347">
        <f t="shared" si="4"/>
        <v>233956773</v>
      </c>
      <c r="AC50"/>
      <c r="AD50" s="558">
        <v>233956773</v>
      </c>
      <c r="AE50" s="558">
        <v>0</v>
      </c>
      <c r="AF50" s="558">
        <v>51637011</v>
      </c>
      <c r="AG50" s="556">
        <f t="shared" si="6"/>
        <v>0</v>
      </c>
      <c r="AH50" s="556">
        <f t="shared" si="7"/>
        <v>0</v>
      </c>
      <c r="AI50" s="569">
        <f t="shared" si="8"/>
        <v>0</v>
      </c>
    </row>
    <row r="51" spans="13:35" ht="15" customHeight="1" x14ac:dyDescent="0.35">
      <c r="M51" s="98" t="s">
        <v>3213</v>
      </c>
      <c r="N51" s="207">
        <v>56355.22</v>
      </c>
      <c r="O51" s="207">
        <v>347140688.99633199</v>
      </c>
      <c r="P51" s="207">
        <v>88216087.743823692</v>
      </c>
      <c r="Q51" s="527">
        <v>205952692</v>
      </c>
      <c r="R51" s="527">
        <v>0</v>
      </c>
      <c r="S51" s="207">
        <v>52971909</v>
      </c>
      <c r="T51" s="207">
        <v>258924601</v>
      </c>
      <c r="X51" s="98" t="s">
        <v>3213</v>
      </c>
      <c r="Y51" s="527">
        <v>205952692</v>
      </c>
      <c r="Z51" s="527">
        <v>0</v>
      </c>
      <c r="AA51" s="207">
        <v>52971909</v>
      </c>
      <c r="AB51" s="347">
        <f t="shared" si="4"/>
        <v>205952692</v>
      </c>
      <c r="AC51"/>
      <c r="AD51" s="559">
        <v>205952692</v>
      </c>
      <c r="AE51" s="559">
        <v>0</v>
      </c>
      <c r="AF51" s="559">
        <v>52971909</v>
      </c>
      <c r="AG51" s="556">
        <f t="shared" si="6"/>
        <v>0</v>
      </c>
      <c r="AH51" s="556">
        <f t="shared" si="7"/>
        <v>0</v>
      </c>
      <c r="AI51" s="569">
        <f t="shared" si="8"/>
        <v>0</v>
      </c>
    </row>
    <row r="52" spans="13:35" ht="15" customHeight="1" x14ac:dyDescent="0.35">
      <c r="M52" s="98" t="s">
        <v>304</v>
      </c>
      <c r="N52" s="207">
        <v>64521.18</v>
      </c>
      <c r="O52" s="207">
        <v>310780079.76264077</v>
      </c>
      <c r="P52" s="207">
        <v>100998737.58304985</v>
      </c>
      <c r="Q52" s="527">
        <v>161928427</v>
      </c>
      <c r="R52" s="527">
        <v>0</v>
      </c>
      <c r="S52" s="207">
        <v>47852915</v>
      </c>
      <c r="T52" s="207">
        <v>209781342</v>
      </c>
      <c r="X52" s="98" t="s">
        <v>304</v>
      </c>
      <c r="Y52" s="527">
        <v>161928427</v>
      </c>
      <c r="Z52" s="527">
        <v>0</v>
      </c>
      <c r="AA52" s="207">
        <v>47852915</v>
      </c>
      <c r="AB52" s="347">
        <f t="shared" si="4"/>
        <v>161928427</v>
      </c>
      <c r="AC52"/>
      <c r="AD52" s="558">
        <v>161928427</v>
      </c>
      <c r="AE52" s="558">
        <v>0</v>
      </c>
      <c r="AF52" s="558">
        <v>47852915</v>
      </c>
      <c r="AG52" s="556">
        <f>AD52-Y52</f>
        <v>0</v>
      </c>
      <c r="AH52" s="556">
        <f t="shared" si="7"/>
        <v>0</v>
      </c>
      <c r="AI52" s="569">
        <f t="shared" si="8"/>
        <v>0</v>
      </c>
    </row>
    <row r="53" spans="13:35" ht="15" customHeight="1" x14ac:dyDescent="0.35">
      <c r="M53" s="98" t="s">
        <v>128</v>
      </c>
      <c r="N53" s="207">
        <v>80668.7</v>
      </c>
      <c r="O53" s="207">
        <v>611842218.21872365</v>
      </c>
      <c r="P53" s="207">
        <v>126275385.26830684</v>
      </c>
      <c r="Q53" s="527">
        <v>399588947</v>
      </c>
      <c r="R53" s="527">
        <v>0</v>
      </c>
      <c r="S53" s="207">
        <v>85977886</v>
      </c>
      <c r="T53" s="207">
        <v>485566833</v>
      </c>
      <c r="X53" s="98" t="s">
        <v>128</v>
      </c>
      <c r="Y53" s="527">
        <v>399588947</v>
      </c>
      <c r="Z53" s="527">
        <v>0</v>
      </c>
      <c r="AA53" s="207">
        <v>85977886</v>
      </c>
      <c r="AB53" s="347">
        <f t="shared" si="4"/>
        <v>399588947</v>
      </c>
      <c r="AC53"/>
      <c r="AD53" s="559">
        <v>399588947</v>
      </c>
      <c r="AE53" s="559">
        <v>0</v>
      </c>
      <c r="AF53" s="559">
        <v>85977886</v>
      </c>
      <c r="AG53" s="556">
        <f t="shared" ref="AG53:AG61" si="9">AD53-Y53</f>
        <v>0</v>
      </c>
      <c r="AH53" s="556">
        <f t="shared" ref="AH53:AH61" si="10">AE53-Z53</f>
        <v>0</v>
      </c>
      <c r="AI53" s="569">
        <f t="shared" ref="AI53:AI61" si="11">AF53-AA53</f>
        <v>0</v>
      </c>
    </row>
    <row r="54" spans="13:35" ht="15" customHeight="1" x14ac:dyDescent="0.35">
      <c r="M54" s="98" t="s">
        <v>68</v>
      </c>
      <c r="N54" s="207">
        <v>19283.750000000007</v>
      </c>
      <c r="O54" s="207">
        <v>153677585.30258197</v>
      </c>
      <c r="P54" s="207">
        <v>30185970.031346891</v>
      </c>
      <c r="Q54" s="527">
        <v>102470722</v>
      </c>
      <c r="R54" s="527">
        <v>0</v>
      </c>
      <c r="S54" s="207">
        <v>21020893</v>
      </c>
      <c r="T54" s="207">
        <v>123491615</v>
      </c>
      <c r="X54" s="98" t="s">
        <v>68</v>
      </c>
      <c r="Y54" s="527">
        <v>102470722</v>
      </c>
      <c r="Z54" s="527">
        <v>0</v>
      </c>
      <c r="AA54" s="207">
        <v>21020893</v>
      </c>
      <c r="AB54" s="347">
        <f t="shared" si="4"/>
        <v>102470722</v>
      </c>
      <c r="AC54"/>
      <c r="AD54" s="558">
        <v>102470722</v>
      </c>
      <c r="AE54" s="558">
        <v>0</v>
      </c>
      <c r="AF54" s="558">
        <v>21020893</v>
      </c>
      <c r="AG54" s="556">
        <f t="shared" si="9"/>
        <v>0</v>
      </c>
      <c r="AH54" s="556">
        <f t="shared" si="10"/>
        <v>0</v>
      </c>
      <c r="AI54" s="569">
        <f t="shared" si="11"/>
        <v>0</v>
      </c>
    </row>
    <row r="55" spans="13:35" ht="15" customHeight="1" x14ac:dyDescent="0.35">
      <c r="M55" s="98" t="s">
        <v>129</v>
      </c>
      <c r="N55" s="207">
        <v>62864.27</v>
      </c>
      <c r="O55" s="207">
        <v>447269065.14480078</v>
      </c>
      <c r="P55" s="207">
        <v>98405080.456990913</v>
      </c>
      <c r="Q55" s="527">
        <v>285495098</v>
      </c>
      <c r="R55" s="527">
        <v>0</v>
      </c>
      <c r="S55" s="207">
        <v>63368887</v>
      </c>
      <c r="T55" s="207">
        <v>348863985</v>
      </c>
      <c r="X55" s="98" t="s">
        <v>129</v>
      </c>
      <c r="Y55" s="527">
        <v>285495098</v>
      </c>
      <c r="Z55" s="527">
        <v>0</v>
      </c>
      <c r="AA55" s="207">
        <v>63368887</v>
      </c>
      <c r="AB55" s="347">
        <f t="shared" si="4"/>
        <v>285495098</v>
      </c>
      <c r="AC55"/>
      <c r="AD55" s="559">
        <v>285495098</v>
      </c>
      <c r="AE55" s="559">
        <v>0</v>
      </c>
      <c r="AF55" s="559">
        <v>63368887</v>
      </c>
      <c r="AG55" s="556">
        <f t="shared" si="9"/>
        <v>0</v>
      </c>
      <c r="AH55" s="556">
        <f t="shared" si="10"/>
        <v>0</v>
      </c>
      <c r="AI55" s="569">
        <f t="shared" si="11"/>
        <v>0</v>
      </c>
    </row>
    <row r="56" spans="13:35" ht="15" customHeight="1" x14ac:dyDescent="0.35">
      <c r="M56" s="98" t="s">
        <v>130</v>
      </c>
      <c r="N56" s="207">
        <v>21922.880000000005</v>
      </c>
      <c r="O56" s="207">
        <v>178360809.32212818</v>
      </c>
      <c r="P56" s="207">
        <v>34317152.974956326</v>
      </c>
      <c r="Q56" s="527">
        <v>119663098</v>
      </c>
      <c r="R56" s="527">
        <v>0</v>
      </c>
      <c r="S56" s="207">
        <v>24380558</v>
      </c>
      <c r="T56" s="207">
        <v>144043656</v>
      </c>
      <c r="X56" s="98" t="s">
        <v>130</v>
      </c>
      <c r="Y56" s="527">
        <v>119663098</v>
      </c>
      <c r="Z56" s="527">
        <v>0</v>
      </c>
      <c r="AA56" s="207">
        <v>24380558</v>
      </c>
      <c r="AB56" s="347">
        <f t="shared" si="4"/>
        <v>119663098</v>
      </c>
      <c r="AC56"/>
      <c r="AD56" s="558">
        <v>119663098</v>
      </c>
      <c r="AE56" s="558">
        <v>0</v>
      </c>
      <c r="AF56" s="558">
        <v>24380558</v>
      </c>
      <c r="AG56" s="556">
        <f t="shared" si="9"/>
        <v>0</v>
      </c>
      <c r="AH56" s="556">
        <f t="shared" si="10"/>
        <v>0</v>
      </c>
      <c r="AI56" s="569">
        <f t="shared" si="11"/>
        <v>0</v>
      </c>
    </row>
    <row r="57" spans="13:35" ht="15" customHeight="1" x14ac:dyDescent="0.35">
      <c r="M57" s="98" t="s">
        <v>75</v>
      </c>
      <c r="N57" s="207">
        <v>35160.47</v>
      </c>
      <c r="O57" s="207">
        <v>233771383.41250512</v>
      </c>
      <c r="P57" s="207">
        <v>55038718.802518755</v>
      </c>
      <c r="Q57" s="527">
        <v>145435881</v>
      </c>
      <c r="R57" s="527">
        <v>0</v>
      </c>
      <c r="S57" s="207">
        <v>33296784</v>
      </c>
      <c r="T57" s="207">
        <v>178732665</v>
      </c>
      <c r="X57" s="98" t="s">
        <v>75</v>
      </c>
      <c r="Y57" s="527">
        <v>145435881</v>
      </c>
      <c r="Z57" s="527">
        <v>0</v>
      </c>
      <c r="AA57" s="207">
        <v>33296784</v>
      </c>
      <c r="AB57" s="347">
        <f t="shared" si="4"/>
        <v>145435881</v>
      </c>
      <c r="AC57"/>
      <c r="AD57" s="559">
        <v>145435881</v>
      </c>
      <c r="AE57" s="559">
        <v>0</v>
      </c>
      <c r="AF57" s="559">
        <v>33296784</v>
      </c>
      <c r="AG57" s="556">
        <f t="shared" si="9"/>
        <v>0</v>
      </c>
      <c r="AH57" s="556">
        <f t="shared" si="10"/>
        <v>0</v>
      </c>
      <c r="AI57" s="569">
        <f t="shared" si="11"/>
        <v>0</v>
      </c>
    </row>
    <row r="58" spans="13:35" ht="15" customHeight="1" x14ac:dyDescent="0.35">
      <c r="M58" s="98" t="s">
        <v>131</v>
      </c>
      <c r="N58" s="207">
        <v>48502.979999999996</v>
      </c>
      <c r="O58" s="207">
        <v>201943922.99200138</v>
      </c>
      <c r="P58" s="207">
        <v>75924521.978920951</v>
      </c>
      <c r="Q58" s="527">
        <v>91148553</v>
      </c>
      <c r="R58" s="527">
        <v>0</v>
      </c>
      <c r="S58" s="207">
        <v>34870848</v>
      </c>
      <c r="T58" s="207">
        <v>126019401</v>
      </c>
      <c r="X58" s="98" t="s">
        <v>131</v>
      </c>
      <c r="Y58" s="527">
        <v>91148553</v>
      </c>
      <c r="Z58" s="527">
        <v>0</v>
      </c>
      <c r="AA58" s="207">
        <v>34870848</v>
      </c>
      <c r="AB58" s="347">
        <f t="shared" si="4"/>
        <v>91148553</v>
      </c>
      <c r="AC58"/>
      <c r="AD58" s="558">
        <v>91148553</v>
      </c>
      <c r="AE58" s="558">
        <v>0</v>
      </c>
      <c r="AF58" s="558">
        <v>34870848</v>
      </c>
      <c r="AG58" s="556">
        <f t="shared" si="9"/>
        <v>0</v>
      </c>
      <c r="AH58" s="556">
        <f t="shared" si="10"/>
        <v>0</v>
      </c>
      <c r="AI58" s="569">
        <f t="shared" si="11"/>
        <v>0</v>
      </c>
    </row>
    <row r="59" spans="13:35" ht="15" customHeight="1" x14ac:dyDescent="0.35">
      <c r="M59" s="98" t="s">
        <v>78</v>
      </c>
      <c r="N59" s="207">
        <v>62580.600000000006</v>
      </c>
      <c r="O59" s="207">
        <v>402006018.10214835</v>
      </c>
      <c r="P59" s="207">
        <v>97961035.386981606</v>
      </c>
      <c r="Q59" s="527">
        <v>247443441</v>
      </c>
      <c r="R59" s="527">
        <v>0</v>
      </c>
      <c r="S59" s="207">
        <v>56601542</v>
      </c>
      <c r="T59" s="207">
        <v>304044983</v>
      </c>
      <c r="X59" s="98" t="s">
        <v>78</v>
      </c>
      <c r="Y59" s="527">
        <v>247443441</v>
      </c>
      <c r="Z59" s="527">
        <v>0</v>
      </c>
      <c r="AA59" s="207">
        <v>56601542</v>
      </c>
      <c r="AB59" s="347">
        <f t="shared" si="4"/>
        <v>247443441</v>
      </c>
      <c r="AC59"/>
      <c r="AD59" s="559">
        <v>247443441</v>
      </c>
      <c r="AE59" s="559">
        <v>0</v>
      </c>
      <c r="AF59" s="559">
        <v>56601542</v>
      </c>
      <c r="AG59" s="556">
        <f t="shared" si="9"/>
        <v>0</v>
      </c>
      <c r="AH59" s="556">
        <f t="shared" si="10"/>
        <v>0</v>
      </c>
      <c r="AI59" s="569">
        <f t="shared" si="11"/>
        <v>0</v>
      </c>
    </row>
    <row r="60" spans="13:35" ht="15" customHeight="1" thickBot="1" x14ac:dyDescent="0.4">
      <c r="M60" s="98" t="s">
        <v>81</v>
      </c>
      <c r="N60" s="207">
        <v>152081.22</v>
      </c>
      <c r="O60" s="207">
        <v>861219037.99119902</v>
      </c>
      <c r="P60" s="207">
        <v>238061536.22872478</v>
      </c>
      <c r="Q60" s="527">
        <v>488633659</v>
      </c>
      <c r="R60" s="527">
        <v>0</v>
      </c>
      <c r="S60" s="207">
        <v>134523843</v>
      </c>
      <c r="T60" s="207">
        <v>623157502</v>
      </c>
      <c r="X60" s="98" t="s">
        <v>81</v>
      </c>
      <c r="Y60" s="528">
        <v>488633659</v>
      </c>
      <c r="Z60" s="528">
        <v>0</v>
      </c>
      <c r="AA60" s="525">
        <v>134523843</v>
      </c>
      <c r="AB60" s="526">
        <f t="shared" si="4"/>
        <v>488633659</v>
      </c>
      <c r="AC60"/>
      <c r="AD60" s="560">
        <v>488633659</v>
      </c>
      <c r="AE60" s="560">
        <v>0</v>
      </c>
      <c r="AF60" s="560">
        <v>134523843</v>
      </c>
      <c r="AG60" s="556">
        <f t="shared" si="9"/>
        <v>0</v>
      </c>
      <c r="AH60" s="556">
        <f t="shared" si="10"/>
        <v>0</v>
      </c>
      <c r="AI60" s="569">
        <f t="shared" si="11"/>
        <v>0</v>
      </c>
    </row>
    <row r="61" spans="13:35" ht="15" customHeight="1" thickBot="1" x14ac:dyDescent="0.4">
      <c r="M61" s="98" t="s">
        <v>3214</v>
      </c>
      <c r="N61" s="207">
        <v>1275828.8999999999</v>
      </c>
      <c r="O61" s="207">
        <v>7716355181.9999828</v>
      </c>
      <c r="P61" s="207">
        <v>1997128822.9999998</v>
      </c>
      <c r="Q61" s="527">
        <v>4581365359</v>
      </c>
      <c r="R61" s="527">
        <v>1297705</v>
      </c>
      <c r="S61" s="207">
        <v>1137861000</v>
      </c>
      <c r="T61" s="207">
        <v>5720524064</v>
      </c>
      <c r="X61" s="98" t="s">
        <v>3214</v>
      </c>
      <c r="Y61" s="534">
        <v>4581365359</v>
      </c>
      <c r="Z61" s="534">
        <v>1297705</v>
      </c>
      <c r="AA61" s="523">
        <v>1137861000</v>
      </c>
      <c r="AB61" s="524">
        <f>SUM(Y61:Z61)</f>
        <v>4582663064</v>
      </c>
      <c r="AC61"/>
      <c r="AD61" s="561">
        <v>4581365359</v>
      </c>
      <c r="AE61" s="562">
        <v>1297705</v>
      </c>
      <c r="AF61" s="562">
        <v>1137861000</v>
      </c>
      <c r="AG61" s="570">
        <f t="shared" si="9"/>
        <v>0</v>
      </c>
      <c r="AH61" s="570">
        <f t="shared" si="10"/>
        <v>0</v>
      </c>
      <c r="AI61" s="571">
        <f t="shared" si="11"/>
        <v>0</v>
      </c>
    </row>
    <row r="62" spans="13:35" ht="15" customHeight="1" x14ac:dyDescent="0.35">
      <c r="AC62"/>
      <c r="AD62"/>
      <c r="AE62"/>
      <c r="AF62"/>
    </row>
    <row r="63" spans="13:35" ht="15" customHeight="1" x14ac:dyDescent="0.35">
      <c r="AC63"/>
      <c r="AD63"/>
      <c r="AE63"/>
      <c r="AF63"/>
    </row>
  </sheetData>
  <sheetProtection sheet="1" objects="1" scenarios="1"/>
  <mergeCells count="11">
    <mergeCell ref="V1:AA1"/>
    <mergeCell ref="C5:D5"/>
    <mergeCell ref="AL33:AN34"/>
    <mergeCell ref="AD33:AF34"/>
    <mergeCell ref="AP33:AR34"/>
    <mergeCell ref="AL4:AN5"/>
    <mergeCell ref="Y33:AA33"/>
    <mergeCell ref="AP4:AR5"/>
    <mergeCell ref="AH4:AJ5"/>
    <mergeCell ref="AH33:AJ34"/>
    <mergeCell ref="AC4:AF5"/>
  </mergeCells>
  <phoneticPr fontId="11" type="noConversion"/>
  <hyperlinks>
    <hyperlink ref="M35" r:id="rId5" xr:uid="{E009BC82-EDB1-4287-95D1-288500F18772}"/>
  </hyperlinks>
  <pageMargins left="0.75" right="0.75" top="1" bottom="1" header="0.5" footer="0.5"/>
  <pageSetup paperSize="9" scale="23" orientation="landscape" r:id="rId6"/>
  <headerFooter alignWithMargins="0"/>
  <ignoredErrors>
    <ignoredError sqref="Y9:Y30 AB39:AB61" formulaRange="1"/>
  </ignoredErrors>
  <legacyDrawing r:id="rId7"/>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tabColor rgb="FFFFCC99"/>
  </sheetPr>
  <dimension ref="A1:F93"/>
  <sheetViews>
    <sheetView topLeftCell="A61" workbookViewId="0">
      <selection activeCell="R27" sqref="R27"/>
    </sheetView>
  </sheetViews>
  <sheetFormatPr defaultColWidth="8.84375" defaultRowHeight="12.5" x14ac:dyDescent="0.35"/>
  <cols>
    <col min="1" max="1" width="8.07421875" style="34" customWidth="1"/>
    <col min="2" max="2" width="59" style="39" customWidth="1"/>
    <col min="3" max="3" width="12.84375" style="39" customWidth="1"/>
    <col min="4" max="4" width="55.53515625" style="39" customWidth="1"/>
    <col min="5" max="5" width="13.69140625" style="86" customWidth="1"/>
    <col min="6" max="6" width="60.69140625" style="39" customWidth="1"/>
    <col min="7" max="16384" width="8.84375" style="34"/>
  </cols>
  <sheetData>
    <row r="1" spans="1:6" ht="13" x14ac:dyDescent="0.35">
      <c r="A1" s="38" t="s">
        <v>2902</v>
      </c>
      <c r="D1" s="40"/>
      <c r="E1" s="83"/>
      <c r="F1" s="40"/>
    </row>
    <row r="2" spans="1:6" ht="13" x14ac:dyDescent="0.35">
      <c r="A2" s="41" t="s">
        <v>2903</v>
      </c>
      <c r="B2" s="42" t="s">
        <v>2904</v>
      </c>
      <c r="C2" s="42" t="s">
        <v>307</v>
      </c>
      <c r="D2" s="42" t="s">
        <v>2905</v>
      </c>
      <c r="E2" s="84" t="s">
        <v>309</v>
      </c>
      <c r="F2" s="42" t="s">
        <v>2906</v>
      </c>
    </row>
    <row r="3" spans="1:6" ht="26" x14ac:dyDescent="0.35">
      <c r="A3" s="43" t="s">
        <v>2907</v>
      </c>
      <c r="B3" s="44"/>
      <c r="C3" s="44"/>
      <c r="D3" s="44"/>
      <c r="E3" s="85"/>
      <c r="F3" s="44"/>
    </row>
    <row r="4" spans="1:6" ht="13" x14ac:dyDescent="0.35">
      <c r="A4" s="45"/>
      <c r="B4" s="40" t="s">
        <v>2909</v>
      </c>
      <c r="C4" s="40"/>
      <c r="D4" s="40" t="str">
        <f>VLOOKUP(B4,Translate!$B$3:$E$1399,3,FALSE)</f>
        <v>Ffurflen Gofynion y Gyllideb</v>
      </c>
      <c r="E4" s="83" t="str">
        <f>IF(ISERROR(VLOOKUP(C4,Translate!$B$3:$E$1254,3,FALSE)),"",VLOOKUP(C4,Translate!$B$3:$E$1254,3,FALSE))</f>
        <v/>
      </c>
      <c r="F4" s="39" t="str">
        <f>IF(FrontPage!$E$7=1,D4&amp;E4,B4&amp;C4)</f>
        <v>Budget Requirement Return</v>
      </c>
    </row>
    <row r="5" spans="1:6" ht="13" x14ac:dyDescent="0.35">
      <c r="A5" s="45"/>
      <c r="B5" s="40" t="s">
        <v>106</v>
      </c>
      <c r="C5" s="40"/>
      <c r="D5" s="40" t="str">
        <f>VLOOKUP(B5,Translate!$B$3:$E$1399,3,FALSE)</f>
        <v>Awdurdodau bilio yn unig</v>
      </c>
      <c r="E5" s="83"/>
      <c r="F5" s="39" t="str">
        <f>IF(FrontPage!$E$7=1,D5&amp;E5,B5&amp;C5)</f>
        <v>Billing authorities only</v>
      </c>
    </row>
    <row r="6" spans="1:6" ht="13" x14ac:dyDescent="0.35">
      <c r="A6" s="45"/>
      <c r="B6" s="40" t="s">
        <v>2662</v>
      </c>
      <c r="C6" s="40"/>
      <c r="D6" s="40" t="str">
        <f>VLOOKUP(B6,Translate!$B$3:$E$1399,3,FALSE)</f>
        <v>Dewiswch eich awdurdod a cywirwch eich cyfeiriad os oes angen</v>
      </c>
      <c r="E6" s="83" t="str">
        <f>IF(ISERROR(VLOOKUP(C6,Translate!$B$3:$E$1254,3,FALSE)),"",VLOOKUP(C6,Translate!$B$3:$E$1254,3,FALSE))</f>
        <v/>
      </c>
      <c r="F6" s="39" t="str">
        <f>IF(FrontPage!$E$7=1,D6&amp;E6,B6&amp;C6)</f>
        <v>Please select your authority and if necessary, amend any incorrect details</v>
      </c>
    </row>
    <row r="7" spans="1:6" x14ac:dyDescent="0.35">
      <c r="B7" s="39" t="s">
        <v>918</v>
      </c>
      <c r="D7" s="40" t="str">
        <f>VLOOKUP(B7,Translate!$B$3:$E$1399,3,FALSE)</f>
        <v>Enw:</v>
      </c>
      <c r="E7" s="83" t="str">
        <f>IF(ISERROR(VLOOKUP(C7,Translate!$B$3:$E$1254,3,FALSE)),"",VLOOKUP(C7,Translate!$B$3:$E$1254,3,FALSE))</f>
        <v/>
      </c>
      <c r="F7" s="39" t="str">
        <f>IF(FrontPage!$E$7=1,D7&amp;E7,B7&amp;C7)</f>
        <v>Name:</v>
      </c>
    </row>
    <row r="8" spans="1:6" x14ac:dyDescent="0.35">
      <c r="B8" s="39" t="s">
        <v>730</v>
      </c>
      <c r="D8" s="40" t="str">
        <f>VLOOKUP(B8,Translate!$B$3:$E$1399,3,FALSE)</f>
        <v>E-bost (rhowch Amh os nad yw ar gael):</v>
      </c>
      <c r="E8" s="83" t="str">
        <f>IF(ISERROR(VLOOKUP(C8,Translate!$B$3:$E$1254,3,FALSE)),"",VLOOKUP(C8,Translate!$B$3:$E$1254,3,FALSE))</f>
        <v/>
      </c>
      <c r="F8" s="39" t="str">
        <f>IF(FrontPage!$E$7=1,D8&amp;E8,B8&amp;C8)</f>
        <v>E-mail (please enter N/A if unavailable):</v>
      </c>
    </row>
    <row r="9" spans="1:6" x14ac:dyDescent="0.35">
      <c r="B9" s="39" t="s">
        <v>2684</v>
      </c>
      <c r="D9" s="40" t="str">
        <f>VLOOKUP(B9,Translate!$B$3:$E$1399,3,FALSE)</f>
        <v>Ffôn:</v>
      </c>
      <c r="E9" s="83" t="str">
        <f>IF(ISERROR(VLOOKUP(C9,Translate!$B$3:$E$1254,3,FALSE)),"",VLOOKUP(C9,Translate!$B$3:$E$1254,3,FALSE))</f>
        <v/>
      </c>
      <c r="F9" s="39" t="str">
        <f>IF(FrontPage!$E$7=1,D9&amp;E9,B9&amp;C9)</f>
        <v>Telephone:</v>
      </c>
    </row>
    <row r="10" spans="1:6" x14ac:dyDescent="0.35">
      <c r="B10" s="39" t="s">
        <v>984</v>
      </c>
      <c r="D10" s="40" t="str">
        <f>VLOOKUP(B10,Translate!$B$3:$E$1399,3,FALSE)</f>
        <v>Rhif ac estyniad:</v>
      </c>
      <c r="E10" s="83" t="str">
        <f>IF(ISERROR(VLOOKUP(C10,Translate!$B$3:$E$1254,3,FALSE)),"",VLOOKUP(C10,Translate!$B$3:$E$1254,3,FALSE))</f>
        <v/>
      </c>
      <c r="F10" s="39" t="str">
        <f>IF(FrontPage!$E$7=1,D10&amp;E10,B10&amp;C10)</f>
        <v>Number and extension:</v>
      </c>
    </row>
    <row r="11" spans="1:6" ht="25" x14ac:dyDescent="0.35">
      <c r="B11" s="64" t="s">
        <v>2911</v>
      </c>
      <c r="D11" s="40" t="str">
        <f>VLOOKUP(B11,Translate!$B$3:$E$1399,3,FALSE)</f>
        <v>Rhaid cyflwyno'r wybodaeth ar y ffurflen hon o dan adran 64 o Ddeddf Cyllid Llywodraeth Leol 1992, fel y'i diwygiwyd.</v>
      </c>
      <c r="E11" s="83" t="str">
        <f>IF(ISERROR(VLOOKUP(C11,Translate!$B$3:$E$1254,3,FALSE)),"",VLOOKUP(C11,Translate!$B$3:$E$1254,3,FALSE))</f>
        <v/>
      </c>
      <c r="F11" s="39" t="str">
        <f>IF(FrontPage!$E$7=1,D11&amp;E11,B11&amp;C11)</f>
        <v>The information on this form must be submitted under section 64 of the Local Government Finance Act 1992, as amended.</v>
      </c>
    </row>
    <row r="12" spans="1:6" x14ac:dyDescent="0.35">
      <c r="B12" s="39" t="s">
        <v>2910</v>
      </c>
      <c r="D12" s="40" t="str">
        <f>VLOOKUP(B12,Translate!$B$3:$E$1399,3,FALSE)</f>
        <v xml:space="preserve">Rhaid dychwelyd y ffurflen hon o fewn 7 diwrnod i gyfrifo Gofynion y Gyllideb. </v>
      </c>
      <c r="E12" s="83" t="str">
        <f>IF(ISERROR(VLOOKUP(C12,Translate!$B$3:$E$1254,3,FALSE)),"",VLOOKUP(C12,Translate!$B$3:$E$1254,3,FALSE))</f>
        <v/>
      </c>
      <c r="F12" s="39" t="str">
        <f>IF(FrontPage!$E$7=1,D12&amp;E12,B12&amp;C12)</f>
        <v>This form must be returned within 7 days of calculating your Budget Requirement.</v>
      </c>
    </row>
    <row r="13" spans="1:6" x14ac:dyDescent="0.35">
      <c r="B13" s="39" t="s">
        <v>2943</v>
      </c>
      <c r="D13" s="40" t="str">
        <f>VLOOKUP(B13,Translate!$B$3:$E$1399,3,FALSE)</f>
        <v>Y dyddiad hwyraf ar gyfer dychwelyd yw</v>
      </c>
      <c r="E13" s="83" t="str">
        <f>IF(ISERROR(VLOOKUP(C13,Translate!$B$3:$E$1254,3,FALSE)),"",VLOOKUP(C13,Translate!$B$3:$E$1254,3,FALSE))</f>
        <v/>
      </c>
      <c r="F13" s="39" t="str">
        <f>IF(FrontPage!$E$7=1,D13&amp;E13,B13&amp;C13)</f>
        <v>The latest date for return is</v>
      </c>
    </row>
    <row r="14" spans="1:6" ht="24.75" customHeight="1" x14ac:dyDescent="0.35">
      <c r="B14" s="39" t="s">
        <v>2812</v>
      </c>
      <c r="D14" s="40" t="str">
        <f>VLOOKUP(B14,Translate!$B$3:$E$1399,3,FALSE)</f>
        <v>Dylech gyfeirio unrhyw ymholiadau ynghylch sut i gwblhau'r ffurflen, yn y lle cyntaf, drwy ffon neu e-bost, gan ddilyn y cyfarwyddyd isod:</v>
      </c>
      <c r="E14" s="83" t="str">
        <f>IF(ISERROR(VLOOKUP(C14,Translate!$B$3:$E$1254,3,FALSE)),"",VLOOKUP(C14,Translate!$B$3:$E$1254,3,FALSE))</f>
        <v/>
      </c>
      <c r="F14" s="39" t="str">
        <f>IF(FrontPage!$E$7=1,D14&amp;E14,B14&amp;C14)</f>
        <v>Any queries on completion of the form or spreadsheet should be directed in the first instance, via telephone or e-mail, as directed below:</v>
      </c>
    </row>
    <row r="15" spans="1:6" ht="37.5" x14ac:dyDescent="0.35">
      <c r="B15" s="39" t="s">
        <v>357</v>
      </c>
      <c r="D15" s="40" t="str">
        <f>VLOOKUP(B15,Translate!$B$3:$E$1399,3,FALSE)</f>
        <v>Mae'n un o ofynion archwiliadau Llywodraeth Cymru fod pob cell yn cael ei llenwi. Gwnewch yn siŵr fod sero ym mhob cell wag. Cymerir yn ganiataol mai sero yw gwerth pob cell sydd heb ei llenwi.</v>
      </c>
      <c r="E15" s="83" t="str">
        <f>IF(ISERROR(VLOOKUP(C15,Translate!$B$3:$E$1254,3,FALSE)),"",VLOOKUP(C15,Translate!$B$3:$E$1254,3,FALSE))</f>
        <v/>
      </c>
      <c r="F15" s="39" t="str">
        <f>IF(FrontPage!$E$7=1,D15&amp;E15,B15&amp;C15)</f>
        <v>It is a Welsh Government audit requirement that all cells are completed.  Please ensure that all blank cells are populated with zeros, those that are not will be assumed to be zero.</v>
      </c>
    </row>
    <row r="16" spans="1:6" s="46" customFormat="1" x14ac:dyDescent="0.35">
      <c r="B16" s="46" t="s">
        <v>898</v>
      </c>
      <c r="D16" s="40" t="str">
        <f>VLOOKUP(B16,Translate!$B$3:$E$1399,3,FALSE)</f>
        <v>Uned Ystadegau Ariannol Llywodraeth Leol,</v>
      </c>
      <c r="E16" s="83" t="str">
        <f>IF(ISERROR(VLOOKUP(C16,Translate!$B$3:$E$1254,3,FALSE)),"",VLOOKUP(C16,Translate!$B$3:$E$1254,3,FALSE))</f>
        <v/>
      </c>
      <c r="F16" s="39" t="str">
        <f>IF(FrontPage!$E$7=1,D16&amp;E16,B16&amp;C16)</f>
        <v>Local Government Financial Statistics Unit,</v>
      </c>
    </row>
    <row r="17" spans="1:6" s="46" customFormat="1" x14ac:dyDescent="0.35">
      <c r="B17" s="46" t="s">
        <v>372</v>
      </c>
      <c r="D17" s="40" t="str">
        <f>VLOOKUP(B17,Translate!$B$3:$E$1399,3,FALSE)</f>
        <v>Llywodraeth Cymru,</v>
      </c>
      <c r="E17" s="83" t="str">
        <f>IF(ISERROR(VLOOKUP(C17,Translate!$B$3:$E$1254,3,FALSE)),"",VLOOKUP(C17,Translate!$B$3:$E$1254,3,FALSE))</f>
        <v/>
      </c>
      <c r="F17" s="39" t="str">
        <f>IF(FrontPage!$E$7=1,D17&amp;E17,B17&amp;C17)</f>
        <v>Welsh Government,</v>
      </c>
    </row>
    <row r="18" spans="1:6" s="46" customFormat="1" x14ac:dyDescent="0.35">
      <c r="B18" s="46" t="s">
        <v>2679</v>
      </c>
      <c r="D18" s="40" t="s">
        <v>2679</v>
      </c>
      <c r="E18" s="83" t="str">
        <f>IF(ISERROR(VLOOKUP(C18,Translate!$B$3:$E$1254,3,FALSE)),"",VLOOKUP(C18,Translate!$B$3:$E$1254,3,FALSE))</f>
        <v/>
      </c>
      <c r="F18" s="39" t="str">
        <f>IF(FrontPage!$E$7=1,D18&amp;E18,B18&amp;C18)</f>
        <v>CP2</v>
      </c>
    </row>
    <row r="19" spans="1:6" s="46" customFormat="1" x14ac:dyDescent="0.35">
      <c r="B19" s="46" t="s">
        <v>377</v>
      </c>
      <c r="D19" s="40" t="str">
        <f>VLOOKUP(B19,Translate!$B$3:$E$1399,3,FALSE)</f>
        <v>Parc Cathays,</v>
      </c>
      <c r="E19" s="83" t="str">
        <f>IF(ISERROR(VLOOKUP(C19,Translate!$B$3:$E$1254,3,FALSE)),"",VLOOKUP(C19,Translate!$B$3:$E$1254,3,FALSE))</f>
        <v/>
      </c>
      <c r="F19" s="39" t="str">
        <f>IF(FrontPage!$E$7=1,D19&amp;E19,B19&amp;C19)</f>
        <v>Cathays Park,</v>
      </c>
    </row>
    <row r="20" spans="1:6" s="46" customFormat="1" x14ac:dyDescent="0.35">
      <c r="B20" s="46" t="s">
        <v>382</v>
      </c>
      <c r="D20" s="40" t="str">
        <f>VLOOKUP(B20,Translate!$B$3:$E$1399,3,FALSE)</f>
        <v>CAERDYDD</v>
      </c>
      <c r="E20" s="83" t="str">
        <f>IF(ISERROR(VLOOKUP(C20,Translate!$B$3:$E$1254,3,FALSE)),"",VLOOKUP(C20,Translate!$B$3:$E$1254,3,FALSE))</f>
        <v/>
      </c>
      <c r="F20" s="39" t="str">
        <f>IF(FrontPage!$E$7=1,D20&amp;E20,B20&amp;C20)</f>
        <v>CARDIFF,</v>
      </c>
    </row>
    <row r="21" spans="1:6" s="46" customFormat="1" x14ac:dyDescent="0.35">
      <c r="B21" s="46" t="s">
        <v>386</v>
      </c>
      <c r="D21" s="40" t="str">
        <f>VLOOKUP(B21,Translate!$B$3:$E$1399,3,FALSE)</f>
        <v>CF10 3NQ</v>
      </c>
      <c r="E21" s="83" t="str">
        <f>IF(ISERROR(VLOOKUP(C21,Translate!$B$3:$E$1254,3,FALSE)),"",VLOOKUP(C21,Translate!$B$3:$E$1254,3,FALSE))</f>
        <v/>
      </c>
      <c r="F21" s="39" t="str">
        <f>IF(FrontPage!$E$7=1,D21&amp;E21,B21&amp;C21)</f>
        <v>CF10 3NQ.</v>
      </c>
    </row>
    <row r="22" spans="1:6" s="46" customFormat="1" x14ac:dyDescent="0.35">
      <c r="B22" s="46" t="s">
        <v>2682</v>
      </c>
      <c r="D22" s="40" t="str">
        <f>VLOOKUP(B22,Translate!$B$3:$E$1399,3,FALSE)</f>
        <v>E-bost:</v>
      </c>
      <c r="E22" s="83" t="str">
        <f>IF(ISERROR(VLOOKUP(C22,Translate!$B$3:$E$1254,3,FALSE)),"",VLOOKUP(C22,Translate!$B$3:$E$1254,3,FALSE))</f>
        <v/>
      </c>
      <c r="F22" s="39" t="str">
        <f>IF(FrontPage!$E$7=1,D22&amp;E22,B22&amp;C22)</f>
        <v>E-mail:</v>
      </c>
    </row>
    <row r="23" spans="1:6" x14ac:dyDescent="0.35">
      <c r="B23" s="39" t="s">
        <v>2684</v>
      </c>
      <c r="D23" s="40" t="str">
        <f>VLOOKUP(B23,Translate!$B$3:$E$1399,3,FALSE)</f>
        <v>Ffôn:</v>
      </c>
      <c r="E23" s="83" t="str">
        <f>IF(ISERROR(VLOOKUP(C23,Translate!$B$3:$E$1254,3,FALSE)),"",VLOOKUP(C23,Translate!$B$3:$E$1254,3,FALSE))</f>
        <v/>
      </c>
      <c r="F23" s="39" t="str">
        <f>IF(FrontPage!$E$7=1,D23&amp;E23,B23&amp;C23)</f>
        <v>Telephone:</v>
      </c>
    </row>
    <row r="24" spans="1:6" x14ac:dyDescent="0.35">
      <c r="B24" s="39" t="s">
        <v>298</v>
      </c>
      <c r="D24" s="40" t="str">
        <f>VLOOKUP(B24,Translate!$B$3:$E$1399,3,FALSE)</f>
        <v>Cod</v>
      </c>
      <c r="E24" s="83" t="str">
        <f>IF(ISERROR(VLOOKUP(C24,Translate!$B$3:$E$1254,3,FALSE)),"",VLOOKUP(C24,Translate!$B$3:$E$1254,3,FALSE))</f>
        <v/>
      </c>
      <c r="F24" s="39" t="str">
        <f>IF(FrontPage!$E$7=1,D24&amp;E24,B24&amp;C24)</f>
        <v>Code</v>
      </c>
    </row>
    <row r="25" spans="1:6" x14ac:dyDescent="0.35">
      <c r="B25" s="39" t="s">
        <v>289</v>
      </c>
      <c r="D25" s="40" t="str">
        <f>VLOOKUP(B25,Translate!$B$3:$E$1399,3,FALSE)</f>
        <v>Awdurdod</v>
      </c>
      <c r="E25" s="83" t="str">
        <f>IF(ISERROR(VLOOKUP(C25,Translate!$B$3:$E$1254,3,FALSE)),"",VLOOKUP(C25,Translate!$B$3:$E$1254,3,FALSE))</f>
        <v/>
      </c>
      <c r="F25" s="39" t="str">
        <f>IF(FrontPage!$E$7=1,D25&amp;E25,B25&amp;C25)</f>
        <v>Authority</v>
      </c>
    </row>
    <row r="26" spans="1:6" ht="13" x14ac:dyDescent="0.35">
      <c r="A26" s="170" t="s">
        <v>1</v>
      </c>
      <c r="B26" s="48"/>
      <c r="C26" s="48"/>
      <c r="D26" s="40"/>
      <c r="E26" s="83" t="str">
        <f>IF(ISERROR(VLOOKUP(C26,Translate!$B$3:$E$1254,3,FALSE)),"",VLOOKUP(C26,Translate!$B$3:$E$1254,3,FALSE))</f>
        <v/>
      </c>
    </row>
    <row r="27" spans="1:6" x14ac:dyDescent="0.35">
      <c r="B27" s="34" t="s">
        <v>9</v>
      </c>
      <c r="D27" s="40" t="str">
        <f>VLOOKUP(B27,Translate!$B$3:$E$1399,3,FALSE)</f>
        <v>Gwariant ac incwm</v>
      </c>
      <c r="E27" s="83" t="str">
        <f>IF(ISERROR(VLOOKUP(C27,Translate!$B$3:$E$1254,3,FALSE)),"",VLOOKUP(C27,Translate!$B$3:$E$1254,3,FALSE))</f>
        <v/>
      </c>
      <c r="F27" s="39" t="str">
        <f>IF(FrontPage!$E$7=1,D27&amp;E27,B27&amp;C27)</f>
        <v>Expenditure and income</v>
      </c>
    </row>
    <row r="28" spans="1:6" x14ac:dyDescent="0.35">
      <c r="A28" s="34">
        <v>15</v>
      </c>
      <c r="B28" s="39" t="s">
        <v>163</v>
      </c>
      <c r="D28" s="40" t="str">
        <f>VLOOKUP(B28,Translate!$B$3:$E$1399,3,FALSE)</f>
        <v>Praeseptiau cyngor cymunedol</v>
      </c>
      <c r="E28" s="83" t="str">
        <f>IF(ISERROR(VLOOKUP(C28,Translate!$B$3:$E$1254,3,FALSE)),"",VLOOKUP(C28,Translate!$B$3:$E$1254,3,FALSE))</f>
        <v/>
      </c>
      <c r="F28" s="39" t="str">
        <f>IF(FrontPage!$E$7=1,D28&amp;E28,B28&amp;C28)</f>
        <v>Community council precepts</v>
      </c>
    </row>
    <row r="29" spans="1:6" x14ac:dyDescent="0.35">
      <c r="A29" s="34">
        <v>17</v>
      </c>
      <c r="B29" s="39" t="s">
        <v>2965</v>
      </c>
      <c r="D29" s="40" t="str">
        <f>VLOOKUP(B29,Translate!$B$3:$E$1399,3,FALSE)</f>
        <v>Gofyniad cyllidebol</v>
      </c>
      <c r="E29" s="83" t="str">
        <f>IF(ISERROR(VLOOKUP(C29,Translate!$B$3:$E$1254,3,FALSE)),"",VLOOKUP(C29,Translate!$B$3:$E$1254,3,FALSE))</f>
        <v/>
      </c>
      <c r="F29" s="39" t="str">
        <f>IF(FrontPage!$E$7=1,D29&amp;E29,B29&amp;C29)</f>
        <v>Budget requirement</v>
      </c>
    </row>
    <row r="30" spans="1:6" x14ac:dyDescent="0.35">
      <c r="A30" s="34">
        <v>1</v>
      </c>
      <c r="B30" s="39" t="s">
        <v>2965</v>
      </c>
      <c r="D30" s="40" t="str">
        <f>VLOOKUP(B30,Translate!$B$3:$E$1399,3,FALSE)</f>
        <v>Gofyniad cyllidebol</v>
      </c>
      <c r="E30" s="34"/>
      <c r="F30" s="39" t="str">
        <f>IF(FrontPage!$E$7=1,D30&amp;E30,B30&amp;C30)</f>
        <v>Budget requirement</v>
      </c>
    </row>
    <row r="31" spans="1:6" x14ac:dyDescent="0.35">
      <c r="A31" s="34">
        <v>2</v>
      </c>
      <c r="B31" s="39" t="s">
        <v>2</v>
      </c>
      <c r="D31" s="40" t="str">
        <f>VLOOKUP(B31,Translate!$B$3:$E$1399,3,FALSE)</f>
        <v>Rhyddhad ardrethi annomestig dewisiol</v>
      </c>
      <c r="E31" s="83" t="str">
        <f>IF(ISERROR(VLOOKUP(C31,Translate!$B$3:$E$1254,3,FALSE)),"",VLOOKUP(C31,Translate!$B$3:$E$1254,3,FALSE))</f>
        <v/>
      </c>
      <c r="F31" s="39" t="str">
        <f>IF(FrontPage!$E$7=1,D31&amp;E31,B31&amp;C31)</f>
        <v>Discretionary non-domestic rate relief</v>
      </c>
    </row>
    <row r="32" spans="1:6" x14ac:dyDescent="0.35">
      <c r="A32" s="34">
        <v>3</v>
      </c>
      <c r="B32" s="39" t="s">
        <v>3</v>
      </c>
      <c r="D32" s="40" t="str">
        <f>VLOOKUP(B32,Translate!$B$3:$E$1399,3,FALSE)</f>
        <v>Ail-ddosbarthu ardrethi annomestig</v>
      </c>
      <c r="E32" s="83" t="str">
        <f>IF(ISERROR(VLOOKUP(C32,Translate!$B$3:$E$1254,3,FALSE)),"",VLOOKUP(C32,Translate!$B$3:$E$1254,3,FALSE))</f>
        <v/>
      </c>
      <c r="F32" s="39" t="str">
        <f>IF(FrontPage!$E$7=1,D32&amp;E32,B32&amp;C32)</f>
        <v>Re-distributed non-domestic rates</v>
      </c>
    </row>
    <row r="33" spans="1:6" x14ac:dyDescent="0.35">
      <c r="A33" s="34">
        <v>4</v>
      </c>
      <c r="B33" s="39" t="s">
        <v>3123</v>
      </c>
      <c r="D33" s="40" t="str">
        <f>VLOOKUP(B33,Translate!$B$3:$E$1399,3,FALSE)</f>
        <v>Grant cynnal refeniw (gan gynnwys cyllido gwaelodol)</v>
      </c>
      <c r="E33" s="83" t="str">
        <f>IF(ISERROR(VLOOKUP(C33,Translate!$B$3:$E$1254,3,FALSE)),"",VLOOKUP(C33,Translate!$B$3:$E$1254,3,FALSE))</f>
        <v/>
      </c>
      <c r="F33" s="39" t="str">
        <f>IF(FrontPage!$E$7=1,D33&amp;E33,B33&amp;C33)</f>
        <v>Revenue support grant (including floor funding)</v>
      </c>
    </row>
    <row r="34" spans="1:6" x14ac:dyDescent="0.35">
      <c r="A34" s="34">
        <v>19</v>
      </c>
      <c r="B34" s="39" t="s">
        <v>2961</v>
      </c>
      <c r="C34" s="39" t="s">
        <v>2948</v>
      </c>
      <c r="D34" s="40" t="str">
        <f>VLOOKUP(B34,Translate!$B$3:$E$1399,3,FALSE)</f>
        <v>Cyfanswm cymorth llywodraeth ganolog (wedi cyfrifo)</v>
      </c>
      <c r="E34" s="83" t="s">
        <v>2985</v>
      </c>
      <c r="F34" s="39" t="str">
        <f>IF(FrontPage!$E$7=1,D34&amp;E34,B34&amp;C34)</f>
        <v>Total Central government support (calculated) (Lines 3 + 4)</v>
      </c>
    </row>
    <row r="35" spans="1:6" ht="25" x14ac:dyDescent="0.35">
      <c r="A35" s="34">
        <v>5</v>
      </c>
      <c r="B35" s="39" t="s">
        <v>2949</v>
      </c>
      <c r="C35" s="39" t="s">
        <v>2950</v>
      </c>
      <c r="D35" s="40" t="str">
        <f>VLOOKUP(B35,Translate!$B$3:$E$1399,3,FALSE)</f>
        <v>Swm i'w casglu o'r dreth gyngor</v>
      </c>
      <c r="E35" s="83" t="s">
        <v>2986</v>
      </c>
      <c r="F35" s="39" t="str">
        <f>IF(FrontPage!$E$7=1,D35&amp;E35,B35&amp;C35)</f>
        <v>Amount to be collected from the council tax (Lines 1 + 2 - 19)</v>
      </c>
    </row>
    <row r="36" spans="1:6" x14ac:dyDescent="0.35">
      <c r="A36" s="34">
        <v>16</v>
      </c>
      <c r="B36" s="39" t="s">
        <v>3016</v>
      </c>
      <c r="D36" s="40" t="str">
        <f>VLOOKUP(B36,Translate!$B$3:$E$1399,3,FALSE)</f>
        <v>Praesept awdurdod yr heddlu</v>
      </c>
      <c r="E36" s="83" t="str">
        <f>IF(ISERROR(VLOOKUP(C36,Translate!$B$3:$E$1254,3,FALSE)),"",VLOOKUP(C36,Translate!$B$3:$E$1254,3,FALSE))</f>
        <v/>
      </c>
      <c r="F36" s="39" t="str">
        <f>IF(FrontPage!$E$7=1,D36&amp;E36,B36&amp;C36)</f>
        <v>Police authority precept</v>
      </c>
    </row>
    <row r="37" spans="1:6" x14ac:dyDescent="0.35">
      <c r="B37" s="34" t="s">
        <v>6</v>
      </c>
      <c r="D37" s="40" t="str">
        <f>VLOOKUP(B37,Translate!$B$3:$E$1399,3,FALSE)</f>
        <v>Anheddau cyfwerth â Band D</v>
      </c>
      <c r="E37" s="83" t="str">
        <f>IF(ISERROR(VLOOKUP(C37,Translate!$B$3:$E$1254,3,FALSE)),"",VLOOKUP(C37,Translate!$B$3:$E$1254,3,FALSE))</f>
        <v/>
      </c>
      <c r="F37" s="39" t="str">
        <f>IF(FrontPage!$E$7=1,D37&amp;E37,B37&amp;C37)</f>
        <v>Band D equivalent dwellings</v>
      </c>
    </row>
    <row r="38" spans="1:6" ht="12.75" customHeight="1" x14ac:dyDescent="0.35">
      <c r="A38" s="34">
        <v>6</v>
      </c>
      <c r="B38" s="39" t="s">
        <v>3274</v>
      </c>
      <c r="C38" s="39" t="s">
        <v>3273</v>
      </c>
      <c r="D38" s="40" t="str">
        <f>VLOOKUP(B38,Translate!$B$3:$E$1399,3,FALSE)</f>
        <v xml:space="preserve">Sylfaen y dreth gyngor cyn addasiad gyfradd casglu (addasadwy, </v>
      </c>
      <c r="E38" s="83" t="s">
        <v>3277</v>
      </c>
      <c r="F38" s="39" t="str">
        <f>IF(FrontPage!$E$7=1,D38&amp;E38,B38&amp;C38)</f>
        <v>Council tax base before collection rate adjustment (adjustable, 2 decimal places)</v>
      </c>
    </row>
    <row r="39" spans="1:6" ht="12.75" customHeight="1" x14ac:dyDescent="0.35">
      <c r="A39" s="34">
        <v>7</v>
      </c>
      <c r="B39" s="39" t="s">
        <v>3275</v>
      </c>
      <c r="C39" s="39" t="s">
        <v>3273</v>
      </c>
      <c r="D39" s="40" t="str">
        <f>VLOOKUP(B39,Translate!$B$3:$E$1399,3,FALSE)</f>
        <v>Cyfradd gasglu dybiedig (addasadwy,</v>
      </c>
      <c r="E39" s="83" t="s">
        <v>3277</v>
      </c>
      <c r="F39" s="39" t="str">
        <f>IF(FrontPage!$E$7=1,D39&amp;E39,B39&amp;C39)</f>
        <v>Collection rate assumed (adjustable, 2 decimal places)</v>
      </c>
    </row>
    <row r="40" spans="1:6" ht="12.75" customHeight="1" x14ac:dyDescent="0.35">
      <c r="A40" s="34">
        <v>8</v>
      </c>
      <c r="B40" s="39" t="s">
        <v>3276</v>
      </c>
      <c r="C40" s="39" t="s">
        <v>3273</v>
      </c>
      <c r="D40" s="40" t="str">
        <f>VLOOKUP(B40,Translate!$B$3:$E$1399,3,FALSE)</f>
        <v>Anheddau Dosbarth O wedi'u heithrio (addasadwy,</v>
      </c>
      <c r="E40" s="83" t="s">
        <v>3277</v>
      </c>
      <c r="F40" s="39" t="str">
        <f>IF(FrontPage!$E$7=1,D40&amp;E40,B40&amp;C40)</f>
        <v>Class O exempt dwellings (adjustable, 2 decimal places)</v>
      </c>
    </row>
    <row r="41" spans="1:6" x14ac:dyDescent="0.35">
      <c r="A41" s="34">
        <v>9</v>
      </c>
      <c r="B41" s="39" t="s">
        <v>2951</v>
      </c>
      <c r="C41" s="39" t="s">
        <v>2983</v>
      </c>
      <c r="D41" s="40" t="str">
        <f>VLOOKUP(B41,Translate!$B$3:$E$1399,3,FALSE)</f>
        <v>Sylfaen y dreth gyngor at ddiben pennu'r dreth</v>
      </c>
      <c r="E41" s="83" t="s">
        <v>2987</v>
      </c>
      <c r="F41" s="39" t="str">
        <f>IF(FrontPage!$E$7=1,D41&amp;E41,B41&amp;C41)</f>
        <v>Council tax base for tax-setting purposes (lines 6 x 7 + 8)</v>
      </c>
    </row>
    <row r="42" spans="1:6" x14ac:dyDescent="0.35">
      <c r="B42" s="34" t="s">
        <v>7</v>
      </c>
      <c r="D42" s="40" t="str">
        <f>VLOOKUP(B42,Translate!$B$3:$E$1399,3,FALSE)</f>
        <v>£ am bob annedd cyfwerth â Band D</v>
      </c>
      <c r="E42" s="83" t="str">
        <f>IF(ISERROR(VLOOKUP(C42,Translate!$B$3:$E$1254,3,FALSE)),"",VLOOKUP(C42,Translate!$B$3:$E$1254,3,FALSE))</f>
        <v/>
      </c>
      <c r="F42" s="39" t="str">
        <f>IF(FrontPage!$E$7=1,D42&amp;E42,B42&amp;C42)</f>
        <v>£ per band D equivalent dwelling</v>
      </c>
    </row>
    <row r="43" spans="1:6" x14ac:dyDescent="0.35">
      <c r="A43" s="34">
        <v>22</v>
      </c>
      <c r="B43" s="39" t="s">
        <v>2952</v>
      </c>
      <c r="C43" s="39" t="s">
        <v>2953</v>
      </c>
      <c r="D43" s="40" t="str">
        <f>VLOOKUP(B43,Translate!$B$3:$E$1399,3,FALSE)</f>
        <v>Y dreth gyngor heb gynnwys praeseptau cynghorau cymuned</v>
      </c>
      <c r="E43" s="83" t="s">
        <v>2988</v>
      </c>
      <c r="F43" s="39" t="str">
        <f>IF(FrontPage!$E$7=1,D43&amp;E43,B43&amp;C43)</f>
        <v>Council tax excluding community council precepts  (line 10 - 23)</v>
      </c>
    </row>
    <row r="44" spans="1:6" x14ac:dyDescent="0.35">
      <c r="A44" s="34">
        <v>23</v>
      </c>
      <c r="B44" s="39" t="s">
        <v>163</v>
      </c>
      <c r="C44" s="39" t="s">
        <v>2954</v>
      </c>
      <c r="D44" s="40" t="str">
        <f>VLOOKUP(B44,Translate!$B$3:$E$1399,3,FALSE)</f>
        <v>Praeseptiau cyngor cymunedol</v>
      </c>
      <c r="E44" s="83" t="s">
        <v>2989</v>
      </c>
      <c r="F44" s="39" t="str">
        <f>IF(FrontPage!$E$7=1,D44&amp;E44,B44&amp;C44)</f>
        <v>Community council precepts (line 15 / line 9)</v>
      </c>
    </row>
    <row r="45" spans="1:6" x14ac:dyDescent="0.35">
      <c r="A45" s="34">
        <v>10</v>
      </c>
      <c r="B45" s="39" t="s">
        <v>2955</v>
      </c>
      <c r="C45" s="39" t="s">
        <v>2956</v>
      </c>
      <c r="D45" s="40" t="str">
        <f>VLOOKUP(B45,Translate!$B$3:$E$1399,3,FALSE)</f>
        <v>Y dreth gyngor a gyfrifwyd o dan adran 33</v>
      </c>
      <c r="E45" s="83" t="s">
        <v>2990</v>
      </c>
      <c r="F45" s="39" t="str">
        <f>IF(FrontPage!$E$7=1,D45&amp;E45,B45&amp;C45)</f>
        <v>Council tax calculated under s33  (line 5 / line 9)</v>
      </c>
    </row>
    <row r="46" spans="1:6" x14ac:dyDescent="0.35">
      <c r="A46" s="34">
        <v>11</v>
      </c>
      <c r="B46" s="39" t="s">
        <v>2957</v>
      </c>
      <c r="C46" s="39" t="s">
        <v>2958</v>
      </c>
      <c r="D46" s="40" t="str">
        <f>VLOOKUP(B46,Translate!$B$3:$E$1399,3,FALSE)</f>
        <v>Treth gyngor awdurdod yr heddlu yn ardal yr awdurdod bilio</v>
      </c>
      <c r="E46" s="83" t="s">
        <v>2991</v>
      </c>
      <c r="F46" s="39" t="str">
        <f>IF(FrontPage!$E$7=1,D46&amp;E46,B46&amp;C46)</f>
        <v>Council tax of police authority in billing authority's area  (line 16 / line 9)</v>
      </c>
    </row>
    <row r="47" spans="1:6" x14ac:dyDescent="0.35">
      <c r="A47" s="34">
        <v>12</v>
      </c>
      <c r="B47" s="39" t="s">
        <v>2959</v>
      </c>
      <c r="C47" s="39" t="s">
        <v>2960</v>
      </c>
      <c r="D47" s="40" t="str">
        <f>VLOOKUP(B47,Translate!$B$3:$E$1399,3,FALSE)</f>
        <v>Y dreth gyngor gyfartalog ar gyfer ardal awdurdod bilio</v>
      </c>
      <c r="E47" s="83" t="s">
        <v>2992</v>
      </c>
      <c r="F47" s="39" t="str">
        <f>IF(FrontPage!$E$7=1,D47&amp;E47,B47&amp;C47)</f>
        <v>Average council tax for area of billing authority (line 10 + 11)</v>
      </c>
    </row>
    <row r="48" spans="1:6" x14ac:dyDescent="0.35">
      <c r="B48" s="34" t="s">
        <v>3267</v>
      </c>
      <c r="D48" s="40" t="str">
        <f>VLOOKUP(B48,Translate!$B$3:$E$1399,3,FALSE)</f>
        <v>Ardystiad Y Prif Swyddog Cyllid:</v>
      </c>
      <c r="E48" s="83" t="str">
        <f>IF(ISERROR(VLOOKUP(C48,Translate!$B$3:$E$1254,3,FALSE)),"",VLOOKUP(C48,Translate!$B$3:$E$1254,3,FALSE))</f>
        <v/>
      </c>
      <c r="F48" s="39" t="str">
        <f>IF(FrontPage!$E$7=1,D48&amp;E48,B48&amp;C48)</f>
        <v>Certificate of the Chief Financial Officer:</v>
      </c>
    </row>
    <row r="49" spans="1:6" ht="50" x14ac:dyDescent="0.35">
      <c r="B49" s="39" t="s">
        <v>2946</v>
      </c>
      <c r="D49" s="40" t="s">
        <v>3010</v>
      </c>
      <c r="E49" s="83" t="str">
        <f>IF(ISERROR(VLOOKUP(C49,Translate!$B$3:$E$1254,3,FALSE)),"",VLOOKUP(C49,Translate!$B$3:$E$1254,3,FALSE))</f>
        <v/>
      </c>
      <c r="F49" s="39" t="str">
        <f>IF(FrontPage!$E$7=1,D49&amp;E49,B49&amp;C49)</f>
        <v>I certify that, to the best of my knowledge and belief, the information provided on this form is correct and consistent with the estimates and calculations made by my authority for the purposes of making its calculations under sections 32 and 33 of the Local Government Finance Act 1992, as amended.</v>
      </c>
    </row>
    <row r="50" spans="1:6" x14ac:dyDescent="0.35">
      <c r="B50" s="171" t="s">
        <v>3269</v>
      </c>
      <c r="D50" s="40" t="str">
        <f>VLOOKUP(B50,Translate!$B$3:$E$1399,3,FALSE)</f>
        <v>Llofnod y Prif Swyddog Cyllid:</v>
      </c>
      <c r="E50" s="83" t="str">
        <f>IF(ISERROR(VLOOKUP(C50,Translate!$B$3:$E$1254,3,FALSE)),"",VLOOKUP(C50,Translate!$B$3:$E$1254,3,FALSE))</f>
        <v/>
      </c>
      <c r="F50" s="39" t="str">
        <f>IF(FrontPage!$E$7=1,D50&amp;E50,B50&amp;C50)</f>
        <v>Signature of the Chief Financial Officer:</v>
      </c>
    </row>
    <row r="51" spans="1:6" x14ac:dyDescent="0.35">
      <c r="B51" s="39" t="s">
        <v>3271</v>
      </c>
      <c r="D51" s="40" t="str">
        <f>VLOOKUP(B51,Translate!$B$3:$E$1399,3,FALSE)</f>
        <v>At ddefnydd Llywodraeth Cymru yn unig</v>
      </c>
      <c r="E51" s="83" t="str">
        <f>IF(ISERROR(VLOOKUP(C51,Translate!$B$3:$E$1254,3,FALSE)),"",VLOOKUP(C51,Translate!$B$3:$E$1254,3,FALSE))</f>
        <v/>
      </c>
      <c r="F51" s="39" t="str">
        <f>IF(FrontPage!$E$7=1,D51&amp;E51,B51&amp;C51)</f>
        <v>For Welsh Government use only</v>
      </c>
    </row>
    <row r="52" spans="1:6" x14ac:dyDescent="0.35">
      <c r="B52" s="39" t="s">
        <v>2968</v>
      </c>
      <c r="D52" s="40" t="str">
        <f>VLOOKUP(B52,Translate!$B$3:$E$1399,3,FALSE)</f>
        <v>nifer</v>
      </c>
      <c r="E52" s="83" t="str">
        <f>IF(ISERROR(VLOOKUP(C52,Translate!$B$3:$E$1254,3,FALSE)),"",VLOOKUP(C52,Translate!$B$3:$E$1254,3,FALSE))</f>
        <v/>
      </c>
      <c r="F52" s="39" t="str">
        <f>IF(FrontPage!$E$7=1,D52&amp;E52,B52&amp;C52)</f>
        <v>number</v>
      </c>
    </row>
    <row r="53" spans="1:6" x14ac:dyDescent="0.35">
      <c r="B53" s="39" t="s">
        <v>2969</v>
      </c>
      <c r="D53" s="40" t="str">
        <f>VLOOKUP(B53,Translate!$B$3:$E$1399,3,FALSE)</f>
        <v>£ i'r geiniog agosaf</v>
      </c>
      <c r="E53" s="83" t="str">
        <f>IF(ISERROR(VLOOKUP(C53,Translate!$B$3:$E$1254,3,FALSE)),"",VLOOKUP(C53,Translate!$B$3:$E$1254,3,FALSE))</f>
        <v/>
      </c>
      <c r="F53" s="39" t="str">
        <f>IF(FrontPage!$E$7=1,D53&amp;E53,B53&amp;C53)</f>
        <v>£ to nearest penny</v>
      </c>
    </row>
    <row r="54" spans="1:6" x14ac:dyDescent="0.35">
      <c r="B54" s="39" t="s">
        <v>2966</v>
      </c>
      <c r="D54" s="40" t="str">
        <f>VLOOKUP(B54,Translate!$B$3:$E$1399,3,FALSE)</f>
        <v>heb gynnwys praeseptau cynghorau cymuned</v>
      </c>
      <c r="E54" s="83" t="str">
        <f>IF(ISERROR(VLOOKUP(C54,Translate!$B$3:$E$1254,3,FALSE)),"",VLOOKUP(C54,Translate!$B$3:$E$1254,3,FALSE))</f>
        <v/>
      </c>
      <c r="F54" s="39" t="str">
        <f>IF(FrontPage!$E$7=1,D54&amp;E54,B54&amp;C54)</f>
        <v>excluding community council precepts</v>
      </c>
    </row>
    <row r="55" spans="1:6" x14ac:dyDescent="0.35">
      <c r="B55" s="39" t="s">
        <v>2967</v>
      </c>
      <c r="C55" s="39" t="s">
        <v>2947</v>
      </c>
      <c r="D55" s="40" t="str">
        <f>VLOOKUP(B55,Translate!$B$3:$E$1399,3,FALSE)</f>
        <v>gan gynnwys praeseptau cynghorau cymuned</v>
      </c>
      <c r="E55" s="83" t="s">
        <v>2984</v>
      </c>
      <c r="F55" s="39" t="str">
        <f>IF(FrontPage!$E$7=1,D55&amp;E55,B55&amp;C55)</f>
        <v>including community council precepts (Lines 15 + 17)</v>
      </c>
    </row>
    <row r="56" spans="1:6" x14ac:dyDescent="0.35">
      <c r="B56" s="39" t="s">
        <v>8</v>
      </c>
      <c r="D56" s="40" t="str">
        <f>VLOOKUP(B56,Translate!$B$3:$E$1399,3,FALSE)</f>
        <v>Dyddiad:</v>
      </c>
      <c r="E56" s="83" t="str">
        <f>IF(ISERROR(VLOOKUP(C56,Translate!$B$3:$E$1254,3,FALSE)),"",VLOOKUP(C56,Translate!$B$3:$E$1254,3,FALSE))</f>
        <v/>
      </c>
      <c r="F56" s="39" t="str">
        <f>IF(FrontPage!$E$7=1,D56&amp;E56,B56&amp;C56)</f>
        <v>Date:</v>
      </c>
    </row>
    <row r="57" spans="1:6" x14ac:dyDescent="0.35">
      <c r="B57" s="39" t="s">
        <v>2975</v>
      </c>
      <c r="D57" s="40" t="str">
        <f>VLOOKUP(B57,Translate!$B$3:$E$1399,3,FALSE)</f>
        <v>wedi cyfrifo</v>
      </c>
      <c r="E57" s="83" t="str">
        <f>IF(ISERROR(VLOOKUP(C57,Translate!$B$3:$E$1254,3,FALSE)),"",VLOOKUP(C57,Translate!$B$3:$E$1254,3,FALSE))</f>
        <v/>
      </c>
      <c r="F57" s="39" t="str">
        <f>IF(FrontPage!$E$7=1,D57&amp;E57,B57&amp;C57)</f>
        <v>calculated</v>
      </c>
    </row>
    <row r="58" spans="1:6" x14ac:dyDescent="0.35">
      <c r="B58" s="39" t="s">
        <v>3297</v>
      </c>
      <c r="D58" s="40" t="str">
        <f>VLOOKUP(B58,Translate!$B$3:$E$1399,3,FALSE)</f>
        <v>Allwedd ar gyfer celloedd yng ngholofn H:</v>
      </c>
      <c r="E58" s="83" t="str">
        <f>IF(ISERROR(VLOOKUP(C58,Translate!$B$3:$E$1254,3,FALSE)),"",VLOOKUP(C58,Translate!$B$3:$E$1254,3,FALSE))</f>
        <v/>
      </c>
      <c r="F58" s="39" t="str">
        <f>IF(FrontPage!$E$7=1,D58&amp;E58,B58&amp;C58)</f>
        <v>Key for cells in column H:</v>
      </c>
    </row>
    <row r="59" spans="1:6" x14ac:dyDescent="0.35">
      <c r="B59" s="39" t="s">
        <v>292</v>
      </c>
      <c r="D59" s="40" t="str">
        <f>VLOOKUP(B59,Translate!$B$3:$E$1399,3,FALSE)</f>
        <v>mewnbwn</v>
      </c>
      <c r="E59" s="83" t="str">
        <f>IF(ISERROR(VLOOKUP(C59,Translate!$B$3:$E$1254,3,FALSE)),"",VLOOKUP(C59,Translate!$B$3:$E$1254,3,FALSE))</f>
        <v/>
      </c>
      <c r="F59" s="39" t="str">
        <f>IF(FrontPage!$E$7=1,D59&amp;E59,B59&amp;C59)</f>
        <v>Input</v>
      </c>
    </row>
    <row r="60" spans="1:6" x14ac:dyDescent="0.35">
      <c r="B60" s="39" t="s">
        <v>293</v>
      </c>
      <c r="D60" s="40" t="str">
        <f>VLOOKUP(B60,Translate!$B$3:$E$1399,3,FALSE)</f>
        <v>addasadwy</v>
      </c>
      <c r="E60" s="83" t="str">
        <f>IF(ISERROR(VLOOKUP(C60,Translate!$B$3:$E$1254,3,FALSE)),"",VLOOKUP(C60,Translate!$B$3:$E$1254,3,FALSE))</f>
        <v/>
      </c>
      <c r="F60" s="39" t="str">
        <f>IF(FrontPage!$E$7=1,D60&amp;E60,B60&amp;C60)</f>
        <v>Adjustable</v>
      </c>
    </row>
    <row r="61" spans="1:6" x14ac:dyDescent="0.35">
      <c r="B61" s="39" t="s">
        <v>294</v>
      </c>
      <c r="D61" s="40" t="str">
        <f>VLOOKUP(B61,Translate!$B$3:$E$1399,3,FALSE)</f>
        <v>wedi cloi</v>
      </c>
      <c r="E61" s="83" t="str">
        <f>IF(ISERROR(VLOOKUP(C61,Translate!$B$3:$E$1254,3,FALSE)),"",VLOOKUP(C61,Translate!$B$3:$E$1254,3,FALSE))</f>
        <v/>
      </c>
      <c r="F61" s="39" t="str">
        <f>IF(FrontPage!$E$7=1,D61&amp;E61,B61&amp;C61)</f>
        <v>Locked</v>
      </c>
    </row>
    <row r="62" spans="1:6" x14ac:dyDescent="0.35">
      <c r="B62" s="39" t="s">
        <v>110</v>
      </c>
      <c r="D62" s="40" t="str">
        <f>VLOOKUP(B62,Translate!$B$3:$E$1399,3,FALSE)</f>
        <v>Er gwybodaeth</v>
      </c>
      <c r="E62" s="83" t="str">
        <f>IF(ISERROR(VLOOKUP(C62,Translate!$B$3:$E$1254,3,FALSE)),"",VLOOKUP(C62,Translate!$B$3:$E$1254,3,FALSE))</f>
        <v/>
      </c>
      <c r="F62" s="39" t="str">
        <f>IF(FrontPage!$E$7=1,D62&amp;E62,B62&amp;C62)</f>
        <v>For information</v>
      </c>
    </row>
    <row r="63" spans="1:6" x14ac:dyDescent="0.35">
      <c r="B63" s="39" t="s">
        <v>111</v>
      </c>
      <c r="D63" s="40" t="str">
        <f>VLOOKUP(B63,Translate!$B$3:$E$1399,3,FALSE)</f>
        <v>Dilysu</v>
      </c>
      <c r="E63" s="83" t="str">
        <f>IF(ISERROR(VLOOKUP(C63,Translate!$B$3:$E$1254,3,FALSE)),"",VLOOKUP(C63,Translate!$B$3:$E$1254,3,FALSE))</f>
        <v/>
      </c>
      <c r="F63" s="39" t="str">
        <f>IF(FrontPage!$E$7=1,D63&amp;E63,B63&amp;C63)</f>
        <v>Validation</v>
      </c>
    </row>
    <row r="64" spans="1:6" ht="37.5" x14ac:dyDescent="0.35">
      <c r="A64" s="172"/>
      <c r="B64" s="313" t="s">
        <v>3293</v>
      </c>
      <c r="D64" s="40" t="str">
        <f>VLOOKUP(B64,Translate!$B$3:$E$1399,3,FALSE)</f>
        <v>Daw celloedd K19 a K20 uchod oddi wrth ein cydweithwyr polisi Cyllid Llywodraeth Leol yn Llywodraeth Cymru. Rhaid eu hailadrodd yng nghelloedd H19 a H20, a dyna pam mae'r celloedd hynny wedi'u cloi.</v>
      </c>
      <c r="E64" s="83" t="str">
        <f>IF(ISERROR(VLOOKUP(C64,Translate!$B$3:$E$1254,3,FALSE)),"",VLOOKUP(C64,Translate!$B$3:$E$1254,3,FALSE))</f>
        <v/>
      </c>
      <c r="F64" s="39" t="str">
        <f>IF(FrontPage!$E$7=1,D64&amp;E64,B64&amp;C64)</f>
        <v>Cells K19 and K20 above come from the Local Government Settlement, they must be repeated in cells H19 and H20 which is why those cells are locked.</v>
      </c>
    </row>
    <row r="65" spans="1:6" ht="25.5" x14ac:dyDescent="0.35">
      <c r="A65" s="172"/>
      <c r="B65" s="313" t="s">
        <v>3348</v>
      </c>
      <c r="D65" s="40" t="str">
        <f>VLOOKUP(B65,Translate!$B$3:$E$1399,3,FALSE)</f>
        <v>Daw cell K30 o’ch ffurflen Anheddau Treth Gyngor (CT1), 2023-24, rhan E, llinell 26.  Rhaid i gell H30 gyfateb â hi.</v>
      </c>
      <c r="E65" s="83" t="str">
        <f>IF(ISERROR(VLOOKUP(C65,Translate!$B$3:$E$1254,3,FALSE)),"",VLOOKUP(C65,Translate!$B$3:$E$1254,3,FALSE))</f>
        <v/>
      </c>
      <c r="F65" s="39" t="str">
        <f>IF(FrontPage!$E$7=1,D65&amp;E65,B65&amp;C65)</f>
        <v>Cell K30 comes from your Council Tax Dwellings (CT1) return, 2024-25, part E, line 26.  Cell H30 must match it.</v>
      </c>
    </row>
    <row r="66" spans="1:6" ht="25" x14ac:dyDescent="0.35">
      <c r="A66" s="172"/>
      <c r="B66" s="313" t="s">
        <v>3295</v>
      </c>
      <c r="D66" s="40" t="str">
        <f>VLOOKUP(B66,Translate!$B$3:$E$1399,3,FALSE)</f>
        <v>Mae Cell H37 wedi'i chyfrifo ond gellir ysgrifennu drosti er mwyn caniatáu ar gyfer mân addasiadau talgrynnu.</v>
      </c>
      <c r="E66" s="83" t="str">
        <f>IF(ISERROR(VLOOKUP(C66,Translate!$B$3:$E$1254,3,FALSE)),"",VLOOKUP(C66,Translate!$B$3:$E$1254,3,FALSE))</f>
        <v/>
      </c>
      <c r="F66" s="39" t="str">
        <f>IF(FrontPage!$E$7=1,D66&amp;E66,B66&amp;C66)</f>
        <v>Cell H37 is calculated but it can be over written to allow for minor rounding adjustments.</v>
      </c>
    </row>
    <row r="67" spans="1:6" x14ac:dyDescent="0.35">
      <c r="B67" s="39" t="s">
        <v>2996</v>
      </c>
      <c r="D67" s="40" t="str">
        <f>VLOOKUP(B67,Translate!$B$3:$E$1399,3,FALSE)</f>
        <v>Setliadau Llywodraeth Leol</v>
      </c>
      <c r="E67" s="83" t="str">
        <f>IF(ISERROR(VLOOKUP(C67,Translate!$B$3:$E$1254,3,FALSE)),"",VLOOKUP(C67,Translate!$B$3:$E$1254,3,FALSE))</f>
        <v/>
      </c>
      <c r="F67" s="39" t="str">
        <f>IF(FrontPage!$E$7=1,D67&amp;E67,B67&amp;C67)</f>
        <v xml:space="preserve">Local Government Settlement </v>
      </c>
    </row>
    <row r="68" spans="1:6" ht="13" x14ac:dyDescent="0.35">
      <c r="A68" s="47" t="s">
        <v>155</v>
      </c>
      <c r="B68" s="48"/>
      <c r="C68" s="48"/>
      <c r="D68" s="40"/>
      <c r="E68" s="83"/>
      <c r="F68" s="39" t="str">
        <f>IF(FrontPage!$E$7=1,D68&amp;E68,B68&amp;C68)</f>
        <v/>
      </c>
    </row>
    <row r="69" spans="1:6" x14ac:dyDescent="0.35">
      <c r="B69" s="39" t="s">
        <v>155</v>
      </c>
      <c r="D69" s="40" t="str">
        <f>VLOOKUP(B69,Translate!$B$3:$E$1399,3,FALSE)</f>
        <v>Y Baich o Ymateb i'r Arolwg</v>
      </c>
      <c r="E69" s="83" t="str">
        <f>IF(ISERROR(VLOOKUP(C69,Translate!$B$3:$E$1254,3,FALSE)),"",VLOOKUP(C69,Translate!$B$3:$E$1254,3,FALSE))</f>
        <v/>
      </c>
      <c r="F69" s="39" t="str">
        <f>IF(FrontPage!$E$7=1,D69&amp;E69,B69&amp;C69)</f>
        <v>Survey Response Burden</v>
      </c>
    </row>
    <row r="70" spans="1:6" ht="25" x14ac:dyDescent="0.35">
      <c r="B70" s="39" t="s">
        <v>162</v>
      </c>
      <c r="D70" s="40" t="str">
        <f>VLOOKUP(B70,Translate!$B$3:$E$1399,3,FALSE)</f>
        <v xml:space="preserve">Mae Llywodraeth Cymru yn monitro'r baich o lenwi'r ffurflen casglu data hon. </v>
      </c>
      <c r="E70" s="83" t="str">
        <f>IF(ISERROR(VLOOKUP(C70,Translate!$B$3:$E$1254,3,FALSE)),"",VLOOKUP(C70,Translate!$B$3:$E$1254,3,FALSE))</f>
        <v/>
      </c>
      <c r="F70" s="39" t="str">
        <f>IF(FrontPage!$E$7=1,D70&amp;E70,B70&amp;C70)</f>
        <v xml:space="preserve">The Welsh Government are monitoring the burden of completing this data collection form. </v>
      </c>
    </row>
    <row r="71" spans="1:6" ht="25" x14ac:dyDescent="0.35">
      <c r="B71" s="39" t="s">
        <v>158</v>
      </c>
      <c r="D71" s="40" t="str">
        <f>VLOOKUP(B71,Translate!$B$3:$E$1399,3,FALSE)</f>
        <v xml:space="preserve">Nodwch yr amser a gymerwyd gennych chi (ac unrhyw gydweithwyr) i baratoi ac anfon y ffurflen. </v>
      </c>
      <c r="E71" s="83" t="str">
        <f>IF(ISERROR(VLOOKUP(C71,Translate!$B$3:$E$1254,3,FALSE)),"",VLOOKUP(C71,Translate!$B$3:$E$1254,3,FALSE))</f>
        <v/>
      </c>
      <c r="F71" s="39" t="str">
        <f>IF(FrontPage!$E$7=1,D71&amp;E71,B71&amp;C71)</f>
        <v>Please enter the time it has taken you (and any colleagues) to prepare and send the return.</v>
      </c>
    </row>
    <row r="72" spans="1:6" ht="25" x14ac:dyDescent="0.35">
      <c r="B72" s="39" t="s">
        <v>156</v>
      </c>
      <c r="D72" s="40" t="str">
        <f>VLOOKUP(B72,Translate!$B$3:$E$1399,3,FALSE)</f>
        <v>Dylech gynnwys yr amser a dreuliwyd ar weithgarwch i baratoi ac anfon y ffurflen hon yn unig, megis:</v>
      </c>
      <c r="E72" s="83" t="str">
        <f>IF(ISERROR(VLOOKUP(C72,Translate!$B$3:$E$1254,3,FALSE)),"",VLOOKUP(C72,Translate!$B$3:$E$1254,3,FALSE))</f>
        <v/>
      </c>
      <c r="F72" s="39" t="str">
        <f>IF(FrontPage!$E$7=1,D72&amp;E72,B72&amp;C72)</f>
        <v>Please only include time spent on activities to prepare and send this return, such as:</v>
      </c>
    </row>
    <row r="73" spans="1:6" x14ac:dyDescent="0.35">
      <c r="B73" s="39" t="s">
        <v>1105</v>
      </c>
      <c r="D73" s="40" t="str">
        <f>VLOOKUP(B73,Translate!$B$3:$E$1399,3,FALSE)</f>
        <v>casglu, dadansoddi a chyfuno'r cofnodion a'r data gofynnol</v>
      </c>
      <c r="E73" s="83" t="str">
        <f>IF(ISERROR(VLOOKUP(C73,Translate!$B$3:$E$1254,3,FALSE)),"",VLOOKUP(C73,Translate!$B$3:$E$1254,3,FALSE))</f>
        <v/>
      </c>
      <c r="F73" s="39" t="str">
        <f>IF(FrontPage!$E$7=1,D73&amp;E73,B73&amp;C73)</f>
        <v>collection, analysis and aggregation of records and data required;</v>
      </c>
    </row>
    <row r="74" spans="1:6" x14ac:dyDescent="0.35">
      <c r="B74" s="39" t="s">
        <v>1108</v>
      </c>
      <c r="D74" s="40" t="str">
        <f>VLOOKUP(B74,Translate!$B$3:$E$1399,3,FALSE)</f>
        <v>cwblhau, gwirio, diwygio a chymeradwyo'r ffurflen.</v>
      </c>
      <c r="E74" s="83" t="str">
        <f>IF(ISERROR(VLOOKUP(C74,Translate!$B$3:$E$1254,3,FALSE)),"",VLOOKUP(C74,Translate!$B$3:$E$1254,3,FALSE))</f>
        <v/>
      </c>
      <c r="F74" s="39" t="str">
        <f>IF(FrontPage!$E$7=1,D74&amp;E74,B74&amp;C74)</f>
        <v>completing, checking, amending and approving the form.</v>
      </c>
    </row>
    <row r="75" spans="1:6" x14ac:dyDescent="0.35">
      <c r="B75" s="39" t="s">
        <v>154</v>
      </c>
      <c r="D75" s="40" t="str">
        <f>VLOOKUP(B75,Translate!$B$3:$E$1399,3,FALSE)</f>
        <v>Nifer yr oriau</v>
      </c>
      <c r="E75" s="83" t="str">
        <f>IF(ISERROR(VLOOKUP(C75,Translate!$B$3:$E$1254,3,FALSE)),"",VLOOKUP(C75,Translate!$B$3:$E$1254,3,FALSE))</f>
        <v/>
      </c>
      <c r="F75" s="39" t="str">
        <f>IF(FrontPage!$E$7=1,D75&amp;E75,B75&amp;C75)</f>
        <v>Hours taken</v>
      </c>
    </row>
    <row r="76" spans="1:6" x14ac:dyDescent="0.35">
      <c r="B76" s="39" t="s">
        <v>157</v>
      </c>
      <c r="D76" s="40" t="str">
        <f>VLOOKUP(B76,Translate!$B$3:$E$1399,3,FALSE)</f>
        <v>Mae croeso i chi ychwanegu unrhyw sylwadau</v>
      </c>
      <c r="E76" s="83" t="str">
        <f>IF(ISERROR(VLOOKUP(C76,Translate!$B$3:$E$1254,3,FALSE)),"",VLOOKUP(C76,Translate!$B$3:$E$1254,3,FALSE))</f>
        <v/>
      </c>
      <c r="F76" s="39" t="str">
        <f>IF(FrontPage!$E$7=1,D76&amp;E76,B76&amp;C76)</f>
        <v>Please feel free to add any comments</v>
      </c>
    </row>
    <row r="77" spans="1:6" x14ac:dyDescent="0.35">
      <c r="B77" s="39" t="s">
        <v>1115</v>
      </c>
      <c r="D77" s="40" t="str">
        <f>VLOOKUP(B77,Translate!$B$3:$E$1399,3,FALSE)</f>
        <v>Sylwadau</v>
      </c>
      <c r="E77" s="83" t="str">
        <f>IF(ISERROR(VLOOKUP(C77,Translate!$B$3:$E$1254,3,FALSE)),"",VLOOKUP(C77,Translate!$B$3:$E$1254,3,FALSE))</f>
        <v/>
      </c>
      <c r="F77" s="39" t="str">
        <f>IF(FrontPage!$E$7=1,D77&amp;E77,B77&amp;C77)</f>
        <v>Comments</v>
      </c>
    </row>
    <row r="78" spans="1:6" ht="25" x14ac:dyDescent="0.35">
      <c r="B78" s="39" t="s">
        <v>1118</v>
      </c>
      <c r="D78" s="40" t="str">
        <f>VLOOKUP(B78,Translate!$B$3:$E$1399,3,FALSE)</f>
        <v>Cliciwch ar y ddolen isod i gael canllawiau ar gyfer y ffurflenni unigol (mae angen mynediad at y we)</v>
      </c>
      <c r="E78" s="83" t="str">
        <f>IF(ISERROR(VLOOKUP(C78,Translate!$B$3:$E$1254,3,FALSE)),"",VLOOKUP(C78,Translate!$B$3:$E$1254,3,FALSE))</f>
        <v/>
      </c>
      <c r="F78" s="39" t="str">
        <f>IF(FrontPage!$E$7=1,D78&amp;E78,B78&amp;C78)</f>
        <v>Click the link below for notes for guidance for individual forms (Web access required)</v>
      </c>
    </row>
    <row r="79" spans="1:6" x14ac:dyDescent="0.35">
      <c r="B79" s="39" t="s">
        <v>1121</v>
      </c>
      <c r="D79" s="40" t="str">
        <f>VLOOKUP(B79,Translate!$B$3:$E$1399,3,FALSE)</f>
        <v>Hyperddolen canllawiau</v>
      </c>
      <c r="E79" s="83" t="str">
        <f>IF(ISERROR(VLOOKUP(C79,Translate!$B$3:$E$1254,3,FALSE)),"",VLOOKUP(C79,Translate!$B$3:$E$1254,3,FALSE))</f>
        <v/>
      </c>
      <c r="F79" s="39" t="str">
        <f>IF(FrontPage!$E$7=1,D79&amp;E79,B79&amp;C79)</f>
        <v>Notes for guidance hyperlink</v>
      </c>
    </row>
    <row r="80" spans="1:6" ht="38.25" customHeight="1" x14ac:dyDescent="0.35">
      <c r="B80" s="39" t="s">
        <v>1124</v>
      </c>
      <c r="D80" s="40" t="str">
        <f>VLOOKUP(B80,Translate!$B$3:$E$1399,3,FALSE)</f>
        <v xml:space="preserve">Rydym bob amser yn ceisio gwella'r ffurflen i'w gwneud yn haws i'w llenwi, gan barhau i sicrhau cywirdeb data a chysondeb ar gyfer yr holl awdurdodau. Os oes gennych unrhyw sylwadau neu awgrymiadau a allai fod yn ddefnyddiol, nodwch nhw isod: </v>
      </c>
      <c r="E80" s="83" t="str">
        <f>IF(ISERROR(VLOOKUP(C80,Translate!$B$3:$E$1254,3,FALSE)),"",VLOOKUP(C80,Translate!$B$3:$E$1254,3,FALSE))</f>
        <v/>
      </c>
      <c r="F80" s="39" t="str">
        <f>IF(FrontPage!$E$7=1,D80&amp;E80,B80&amp;C80)</f>
        <v>We are continually striving to improve the form to make it easier to complete, whilst still ensuring data integrity and consistency across all authorities. If you have any comments or suggestions that may be useful,  please note them below:</v>
      </c>
    </row>
    <row r="81" spans="2:6" x14ac:dyDescent="0.35">
      <c r="B81" s="39" t="s">
        <v>159</v>
      </c>
      <c r="D81" s="40" t="str">
        <f>VLOOKUP(B81,Translate!$B$3:$E$1399,3,FALSE)</f>
        <v>Dyluniad y ffurflen</v>
      </c>
      <c r="E81" s="83" t="str">
        <f>IF(ISERROR(VLOOKUP(C81,Translate!$B$3:$E$1254,3,FALSE)),"",VLOOKUP(C81,Translate!$B$3:$E$1254,3,FALSE))</f>
        <v/>
      </c>
      <c r="F81" s="39" t="str">
        <f>IF(FrontPage!$E$7=1,D81&amp;E81,B81&amp;C81)</f>
        <v>Form Design</v>
      </c>
    </row>
    <row r="82" spans="2:6" x14ac:dyDescent="0.35">
      <c r="B82" s="39" t="s">
        <v>111</v>
      </c>
      <c r="D82" s="40" t="str">
        <f>VLOOKUP(B82,Translate!$B$3:$E$1399,3,FALSE)</f>
        <v>Dilysu</v>
      </c>
      <c r="E82" s="83" t="str">
        <f>IF(ISERROR(VLOOKUP(C82,Translate!$B$3:$E$1254,3,FALSE)),"",VLOOKUP(C82,Translate!$B$3:$E$1254,3,FALSE))</f>
        <v/>
      </c>
      <c r="F82" s="39" t="str">
        <f>IF(FrontPage!$E$7=1,D82&amp;E82,B82&amp;C82)</f>
        <v>Validation</v>
      </c>
    </row>
    <row r="83" spans="2:6" x14ac:dyDescent="0.35">
      <c r="B83" s="39" t="s">
        <v>160</v>
      </c>
      <c r="D83" s="40" t="str">
        <f>VLOOKUP(B83,Translate!$B$3:$E$1399,3,FALSE)</f>
        <v>Dogfennaeth</v>
      </c>
      <c r="E83" s="83" t="str">
        <f>IF(ISERROR(VLOOKUP(C83,Translate!$B$3:$E$1254,3,FALSE)),"",VLOOKUP(C83,Translate!$B$3:$E$1254,3,FALSE))</f>
        <v/>
      </c>
      <c r="F83" s="39" t="str">
        <f>IF(FrontPage!$E$7=1,D83&amp;E83,B83&amp;C83)</f>
        <v>Documentation</v>
      </c>
    </row>
    <row r="84" spans="2:6" x14ac:dyDescent="0.35">
      <c r="B84" s="39" t="s">
        <v>1132</v>
      </c>
      <c r="D84" s="40" t="str">
        <f>VLOOKUP(B84,Translate!$B$3:$E$1399,3,FALSE)</f>
        <v>Sylwadau cyffredinol</v>
      </c>
      <c r="E84" s="83" t="str">
        <f>IF(ISERROR(VLOOKUP(C84,Translate!$B$3:$E$1254,3,FALSE)),"",VLOOKUP(C84,Translate!$B$3:$E$1254,3,FALSE))</f>
        <v/>
      </c>
      <c r="F84" s="39" t="str">
        <f>IF(FrontPage!$E$7=1,D84&amp;E84,B84&amp;C84)</f>
        <v>General comments</v>
      </c>
    </row>
    <row r="85" spans="2:6" x14ac:dyDescent="0.35">
      <c r="B85" s="39" t="s">
        <v>1075</v>
      </c>
      <c r="D85" s="40" t="str">
        <f>VLOOKUP(B85,Translate!$B$3:$E$1399,3,FALSE)</f>
        <v>Rhowch sylw</v>
      </c>
      <c r="E85" s="83" t="str">
        <f>IF(ISERROR(VLOOKUP(C85,Translate!$B$3:$E$1254,3,FALSE)),"",VLOOKUP(C85,Translate!$B$3:$E$1254,3,FALSE))</f>
        <v/>
      </c>
      <c r="F85" s="39" t="str">
        <f>IF(FrontPage!$E$7=1,D85&amp;E85,B85&amp;C85)</f>
        <v>Please comment</v>
      </c>
    </row>
    <row r="86" spans="2:6" x14ac:dyDescent="0.35">
      <c r="B86" s="39" t="s">
        <v>2900</v>
      </c>
      <c r="D86" s="40" t="str">
        <f>VLOOKUP(B86,Translate!$B$3:$E$1399,3,FALSE)</f>
        <v>Gwiriadau dilysu - ychwanegwch sylwadau lle gofynnir am hynny</v>
      </c>
      <c r="E86" s="83" t="str">
        <f>IF(ISERROR(VLOOKUP(C86,Translate!$B$3:$E$1254,3,FALSE)),"",VLOOKUP(C86,Translate!$B$3:$E$1254,3,FALSE))</f>
        <v/>
      </c>
      <c r="F86" s="39" t="str">
        <f>IF(FrontPage!$E$7=1,D86&amp;E86,B86&amp;C86)</f>
        <v>Validation checks  -  please insert comments where requested</v>
      </c>
    </row>
    <row r="87" spans="2:6" x14ac:dyDescent="0.35">
      <c r="B87" s="39" t="s">
        <v>295</v>
      </c>
      <c r="D87" s="40" t="str">
        <f>VLOOKUP(B87,Translate!$B$3:$E$1399,3,FALSE)</f>
        <v>Blwyddyn</v>
      </c>
      <c r="E87" s="83" t="str">
        <f>IF(ISERROR(VLOOKUP(C87,Translate!$B$3:$E$1254,3,FALSE)),"",VLOOKUP(C87,Translate!$B$3:$E$1254,3,FALSE))</f>
        <v/>
      </c>
      <c r="F87" s="39" t="str">
        <f>IF(FrontPage!$E$7=1,D87&amp;E87,B87&amp;C87)</f>
        <v>Year</v>
      </c>
    </row>
    <row r="88" spans="2:6" x14ac:dyDescent="0.35">
      <c r="B88" s="39" t="s">
        <v>2908</v>
      </c>
      <c r="D88" s="40" t="str">
        <f>VLOOKUP(B88,Translate!$B$3:$E$1399,3,FALSE)</f>
        <v>Goddefiant</v>
      </c>
      <c r="E88" s="83" t="str">
        <f>IF(ISERROR(VLOOKUP(C88,Translate!$B$3:$E$1254,3,FALSE)),"",VLOOKUP(C88,Translate!$B$3:$E$1254,3,FALSE))</f>
        <v/>
      </c>
      <c r="F88" s="39" t="str">
        <f>IF(FrontPage!$E$7=1,D88&amp;E88,B88&amp;C88)</f>
        <v>tolerance</v>
      </c>
    </row>
    <row r="89" spans="2:6" x14ac:dyDescent="0.35">
      <c r="D89" s="40"/>
      <c r="E89" s="83" t="str">
        <f>IF(ISERROR(VLOOKUP(C89,Translate!$B$3:$E$1254,3,FALSE)),"",VLOOKUP(C89,Translate!$B$3:$E$1254,3,FALSE))</f>
        <v/>
      </c>
      <c r="F89" s="39" t="str">
        <f>IF(FrontPage!$E$7=1,D89&amp;E89,B89&amp;C89)</f>
        <v/>
      </c>
    </row>
    <row r="90" spans="2:6" x14ac:dyDescent="0.35">
      <c r="B90" s="39" t="s">
        <v>3026</v>
      </c>
      <c r="D90" s="40" t="str">
        <f>VLOOKUP(B90,Translate!$B$3:$E$1399,3,FALSE)</f>
        <v>Ar ôl ardystio dylech anfon y canlynol atom:</v>
      </c>
      <c r="E90" s="83" t="str">
        <f>IF(ISERROR(VLOOKUP(C90,Translate!$B$3:$E$1254,3,FALSE)),"",VLOOKUP(C90,Translate!$B$3:$E$1254,3,FALSE))</f>
        <v/>
      </c>
      <c r="F90" s="39" t="str">
        <f>IF(FrontPage!$E$7=1,D90&amp;E90,B90&amp;C90)</f>
        <v>Once certified, please send the following:</v>
      </c>
    </row>
    <row r="91" spans="2:6" ht="25" x14ac:dyDescent="0.35">
      <c r="B91" s="39" t="s">
        <v>3304</v>
      </c>
      <c r="D91" s="40" t="str">
        <f>VLOOKUP(B91,Translate!$B$3:$E$1399,3,FALSE)</f>
        <v>Copi electronig o'r daenlen, yn ddelfrydol gyda delwedd o lofnod y PSC a'r dyddiad wedi'u hychwanegu.</v>
      </c>
      <c r="E91" s="83" t="str">
        <f>IF(ISERROR(VLOOKUP(C91,Translate!$B$3:$E$1254,3,FALSE)),"",VLOOKUP(C91,Translate!$B$3:$E$1254,3,FALSE))</f>
        <v/>
      </c>
      <c r="F91" s="39" t="str">
        <f>IF(FrontPage!$E$7=1,D91&amp;E91,B91&amp;C91)</f>
        <v>An electronic copy of the spreadsheet, preferably with an image of the CFO signature and date added.</v>
      </c>
    </row>
    <row r="92" spans="2:6" ht="25" x14ac:dyDescent="0.35">
      <c r="B92" s="39" t="s">
        <v>3305</v>
      </c>
      <c r="D92" s="40" t="str">
        <f>VLOOKUP(B92,Translate!$B$3:$E$1399,3,FALSE)</f>
        <v>Neu gopi electronig a chopi ar wahân wedi'i lofnodi (fel PDF yn ddelfrydol, neu gopi caled trwy'r post).</v>
      </c>
      <c r="E92" s="83" t="str">
        <f>IF(ISERROR(VLOOKUP(C92,Translate!$B$3:$E$1254,3,FALSE)),"",VLOOKUP(C92,Translate!$B$3:$E$1254,3,FALSE))</f>
        <v/>
      </c>
      <c r="F92" s="39" t="str">
        <f>IF(FrontPage!$E$7=1,D92&amp;E92,B92&amp;C92)</f>
        <v>Or an electronic copy and a separate, signed copy (preferably as a PDF, or a hard copy by post).</v>
      </c>
    </row>
    <row r="93" spans="2:6" ht="25" x14ac:dyDescent="0.35">
      <c r="B93" s="39" t="s">
        <v>3306</v>
      </c>
      <c r="D93" s="40" t="str">
        <f>VLOOKUP(B93,Translate!$B$3:$E$1399,3,FALSE)</f>
        <v>Noder. Rhaid i'r ffigurau ar y copi wedi'i lofnodi cyd-fynd â'r copi electronig. Bydd angen copi arall wedi'i lofnodi arnom os nad ydyn nhw.</v>
      </c>
      <c r="E93" s="83" t="str">
        <f>IF(ISERROR(VLOOKUP(C93,Translate!$B$3:$E$1254,3,FALSE)),"",VLOOKUP(C93,Translate!$B$3:$E$1254,3,FALSE))</f>
        <v/>
      </c>
      <c r="F93" s="39" t="str">
        <f>IF(FrontPage!$E$7=1,D93&amp;E93,B93&amp;C93)</f>
        <v>N.B. The signed copy figures must match the electronic copy. We’ll need another signed copy if they don’t.</v>
      </c>
    </row>
  </sheetData>
  <sheetProtection sheet="1" objects="1" scenarios="1"/>
  <pageMargins left="0.7" right="0.7" top="0.75" bottom="0.75" header="0.3" footer="0.3"/>
  <pageSetup paperSize="9" orientation="portrait"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tabColor rgb="FFFFCC99"/>
  </sheetPr>
  <dimension ref="A1:E1388"/>
  <sheetViews>
    <sheetView workbookViewId="0">
      <selection activeCell="R27" sqref="R27"/>
    </sheetView>
  </sheetViews>
  <sheetFormatPr defaultRowHeight="15.5" x14ac:dyDescent="0.35"/>
  <cols>
    <col min="1" max="1" width="8.84375" style="28"/>
    <col min="2" max="2" width="80.4609375" style="28" customWidth="1"/>
    <col min="3" max="3" width="18.07421875" style="28" hidden="1" customWidth="1"/>
    <col min="4" max="4" width="85.4609375" style="28" customWidth="1"/>
    <col min="5" max="5" width="10.69140625" style="28" bestFit="1" customWidth="1"/>
  </cols>
  <sheetData>
    <row r="1" spans="2:5" x14ac:dyDescent="0.35">
      <c r="B1" s="27" t="s">
        <v>305</v>
      </c>
      <c r="C1" s="27"/>
    </row>
    <row r="2" spans="2:5" x14ac:dyDescent="0.35">
      <c r="B2" s="29" t="s">
        <v>306</v>
      </c>
      <c r="C2" s="29" t="s">
        <v>307</v>
      </c>
      <c r="D2" s="29" t="s">
        <v>308</v>
      </c>
      <c r="E2" s="29" t="s">
        <v>309</v>
      </c>
    </row>
    <row r="3" spans="2:5" x14ac:dyDescent="0.35">
      <c r="B3" s="90" t="s">
        <v>110</v>
      </c>
      <c r="C3" s="30"/>
      <c r="D3" s="31" t="s">
        <v>2614</v>
      </c>
      <c r="E3" s="32"/>
    </row>
    <row r="4" spans="2:5" x14ac:dyDescent="0.35">
      <c r="B4" s="90" t="s">
        <v>9</v>
      </c>
      <c r="C4" s="30"/>
      <c r="D4" s="32" t="s">
        <v>2972</v>
      </c>
      <c r="E4" s="32"/>
    </row>
    <row r="5" spans="2:5" x14ac:dyDescent="0.35">
      <c r="B5" s="90" t="s">
        <v>2973</v>
      </c>
      <c r="C5" s="30"/>
      <c r="D5" s="32" t="s">
        <v>3019</v>
      </c>
      <c r="E5" s="32"/>
    </row>
    <row r="6" spans="2:5" x14ac:dyDescent="0.35">
      <c r="B6" s="90" t="s">
        <v>3123</v>
      </c>
      <c r="C6" s="30"/>
      <c r="D6" s="32" t="s">
        <v>3124</v>
      </c>
      <c r="E6" s="32"/>
    </row>
    <row r="7" spans="2:5" x14ac:dyDescent="0.35">
      <c r="B7" s="90" t="s">
        <v>6</v>
      </c>
      <c r="C7" s="30"/>
      <c r="D7" s="32" t="s">
        <v>2997</v>
      </c>
      <c r="E7" s="32"/>
    </row>
    <row r="8" spans="2:5" x14ac:dyDescent="0.35">
      <c r="B8" s="90" t="s">
        <v>3276</v>
      </c>
      <c r="C8" s="30"/>
      <c r="D8" s="32" t="s">
        <v>3280</v>
      </c>
      <c r="E8" s="32"/>
    </row>
    <row r="9" spans="2:5" x14ac:dyDescent="0.35">
      <c r="B9" s="90" t="s">
        <v>3278</v>
      </c>
      <c r="C9" s="30"/>
      <c r="D9" s="32" t="s">
        <v>3279</v>
      </c>
      <c r="E9" s="32"/>
    </row>
    <row r="10" spans="2:5" x14ac:dyDescent="0.35">
      <c r="B10" s="90" t="s">
        <v>3274</v>
      </c>
      <c r="C10" s="30"/>
      <c r="D10" s="32" t="s">
        <v>3281</v>
      </c>
      <c r="E10" s="32"/>
    </row>
    <row r="11" spans="2:5" x14ac:dyDescent="0.35">
      <c r="B11" s="90" t="s">
        <v>2975</v>
      </c>
      <c r="C11" s="30"/>
      <c r="D11" s="32" t="s">
        <v>2998</v>
      </c>
      <c r="E11" s="32"/>
    </row>
    <row r="12" spans="2:5" x14ac:dyDescent="0.35">
      <c r="B12" s="90" t="s">
        <v>2966</v>
      </c>
      <c r="C12" s="30"/>
      <c r="D12" s="32" t="s">
        <v>2999</v>
      </c>
      <c r="E12" s="32"/>
    </row>
    <row r="13" spans="2:5" x14ac:dyDescent="0.35">
      <c r="B13" s="90" t="s">
        <v>2967</v>
      </c>
      <c r="C13" s="30"/>
      <c r="D13" s="32" t="s">
        <v>2976</v>
      </c>
      <c r="E13" s="32"/>
    </row>
    <row r="14" spans="2:5" x14ac:dyDescent="0.35">
      <c r="B14" s="90" t="s">
        <v>2952</v>
      </c>
      <c r="C14" s="30"/>
      <c r="D14" s="32" t="s">
        <v>3024</v>
      </c>
      <c r="E14" s="32"/>
    </row>
    <row r="15" spans="2:5" x14ac:dyDescent="0.35">
      <c r="B15" s="90" t="s">
        <v>3016</v>
      </c>
      <c r="C15" s="30"/>
      <c r="D15" s="32" t="s">
        <v>3017</v>
      </c>
      <c r="E15" s="32"/>
    </row>
    <row r="16" spans="2:5" x14ac:dyDescent="0.35">
      <c r="B16" s="90" t="s">
        <v>2961</v>
      </c>
      <c r="C16" s="30"/>
      <c r="D16" s="32" t="s">
        <v>3000</v>
      </c>
      <c r="E16" s="32"/>
    </row>
    <row r="17" spans="2:5" x14ac:dyDescent="0.35">
      <c r="B17" s="90" t="s">
        <v>2949</v>
      </c>
      <c r="C17" s="30"/>
      <c r="D17" s="32" t="s">
        <v>2977</v>
      </c>
      <c r="E17" s="32"/>
    </row>
    <row r="18" spans="2:5" x14ac:dyDescent="0.35">
      <c r="B18" s="90" t="s">
        <v>2951</v>
      </c>
      <c r="C18" s="30"/>
      <c r="D18" s="32" t="s">
        <v>3020</v>
      </c>
      <c r="E18" s="32"/>
    </row>
    <row r="19" spans="2:5" x14ac:dyDescent="0.35">
      <c r="B19" s="90" t="s">
        <v>7</v>
      </c>
      <c r="C19" s="30"/>
      <c r="D19" s="32" t="s">
        <v>3001</v>
      </c>
      <c r="E19" s="32"/>
    </row>
    <row r="20" spans="2:5" x14ac:dyDescent="0.35">
      <c r="B20" s="90" t="s">
        <v>3</v>
      </c>
      <c r="C20" s="30"/>
      <c r="D20" s="32" t="s">
        <v>3002</v>
      </c>
      <c r="E20" s="32"/>
    </row>
    <row r="21" spans="2:5" x14ac:dyDescent="0.35">
      <c r="B21" s="90" t="s">
        <v>2955</v>
      </c>
      <c r="C21" s="30"/>
      <c r="D21" s="32" t="s">
        <v>3021</v>
      </c>
      <c r="E21" s="32"/>
    </row>
    <row r="22" spans="2:5" x14ac:dyDescent="0.35">
      <c r="B22" s="90" t="s">
        <v>2957</v>
      </c>
      <c r="C22" s="30"/>
      <c r="D22" s="32" t="s">
        <v>3022</v>
      </c>
      <c r="E22" s="32"/>
    </row>
    <row r="23" spans="2:5" x14ac:dyDescent="0.35">
      <c r="B23" s="90" t="s">
        <v>2959</v>
      </c>
      <c r="C23" s="30"/>
      <c r="D23" s="32" t="s">
        <v>3023</v>
      </c>
      <c r="E23" s="32"/>
    </row>
    <row r="24" spans="2:5" x14ac:dyDescent="0.35">
      <c r="B24" s="90" t="s">
        <v>2969</v>
      </c>
      <c r="C24" s="30"/>
      <c r="D24" s="32" t="s">
        <v>3003</v>
      </c>
      <c r="E24" s="32"/>
    </row>
    <row r="25" spans="2:5" x14ac:dyDescent="0.35">
      <c r="B25" s="90" t="s">
        <v>3297</v>
      </c>
      <c r="C25" s="30"/>
      <c r="D25" s="32" t="s">
        <v>3298</v>
      </c>
      <c r="E25" s="32"/>
    </row>
    <row r="26" spans="2:5" x14ac:dyDescent="0.35">
      <c r="B26" s="90" t="s">
        <v>2979</v>
      </c>
      <c r="C26" s="30"/>
      <c r="D26" s="34" t="s">
        <v>2978</v>
      </c>
      <c r="E26" s="32"/>
    </row>
    <row r="27" spans="2:5" x14ac:dyDescent="0.35">
      <c r="B27" s="90" t="s">
        <v>2980</v>
      </c>
      <c r="C27" s="30"/>
      <c r="D27" s="32" t="s">
        <v>2982</v>
      </c>
      <c r="E27" s="32"/>
    </row>
    <row r="28" spans="2:5" x14ac:dyDescent="0.35">
      <c r="B28" s="90" t="s">
        <v>2981</v>
      </c>
      <c r="C28" s="30"/>
      <c r="D28" s="32" t="s">
        <v>3004</v>
      </c>
      <c r="E28" s="32"/>
    </row>
    <row r="29" spans="2:5" x14ac:dyDescent="0.35">
      <c r="B29" s="91" t="s">
        <v>3269</v>
      </c>
      <c r="C29" s="30"/>
      <c r="D29" s="32" t="s">
        <v>3005</v>
      </c>
      <c r="E29" s="32"/>
    </row>
    <row r="30" spans="2:5" x14ac:dyDescent="0.35">
      <c r="B30" s="90" t="s">
        <v>106</v>
      </c>
      <c r="C30" s="30"/>
      <c r="D30" s="32" t="s">
        <v>2993</v>
      </c>
      <c r="E30" s="87"/>
    </row>
    <row r="31" spans="2:5" ht="37.5" x14ac:dyDescent="0.35">
      <c r="B31" s="90" t="s">
        <v>2946</v>
      </c>
      <c r="C31" s="30"/>
      <c r="D31" s="31" t="s">
        <v>3010</v>
      </c>
      <c r="E31" s="32"/>
    </row>
    <row r="32" spans="2:5" x14ac:dyDescent="0.35">
      <c r="B32" s="90" t="s">
        <v>2909</v>
      </c>
      <c r="C32" s="30"/>
      <c r="D32" s="32" t="s">
        <v>3006</v>
      </c>
      <c r="E32" s="32"/>
    </row>
    <row r="33" spans="1:5" ht="25" x14ac:dyDescent="0.35">
      <c r="B33" s="90" t="s">
        <v>2911</v>
      </c>
      <c r="C33" s="30"/>
      <c r="D33" s="32" t="s">
        <v>3007</v>
      </c>
      <c r="E33" s="32"/>
    </row>
    <row r="34" spans="1:5" x14ac:dyDescent="0.35">
      <c r="B34" s="90" t="s">
        <v>2910</v>
      </c>
      <c r="C34" s="30"/>
      <c r="D34" s="32" t="s">
        <v>3008</v>
      </c>
      <c r="E34" s="32"/>
    </row>
    <row r="35" spans="1:5" x14ac:dyDescent="0.35">
      <c r="B35" s="90" t="s">
        <v>2943</v>
      </c>
      <c r="C35" s="30"/>
      <c r="D35" s="32" t="s">
        <v>3009</v>
      </c>
      <c r="E35" s="32"/>
    </row>
    <row r="36" spans="1:5" ht="25" x14ac:dyDescent="0.35">
      <c r="A36" s="172"/>
      <c r="B36" s="314" t="s">
        <v>3293</v>
      </c>
      <c r="C36" s="315"/>
      <c r="D36" s="321" t="s">
        <v>3294</v>
      </c>
      <c r="E36" s="32"/>
    </row>
    <row r="37" spans="1:5" x14ac:dyDescent="0.35">
      <c r="A37" s="172"/>
      <c r="B37" s="314" t="s">
        <v>3348</v>
      </c>
      <c r="C37" s="315"/>
      <c r="D37" s="316" t="s">
        <v>3313</v>
      </c>
      <c r="E37" s="32"/>
    </row>
    <row r="38" spans="1:5" x14ac:dyDescent="0.35">
      <c r="A38" s="172"/>
      <c r="B38" s="314" t="s">
        <v>3295</v>
      </c>
      <c r="C38" s="30"/>
      <c r="D38" s="316" t="s">
        <v>3296</v>
      </c>
      <c r="E38" s="32"/>
    </row>
    <row r="39" spans="1:5" x14ac:dyDescent="0.35">
      <c r="B39" s="92" t="s">
        <v>730</v>
      </c>
      <c r="C39" s="32"/>
      <c r="D39" s="32" t="s">
        <v>731</v>
      </c>
      <c r="E39" s="32"/>
    </row>
    <row r="40" spans="1:5" x14ac:dyDescent="0.35">
      <c r="B40" s="92" t="s">
        <v>898</v>
      </c>
      <c r="C40" s="32"/>
      <c r="D40" s="32" t="s">
        <v>899</v>
      </c>
      <c r="E40" s="32"/>
    </row>
    <row r="41" spans="1:5" x14ac:dyDescent="0.35">
      <c r="B41" s="92" t="s">
        <v>918</v>
      </c>
      <c r="C41" s="32"/>
      <c r="D41" s="32" t="s">
        <v>919</v>
      </c>
      <c r="E41" s="32"/>
    </row>
    <row r="42" spans="1:5" x14ac:dyDescent="0.35">
      <c r="B42" s="92" t="s">
        <v>984</v>
      </c>
      <c r="C42" s="32"/>
      <c r="D42" s="32" t="s">
        <v>985</v>
      </c>
      <c r="E42" s="32"/>
    </row>
    <row r="43" spans="1:5" x14ac:dyDescent="0.35">
      <c r="B43" s="92" t="s">
        <v>2684</v>
      </c>
      <c r="C43" s="32"/>
      <c r="D43" s="32" t="s">
        <v>1395</v>
      </c>
      <c r="E43" s="32"/>
    </row>
    <row r="44" spans="1:5" x14ac:dyDescent="0.35">
      <c r="B44" s="92" t="s">
        <v>1115</v>
      </c>
      <c r="C44" s="30"/>
      <c r="D44" s="31" t="s">
        <v>1255</v>
      </c>
      <c r="E44" s="32"/>
    </row>
    <row r="45" spans="1:5" x14ac:dyDescent="0.35">
      <c r="B45" s="92" t="s">
        <v>1118</v>
      </c>
      <c r="C45" s="30"/>
      <c r="D45" s="31" t="s">
        <v>1388</v>
      </c>
      <c r="E45" s="32"/>
    </row>
    <row r="46" spans="1:5" x14ac:dyDescent="0.35">
      <c r="B46" s="92" t="s">
        <v>1121</v>
      </c>
      <c r="C46" s="30"/>
      <c r="D46" s="31" t="s">
        <v>1389</v>
      </c>
      <c r="E46" s="32"/>
    </row>
    <row r="47" spans="1:5" ht="25" x14ac:dyDescent="0.35">
      <c r="B47" s="92" t="s">
        <v>357</v>
      </c>
      <c r="C47" s="30"/>
      <c r="D47" s="31" t="s">
        <v>1401</v>
      </c>
      <c r="E47" s="32"/>
    </row>
    <row r="48" spans="1:5" x14ac:dyDescent="0.35">
      <c r="B48" s="92" t="s">
        <v>372</v>
      </c>
      <c r="C48" s="30"/>
      <c r="D48" s="31" t="s">
        <v>1404</v>
      </c>
      <c r="E48" s="32"/>
    </row>
    <row r="49" spans="2:5" x14ac:dyDescent="0.35">
      <c r="B49" s="92" t="s">
        <v>377</v>
      </c>
      <c r="C49" s="30"/>
      <c r="D49" s="31" t="s">
        <v>1405</v>
      </c>
      <c r="E49" s="32"/>
    </row>
    <row r="50" spans="2:5" x14ac:dyDescent="0.35">
      <c r="B50" s="92" t="s">
        <v>382</v>
      </c>
      <c r="C50" s="30"/>
      <c r="D50" s="31" t="s">
        <v>1406</v>
      </c>
      <c r="E50" s="32"/>
    </row>
    <row r="51" spans="2:5" x14ac:dyDescent="0.35">
      <c r="B51" s="92" t="s">
        <v>386</v>
      </c>
      <c r="C51" s="30"/>
      <c r="D51" s="31" t="s">
        <v>171</v>
      </c>
      <c r="E51" s="32"/>
    </row>
    <row r="52" spans="2:5" x14ac:dyDescent="0.35">
      <c r="B52" s="92" t="s">
        <v>289</v>
      </c>
      <c r="C52" s="30"/>
      <c r="D52" s="31" t="s">
        <v>1654</v>
      </c>
      <c r="E52" s="32"/>
    </row>
    <row r="53" spans="2:5" x14ac:dyDescent="0.35">
      <c r="B53" s="92" t="s">
        <v>1105</v>
      </c>
      <c r="C53" s="33"/>
      <c r="D53" s="31" t="s">
        <v>1683</v>
      </c>
      <c r="E53" s="32"/>
    </row>
    <row r="54" spans="2:5" x14ac:dyDescent="0.35">
      <c r="B54" s="92" t="s">
        <v>1108</v>
      </c>
      <c r="C54" s="30"/>
      <c r="D54" s="31" t="s">
        <v>1753</v>
      </c>
      <c r="E54" s="32"/>
    </row>
    <row r="55" spans="2:5" x14ac:dyDescent="0.35">
      <c r="B55" s="92" t="s">
        <v>111</v>
      </c>
      <c r="C55" s="30"/>
      <c r="D55" s="31" t="s">
        <v>1254</v>
      </c>
      <c r="E55" s="32"/>
    </row>
    <row r="56" spans="2:5" x14ac:dyDescent="0.35">
      <c r="B56" s="92" t="s">
        <v>160</v>
      </c>
      <c r="C56" s="30"/>
      <c r="D56" s="31" t="s">
        <v>1988</v>
      </c>
      <c r="E56" s="32"/>
    </row>
    <row r="57" spans="2:5" x14ac:dyDescent="0.35">
      <c r="B57" s="92" t="s">
        <v>156</v>
      </c>
      <c r="C57" s="30"/>
      <c r="D57" s="31" t="s">
        <v>1991</v>
      </c>
      <c r="E57" s="32"/>
    </row>
    <row r="58" spans="2:5" x14ac:dyDescent="0.35">
      <c r="B58" s="92" t="s">
        <v>159</v>
      </c>
      <c r="C58" s="30"/>
      <c r="D58" s="31" t="s">
        <v>1994</v>
      </c>
      <c r="E58" s="32"/>
    </row>
    <row r="59" spans="2:5" x14ac:dyDescent="0.35">
      <c r="B59" s="92" t="s">
        <v>2013</v>
      </c>
      <c r="C59" s="30"/>
      <c r="D59" s="31" t="s">
        <v>2014</v>
      </c>
      <c r="E59" s="32"/>
    </row>
    <row r="60" spans="2:5" x14ac:dyDescent="0.35">
      <c r="B60" s="92" t="s">
        <v>157</v>
      </c>
      <c r="C60" s="30"/>
      <c r="D60" s="31" t="s">
        <v>2304</v>
      </c>
      <c r="E60" s="32"/>
    </row>
    <row r="61" spans="2:5" x14ac:dyDescent="0.35">
      <c r="B61" s="92" t="s">
        <v>162</v>
      </c>
      <c r="C61" s="33"/>
      <c r="D61" s="31" t="s">
        <v>2305</v>
      </c>
      <c r="E61" s="32"/>
    </row>
    <row r="62" spans="2:5" x14ac:dyDescent="0.35">
      <c r="B62" s="92" t="s">
        <v>154</v>
      </c>
      <c r="C62" s="30"/>
      <c r="D62" s="31" t="s">
        <v>2337</v>
      </c>
      <c r="E62" s="32"/>
    </row>
    <row r="63" spans="2:5" x14ac:dyDescent="0.35">
      <c r="B63" s="92" t="s">
        <v>158</v>
      </c>
      <c r="C63" s="33"/>
      <c r="D63" s="31" t="s">
        <v>2338</v>
      </c>
      <c r="E63" s="32"/>
    </row>
    <row r="64" spans="2:5" x14ac:dyDescent="0.35">
      <c r="B64" s="92" t="s">
        <v>163</v>
      </c>
      <c r="C64" s="33"/>
      <c r="D64" s="31" t="s">
        <v>2390</v>
      </c>
      <c r="E64" s="32"/>
    </row>
    <row r="65" spans="2:5" x14ac:dyDescent="0.35">
      <c r="B65" s="92" t="s">
        <v>2426</v>
      </c>
      <c r="C65" s="30"/>
      <c r="D65" s="31" t="s">
        <v>2427</v>
      </c>
      <c r="E65" s="32"/>
    </row>
    <row r="66" spans="2:5" ht="37.5" x14ac:dyDescent="0.35">
      <c r="B66" s="92" t="s">
        <v>1124</v>
      </c>
      <c r="C66" s="33"/>
      <c r="D66" s="31" t="s">
        <v>2431</v>
      </c>
      <c r="E66" s="32"/>
    </row>
    <row r="67" spans="2:5" x14ac:dyDescent="0.35">
      <c r="B67" s="92" t="s">
        <v>161</v>
      </c>
      <c r="C67" s="30"/>
      <c r="D67" s="31" t="s">
        <v>2452</v>
      </c>
      <c r="E67" s="32"/>
    </row>
    <row r="68" spans="2:5" x14ac:dyDescent="0.35">
      <c r="B68" s="92" t="s">
        <v>155</v>
      </c>
      <c r="C68" s="30"/>
      <c r="D68" s="31" t="s">
        <v>2521</v>
      </c>
      <c r="E68" s="32"/>
    </row>
    <row r="69" spans="2:5" x14ac:dyDescent="0.35">
      <c r="B69" s="93" t="s">
        <v>2662</v>
      </c>
      <c r="C69" s="30"/>
      <c r="D69" s="32" t="s">
        <v>2663</v>
      </c>
      <c r="E69" s="32"/>
    </row>
    <row r="70" spans="2:5" x14ac:dyDescent="0.35">
      <c r="B70" s="93" t="s">
        <v>918</v>
      </c>
      <c r="C70" s="30"/>
      <c r="D70" s="32" t="s">
        <v>919</v>
      </c>
      <c r="E70" s="32"/>
    </row>
    <row r="71" spans="2:5" x14ac:dyDescent="0.35">
      <c r="B71" s="93" t="s">
        <v>730</v>
      </c>
      <c r="C71" s="30"/>
      <c r="D71" s="32" t="s">
        <v>2666</v>
      </c>
      <c r="E71" s="32"/>
    </row>
    <row r="72" spans="2:5" x14ac:dyDescent="0.35">
      <c r="B72" s="93" t="s">
        <v>1165</v>
      </c>
      <c r="C72" s="30"/>
      <c r="D72" s="32" t="s">
        <v>2667</v>
      </c>
      <c r="E72" s="32"/>
    </row>
    <row r="73" spans="2:5" x14ac:dyDescent="0.35">
      <c r="B73" s="93" t="s">
        <v>984</v>
      </c>
      <c r="C73" s="30"/>
      <c r="D73" s="32" t="s">
        <v>985</v>
      </c>
      <c r="E73" s="32"/>
    </row>
    <row r="74" spans="2:5" ht="25" x14ac:dyDescent="0.35">
      <c r="B74" s="93" t="s">
        <v>357</v>
      </c>
      <c r="C74" s="30"/>
      <c r="D74" s="32"/>
      <c r="E74" s="32"/>
    </row>
    <row r="75" spans="2:5" x14ac:dyDescent="0.35">
      <c r="B75" s="93" t="s">
        <v>2679</v>
      </c>
      <c r="C75" s="30"/>
      <c r="D75" s="32"/>
      <c r="E75" s="32"/>
    </row>
    <row r="76" spans="2:5" x14ac:dyDescent="0.35">
      <c r="B76" s="93" t="s">
        <v>2682</v>
      </c>
      <c r="C76" s="30"/>
      <c r="D76" s="32" t="s">
        <v>2683</v>
      </c>
      <c r="E76" s="32"/>
    </row>
    <row r="77" spans="2:5" x14ac:dyDescent="0.35">
      <c r="B77" s="93" t="s">
        <v>2684</v>
      </c>
      <c r="C77" s="30"/>
      <c r="D77" s="32" t="s">
        <v>1395</v>
      </c>
      <c r="E77" s="32"/>
    </row>
    <row r="78" spans="2:5" x14ac:dyDescent="0.35">
      <c r="B78" s="93" t="s">
        <v>3271</v>
      </c>
      <c r="C78" s="30"/>
      <c r="D78" s="32" t="s">
        <v>3272</v>
      </c>
      <c r="E78" s="32"/>
    </row>
    <row r="79" spans="2:5" x14ac:dyDescent="0.35">
      <c r="B79" s="93" t="s">
        <v>3267</v>
      </c>
      <c r="C79" s="30"/>
      <c r="D79" s="32" t="s">
        <v>3268</v>
      </c>
      <c r="E79" s="32"/>
    </row>
    <row r="80" spans="2:5" x14ac:dyDescent="0.35">
      <c r="B80" s="93" t="s">
        <v>8</v>
      </c>
      <c r="C80" s="30"/>
      <c r="D80" s="32" t="s">
        <v>2791</v>
      </c>
      <c r="E80" s="32"/>
    </row>
    <row r="81" spans="1:5" x14ac:dyDescent="0.35">
      <c r="B81" s="93" t="s">
        <v>1115</v>
      </c>
      <c r="C81" s="30"/>
      <c r="D81" s="32" t="s">
        <v>1255</v>
      </c>
      <c r="E81" s="32"/>
    </row>
    <row r="82" spans="1:5" x14ac:dyDescent="0.35">
      <c r="B82" s="93" t="s">
        <v>1075</v>
      </c>
      <c r="C82" s="30"/>
      <c r="D82" s="32" t="s">
        <v>2803</v>
      </c>
      <c r="E82" s="32"/>
    </row>
    <row r="83" spans="1:5" x14ac:dyDescent="0.35">
      <c r="B83" s="93" t="s">
        <v>298</v>
      </c>
      <c r="C83" s="30"/>
      <c r="D83" s="32" t="s">
        <v>2808</v>
      </c>
      <c r="E83" s="32"/>
    </row>
    <row r="84" spans="1:5" x14ac:dyDescent="0.35">
      <c r="B84" s="93" t="s">
        <v>295</v>
      </c>
      <c r="C84" s="30"/>
      <c r="D84" s="32" t="s">
        <v>2809</v>
      </c>
      <c r="E84" s="32"/>
    </row>
    <row r="85" spans="1:5" ht="25" x14ac:dyDescent="0.35">
      <c r="B85" s="93" t="s">
        <v>2812</v>
      </c>
      <c r="C85" s="30"/>
      <c r="D85" s="93" t="s">
        <v>2813</v>
      </c>
      <c r="E85" s="32"/>
    </row>
    <row r="86" spans="1:5" x14ac:dyDescent="0.35">
      <c r="B86" s="93" t="s">
        <v>2900</v>
      </c>
      <c r="C86" s="30"/>
      <c r="D86" s="32" t="s">
        <v>2901</v>
      </c>
      <c r="E86" s="32"/>
    </row>
    <row r="87" spans="1:5" x14ac:dyDescent="0.35">
      <c r="B87" s="93" t="s">
        <v>2971</v>
      </c>
      <c r="C87" s="30"/>
      <c r="D87" s="32" t="s">
        <v>2970</v>
      </c>
      <c r="E87" s="32"/>
    </row>
    <row r="88" spans="1:5" x14ac:dyDescent="0.35">
      <c r="B88" s="93" t="s">
        <v>2968</v>
      </c>
      <c r="C88" s="30"/>
      <c r="D88" s="32" t="s">
        <v>2974</v>
      </c>
      <c r="E88" s="32"/>
    </row>
    <row r="89" spans="1:5" ht="37.5" x14ac:dyDescent="0.35">
      <c r="A89" s="89"/>
      <c r="B89" s="94" t="s">
        <v>311</v>
      </c>
      <c r="C89" s="35" t="s">
        <v>312</v>
      </c>
      <c r="D89" s="36" t="s">
        <v>313</v>
      </c>
      <c r="E89" s="88"/>
    </row>
    <row r="90" spans="1:5" x14ac:dyDescent="0.35">
      <c r="B90" s="93" t="s">
        <v>315</v>
      </c>
      <c r="C90" s="30" t="s">
        <v>316</v>
      </c>
      <c r="D90" s="31" t="s">
        <v>317</v>
      </c>
      <c r="E90" s="82"/>
    </row>
    <row r="91" spans="1:5" ht="25" x14ac:dyDescent="0.35">
      <c r="B91" s="93" t="s">
        <v>320</v>
      </c>
      <c r="C91" s="30" t="s">
        <v>321</v>
      </c>
      <c r="D91" s="31" t="s">
        <v>322</v>
      </c>
      <c r="E91" s="82"/>
    </row>
    <row r="92" spans="1:5" ht="25" x14ac:dyDescent="0.35">
      <c r="B92" s="93" t="s">
        <v>324</v>
      </c>
      <c r="C92" s="30" t="s">
        <v>325</v>
      </c>
      <c r="D92" s="31" t="s">
        <v>326</v>
      </c>
      <c r="E92" s="82"/>
    </row>
    <row r="93" spans="1:5" ht="25" x14ac:dyDescent="0.35">
      <c r="B93" s="93" t="s">
        <v>329</v>
      </c>
      <c r="C93" s="30" t="s">
        <v>330</v>
      </c>
      <c r="D93" s="31" t="s">
        <v>331</v>
      </c>
      <c r="E93" s="82"/>
    </row>
    <row r="94" spans="1:5" ht="25" x14ac:dyDescent="0.35">
      <c r="B94" s="93" t="s">
        <v>334</v>
      </c>
      <c r="C94" s="30" t="s">
        <v>335</v>
      </c>
      <c r="D94" s="31" t="s">
        <v>336</v>
      </c>
      <c r="E94" s="82"/>
    </row>
    <row r="95" spans="1:5" ht="25" x14ac:dyDescent="0.35">
      <c r="B95" s="93" t="s">
        <v>339</v>
      </c>
      <c r="C95" s="30" t="s">
        <v>340</v>
      </c>
      <c r="D95" s="31" t="s">
        <v>341</v>
      </c>
      <c r="E95" s="82"/>
    </row>
    <row r="96" spans="1:5" x14ac:dyDescent="0.35">
      <c r="B96" s="93" t="s">
        <v>343</v>
      </c>
      <c r="C96" s="33" t="s">
        <v>344</v>
      </c>
      <c r="D96" s="31" t="s">
        <v>345</v>
      </c>
      <c r="E96" s="82"/>
    </row>
    <row r="97" spans="2:5" ht="25" x14ac:dyDescent="0.35">
      <c r="B97" s="93" t="s">
        <v>348</v>
      </c>
      <c r="C97" s="30" t="s">
        <v>349</v>
      </c>
      <c r="D97" s="31" t="s">
        <v>350</v>
      </c>
      <c r="E97" s="82"/>
    </row>
    <row r="98" spans="2:5" x14ac:dyDescent="0.35">
      <c r="B98" s="93" t="s">
        <v>353</v>
      </c>
      <c r="C98" s="30" t="s">
        <v>354</v>
      </c>
      <c r="D98" s="31" t="s">
        <v>355</v>
      </c>
      <c r="E98" s="82"/>
    </row>
    <row r="99" spans="2:5" x14ac:dyDescent="0.35">
      <c r="B99" s="93" t="s">
        <v>358</v>
      </c>
      <c r="C99" s="30" t="s">
        <v>359</v>
      </c>
      <c r="D99" s="31" t="s">
        <v>360</v>
      </c>
      <c r="E99" s="82"/>
    </row>
    <row r="100" spans="2:5" x14ac:dyDescent="0.35">
      <c r="B100" s="93" t="s">
        <v>363</v>
      </c>
      <c r="C100" s="30" t="s">
        <v>364</v>
      </c>
      <c r="D100" s="31" t="s">
        <v>365</v>
      </c>
      <c r="E100" s="82"/>
    </row>
    <row r="101" spans="2:5" x14ac:dyDescent="0.35">
      <c r="B101" s="93" t="s">
        <v>368</v>
      </c>
      <c r="C101" s="30" t="s">
        <v>369</v>
      </c>
      <c r="D101" s="31" t="s">
        <v>370</v>
      </c>
      <c r="E101" s="82"/>
    </row>
    <row r="102" spans="2:5" x14ac:dyDescent="0.35">
      <c r="B102" s="93" t="s">
        <v>373</v>
      </c>
      <c r="C102" s="30" t="s">
        <v>374</v>
      </c>
      <c r="D102" s="31" t="s">
        <v>375</v>
      </c>
      <c r="E102" s="82"/>
    </row>
    <row r="103" spans="2:5" x14ac:dyDescent="0.35">
      <c r="B103" s="93" t="s">
        <v>378</v>
      </c>
      <c r="C103" s="30" t="s">
        <v>379</v>
      </c>
      <c r="D103" s="31" t="s">
        <v>380</v>
      </c>
      <c r="E103" s="82"/>
    </row>
    <row r="104" spans="2:5" x14ac:dyDescent="0.35">
      <c r="B104" s="93" t="s">
        <v>383</v>
      </c>
      <c r="C104" s="30" t="s">
        <v>384</v>
      </c>
      <c r="D104" s="31" t="s">
        <v>385</v>
      </c>
      <c r="E104" s="82"/>
    </row>
    <row r="105" spans="2:5" x14ac:dyDescent="0.35">
      <c r="B105" s="93" t="s">
        <v>387</v>
      </c>
      <c r="C105" s="30" t="s">
        <v>388</v>
      </c>
      <c r="D105" s="31" t="s">
        <v>389</v>
      </c>
      <c r="E105" s="82"/>
    </row>
    <row r="106" spans="2:5" x14ac:dyDescent="0.35">
      <c r="B106" s="93" t="s">
        <v>391</v>
      </c>
      <c r="C106" s="30" t="s">
        <v>376</v>
      </c>
      <c r="D106" s="31" t="s">
        <v>392</v>
      </c>
      <c r="E106" s="82"/>
    </row>
    <row r="107" spans="2:5" x14ac:dyDescent="0.35">
      <c r="B107" s="93" t="s">
        <v>393</v>
      </c>
      <c r="C107" s="30" t="s">
        <v>394</v>
      </c>
      <c r="D107" s="31" t="s">
        <v>395</v>
      </c>
      <c r="E107" s="82"/>
    </row>
    <row r="108" spans="2:5" x14ac:dyDescent="0.35">
      <c r="B108" s="93" t="s">
        <v>396</v>
      </c>
      <c r="C108" s="30" t="s">
        <v>397</v>
      </c>
      <c r="D108" s="31" t="s">
        <v>398</v>
      </c>
      <c r="E108" s="82"/>
    </row>
    <row r="109" spans="2:5" x14ac:dyDescent="0.35">
      <c r="B109" s="93" t="s">
        <v>399</v>
      </c>
      <c r="C109" s="30" t="s">
        <v>400</v>
      </c>
      <c r="D109" s="31" t="s">
        <v>401</v>
      </c>
      <c r="E109" s="82"/>
    </row>
    <row r="110" spans="2:5" x14ac:dyDescent="0.35">
      <c r="B110" s="93" t="s">
        <v>403</v>
      </c>
      <c r="C110" s="30" t="s">
        <v>404</v>
      </c>
      <c r="D110" s="31" t="s">
        <v>405</v>
      </c>
      <c r="E110" s="82"/>
    </row>
    <row r="111" spans="2:5" x14ac:dyDescent="0.35">
      <c r="B111" s="93" t="s">
        <v>407</v>
      </c>
      <c r="C111" s="30" t="s">
        <v>381</v>
      </c>
      <c r="D111" s="31" t="s">
        <v>408</v>
      </c>
      <c r="E111" s="82"/>
    </row>
    <row r="112" spans="2:5" x14ac:dyDescent="0.35">
      <c r="B112" s="93" t="s">
        <v>410</v>
      </c>
      <c r="C112" s="30" t="s">
        <v>411</v>
      </c>
      <c r="D112" s="31" t="s">
        <v>412</v>
      </c>
      <c r="E112" s="82"/>
    </row>
    <row r="113" spans="2:5" x14ac:dyDescent="0.35">
      <c r="B113" s="93" t="s">
        <v>414</v>
      </c>
      <c r="C113" s="30" t="s">
        <v>415</v>
      </c>
      <c r="D113" s="31" t="s">
        <v>416</v>
      </c>
      <c r="E113" s="82"/>
    </row>
    <row r="114" spans="2:5" x14ac:dyDescent="0.35">
      <c r="B114" s="93" t="s">
        <v>418</v>
      </c>
      <c r="C114" s="32" t="s">
        <v>318</v>
      </c>
      <c r="D114" s="32" t="s">
        <v>419</v>
      </c>
      <c r="E114" s="82"/>
    </row>
    <row r="115" spans="2:5" x14ac:dyDescent="0.35">
      <c r="B115" s="93" t="s">
        <v>421</v>
      </c>
      <c r="C115" s="30" t="s">
        <v>327</v>
      </c>
      <c r="D115" s="31" t="s">
        <v>422</v>
      </c>
      <c r="E115" s="82"/>
    </row>
    <row r="116" spans="2:5" x14ac:dyDescent="0.35">
      <c r="B116" s="93" t="s">
        <v>424</v>
      </c>
      <c r="C116" s="32" t="s">
        <v>314</v>
      </c>
      <c r="D116" s="32" t="s">
        <v>425</v>
      </c>
      <c r="E116" s="82"/>
    </row>
    <row r="117" spans="2:5" x14ac:dyDescent="0.35">
      <c r="B117" s="93" t="s">
        <v>426</v>
      </c>
      <c r="C117" s="30" t="s">
        <v>427</v>
      </c>
      <c r="D117" s="31" t="s">
        <v>428</v>
      </c>
      <c r="E117" s="82"/>
    </row>
    <row r="118" spans="2:5" x14ac:dyDescent="0.35">
      <c r="B118" s="93" t="s">
        <v>429</v>
      </c>
      <c r="C118" s="30" t="s">
        <v>342</v>
      </c>
      <c r="D118" s="31" t="s">
        <v>430</v>
      </c>
      <c r="E118" s="82"/>
    </row>
    <row r="119" spans="2:5" x14ac:dyDescent="0.35">
      <c r="B119" s="93" t="s">
        <v>434</v>
      </c>
      <c r="C119" s="30" t="s">
        <v>332</v>
      </c>
      <c r="D119" s="31" t="s">
        <v>435</v>
      </c>
      <c r="E119" s="82"/>
    </row>
    <row r="120" spans="2:5" x14ac:dyDescent="0.35">
      <c r="B120" s="93" t="s">
        <v>439</v>
      </c>
      <c r="C120" s="30" t="s">
        <v>436</v>
      </c>
      <c r="D120" s="31" t="s">
        <v>440</v>
      </c>
      <c r="E120" s="82"/>
    </row>
    <row r="121" spans="2:5" x14ac:dyDescent="0.35">
      <c r="B121" s="93" t="s">
        <v>444</v>
      </c>
      <c r="C121" s="30" t="s">
        <v>441</v>
      </c>
      <c r="D121" s="31" t="s">
        <v>445</v>
      </c>
      <c r="E121" s="82"/>
    </row>
    <row r="122" spans="2:5" x14ac:dyDescent="0.35">
      <c r="B122" s="93" t="s">
        <v>447</v>
      </c>
      <c r="C122" s="31" t="s">
        <v>337</v>
      </c>
      <c r="D122" s="31" t="s">
        <v>448</v>
      </c>
      <c r="E122" s="82"/>
    </row>
    <row r="123" spans="2:5" x14ac:dyDescent="0.35">
      <c r="B123" s="93" t="s">
        <v>450</v>
      </c>
      <c r="C123" s="30" t="s">
        <v>346</v>
      </c>
      <c r="D123" s="31" t="s">
        <v>451</v>
      </c>
      <c r="E123" s="82"/>
    </row>
    <row r="124" spans="2:5" x14ac:dyDescent="0.35">
      <c r="B124" s="93" t="s">
        <v>453</v>
      </c>
      <c r="C124" s="30" t="s">
        <v>351</v>
      </c>
      <c r="D124" s="31" t="s">
        <v>454</v>
      </c>
      <c r="E124" s="82"/>
    </row>
    <row r="125" spans="2:5" x14ac:dyDescent="0.35">
      <c r="B125" s="93" t="s">
        <v>456</v>
      </c>
      <c r="C125" s="30" t="s">
        <v>356</v>
      </c>
      <c r="D125" s="31" t="s">
        <v>457</v>
      </c>
      <c r="E125" s="82"/>
    </row>
    <row r="126" spans="2:5" x14ac:dyDescent="0.35">
      <c r="B126" s="93" t="s">
        <v>458</v>
      </c>
      <c r="C126" s="30" t="s">
        <v>361</v>
      </c>
      <c r="D126" s="31" t="s">
        <v>459</v>
      </c>
      <c r="E126" s="82"/>
    </row>
    <row r="127" spans="2:5" x14ac:dyDescent="0.35">
      <c r="B127" s="93" t="s">
        <v>462</v>
      </c>
      <c r="C127" s="30" t="s">
        <v>431</v>
      </c>
      <c r="D127" s="31" t="s">
        <v>463</v>
      </c>
      <c r="E127" s="82"/>
    </row>
    <row r="128" spans="2:5" ht="37.5" x14ac:dyDescent="0.35">
      <c r="B128" s="93" t="s">
        <v>466</v>
      </c>
      <c r="C128" s="30" t="s">
        <v>371</v>
      </c>
      <c r="D128" s="31" t="s">
        <v>467</v>
      </c>
      <c r="E128" s="82"/>
    </row>
    <row r="129" spans="2:5" x14ac:dyDescent="0.35">
      <c r="B129" s="93" t="s">
        <v>470</v>
      </c>
      <c r="C129" s="30" t="s">
        <v>366</v>
      </c>
      <c r="D129" s="31" t="s">
        <v>471</v>
      </c>
      <c r="E129" s="82"/>
    </row>
    <row r="130" spans="2:5" x14ac:dyDescent="0.35">
      <c r="B130" s="93" t="s">
        <v>475</v>
      </c>
      <c r="C130" s="33" t="s">
        <v>472</v>
      </c>
      <c r="D130" s="31" t="s">
        <v>476</v>
      </c>
      <c r="E130" s="82"/>
    </row>
    <row r="131" spans="2:5" x14ac:dyDescent="0.35">
      <c r="B131" s="93" t="s">
        <v>478</v>
      </c>
      <c r="C131" s="30" t="s">
        <v>479</v>
      </c>
      <c r="D131" s="31" t="s">
        <v>480</v>
      </c>
      <c r="E131" s="82"/>
    </row>
    <row r="132" spans="2:5" x14ac:dyDescent="0.35">
      <c r="B132" s="93" t="s">
        <v>484</v>
      </c>
      <c r="C132" s="30" t="s">
        <v>485</v>
      </c>
      <c r="D132" s="31" t="s">
        <v>486</v>
      </c>
      <c r="E132" s="82"/>
    </row>
    <row r="133" spans="2:5" x14ac:dyDescent="0.35">
      <c r="B133" s="93" t="s">
        <v>489</v>
      </c>
      <c r="C133" s="30" t="s">
        <v>464</v>
      </c>
      <c r="D133" s="31" t="s">
        <v>490</v>
      </c>
      <c r="E133" s="82"/>
    </row>
    <row r="134" spans="2:5" x14ac:dyDescent="0.35">
      <c r="B134" s="93" t="s">
        <v>493</v>
      </c>
      <c r="C134" s="30" t="s">
        <v>487</v>
      </c>
      <c r="D134" s="31" t="s">
        <v>494</v>
      </c>
      <c r="E134" s="82"/>
    </row>
    <row r="135" spans="2:5" x14ac:dyDescent="0.35">
      <c r="B135" s="93" t="s">
        <v>493</v>
      </c>
      <c r="C135" s="30" t="s">
        <v>491</v>
      </c>
      <c r="D135" s="31" t="s">
        <v>494</v>
      </c>
      <c r="E135" s="82"/>
    </row>
    <row r="136" spans="2:5" x14ac:dyDescent="0.35">
      <c r="B136" s="93" t="s">
        <v>498</v>
      </c>
      <c r="C136" s="30" t="s">
        <v>496</v>
      </c>
      <c r="D136" s="31" t="s">
        <v>499</v>
      </c>
      <c r="E136" s="82"/>
    </row>
    <row r="137" spans="2:5" x14ac:dyDescent="0.35">
      <c r="B137" s="93" t="s">
        <v>498</v>
      </c>
      <c r="C137" s="30" t="s">
        <v>500</v>
      </c>
      <c r="D137" s="31" t="s">
        <v>499</v>
      </c>
      <c r="E137" s="82"/>
    </row>
    <row r="138" spans="2:5" x14ac:dyDescent="0.35">
      <c r="B138" s="93" t="s">
        <v>506</v>
      </c>
      <c r="C138" s="30" t="s">
        <v>481</v>
      </c>
      <c r="D138" s="31" t="s">
        <v>507</v>
      </c>
      <c r="E138" s="82"/>
    </row>
    <row r="139" spans="2:5" x14ac:dyDescent="0.35">
      <c r="B139" s="93" t="s">
        <v>509</v>
      </c>
      <c r="C139" s="30" t="s">
        <v>503</v>
      </c>
      <c r="D139" s="31" t="s">
        <v>510</v>
      </c>
      <c r="E139" s="82"/>
    </row>
    <row r="140" spans="2:5" ht="37.5" x14ac:dyDescent="0.35">
      <c r="B140" s="93" t="s">
        <v>513</v>
      </c>
      <c r="C140" s="30" t="s">
        <v>514</v>
      </c>
      <c r="D140" s="32" t="s">
        <v>515</v>
      </c>
      <c r="E140" s="32"/>
    </row>
    <row r="141" spans="2:5" x14ac:dyDescent="0.35">
      <c r="B141" s="93" t="s">
        <v>517</v>
      </c>
      <c r="C141" s="32"/>
      <c r="D141" s="32" t="s">
        <v>518</v>
      </c>
      <c r="E141" s="32"/>
    </row>
    <row r="142" spans="2:5" x14ac:dyDescent="0.35">
      <c r="B142" s="93" t="s">
        <v>520</v>
      </c>
      <c r="C142" s="32"/>
      <c r="D142" s="32" t="s">
        <v>521</v>
      </c>
      <c r="E142" s="32"/>
    </row>
    <row r="143" spans="2:5" x14ac:dyDescent="0.35">
      <c r="B143" s="93" t="s">
        <v>523</v>
      </c>
      <c r="C143" s="32"/>
      <c r="D143" s="32" t="s">
        <v>524</v>
      </c>
      <c r="E143" s="32"/>
    </row>
    <row r="144" spans="2:5" ht="25" x14ac:dyDescent="0.35">
      <c r="B144" s="93" t="s">
        <v>526</v>
      </c>
      <c r="C144" s="32"/>
      <c r="D144" s="93" t="s">
        <v>527</v>
      </c>
      <c r="E144" s="32"/>
    </row>
    <row r="145" spans="2:5" x14ac:dyDescent="0.35">
      <c r="B145" s="93" t="s">
        <v>529</v>
      </c>
      <c r="C145" s="32"/>
      <c r="D145" s="32" t="s">
        <v>530</v>
      </c>
      <c r="E145" s="32"/>
    </row>
    <row r="146" spans="2:5" x14ac:dyDescent="0.35">
      <c r="B146" s="93" t="s">
        <v>532</v>
      </c>
      <c r="C146" s="32"/>
      <c r="D146" s="32" t="s">
        <v>533</v>
      </c>
      <c r="E146" s="32"/>
    </row>
    <row r="147" spans="2:5" x14ac:dyDescent="0.35">
      <c r="B147" s="93" t="s">
        <v>535</v>
      </c>
      <c r="C147" s="32"/>
      <c r="D147" s="32" t="s">
        <v>536</v>
      </c>
      <c r="E147" s="32"/>
    </row>
    <row r="148" spans="2:5" x14ac:dyDescent="0.35">
      <c r="B148" s="93" t="s">
        <v>538</v>
      </c>
      <c r="C148" s="32"/>
      <c r="D148" s="32" t="s">
        <v>539</v>
      </c>
      <c r="E148" s="32"/>
    </row>
    <row r="149" spans="2:5" x14ac:dyDescent="0.35">
      <c r="B149" s="93" t="s">
        <v>541</v>
      </c>
      <c r="C149" s="32"/>
      <c r="D149" s="32" t="s">
        <v>542</v>
      </c>
      <c r="E149" s="32"/>
    </row>
    <row r="150" spans="2:5" x14ac:dyDescent="0.35">
      <c r="B150" s="93" t="s">
        <v>545</v>
      </c>
      <c r="C150" s="32"/>
      <c r="D150" s="32" t="s">
        <v>536</v>
      </c>
      <c r="E150" s="32"/>
    </row>
    <row r="151" spans="2:5" x14ac:dyDescent="0.35">
      <c r="B151" s="93" t="s">
        <v>547</v>
      </c>
      <c r="C151" s="32"/>
      <c r="D151" s="32" t="s">
        <v>548</v>
      </c>
      <c r="E151" s="32"/>
    </row>
    <row r="152" spans="2:5" x14ac:dyDescent="0.35">
      <c r="B152" s="93" t="s">
        <v>551</v>
      </c>
      <c r="C152" s="32"/>
      <c r="D152" s="32" t="s">
        <v>552</v>
      </c>
      <c r="E152" s="32"/>
    </row>
    <row r="153" spans="2:5" x14ac:dyDescent="0.35">
      <c r="B153" s="93" t="s">
        <v>555</v>
      </c>
      <c r="C153" s="32"/>
      <c r="D153" s="32" t="s">
        <v>556</v>
      </c>
      <c r="E153" s="32"/>
    </row>
    <row r="154" spans="2:5" x14ac:dyDescent="0.35">
      <c r="B154" s="93" t="s">
        <v>557</v>
      </c>
      <c r="C154" s="32"/>
      <c r="D154" s="32" t="s">
        <v>558</v>
      </c>
      <c r="E154" s="32"/>
    </row>
    <row r="155" spans="2:5" x14ac:dyDescent="0.35">
      <c r="B155" s="93" t="s">
        <v>559</v>
      </c>
      <c r="C155" s="32"/>
      <c r="D155" s="32" t="s">
        <v>560</v>
      </c>
      <c r="E155" s="32"/>
    </row>
    <row r="156" spans="2:5" x14ac:dyDescent="0.35">
      <c r="B156" s="93" t="s">
        <v>562</v>
      </c>
      <c r="C156" s="32"/>
      <c r="D156" s="32" t="s">
        <v>563</v>
      </c>
      <c r="E156" s="32"/>
    </row>
    <row r="157" spans="2:5" x14ac:dyDescent="0.35">
      <c r="B157" s="93" t="s">
        <v>566</v>
      </c>
      <c r="C157" s="32"/>
      <c r="D157" s="32" t="s">
        <v>567</v>
      </c>
      <c r="E157" s="32"/>
    </row>
    <row r="158" spans="2:5" x14ac:dyDescent="0.35">
      <c r="B158" s="93" t="s">
        <v>569</v>
      </c>
      <c r="C158" s="32"/>
      <c r="D158" s="32" t="s">
        <v>570</v>
      </c>
      <c r="E158" s="32"/>
    </row>
    <row r="159" spans="2:5" x14ac:dyDescent="0.35">
      <c r="B159" s="93" t="s">
        <v>571</v>
      </c>
      <c r="C159" s="32"/>
      <c r="D159" s="32" t="s">
        <v>572</v>
      </c>
      <c r="E159" s="32"/>
    </row>
    <row r="160" spans="2:5" x14ac:dyDescent="0.35">
      <c r="B160" s="93" t="s">
        <v>575</v>
      </c>
      <c r="C160" s="32"/>
      <c r="D160" s="32" t="s">
        <v>576</v>
      </c>
      <c r="E160" s="32"/>
    </row>
    <row r="161" spans="2:5" x14ac:dyDescent="0.35">
      <c r="B161" s="93" t="s">
        <v>579</v>
      </c>
      <c r="C161" s="32"/>
      <c r="D161" s="32" t="s">
        <v>580</v>
      </c>
      <c r="E161" s="32"/>
    </row>
    <row r="162" spans="2:5" x14ac:dyDescent="0.35">
      <c r="B162" s="93" t="s">
        <v>583</v>
      </c>
      <c r="C162" s="32"/>
      <c r="D162" s="32" t="s">
        <v>584</v>
      </c>
      <c r="E162" s="32"/>
    </row>
    <row r="163" spans="2:5" x14ac:dyDescent="0.35">
      <c r="B163" s="93" t="s">
        <v>585</v>
      </c>
      <c r="C163" s="32"/>
      <c r="D163" s="32" t="s">
        <v>586</v>
      </c>
      <c r="E163" s="32"/>
    </row>
    <row r="164" spans="2:5" x14ac:dyDescent="0.35">
      <c r="B164" s="93" t="s">
        <v>589</v>
      </c>
      <c r="C164" s="32"/>
      <c r="D164" s="32" t="s">
        <v>590</v>
      </c>
      <c r="E164" s="32"/>
    </row>
    <row r="165" spans="2:5" x14ac:dyDescent="0.35">
      <c r="B165" s="93" t="s">
        <v>592</v>
      </c>
      <c r="C165" s="32"/>
      <c r="D165" s="32" t="s">
        <v>593</v>
      </c>
      <c r="E165" s="32"/>
    </row>
    <row r="166" spans="2:5" x14ac:dyDescent="0.35">
      <c r="B166" s="93" t="s">
        <v>594</v>
      </c>
      <c r="C166" s="32"/>
      <c r="D166" s="32" t="s">
        <v>595</v>
      </c>
      <c r="E166" s="32"/>
    </row>
    <row r="167" spans="2:5" x14ac:dyDescent="0.35">
      <c r="B167" s="93" t="s">
        <v>598</v>
      </c>
      <c r="C167" s="32"/>
      <c r="D167" s="32" t="s">
        <v>599</v>
      </c>
      <c r="E167" s="32"/>
    </row>
    <row r="168" spans="2:5" x14ac:dyDescent="0.35">
      <c r="B168" s="93" t="s">
        <v>601</v>
      </c>
      <c r="C168" s="32"/>
      <c r="D168" s="32" t="s">
        <v>602</v>
      </c>
      <c r="E168" s="32"/>
    </row>
    <row r="169" spans="2:5" x14ac:dyDescent="0.35">
      <c r="B169" s="93" t="s">
        <v>604</v>
      </c>
      <c r="C169" s="32"/>
      <c r="D169" s="32" t="s">
        <v>605</v>
      </c>
      <c r="E169" s="32"/>
    </row>
    <row r="170" spans="2:5" x14ac:dyDescent="0.35">
      <c r="B170" s="93" t="s">
        <v>607</v>
      </c>
      <c r="C170" s="32"/>
      <c r="D170" s="32" t="s">
        <v>608</v>
      </c>
      <c r="E170" s="32"/>
    </row>
    <row r="171" spans="2:5" x14ac:dyDescent="0.35">
      <c r="B171" s="93" t="s">
        <v>609</v>
      </c>
      <c r="C171" s="32"/>
      <c r="D171" s="32" t="s">
        <v>610</v>
      </c>
      <c r="E171" s="32"/>
    </row>
    <row r="172" spans="2:5" x14ac:dyDescent="0.35">
      <c r="B172" s="93" t="s">
        <v>612</v>
      </c>
      <c r="C172" s="32"/>
      <c r="D172" s="32" t="s">
        <v>613</v>
      </c>
      <c r="E172" s="32"/>
    </row>
    <row r="173" spans="2:5" x14ac:dyDescent="0.35">
      <c r="B173" s="93" t="s">
        <v>614</v>
      </c>
      <c r="C173" s="32"/>
      <c r="D173" s="32" t="s">
        <v>615</v>
      </c>
      <c r="E173" s="32"/>
    </row>
    <row r="174" spans="2:5" x14ac:dyDescent="0.35">
      <c r="B174" s="93" t="s">
        <v>616</v>
      </c>
      <c r="C174" s="32"/>
      <c r="D174" s="32" t="s">
        <v>617</v>
      </c>
      <c r="E174" s="32"/>
    </row>
    <row r="175" spans="2:5" x14ac:dyDescent="0.35">
      <c r="B175" s="93" t="s">
        <v>619</v>
      </c>
      <c r="C175" s="32"/>
      <c r="D175" s="32" t="s">
        <v>620</v>
      </c>
      <c r="E175" s="32"/>
    </row>
    <row r="176" spans="2:5" x14ac:dyDescent="0.35">
      <c r="B176" s="93" t="s">
        <v>622</v>
      </c>
      <c r="C176" s="32"/>
      <c r="D176" s="32" t="s">
        <v>623</v>
      </c>
      <c r="E176" s="32"/>
    </row>
    <row r="177" spans="2:5" x14ac:dyDescent="0.35">
      <c r="B177" s="93" t="s">
        <v>625</v>
      </c>
      <c r="C177" s="32"/>
      <c r="D177" s="32" t="s">
        <v>626</v>
      </c>
      <c r="E177" s="32"/>
    </row>
    <row r="178" spans="2:5" x14ac:dyDescent="0.35">
      <c r="B178" s="93" t="s">
        <v>628</v>
      </c>
      <c r="C178" s="32"/>
      <c r="D178" s="32" t="s">
        <v>629</v>
      </c>
      <c r="E178" s="32"/>
    </row>
    <row r="179" spans="2:5" x14ac:dyDescent="0.35">
      <c r="B179" s="93" t="s">
        <v>632</v>
      </c>
      <c r="C179" s="32"/>
      <c r="D179" s="32" t="s">
        <v>633</v>
      </c>
      <c r="E179" s="32"/>
    </row>
    <row r="180" spans="2:5" x14ac:dyDescent="0.35">
      <c r="B180" s="93" t="s">
        <v>636</v>
      </c>
      <c r="C180" s="32"/>
      <c r="D180" s="32" t="s">
        <v>637</v>
      </c>
      <c r="E180" s="32"/>
    </row>
    <row r="181" spans="2:5" x14ac:dyDescent="0.35">
      <c r="B181" s="93" t="s">
        <v>640</v>
      </c>
      <c r="C181" s="32"/>
      <c r="D181" s="32" t="s">
        <v>641</v>
      </c>
      <c r="E181" s="32"/>
    </row>
    <row r="182" spans="2:5" x14ac:dyDescent="0.35">
      <c r="B182" s="93" t="s">
        <v>644</v>
      </c>
      <c r="C182" s="32"/>
      <c r="D182" s="32" t="s">
        <v>645</v>
      </c>
      <c r="E182" s="32"/>
    </row>
    <row r="183" spans="2:5" x14ac:dyDescent="0.35">
      <c r="B183" s="93" t="s">
        <v>648</v>
      </c>
      <c r="C183" s="32"/>
      <c r="D183" s="32" t="s">
        <v>649</v>
      </c>
      <c r="E183" s="32"/>
    </row>
    <row r="184" spans="2:5" x14ac:dyDescent="0.35">
      <c r="B184" s="93" t="s">
        <v>651</v>
      </c>
      <c r="C184" s="32"/>
      <c r="D184" s="32" t="s">
        <v>652</v>
      </c>
      <c r="E184" s="32"/>
    </row>
    <row r="185" spans="2:5" x14ac:dyDescent="0.35">
      <c r="B185" s="93" t="s">
        <v>654</v>
      </c>
      <c r="C185" s="32"/>
      <c r="D185" s="32" t="s">
        <v>655</v>
      </c>
      <c r="E185" s="32"/>
    </row>
    <row r="186" spans="2:5" x14ac:dyDescent="0.35">
      <c r="B186" s="93" t="s">
        <v>656</v>
      </c>
      <c r="C186" s="32"/>
      <c r="D186" s="32" t="s">
        <v>657</v>
      </c>
      <c r="E186" s="32"/>
    </row>
    <row r="187" spans="2:5" x14ac:dyDescent="0.35">
      <c r="B187" s="93" t="s">
        <v>659</v>
      </c>
      <c r="C187" s="32"/>
      <c r="D187" s="32" t="s">
        <v>660</v>
      </c>
      <c r="E187" s="32"/>
    </row>
    <row r="188" spans="2:5" x14ac:dyDescent="0.35">
      <c r="B188" s="93" t="s">
        <v>662</v>
      </c>
      <c r="C188" s="32"/>
      <c r="D188" s="32" t="s">
        <v>663</v>
      </c>
      <c r="E188" s="32"/>
    </row>
    <row r="189" spans="2:5" x14ac:dyDescent="0.35">
      <c r="B189" s="93" t="s">
        <v>665</v>
      </c>
      <c r="C189" s="32"/>
      <c r="D189" s="32" t="s">
        <v>666</v>
      </c>
      <c r="E189" s="32"/>
    </row>
    <row r="190" spans="2:5" x14ac:dyDescent="0.35">
      <c r="B190" s="93" t="s">
        <v>669</v>
      </c>
      <c r="C190" s="32"/>
      <c r="D190" s="32" t="s">
        <v>670</v>
      </c>
      <c r="E190" s="32"/>
    </row>
    <row r="191" spans="2:5" x14ac:dyDescent="0.35">
      <c r="B191" s="93" t="s">
        <v>673</v>
      </c>
      <c r="C191" s="32"/>
      <c r="D191" s="32" t="s">
        <v>674</v>
      </c>
      <c r="E191" s="32"/>
    </row>
    <row r="192" spans="2:5" x14ac:dyDescent="0.35">
      <c r="B192" s="93" t="s">
        <v>676</v>
      </c>
      <c r="C192" s="32"/>
      <c r="D192" s="32" t="s">
        <v>677</v>
      </c>
      <c r="E192" s="32"/>
    </row>
    <row r="193" spans="2:5" x14ac:dyDescent="0.35">
      <c r="B193" s="93" t="s">
        <v>680</v>
      </c>
      <c r="C193" s="32"/>
      <c r="D193" s="32" t="s">
        <v>681</v>
      </c>
      <c r="E193" s="32"/>
    </row>
    <row r="194" spans="2:5" x14ac:dyDescent="0.35">
      <c r="B194" s="93" t="s">
        <v>684</v>
      </c>
      <c r="C194" s="32"/>
      <c r="D194" s="32" t="s">
        <v>685</v>
      </c>
      <c r="E194" s="32"/>
    </row>
    <row r="195" spans="2:5" x14ac:dyDescent="0.35">
      <c r="B195" s="93" t="s">
        <v>687</v>
      </c>
      <c r="C195" s="32"/>
      <c r="D195" s="32" t="s">
        <v>688</v>
      </c>
      <c r="E195" s="32"/>
    </row>
    <row r="196" spans="2:5" x14ac:dyDescent="0.35">
      <c r="B196" s="93" t="s">
        <v>691</v>
      </c>
      <c r="C196" s="32"/>
      <c r="D196" s="32" t="s">
        <v>692</v>
      </c>
      <c r="E196" s="32"/>
    </row>
    <row r="197" spans="2:5" x14ac:dyDescent="0.35">
      <c r="B197" s="93" t="s">
        <v>695</v>
      </c>
      <c r="C197" s="32"/>
      <c r="D197" s="32" t="s">
        <v>696</v>
      </c>
      <c r="E197" s="32"/>
    </row>
    <row r="198" spans="2:5" x14ac:dyDescent="0.35">
      <c r="B198" s="93" t="s">
        <v>698</v>
      </c>
      <c r="C198" s="32"/>
      <c r="D198" s="32" t="s">
        <v>699</v>
      </c>
      <c r="E198" s="32"/>
    </row>
    <row r="199" spans="2:5" x14ac:dyDescent="0.35">
      <c r="B199" s="93" t="s">
        <v>701</v>
      </c>
      <c r="C199" s="32"/>
      <c r="D199" s="32" t="s">
        <v>702</v>
      </c>
      <c r="E199" s="32"/>
    </row>
    <row r="200" spans="2:5" x14ac:dyDescent="0.35">
      <c r="B200" s="93" t="s">
        <v>705</v>
      </c>
      <c r="C200" s="32"/>
      <c r="D200" s="32" t="s">
        <v>706</v>
      </c>
      <c r="E200" s="32"/>
    </row>
    <row r="201" spans="2:5" x14ac:dyDescent="0.35">
      <c r="B201" s="93" t="s">
        <v>709</v>
      </c>
      <c r="C201" s="32"/>
      <c r="D201" s="32" t="s">
        <v>710</v>
      </c>
      <c r="E201" s="32"/>
    </row>
    <row r="202" spans="2:5" x14ac:dyDescent="0.35">
      <c r="B202" s="93" t="s">
        <v>391</v>
      </c>
      <c r="C202" s="32"/>
      <c r="D202" s="32" t="s">
        <v>392</v>
      </c>
      <c r="E202" s="32"/>
    </row>
    <row r="203" spans="2:5" x14ac:dyDescent="0.35">
      <c r="B203" s="93" t="s">
        <v>714</v>
      </c>
      <c r="C203" s="32"/>
      <c r="D203" s="32" t="s">
        <v>715</v>
      </c>
      <c r="E203" s="32"/>
    </row>
    <row r="204" spans="2:5" x14ac:dyDescent="0.35">
      <c r="B204" s="93" t="s">
        <v>717</v>
      </c>
      <c r="C204" s="32"/>
      <c r="D204" s="32" t="s">
        <v>718</v>
      </c>
      <c r="E204" s="32"/>
    </row>
    <row r="205" spans="2:5" x14ac:dyDescent="0.35">
      <c r="B205" s="93" t="s">
        <v>721</v>
      </c>
      <c r="C205" s="32"/>
      <c r="D205" s="32" t="s">
        <v>722</v>
      </c>
      <c r="E205" s="32"/>
    </row>
    <row r="206" spans="2:5" x14ac:dyDescent="0.35">
      <c r="B206" s="93" t="s">
        <v>724</v>
      </c>
      <c r="C206" s="32"/>
      <c r="D206" s="32" t="s">
        <v>725</v>
      </c>
      <c r="E206" s="32"/>
    </row>
    <row r="207" spans="2:5" x14ac:dyDescent="0.35">
      <c r="B207" s="93" t="s">
        <v>727</v>
      </c>
      <c r="C207" s="32"/>
      <c r="D207" s="32" t="s">
        <v>728</v>
      </c>
      <c r="E207" s="32"/>
    </row>
    <row r="208" spans="2:5" x14ac:dyDescent="0.35">
      <c r="B208" s="93" t="s">
        <v>732</v>
      </c>
      <c r="C208" s="32"/>
      <c r="D208" s="32" t="s">
        <v>733</v>
      </c>
      <c r="E208" s="32"/>
    </row>
    <row r="209" spans="2:5" x14ac:dyDescent="0.35">
      <c r="B209" s="93" t="s">
        <v>735</v>
      </c>
      <c r="C209" s="32"/>
      <c r="D209" s="32" t="s">
        <v>736</v>
      </c>
      <c r="E209" s="32"/>
    </row>
    <row r="210" spans="2:5" x14ac:dyDescent="0.35">
      <c r="B210" s="93" t="s">
        <v>738</v>
      </c>
      <c r="C210" s="32"/>
      <c r="D210" s="32" t="s">
        <v>739</v>
      </c>
      <c r="E210" s="32"/>
    </row>
    <row r="211" spans="2:5" x14ac:dyDescent="0.35">
      <c r="B211" s="93" t="s">
        <v>741</v>
      </c>
      <c r="C211" s="32"/>
      <c r="D211" s="32" t="s">
        <v>742</v>
      </c>
      <c r="E211" s="32"/>
    </row>
    <row r="212" spans="2:5" x14ac:dyDescent="0.35">
      <c r="B212" s="93" t="s">
        <v>743</v>
      </c>
      <c r="C212" s="32"/>
      <c r="D212" s="32" t="s">
        <v>744</v>
      </c>
      <c r="E212" s="32"/>
    </row>
    <row r="213" spans="2:5" x14ac:dyDescent="0.35">
      <c r="B213" s="93" t="s">
        <v>745</v>
      </c>
      <c r="C213" s="32"/>
      <c r="D213" s="32" t="s">
        <v>746</v>
      </c>
      <c r="E213" s="32"/>
    </row>
    <row r="214" spans="2:5" x14ac:dyDescent="0.35">
      <c r="B214" s="93" t="s">
        <v>747</v>
      </c>
      <c r="C214" s="32"/>
      <c r="D214" s="32" t="s">
        <v>748</v>
      </c>
      <c r="E214" s="32"/>
    </row>
    <row r="215" spans="2:5" x14ac:dyDescent="0.35">
      <c r="B215" s="93" t="s">
        <v>750</v>
      </c>
      <c r="C215" s="32"/>
      <c r="D215" s="32" t="s">
        <v>751</v>
      </c>
      <c r="E215" s="32"/>
    </row>
    <row r="216" spans="2:5" x14ac:dyDescent="0.35">
      <c r="B216" s="93" t="s">
        <v>752</v>
      </c>
      <c r="C216" s="32"/>
      <c r="D216" s="32" t="s">
        <v>753</v>
      </c>
      <c r="E216" s="32"/>
    </row>
    <row r="217" spans="2:5" x14ac:dyDescent="0.35">
      <c r="B217" s="93" t="s">
        <v>755</v>
      </c>
      <c r="C217" s="32"/>
      <c r="D217" s="32" t="s">
        <v>756</v>
      </c>
      <c r="E217" s="32"/>
    </row>
    <row r="218" spans="2:5" x14ac:dyDescent="0.35">
      <c r="B218" s="93" t="s">
        <v>758</v>
      </c>
      <c r="C218" s="32"/>
      <c r="D218" s="32" t="s">
        <v>759</v>
      </c>
      <c r="E218" s="32"/>
    </row>
    <row r="219" spans="2:5" x14ac:dyDescent="0.35">
      <c r="B219" s="93" t="s">
        <v>761</v>
      </c>
      <c r="C219" s="32"/>
      <c r="D219" s="32" t="s">
        <v>762</v>
      </c>
      <c r="E219" s="32"/>
    </row>
    <row r="220" spans="2:5" x14ac:dyDescent="0.35">
      <c r="B220" s="93" t="s">
        <v>764</v>
      </c>
      <c r="C220" s="32"/>
      <c r="D220" s="32" t="s">
        <v>765</v>
      </c>
      <c r="E220" s="32"/>
    </row>
    <row r="221" spans="2:5" x14ac:dyDescent="0.35">
      <c r="B221" s="93" t="s">
        <v>766</v>
      </c>
      <c r="C221" s="32"/>
      <c r="D221" s="32" t="s">
        <v>767</v>
      </c>
      <c r="E221" s="32"/>
    </row>
    <row r="222" spans="2:5" x14ac:dyDescent="0.35">
      <c r="B222" s="93" t="s">
        <v>769</v>
      </c>
      <c r="C222" s="32"/>
      <c r="D222" s="32" t="s">
        <v>770</v>
      </c>
      <c r="E222" s="32"/>
    </row>
    <row r="223" spans="2:5" x14ac:dyDescent="0.35">
      <c r="B223" s="93" t="s">
        <v>772</v>
      </c>
      <c r="C223" s="32"/>
      <c r="D223" s="32" t="s">
        <v>773</v>
      </c>
      <c r="E223" s="32"/>
    </row>
    <row r="224" spans="2:5" x14ac:dyDescent="0.35">
      <c r="B224" s="93" t="s">
        <v>775</v>
      </c>
      <c r="C224" s="32"/>
      <c r="D224" s="32" t="s">
        <v>776</v>
      </c>
      <c r="E224" s="32"/>
    </row>
    <row r="225" spans="2:5" x14ac:dyDescent="0.35">
      <c r="B225" s="93" t="s">
        <v>779</v>
      </c>
      <c r="C225" s="32"/>
      <c r="D225" s="32" t="s">
        <v>780</v>
      </c>
      <c r="E225" s="32"/>
    </row>
    <row r="226" spans="2:5" x14ac:dyDescent="0.35">
      <c r="B226" s="64" t="s">
        <v>782</v>
      </c>
      <c r="C226" s="32"/>
      <c r="D226" s="32" t="s">
        <v>783</v>
      </c>
      <c r="E226" s="32"/>
    </row>
    <row r="227" spans="2:5" x14ac:dyDescent="0.35">
      <c r="B227" s="93" t="s">
        <v>784</v>
      </c>
      <c r="C227" s="32"/>
      <c r="D227" s="32" t="s">
        <v>785</v>
      </c>
      <c r="E227" s="32"/>
    </row>
    <row r="228" spans="2:5" x14ac:dyDescent="0.35">
      <c r="B228" s="93" t="s">
        <v>787</v>
      </c>
      <c r="C228" s="32"/>
      <c r="D228" s="32" t="s">
        <v>788</v>
      </c>
      <c r="E228" s="32"/>
    </row>
    <row r="229" spans="2:5" x14ac:dyDescent="0.35">
      <c r="B229" s="93" t="s">
        <v>789</v>
      </c>
      <c r="C229" s="32"/>
      <c r="D229" s="32" t="s">
        <v>790</v>
      </c>
      <c r="E229" s="32"/>
    </row>
    <row r="230" spans="2:5" x14ac:dyDescent="0.35">
      <c r="B230" s="93" t="s">
        <v>793</v>
      </c>
      <c r="C230" s="32"/>
      <c r="D230" s="32" t="s">
        <v>794</v>
      </c>
      <c r="E230" s="32"/>
    </row>
    <row r="231" spans="2:5" x14ac:dyDescent="0.35">
      <c r="B231" s="93" t="s">
        <v>796</v>
      </c>
      <c r="C231" s="32"/>
      <c r="D231" s="32" t="s">
        <v>797</v>
      </c>
      <c r="E231" s="32"/>
    </row>
    <row r="232" spans="2:5" x14ac:dyDescent="0.35">
      <c r="B232" s="93" t="s">
        <v>800</v>
      </c>
      <c r="C232" s="32"/>
      <c r="D232" s="32" t="s">
        <v>801</v>
      </c>
      <c r="E232" s="32"/>
    </row>
    <row r="233" spans="2:5" x14ac:dyDescent="0.35">
      <c r="B233" s="93" t="s">
        <v>802</v>
      </c>
      <c r="C233" s="32"/>
      <c r="D233" s="32" t="s">
        <v>803</v>
      </c>
      <c r="E233" s="32"/>
    </row>
    <row r="234" spans="2:5" x14ac:dyDescent="0.35">
      <c r="B234" s="93" t="s">
        <v>804</v>
      </c>
      <c r="C234" s="32"/>
      <c r="D234" s="32" t="s">
        <v>805</v>
      </c>
      <c r="E234" s="32"/>
    </row>
    <row r="235" spans="2:5" x14ac:dyDescent="0.35">
      <c r="B235" s="93" t="s">
        <v>807</v>
      </c>
      <c r="C235" s="32"/>
      <c r="D235" s="32" t="s">
        <v>808</v>
      </c>
      <c r="E235" s="32"/>
    </row>
    <row r="236" spans="2:5" x14ac:dyDescent="0.35">
      <c r="B236" s="93" t="s">
        <v>811</v>
      </c>
      <c r="C236" s="32"/>
      <c r="D236" s="32" t="s">
        <v>812</v>
      </c>
      <c r="E236" s="32"/>
    </row>
    <row r="237" spans="2:5" x14ac:dyDescent="0.35">
      <c r="B237" s="93" t="s">
        <v>814</v>
      </c>
      <c r="C237" s="32"/>
      <c r="D237" s="32" t="s">
        <v>815</v>
      </c>
      <c r="E237" s="32"/>
    </row>
    <row r="238" spans="2:5" x14ac:dyDescent="0.35">
      <c r="B238" s="93" t="s">
        <v>817</v>
      </c>
      <c r="C238" s="32"/>
      <c r="D238" s="32" t="s">
        <v>818</v>
      </c>
      <c r="E238" s="32"/>
    </row>
    <row r="239" spans="2:5" x14ac:dyDescent="0.35">
      <c r="B239" s="93" t="s">
        <v>819</v>
      </c>
      <c r="C239" s="32"/>
      <c r="D239" s="32" t="s">
        <v>820</v>
      </c>
      <c r="E239" s="32"/>
    </row>
    <row r="240" spans="2:5" x14ac:dyDescent="0.35">
      <c r="B240" s="93" t="s">
        <v>822</v>
      </c>
      <c r="C240" s="32"/>
      <c r="D240" s="32" t="s">
        <v>823</v>
      </c>
      <c r="E240" s="32"/>
    </row>
    <row r="241" spans="2:5" x14ac:dyDescent="0.35">
      <c r="B241" s="93" t="s">
        <v>825</v>
      </c>
      <c r="C241" s="32"/>
      <c r="D241" s="32" t="s">
        <v>826</v>
      </c>
      <c r="E241" s="32"/>
    </row>
    <row r="242" spans="2:5" x14ac:dyDescent="0.35">
      <c r="B242" s="93" t="s">
        <v>828</v>
      </c>
      <c r="C242" s="32"/>
      <c r="D242" s="32" t="s">
        <v>829</v>
      </c>
      <c r="E242" s="32"/>
    </row>
    <row r="243" spans="2:5" x14ac:dyDescent="0.35">
      <c r="B243" s="93" t="s">
        <v>831</v>
      </c>
      <c r="C243" s="32"/>
      <c r="D243" s="32" t="s">
        <v>832</v>
      </c>
      <c r="E243" s="32"/>
    </row>
    <row r="244" spans="2:5" x14ac:dyDescent="0.35">
      <c r="B244" s="93" t="s">
        <v>834</v>
      </c>
      <c r="C244" s="32"/>
      <c r="D244" s="32" t="s">
        <v>835</v>
      </c>
      <c r="E244" s="32"/>
    </row>
    <row r="245" spans="2:5" x14ac:dyDescent="0.35">
      <c r="B245" s="93" t="s">
        <v>837</v>
      </c>
      <c r="C245" s="32"/>
      <c r="D245" s="32" t="s">
        <v>838</v>
      </c>
      <c r="E245" s="32"/>
    </row>
    <row r="246" spans="2:5" x14ac:dyDescent="0.35">
      <c r="B246" s="93" t="s">
        <v>839</v>
      </c>
      <c r="C246" s="32"/>
      <c r="D246" s="32" t="s">
        <v>840</v>
      </c>
      <c r="E246" s="32"/>
    </row>
    <row r="247" spans="2:5" x14ac:dyDescent="0.35">
      <c r="B247" s="93" t="s">
        <v>842</v>
      </c>
      <c r="C247" s="32"/>
      <c r="D247" s="32" t="s">
        <v>843</v>
      </c>
      <c r="E247" s="32"/>
    </row>
    <row r="248" spans="2:5" x14ac:dyDescent="0.35">
      <c r="B248" s="93" t="s">
        <v>845</v>
      </c>
      <c r="C248" s="32"/>
      <c r="D248" s="32" t="s">
        <v>846</v>
      </c>
      <c r="E248" s="32"/>
    </row>
    <row r="249" spans="2:5" x14ac:dyDescent="0.35">
      <c r="B249" s="93" t="s">
        <v>848</v>
      </c>
      <c r="C249" s="32"/>
      <c r="D249" s="32" t="s">
        <v>849</v>
      </c>
      <c r="E249" s="32"/>
    </row>
    <row r="250" spans="2:5" x14ac:dyDescent="0.35">
      <c r="B250" s="93" t="s">
        <v>851</v>
      </c>
      <c r="C250" s="32"/>
      <c r="D250" s="32" t="s">
        <v>852</v>
      </c>
      <c r="E250" s="32"/>
    </row>
    <row r="251" spans="2:5" x14ac:dyDescent="0.35">
      <c r="B251" s="93" t="s">
        <v>854</v>
      </c>
      <c r="C251" s="32"/>
      <c r="D251" s="32" t="s">
        <v>855</v>
      </c>
      <c r="E251" s="32"/>
    </row>
    <row r="252" spans="2:5" x14ac:dyDescent="0.35">
      <c r="B252" s="93" t="s">
        <v>857</v>
      </c>
      <c r="C252" s="32"/>
      <c r="D252" s="32" t="s">
        <v>858</v>
      </c>
      <c r="E252" s="32"/>
    </row>
    <row r="253" spans="2:5" x14ac:dyDescent="0.35">
      <c r="B253" s="93" t="s">
        <v>860</v>
      </c>
      <c r="C253" s="32"/>
      <c r="D253" s="32" t="s">
        <v>861</v>
      </c>
      <c r="E253" s="32"/>
    </row>
    <row r="254" spans="2:5" x14ac:dyDescent="0.35">
      <c r="B254" s="93" t="s">
        <v>864</v>
      </c>
      <c r="C254" s="32"/>
      <c r="D254" s="32" t="s">
        <v>865</v>
      </c>
      <c r="E254" s="32"/>
    </row>
    <row r="255" spans="2:5" x14ac:dyDescent="0.35">
      <c r="B255" s="93" t="s">
        <v>868</v>
      </c>
      <c r="C255" s="32"/>
      <c r="D255" s="32" t="s">
        <v>869</v>
      </c>
      <c r="E255" s="32"/>
    </row>
    <row r="256" spans="2:5" x14ac:dyDescent="0.35">
      <c r="B256" s="93" t="s">
        <v>871</v>
      </c>
      <c r="C256" s="32"/>
      <c r="D256" s="32" t="s">
        <v>872</v>
      </c>
      <c r="E256" s="32"/>
    </row>
    <row r="257" spans="2:5" x14ac:dyDescent="0.35">
      <c r="B257" s="93" t="s">
        <v>873</v>
      </c>
      <c r="C257" s="32"/>
      <c r="D257" s="32" t="s">
        <v>874</v>
      </c>
      <c r="E257" s="32"/>
    </row>
    <row r="258" spans="2:5" x14ac:dyDescent="0.35">
      <c r="B258" s="93" t="s">
        <v>877</v>
      </c>
      <c r="C258" s="32"/>
      <c r="D258" s="32" t="s">
        <v>878</v>
      </c>
      <c r="E258" s="32"/>
    </row>
    <row r="259" spans="2:5" x14ac:dyDescent="0.35">
      <c r="B259" s="93" t="s">
        <v>880</v>
      </c>
      <c r="C259" s="32"/>
      <c r="D259" s="32" t="s">
        <v>881</v>
      </c>
      <c r="E259" s="32"/>
    </row>
    <row r="260" spans="2:5" x14ac:dyDescent="0.35">
      <c r="B260" s="93" t="s">
        <v>883</v>
      </c>
      <c r="C260" s="32"/>
      <c r="D260" s="32" t="s">
        <v>884</v>
      </c>
      <c r="E260" s="32"/>
    </row>
    <row r="261" spans="2:5" x14ac:dyDescent="0.35">
      <c r="B261" s="93" t="s">
        <v>885</v>
      </c>
      <c r="C261" s="32"/>
      <c r="D261" s="32" t="s">
        <v>886</v>
      </c>
      <c r="E261" s="32"/>
    </row>
    <row r="262" spans="2:5" x14ac:dyDescent="0.35">
      <c r="B262" s="93" t="s">
        <v>888</v>
      </c>
      <c r="C262" s="32"/>
      <c r="D262" s="32" t="s">
        <v>889</v>
      </c>
      <c r="E262" s="32"/>
    </row>
    <row r="263" spans="2:5" x14ac:dyDescent="0.35">
      <c r="B263" s="93" t="s">
        <v>890</v>
      </c>
      <c r="C263" s="32"/>
      <c r="D263" s="32" t="s">
        <v>891</v>
      </c>
      <c r="E263" s="32"/>
    </row>
    <row r="264" spans="2:5" x14ac:dyDescent="0.35">
      <c r="B264" s="93" t="s">
        <v>892</v>
      </c>
      <c r="C264" s="32"/>
      <c r="D264" s="32" t="s">
        <v>893</v>
      </c>
      <c r="E264" s="32"/>
    </row>
    <row r="265" spans="2:5" x14ac:dyDescent="0.35">
      <c r="B265" s="93" t="s">
        <v>895</v>
      </c>
      <c r="C265" s="32"/>
      <c r="D265" s="32" t="s">
        <v>896</v>
      </c>
      <c r="E265" s="32"/>
    </row>
    <row r="266" spans="2:5" x14ac:dyDescent="0.35">
      <c r="B266" s="93" t="s">
        <v>901</v>
      </c>
      <c r="C266" s="32"/>
      <c r="D266" s="32" t="s">
        <v>902</v>
      </c>
      <c r="E266" s="32"/>
    </row>
    <row r="267" spans="2:5" x14ac:dyDescent="0.35">
      <c r="B267" s="93" t="s">
        <v>904</v>
      </c>
      <c r="C267" s="32"/>
      <c r="D267" s="32" t="s">
        <v>905</v>
      </c>
      <c r="E267" s="32"/>
    </row>
    <row r="268" spans="2:5" x14ac:dyDescent="0.35">
      <c r="B268" s="93" t="s">
        <v>907</v>
      </c>
      <c r="C268" s="32"/>
      <c r="D268" s="32" t="s">
        <v>908</v>
      </c>
      <c r="E268" s="32"/>
    </row>
    <row r="269" spans="2:5" x14ac:dyDescent="0.35">
      <c r="B269" s="93" t="s">
        <v>910</v>
      </c>
      <c r="C269" s="32"/>
      <c r="D269" s="32" t="s">
        <v>911</v>
      </c>
      <c r="E269" s="32"/>
    </row>
    <row r="270" spans="2:5" x14ac:dyDescent="0.35">
      <c r="B270" s="93" t="s">
        <v>914</v>
      </c>
      <c r="C270" s="32"/>
      <c r="D270" s="32" t="s">
        <v>915</v>
      </c>
      <c r="E270" s="32"/>
    </row>
    <row r="271" spans="2:5" x14ac:dyDescent="0.35">
      <c r="B271" s="93" t="s">
        <v>922</v>
      </c>
      <c r="C271" s="32"/>
      <c r="D271" s="32" t="s">
        <v>923</v>
      </c>
      <c r="E271" s="32"/>
    </row>
    <row r="272" spans="2:5" x14ac:dyDescent="0.35">
      <c r="B272" s="93" t="s">
        <v>926</v>
      </c>
      <c r="C272" s="32"/>
      <c r="D272" s="32" t="s">
        <v>927</v>
      </c>
      <c r="E272" s="32"/>
    </row>
    <row r="273" spans="2:5" x14ac:dyDescent="0.35">
      <c r="B273" s="93" t="s">
        <v>929</v>
      </c>
      <c r="C273" s="32"/>
      <c r="D273" s="32" t="s">
        <v>930</v>
      </c>
      <c r="E273" s="32"/>
    </row>
    <row r="274" spans="2:5" x14ac:dyDescent="0.35">
      <c r="B274" s="93" t="s">
        <v>933</v>
      </c>
      <c r="C274" s="32"/>
      <c r="D274" s="32" t="s">
        <v>934</v>
      </c>
      <c r="E274" s="32"/>
    </row>
    <row r="275" spans="2:5" x14ac:dyDescent="0.35">
      <c r="B275" s="93" t="s">
        <v>936</v>
      </c>
      <c r="C275" s="32"/>
      <c r="D275" s="32" t="s">
        <v>937</v>
      </c>
      <c r="E275" s="32"/>
    </row>
    <row r="276" spans="2:5" x14ac:dyDescent="0.35">
      <c r="B276" s="93" t="s">
        <v>938</v>
      </c>
      <c r="C276" s="32"/>
      <c r="D276" s="32" t="s">
        <v>939</v>
      </c>
      <c r="E276" s="32"/>
    </row>
    <row r="277" spans="2:5" x14ac:dyDescent="0.35">
      <c r="B277" s="93" t="s">
        <v>941</v>
      </c>
      <c r="C277" s="32"/>
      <c r="D277" s="32" t="s">
        <v>942</v>
      </c>
      <c r="E277" s="32"/>
    </row>
    <row r="278" spans="2:5" x14ac:dyDescent="0.35">
      <c r="B278" s="93" t="s">
        <v>944</v>
      </c>
      <c r="C278" s="32"/>
      <c r="D278" s="32" t="s">
        <v>945</v>
      </c>
      <c r="E278" s="32"/>
    </row>
    <row r="279" spans="2:5" x14ac:dyDescent="0.35">
      <c r="B279" s="93" t="s">
        <v>946</v>
      </c>
      <c r="C279" s="32"/>
      <c r="D279" s="32" t="s">
        <v>947</v>
      </c>
      <c r="E279" s="32"/>
    </row>
    <row r="280" spans="2:5" x14ac:dyDescent="0.35">
      <c r="B280" s="93" t="s">
        <v>950</v>
      </c>
      <c r="C280" s="32"/>
      <c r="D280" s="32" t="s">
        <v>951</v>
      </c>
      <c r="E280" s="32"/>
    </row>
    <row r="281" spans="2:5" x14ac:dyDescent="0.35">
      <c r="B281" s="93" t="s">
        <v>953</v>
      </c>
      <c r="C281" s="32"/>
      <c r="D281" s="32" t="s">
        <v>954</v>
      </c>
      <c r="E281" s="32"/>
    </row>
    <row r="282" spans="2:5" x14ac:dyDescent="0.35">
      <c r="B282" s="93" t="s">
        <v>957</v>
      </c>
      <c r="C282" s="32"/>
      <c r="D282" s="32" t="s">
        <v>958</v>
      </c>
      <c r="E282" s="32"/>
    </row>
    <row r="283" spans="2:5" x14ac:dyDescent="0.35">
      <c r="B283" s="93" t="s">
        <v>960</v>
      </c>
      <c r="C283" s="32"/>
      <c r="D283" s="32" t="s">
        <v>961</v>
      </c>
      <c r="E283" s="32"/>
    </row>
    <row r="284" spans="2:5" x14ac:dyDescent="0.35">
      <c r="B284" s="93" t="s">
        <v>964</v>
      </c>
      <c r="C284" s="32"/>
      <c r="D284" s="32" t="s">
        <v>965</v>
      </c>
      <c r="E284" s="32"/>
    </row>
    <row r="285" spans="2:5" x14ac:dyDescent="0.35">
      <c r="B285" s="93" t="s">
        <v>967</v>
      </c>
      <c r="C285" s="32"/>
      <c r="D285" s="32" t="s">
        <v>968</v>
      </c>
      <c r="E285" s="32"/>
    </row>
    <row r="286" spans="2:5" x14ac:dyDescent="0.35">
      <c r="B286" s="93" t="s">
        <v>971</v>
      </c>
      <c r="C286" s="32"/>
      <c r="D286" s="32" t="s">
        <v>972</v>
      </c>
      <c r="E286" s="32"/>
    </row>
    <row r="287" spans="2:5" x14ac:dyDescent="0.35">
      <c r="B287" s="93" t="s">
        <v>975</v>
      </c>
      <c r="C287" s="32"/>
      <c r="D287" s="32" t="s">
        <v>976</v>
      </c>
      <c r="E287" s="32"/>
    </row>
    <row r="288" spans="2:5" x14ac:dyDescent="0.35">
      <c r="B288" s="93" t="s">
        <v>978</v>
      </c>
      <c r="C288" s="32"/>
      <c r="D288" s="32" t="s">
        <v>978</v>
      </c>
      <c r="E288" s="32"/>
    </row>
    <row r="289" spans="2:5" x14ac:dyDescent="0.35">
      <c r="B289" s="93" t="s">
        <v>980</v>
      </c>
      <c r="C289" s="32"/>
      <c r="D289" s="32" t="s">
        <v>981</v>
      </c>
      <c r="E289" s="32"/>
    </row>
    <row r="290" spans="2:5" x14ac:dyDescent="0.35">
      <c r="B290" s="93" t="s">
        <v>987</v>
      </c>
      <c r="C290" s="32"/>
      <c r="D290" s="32" t="s">
        <v>988</v>
      </c>
      <c r="E290" s="32"/>
    </row>
    <row r="291" spans="2:5" x14ac:dyDescent="0.35">
      <c r="B291" s="93" t="s">
        <v>990</v>
      </c>
      <c r="C291" s="32"/>
      <c r="D291" s="32" t="s">
        <v>991</v>
      </c>
      <c r="E291" s="32"/>
    </row>
    <row r="292" spans="2:5" x14ac:dyDescent="0.35">
      <c r="B292" s="93" t="s">
        <v>993</v>
      </c>
      <c r="C292" s="32"/>
      <c r="D292" s="32" t="s">
        <v>994</v>
      </c>
      <c r="E292" s="32"/>
    </row>
    <row r="293" spans="2:5" x14ac:dyDescent="0.35">
      <c r="B293" s="93" t="s">
        <v>995</v>
      </c>
      <c r="C293" s="32"/>
      <c r="D293" s="32" t="s">
        <v>996</v>
      </c>
      <c r="E293" s="32"/>
    </row>
    <row r="294" spans="2:5" x14ac:dyDescent="0.35">
      <c r="B294" s="93" t="s">
        <v>997</v>
      </c>
      <c r="C294" s="32"/>
      <c r="D294" s="32" t="s">
        <v>998</v>
      </c>
      <c r="E294" s="32"/>
    </row>
    <row r="295" spans="2:5" x14ac:dyDescent="0.35">
      <c r="B295" s="93" t="s">
        <v>999</v>
      </c>
      <c r="C295" s="32"/>
      <c r="D295" s="32" t="s">
        <v>1000</v>
      </c>
      <c r="E295" s="32"/>
    </row>
    <row r="296" spans="2:5" x14ac:dyDescent="0.35">
      <c r="B296" s="93" t="s">
        <v>1002</v>
      </c>
      <c r="C296" s="32"/>
      <c r="D296" s="32" t="s">
        <v>1003</v>
      </c>
      <c r="E296" s="32"/>
    </row>
    <row r="297" spans="2:5" x14ac:dyDescent="0.35">
      <c r="B297" s="93" t="s">
        <v>1005</v>
      </c>
      <c r="C297" s="32"/>
      <c r="D297" s="32" t="s">
        <v>1006</v>
      </c>
      <c r="E297" s="32"/>
    </row>
    <row r="298" spans="2:5" x14ac:dyDescent="0.35">
      <c r="B298" s="93" t="s">
        <v>1008</v>
      </c>
      <c r="C298" s="32"/>
      <c r="D298" s="32" t="s">
        <v>1009</v>
      </c>
      <c r="E298" s="32"/>
    </row>
    <row r="299" spans="2:5" x14ac:dyDescent="0.35">
      <c r="B299" s="93" t="s">
        <v>1011</v>
      </c>
      <c r="C299" s="32"/>
      <c r="D299" s="32" t="s">
        <v>1012</v>
      </c>
      <c r="E299" s="32"/>
    </row>
    <row r="300" spans="2:5" x14ac:dyDescent="0.35">
      <c r="B300" s="93" t="s">
        <v>1014</v>
      </c>
      <c r="C300" s="32"/>
      <c r="D300" s="32" t="s">
        <v>1015</v>
      </c>
      <c r="E300" s="32"/>
    </row>
    <row r="301" spans="2:5" x14ac:dyDescent="0.35">
      <c r="B301" s="93" t="s">
        <v>1017</v>
      </c>
      <c r="C301" s="32"/>
      <c r="D301" s="32" t="s">
        <v>1018</v>
      </c>
      <c r="E301" s="32"/>
    </row>
    <row r="302" spans="2:5" x14ac:dyDescent="0.35">
      <c r="B302" s="93" t="s">
        <v>1020</v>
      </c>
      <c r="C302" s="32"/>
      <c r="D302" s="32" t="s">
        <v>1021</v>
      </c>
      <c r="E302" s="32"/>
    </row>
    <row r="303" spans="2:5" x14ac:dyDescent="0.35">
      <c r="B303" s="93" t="s">
        <v>1023</v>
      </c>
      <c r="C303" s="32"/>
      <c r="D303" s="32" t="s">
        <v>1024</v>
      </c>
      <c r="E303" s="32"/>
    </row>
    <row r="304" spans="2:5" x14ac:dyDescent="0.35">
      <c r="B304" s="93" t="s">
        <v>1026</v>
      </c>
      <c r="C304" s="32"/>
      <c r="D304" s="32" t="s">
        <v>1027</v>
      </c>
      <c r="E304" s="32"/>
    </row>
    <row r="305" spans="2:5" x14ac:dyDescent="0.35">
      <c r="B305" s="93" t="s">
        <v>1029</v>
      </c>
      <c r="C305" s="32"/>
      <c r="D305" s="32" t="s">
        <v>1030</v>
      </c>
      <c r="E305" s="32"/>
    </row>
    <row r="306" spans="2:5" x14ac:dyDescent="0.35">
      <c r="B306" s="93" t="s">
        <v>1032</v>
      </c>
      <c r="C306" s="32"/>
      <c r="D306" s="32" t="s">
        <v>1033</v>
      </c>
      <c r="E306" s="32"/>
    </row>
    <row r="307" spans="2:5" x14ac:dyDescent="0.35">
      <c r="B307" s="93" t="s">
        <v>1035</v>
      </c>
      <c r="C307" s="32"/>
      <c r="D307" s="32" t="s">
        <v>1036</v>
      </c>
      <c r="E307" s="32"/>
    </row>
    <row r="308" spans="2:5" x14ac:dyDescent="0.35">
      <c r="B308" s="93" t="s">
        <v>1038</v>
      </c>
      <c r="C308" s="32"/>
      <c r="D308" s="32" t="s">
        <v>1039</v>
      </c>
      <c r="E308" s="32"/>
    </row>
    <row r="309" spans="2:5" x14ac:dyDescent="0.35">
      <c r="B309" s="93" t="s">
        <v>1041</v>
      </c>
      <c r="C309" s="32"/>
      <c r="D309" s="32" t="s">
        <v>1042</v>
      </c>
      <c r="E309" s="32"/>
    </row>
    <row r="310" spans="2:5" x14ac:dyDescent="0.35">
      <c r="B310" s="93" t="s">
        <v>1044</v>
      </c>
      <c r="C310" s="32"/>
      <c r="D310" s="32" t="s">
        <v>1045</v>
      </c>
      <c r="E310" s="32"/>
    </row>
    <row r="311" spans="2:5" x14ac:dyDescent="0.35">
      <c r="B311" s="93" t="s">
        <v>1047</v>
      </c>
      <c r="C311" s="32"/>
      <c r="D311" s="32" t="s">
        <v>1048</v>
      </c>
      <c r="E311" s="32"/>
    </row>
    <row r="312" spans="2:5" x14ac:dyDescent="0.35">
      <c r="B312" s="93" t="s">
        <v>1050</v>
      </c>
      <c r="C312" s="32"/>
      <c r="D312" s="32" t="s">
        <v>1051</v>
      </c>
      <c r="E312" s="32"/>
    </row>
    <row r="313" spans="2:5" x14ac:dyDescent="0.35">
      <c r="B313" s="93" t="s">
        <v>1053</v>
      </c>
      <c r="C313" s="32"/>
      <c r="D313" s="32" t="s">
        <v>1054</v>
      </c>
      <c r="E313" s="32"/>
    </row>
    <row r="314" spans="2:5" x14ac:dyDescent="0.35">
      <c r="B314" s="93" t="s">
        <v>1056</v>
      </c>
      <c r="C314" s="32"/>
      <c r="D314" s="32" t="s">
        <v>1057</v>
      </c>
      <c r="E314" s="32"/>
    </row>
    <row r="315" spans="2:5" x14ac:dyDescent="0.35">
      <c r="B315" s="93" t="s">
        <v>1059</v>
      </c>
      <c r="C315" s="32"/>
      <c r="D315" s="32" t="s">
        <v>1060</v>
      </c>
      <c r="E315" s="32"/>
    </row>
    <row r="316" spans="2:5" ht="25" x14ac:dyDescent="0.35">
      <c r="B316" s="93" t="s">
        <v>1062</v>
      </c>
      <c r="C316" s="32"/>
      <c r="D316" s="93" t="s">
        <v>1063</v>
      </c>
      <c r="E316" s="32"/>
    </row>
    <row r="317" spans="2:5" x14ac:dyDescent="0.35">
      <c r="B317" s="93" t="s">
        <v>1065</v>
      </c>
      <c r="C317" s="32"/>
      <c r="D317" s="32" t="s">
        <v>1066</v>
      </c>
      <c r="E317" s="32"/>
    </row>
    <row r="318" spans="2:5" x14ac:dyDescent="0.35">
      <c r="B318" s="93" t="s">
        <v>1067</v>
      </c>
      <c r="C318" s="32"/>
      <c r="D318" s="32" t="s">
        <v>1068</v>
      </c>
      <c r="E318" s="32"/>
    </row>
    <row r="319" spans="2:5" x14ac:dyDescent="0.35">
      <c r="B319" s="93" t="s">
        <v>1070</v>
      </c>
      <c r="C319" s="32"/>
      <c r="D319" s="32" t="s">
        <v>1071</v>
      </c>
      <c r="E319" s="32"/>
    </row>
    <row r="320" spans="2:5" x14ac:dyDescent="0.35">
      <c r="B320" s="93" t="s">
        <v>1073</v>
      </c>
      <c r="C320" s="32"/>
      <c r="D320" s="32" t="s">
        <v>1074</v>
      </c>
      <c r="E320" s="32"/>
    </row>
    <row r="321" spans="2:5" x14ac:dyDescent="0.35">
      <c r="B321" s="93" t="s">
        <v>1076</v>
      </c>
      <c r="C321" s="32"/>
      <c r="D321" s="32" t="s">
        <v>1077</v>
      </c>
      <c r="E321" s="32"/>
    </row>
    <row r="322" spans="2:5" x14ac:dyDescent="0.35">
      <c r="B322" s="93" t="s">
        <v>1079</v>
      </c>
      <c r="C322" s="32"/>
      <c r="D322" s="32" t="s">
        <v>1080</v>
      </c>
      <c r="E322" s="32"/>
    </row>
    <row r="323" spans="2:5" x14ac:dyDescent="0.35">
      <c r="B323" s="93" t="s">
        <v>1081</v>
      </c>
      <c r="C323" s="32"/>
      <c r="D323" s="32" t="s">
        <v>1082</v>
      </c>
      <c r="E323" s="32"/>
    </row>
    <row r="324" spans="2:5" x14ac:dyDescent="0.35">
      <c r="B324" s="93" t="s">
        <v>1084</v>
      </c>
      <c r="C324" s="32"/>
      <c r="D324" s="32" t="s">
        <v>1085</v>
      </c>
      <c r="E324" s="32"/>
    </row>
    <row r="325" spans="2:5" x14ac:dyDescent="0.35">
      <c r="B325" s="93" t="s">
        <v>1087</v>
      </c>
      <c r="C325" s="32"/>
      <c r="D325" s="32" t="s">
        <v>1088</v>
      </c>
      <c r="E325" s="32"/>
    </row>
    <row r="326" spans="2:5" x14ac:dyDescent="0.35">
      <c r="B326" s="93" t="s">
        <v>1090</v>
      </c>
      <c r="C326" s="32"/>
      <c r="D326" s="32" t="s">
        <v>1091</v>
      </c>
      <c r="E326" s="32"/>
    </row>
    <row r="327" spans="2:5" x14ac:dyDescent="0.35">
      <c r="B327" s="93" t="s">
        <v>1093</v>
      </c>
      <c r="C327" s="32"/>
      <c r="D327" s="32" t="s">
        <v>1094</v>
      </c>
      <c r="E327" s="32"/>
    </row>
    <row r="328" spans="2:5" x14ac:dyDescent="0.35">
      <c r="B328" s="93" t="s">
        <v>1095</v>
      </c>
      <c r="C328" s="32"/>
      <c r="D328" s="32" t="s">
        <v>1096</v>
      </c>
      <c r="E328" s="32"/>
    </row>
    <row r="329" spans="2:5" x14ac:dyDescent="0.35">
      <c r="B329" s="93" t="s">
        <v>1097</v>
      </c>
      <c r="C329" s="32"/>
      <c r="D329" s="32" t="s">
        <v>1098</v>
      </c>
      <c r="E329" s="32"/>
    </row>
    <row r="330" spans="2:5" x14ac:dyDescent="0.35">
      <c r="B330" s="93" t="s">
        <v>1099</v>
      </c>
      <c r="C330" s="32"/>
      <c r="D330" s="32" t="s">
        <v>1100</v>
      </c>
      <c r="E330" s="32"/>
    </row>
    <row r="331" spans="2:5" x14ac:dyDescent="0.35">
      <c r="B331" s="93" t="s">
        <v>1101</v>
      </c>
      <c r="C331" s="32"/>
      <c r="D331" s="32" t="s">
        <v>1102</v>
      </c>
      <c r="E331" s="32"/>
    </row>
    <row r="332" spans="2:5" x14ac:dyDescent="0.35">
      <c r="B332" s="93" t="s">
        <v>1103</v>
      </c>
      <c r="C332" s="32"/>
      <c r="D332" s="32" t="s">
        <v>1104</v>
      </c>
      <c r="E332" s="32"/>
    </row>
    <row r="333" spans="2:5" x14ac:dyDescent="0.35">
      <c r="B333" s="93" t="s">
        <v>1106</v>
      </c>
      <c r="C333" s="32"/>
      <c r="D333" s="32" t="s">
        <v>1107</v>
      </c>
      <c r="E333" s="32"/>
    </row>
    <row r="334" spans="2:5" x14ac:dyDescent="0.35">
      <c r="B334" s="93" t="s">
        <v>1109</v>
      </c>
      <c r="C334" s="32"/>
      <c r="D334" s="32" t="s">
        <v>1110</v>
      </c>
      <c r="E334" s="32"/>
    </row>
    <row r="335" spans="2:5" x14ac:dyDescent="0.35">
      <c r="B335" s="93" t="s">
        <v>1111</v>
      </c>
      <c r="C335" s="32"/>
      <c r="D335" s="32" t="s">
        <v>1112</v>
      </c>
      <c r="E335" s="32"/>
    </row>
    <row r="336" spans="2:5" x14ac:dyDescent="0.35">
      <c r="B336" s="93" t="s">
        <v>1113</v>
      </c>
      <c r="C336" s="32"/>
      <c r="D336" s="32" t="s">
        <v>1114</v>
      </c>
      <c r="E336" s="32"/>
    </row>
    <row r="337" spans="2:5" x14ac:dyDescent="0.35">
      <c r="B337" s="93" t="s">
        <v>1116</v>
      </c>
      <c r="C337" s="32"/>
      <c r="D337" s="32" t="s">
        <v>1117</v>
      </c>
      <c r="E337" s="32"/>
    </row>
    <row r="338" spans="2:5" x14ac:dyDescent="0.35">
      <c r="B338" s="93" t="s">
        <v>1119</v>
      </c>
      <c r="C338" s="32"/>
      <c r="D338" s="32" t="s">
        <v>1120</v>
      </c>
      <c r="E338" s="32"/>
    </row>
    <row r="339" spans="2:5" x14ac:dyDescent="0.35">
      <c r="B339" s="93" t="s">
        <v>1122</v>
      </c>
      <c r="C339" s="32"/>
      <c r="D339" s="32" t="s">
        <v>1123</v>
      </c>
      <c r="E339" s="32"/>
    </row>
    <row r="340" spans="2:5" x14ac:dyDescent="0.35">
      <c r="B340" s="93" t="s">
        <v>301</v>
      </c>
      <c r="C340" s="32"/>
      <c r="D340" s="32" t="s">
        <v>1125</v>
      </c>
      <c r="E340" s="32"/>
    </row>
    <row r="341" spans="2:5" x14ac:dyDescent="0.35">
      <c r="B341" s="93" t="s">
        <v>1126</v>
      </c>
      <c r="C341" s="32"/>
      <c r="D341" s="32" t="s">
        <v>1127</v>
      </c>
      <c r="E341" s="32"/>
    </row>
    <row r="342" spans="2:5" x14ac:dyDescent="0.35">
      <c r="B342" s="93" t="s">
        <v>1128</v>
      </c>
      <c r="C342" s="32"/>
      <c r="D342" s="32" t="s">
        <v>1129</v>
      </c>
      <c r="E342" s="32"/>
    </row>
    <row r="343" spans="2:5" x14ac:dyDescent="0.35">
      <c r="B343" s="93" t="s">
        <v>1130</v>
      </c>
      <c r="C343" s="32"/>
      <c r="D343" s="32" t="s">
        <v>1131</v>
      </c>
      <c r="E343" s="32"/>
    </row>
    <row r="344" spans="2:5" x14ac:dyDescent="0.35">
      <c r="B344" s="93" t="s">
        <v>1133</v>
      </c>
      <c r="C344" s="32"/>
      <c r="D344" s="32" t="s">
        <v>1134</v>
      </c>
      <c r="E344" s="32"/>
    </row>
    <row r="345" spans="2:5" x14ac:dyDescent="0.35">
      <c r="B345" s="93" t="s">
        <v>1135</v>
      </c>
      <c r="C345" s="32"/>
      <c r="D345" s="32" t="s">
        <v>1136</v>
      </c>
      <c r="E345" s="32"/>
    </row>
    <row r="346" spans="2:5" x14ac:dyDescent="0.35">
      <c r="B346" s="93" t="s">
        <v>1137</v>
      </c>
      <c r="C346" s="32"/>
      <c r="D346" s="32" t="s">
        <v>1138</v>
      </c>
      <c r="E346" s="32"/>
    </row>
    <row r="347" spans="2:5" x14ac:dyDescent="0.35">
      <c r="B347" s="93" t="s">
        <v>1139</v>
      </c>
      <c r="C347" s="32"/>
      <c r="D347" s="32" t="s">
        <v>1140</v>
      </c>
      <c r="E347" s="32"/>
    </row>
    <row r="348" spans="2:5" x14ac:dyDescent="0.35">
      <c r="B348" s="93" t="s">
        <v>1141</v>
      </c>
      <c r="C348" s="32"/>
      <c r="D348" s="32" t="s">
        <v>1142</v>
      </c>
      <c r="E348" s="32"/>
    </row>
    <row r="349" spans="2:5" x14ac:dyDescent="0.35">
      <c r="B349" s="93" t="s">
        <v>1143</v>
      </c>
      <c r="C349" s="32"/>
      <c r="D349" s="32" t="s">
        <v>1144</v>
      </c>
      <c r="E349" s="32"/>
    </row>
    <row r="350" spans="2:5" x14ac:dyDescent="0.35">
      <c r="B350" s="93" t="s">
        <v>1145</v>
      </c>
      <c r="C350" s="32"/>
      <c r="D350" s="32" t="s">
        <v>1146</v>
      </c>
      <c r="E350" s="32"/>
    </row>
    <row r="351" spans="2:5" x14ac:dyDescent="0.35">
      <c r="B351" s="93" t="s">
        <v>1147</v>
      </c>
      <c r="C351" s="32"/>
      <c r="D351" s="32" t="s">
        <v>1148</v>
      </c>
      <c r="E351" s="32"/>
    </row>
    <row r="352" spans="2:5" x14ac:dyDescent="0.35">
      <c r="B352" s="93" t="s">
        <v>1149</v>
      </c>
      <c r="C352" s="32"/>
      <c r="D352" s="32" t="s">
        <v>1150</v>
      </c>
      <c r="E352" s="32"/>
    </row>
    <row r="353" spans="2:5" x14ac:dyDescent="0.35">
      <c r="B353" s="93" t="s">
        <v>1151</v>
      </c>
      <c r="C353" s="32"/>
      <c r="D353" s="32" t="s">
        <v>1152</v>
      </c>
      <c r="E353" s="32"/>
    </row>
    <row r="354" spans="2:5" x14ac:dyDescent="0.35">
      <c r="B354" s="93" t="s">
        <v>1153</v>
      </c>
      <c r="C354" s="32"/>
      <c r="D354" s="32" t="s">
        <v>1154</v>
      </c>
      <c r="E354" s="32"/>
    </row>
    <row r="355" spans="2:5" x14ac:dyDescent="0.35">
      <c r="B355" s="93" t="s">
        <v>1155</v>
      </c>
      <c r="C355" s="32"/>
      <c r="D355" s="32" t="s">
        <v>1156</v>
      </c>
      <c r="E355" s="32"/>
    </row>
    <row r="356" spans="2:5" x14ac:dyDescent="0.35">
      <c r="B356" s="93" t="s">
        <v>1157</v>
      </c>
      <c r="C356" s="32"/>
      <c r="D356" s="32" t="s">
        <v>1158</v>
      </c>
      <c r="E356" s="32"/>
    </row>
    <row r="357" spans="2:5" x14ac:dyDescent="0.35">
      <c r="B357" s="93" t="s">
        <v>1159</v>
      </c>
      <c r="C357" s="32"/>
      <c r="D357" s="32" t="s">
        <v>1160</v>
      </c>
      <c r="E357" s="32"/>
    </row>
    <row r="358" spans="2:5" x14ac:dyDescent="0.35">
      <c r="B358" s="93" t="s">
        <v>1161</v>
      </c>
      <c r="C358" s="32"/>
      <c r="D358" s="32" t="s">
        <v>1162</v>
      </c>
      <c r="E358" s="32"/>
    </row>
    <row r="359" spans="2:5" x14ac:dyDescent="0.35">
      <c r="B359" s="93" t="s">
        <v>1163</v>
      </c>
      <c r="C359" s="32"/>
      <c r="D359" s="32" t="s">
        <v>1164</v>
      </c>
      <c r="E359" s="32"/>
    </row>
    <row r="360" spans="2:5" x14ac:dyDescent="0.35">
      <c r="B360" s="93" t="s">
        <v>1166</v>
      </c>
      <c r="C360" s="32"/>
      <c r="D360" s="32" t="s">
        <v>1167</v>
      </c>
      <c r="E360" s="32"/>
    </row>
    <row r="361" spans="2:5" x14ac:dyDescent="0.35">
      <c r="B361" s="93" t="s">
        <v>1168</v>
      </c>
      <c r="C361" s="32"/>
      <c r="D361" s="32" t="s">
        <v>1169</v>
      </c>
      <c r="E361" s="32"/>
    </row>
    <row r="362" spans="2:5" x14ac:dyDescent="0.35">
      <c r="B362" s="93" t="s">
        <v>1170</v>
      </c>
      <c r="C362" s="32"/>
      <c r="D362" s="32" t="s">
        <v>1171</v>
      </c>
      <c r="E362" s="32"/>
    </row>
    <row r="363" spans="2:5" x14ac:dyDescent="0.35">
      <c r="B363" s="93" t="s">
        <v>1172</v>
      </c>
      <c r="C363" s="32"/>
      <c r="D363" s="32" t="s">
        <v>1173</v>
      </c>
      <c r="E363" s="32"/>
    </row>
    <row r="364" spans="2:5" x14ac:dyDescent="0.35">
      <c r="B364" s="93" t="s">
        <v>1174</v>
      </c>
      <c r="C364" s="32"/>
      <c r="D364" s="32" t="s">
        <v>1175</v>
      </c>
      <c r="E364" s="32"/>
    </row>
    <row r="365" spans="2:5" x14ac:dyDescent="0.35">
      <c r="B365" s="93" t="s">
        <v>1176</v>
      </c>
      <c r="C365" s="32"/>
      <c r="D365" s="32" t="s">
        <v>1177</v>
      </c>
      <c r="E365" s="32"/>
    </row>
    <row r="366" spans="2:5" x14ac:dyDescent="0.35">
      <c r="B366" s="93" t="s">
        <v>1178</v>
      </c>
      <c r="C366" s="32"/>
      <c r="D366" s="32" t="s">
        <v>1179</v>
      </c>
      <c r="E366" s="32"/>
    </row>
    <row r="367" spans="2:5" x14ac:dyDescent="0.35">
      <c r="B367" s="93" t="s">
        <v>1180</v>
      </c>
      <c r="C367" s="32"/>
      <c r="D367" s="32" t="s">
        <v>1181</v>
      </c>
      <c r="E367" s="32"/>
    </row>
    <row r="368" spans="2:5" x14ac:dyDescent="0.35">
      <c r="B368" s="93" t="s">
        <v>1182</v>
      </c>
      <c r="C368" s="32"/>
      <c r="D368" s="32" t="s">
        <v>1183</v>
      </c>
      <c r="E368" s="32"/>
    </row>
    <row r="369" spans="2:5" x14ac:dyDescent="0.35">
      <c r="B369" s="93" t="s">
        <v>1182</v>
      </c>
      <c r="C369" s="32"/>
      <c r="D369" s="32" t="s">
        <v>1183</v>
      </c>
      <c r="E369" s="32"/>
    </row>
    <row r="370" spans="2:5" x14ac:dyDescent="0.35">
      <c r="B370" s="93" t="s">
        <v>1184</v>
      </c>
      <c r="C370" s="32"/>
      <c r="D370" s="32" t="s">
        <v>1185</v>
      </c>
      <c r="E370" s="32"/>
    </row>
    <row r="371" spans="2:5" x14ac:dyDescent="0.35">
      <c r="B371" s="93" t="s">
        <v>1186</v>
      </c>
      <c r="C371" s="32"/>
      <c r="D371" s="32" t="s">
        <v>1187</v>
      </c>
      <c r="E371" s="32"/>
    </row>
    <row r="372" spans="2:5" x14ac:dyDescent="0.35">
      <c r="B372" s="93" t="s">
        <v>1186</v>
      </c>
      <c r="C372" s="32"/>
      <c r="D372" s="32" t="s">
        <v>1187</v>
      </c>
      <c r="E372" s="32"/>
    </row>
    <row r="373" spans="2:5" x14ac:dyDescent="0.35">
      <c r="B373" s="93" t="s">
        <v>1188</v>
      </c>
      <c r="C373" s="32"/>
      <c r="D373" s="32" t="s">
        <v>1189</v>
      </c>
      <c r="E373" s="32"/>
    </row>
    <row r="374" spans="2:5" x14ac:dyDescent="0.35">
      <c r="B374" s="93" t="s">
        <v>434</v>
      </c>
      <c r="C374" s="32"/>
      <c r="D374" s="32" t="s">
        <v>435</v>
      </c>
      <c r="E374" s="32"/>
    </row>
    <row r="375" spans="2:5" x14ac:dyDescent="0.35">
      <c r="B375" s="93" t="s">
        <v>1190</v>
      </c>
      <c r="C375" s="32"/>
      <c r="D375" s="32" t="s">
        <v>1191</v>
      </c>
      <c r="E375" s="32"/>
    </row>
    <row r="376" spans="2:5" x14ac:dyDescent="0.35">
      <c r="B376" s="93" t="s">
        <v>1192</v>
      </c>
      <c r="C376" s="32"/>
      <c r="D376" s="32" t="s">
        <v>1193</v>
      </c>
      <c r="E376" s="32"/>
    </row>
    <row r="377" spans="2:5" x14ac:dyDescent="0.35">
      <c r="B377" s="93" t="s">
        <v>1194</v>
      </c>
      <c r="C377" s="32"/>
      <c r="D377" s="32" t="s">
        <v>1195</v>
      </c>
      <c r="E377" s="32"/>
    </row>
    <row r="378" spans="2:5" x14ac:dyDescent="0.35">
      <c r="B378" s="93" t="s">
        <v>1196</v>
      </c>
      <c r="C378" s="32"/>
      <c r="D378" s="32" t="s">
        <v>1197</v>
      </c>
      <c r="E378" s="32"/>
    </row>
    <row r="379" spans="2:5" x14ac:dyDescent="0.35">
      <c r="B379" s="93" t="s">
        <v>1198</v>
      </c>
      <c r="C379" s="32"/>
      <c r="D379" s="32" t="s">
        <v>1199</v>
      </c>
      <c r="E379" s="32"/>
    </row>
    <row r="380" spans="2:5" x14ac:dyDescent="0.35">
      <c r="B380" s="93" t="s">
        <v>1200</v>
      </c>
      <c r="C380" s="32"/>
      <c r="D380" s="32" t="s">
        <v>1201</v>
      </c>
      <c r="E380" s="32"/>
    </row>
    <row r="381" spans="2:5" x14ac:dyDescent="0.35">
      <c r="B381" s="93" t="s">
        <v>1202</v>
      </c>
      <c r="C381" s="32"/>
      <c r="D381" s="32" t="s">
        <v>1203</v>
      </c>
      <c r="E381" s="32"/>
    </row>
    <row r="382" spans="2:5" x14ac:dyDescent="0.35">
      <c r="B382" s="93" t="s">
        <v>1204</v>
      </c>
      <c r="C382" s="32"/>
      <c r="D382" s="32" t="s">
        <v>1205</v>
      </c>
      <c r="E382" s="32"/>
    </row>
    <row r="383" spans="2:5" x14ac:dyDescent="0.35">
      <c r="B383" s="93" t="s">
        <v>1206</v>
      </c>
      <c r="C383" s="32"/>
      <c r="D383" s="32" t="s">
        <v>1207</v>
      </c>
      <c r="E383" s="32"/>
    </row>
    <row r="384" spans="2:5" x14ac:dyDescent="0.35">
      <c r="B384" s="93" t="s">
        <v>1208</v>
      </c>
      <c r="C384" s="32"/>
      <c r="D384" s="32" t="s">
        <v>1209</v>
      </c>
      <c r="E384" s="32"/>
    </row>
    <row r="385" spans="2:5" x14ac:dyDescent="0.35">
      <c r="B385" s="93" t="s">
        <v>1210</v>
      </c>
      <c r="C385" s="32"/>
      <c r="D385" s="32" t="s">
        <v>1211</v>
      </c>
      <c r="E385" s="32"/>
    </row>
    <row r="386" spans="2:5" x14ac:dyDescent="0.35">
      <c r="B386" s="93" t="s">
        <v>1212</v>
      </c>
      <c r="C386" s="32"/>
      <c r="D386" s="32" t="s">
        <v>1213</v>
      </c>
      <c r="E386" s="32"/>
    </row>
    <row r="387" spans="2:5" x14ac:dyDescent="0.35">
      <c r="B387" s="93" t="s">
        <v>1214</v>
      </c>
      <c r="C387" s="32"/>
      <c r="D387" s="32" t="s">
        <v>1215</v>
      </c>
      <c r="E387" s="32"/>
    </row>
    <row r="388" spans="2:5" x14ac:dyDescent="0.35">
      <c r="B388" s="93" t="s">
        <v>1216</v>
      </c>
      <c r="C388" s="32"/>
      <c r="D388" s="32" t="s">
        <v>1217</v>
      </c>
      <c r="E388" s="32"/>
    </row>
    <row r="389" spans="2:5" x14ac:dyDescent="0.35">
      <c r="B389" s="93" t="s">
        <v>1218</v>
      </c>
      <c r="C389" s="32"/>
      <c r="D389" s="32" t="s">
        <v>1219</v>
      </c>
      <c r="E389" s="32"/>
    </row>
    <row r="390" spans="2:5" x14ac:dyDescent="0.35">
      <c r="B390" s="93" t="s">
        <v>1218</v>
      </c>
      <c r="C390" s="32"/>
      <c r="D390" s="32" t="s">
        <v>1219</v>
      </c>
      <c r="E390" s="32"/>
    </row>
    <row r="391" spans="2:5" x14ac:dyDescent="0.35">
      <c r="B391" s="93" t="s">
        <v>1220</v>
      </c>
      <c r="C391" s="32"/>
      <c r="D391" s="32" t="s">
        <v>1221</v>
      </c>
      <c r="E391" s="32"/>
    </row>
    <row r="392" spans="2:5" x14ac:dyDescent="0.35">
      <c r="B392" s="93" t="s">
        <v>1222</v>
      </c>
      <c r="C392" s="32"/>
      <c r="D392" s="32" t="s">
        <v>1223</v>
      </c>
      <c r="E392" s="32"/>
    </row>
    <row r="393" spans="2:5" x14ac:dyDescent="0.35">
      <c r="B393" s="93" t="s">
        <v>1224</v>
      </c>
      <c r="C393" s="32"/>
      <c r="D393" s="32" t="s">
        <v>1225</v>
      </c>
      <c r="E393" s="32"/>
    </row>
    <row r="394" spans="2:5" x14ac:dyDescent="0.35">
      <c r="B394" s="93" t="s">
        <v>1226</v>
      </c>
      <c r="C394" s="32"/>
      <c r="D394" s="32" t="s">
        <v>1227</v>
      </c>
      <c r="E394" s="32"/>
    </row>
    <row r="395" spans="2:5" x14ac:dyDescent="0.35">
      <c r="B395" s="93" t="s">
        <v>1228</v>
      </c>
      <c r="C395" s="32"/>
      <c r="D395" s="32" t="s">
        <v>1229</v>
      </c>
      <c r="E395" s="32"/>
    </row>
    <row r="396" spans="2:5" x14ac:dyDescent="0.35">
      <c r="B396" s="93" t="s">
        <v>1230</v>
      </c>
      <c r="C396" s="32"/>
      <c r="D396" s="32" t="s">
        <v>1231</v>
      </c>
      <c r="E396" s="32"/>
    </row>
    <row r="397" spans="2:5" x14ac:dyDescent="0.35">
      <c r="B397" s="93" t="s">
        <v>1232</v>
      </c>
      <c r="C397" s="32"/>
      <c r="D397" s="32" t="s">
        <v>1233</v>
      </c>
      <c r="E397" s="32"/>
    </row>
    <row r="398" spans="2:5" x14ac:dyDescent="0.35">
      <c r="B398" s="93" t="s">
        <v>1234</v>
      </c>
      <c r="C398" s="32"/>
      <c r="D398" s="32" t="s">
        <v>1235</v>
      </c>
      <c r="E398" s="32"/>
    </row>
    <row r="399" spans="2:5" x14ac:dyDescent="0.35">
      <c r="B399" s="93" t="s">
        <v>1236</v>
      </c>
      <c r="C399" s="32"/>
      <c r="D399" s="32" t="s">
        <v>1237</v>
      </c>
      <c r="E399" s="32"/>
    </row>
    <row r="400" spans="2:5" x14ac:dyDescent="0.35">
      <c r="B400" s="93" t="s">
        <v>1238</v>
      </c>
      <c r="C400" s="32"/>
      <c r="D400" s="32" t="s">
        <v>1239</v>
      </c>
      <c r="E400" s="32"/>
    </row>
    <row r="401" spans="2:5" x14ac:dyDescent="0.35">
      <c r="B401" s="93" t="s">
        <v>1240</v>
      </c>
      <c r="C401" s="32"/>
      <c r="D401" s="32" t="s">
        <v>1241</v>
      </c>
      <c r="E401" s="32"/>
    </row>
    <row r="402" spans="2:5" x14ac:dyDescent="0.35">
      <c r="B402" s="93" t="s">
        <v>1242</v>
      </c>
      <c r="C402" s="32"/>
      <c r="D402" s="32" t="s">
        <v>1243</v>
      </c>
      <c r="E402" s="32"/>
    </row>
    <row r="403" spans="2:5" x14ac:dyDescent="0.35">
      <c r="B403" s="93" t="s">
        <v>1244</v>
      </c>
      <c r="C403" s="32"/>
      <c r="D403" s="32" t="s">
        <v>1245</v>
      </c>
      <c r="E403" s="32"/>
    </row>
    <row r="404" spans="2:5" x14ac:dyDescent="0.35">
      <c r="B404" s="93" t="s">
        <v>1246</v>
      </c>
      <c r="C404" s="32"/>
      <c r="D404" s="32" t="s">
        <v>1247</v>
      </c>
      <c r="E404" s="32"/>
    </row>
    <row r="405" spans="2:5" x14ac:dyDescent="0.35">
      <c r="B405" s="93" t="s">
        <v>1248</v>
      </c>
      <c r="C405" s="32"/>
      <c r="D405" s="32" t="s">
        <v>1249</v>
      </c>
      <c r="E405" s="32"/>
    </row>
    <row r="406" spans="2:5" x14ac:dyDescent="0.35">
      <c r="B406" s="93" t="s">
        <v>1250</v>
      </c>
      <c r="C406" s="32"/>
      <c r="D406" s="32" t="s">
        <v>1249</v>
      </c>
      <c r="E406" s="32"/>
    </row>
    <row r="407" spans="2:5" x14ac:dyDescent="0.35">
      <c r="B407" s="93" t="s">
        <v>1251</v>
      </c>
      <c r="C407" s="32"/>
      <c r="D407" s="32" t="s">
        <v>1252</v>
      </c>
      <c r="E407" s="32"/>
    </row>
    <row r="408" spans="2:5" x14ac:dyDescent="0.35">
      <c r="B408" s="93" t="s">
        <v>1253</v>
      </c>
      <c r="C408" s="30"/>
      <c r="D408" s="31" t="s">
        <v>1254</v>
      </c>
      <c r="E408" s="32"/>
    </row>
    <row r="409" spans="2:5" x14ac:dyDescent="0.35">
      <c r="B409" s="93" t="s">
        <v>1256</v>
      </c>
      <c r="C409" s="30"/>
      <c r="D409" s="31" t="s">
        <v>1257</v>
      </c>
      <c r="E409" s="32"/>
    </row>
    <row r="410" spans="2:5" x14ac:dyDescent="0.35">
      <c r="B410" s="93" t="s">
        <v>1258</v>
      </c>
      <c r="C410" s="30"/>
      <c r="D410" s="31" t="s">
        <v>1259</v>
      </c>
      <c r="E410" s="32"/>
    </row>
    <row r="411" spans="2:5" x14ac:dyDescent="0.35">
      <c r="B411" s="93" t="s">
        <v>1260</v>
      </c>
      <c r="C411" s="30"/>
      <c r="D411" s="31" t="s">
        <v>1261</v>
      </c>
      <c r="E411" s="32"/>
    </row>
    <row r="412" spans="2:5" x14ac:dyDescent="0.35">
      <c r="B412" s="93" t="s">
        <v>1262</v>
      </c>
      <c r="C412" s="30"/>
      <c r="D412" s="31" t="s">
        <v>1263</v>
      </c>
      <c r="E412" s="32"/>
    </row>
    <row r="413" spans="2:5" x14ac:dyDescent="0.35">
      <c r="B413" s="93" t="s">
        <v>1264</v>
      </c>
      <c r="C413" s="30"/>
      <c r="D413" s="31" t="s">
        <v>1265</v>
      </c>
      <c r="E413" s="32"/>
    </row>
    <row r="414" spans="2:5" x14ac:dyDescent="0.35">
      <c r="B414" s="93" t="s">
        <v>1266</v>
      </c>
      <c r="C414" s="30"/>
      <c r="D414" s="31" t="s">
        <v>1267</v>
      </c>
      <c r="E414" s="32"/>
    </row>
    <row r="415" spans="2:5" x14ac:dyDescent="0.35">
      <c r="B415" s="93" t="s">
        <v>1268</v>
      </c>
      <c r="C415" s="30"/>
      <c r="D415" s="31" t="s">
        <v>1269</v>
      </c>
      <c r="E415" s="32"/>
    </row>
    <row r="416" spans="2:5" x14ac:dyDescent="0.35">
      <c r="B416" s="93" t="s">
        <v>1270</v>
      </c>
      <c r="C416" s="30"/>
      <c r="D416" s="31" t="s">
        <v>1271</v>
      </c>
      <c r="E416" s="32"/>
    </row>
    <row r="417" spans="2:5" x14ac:dyDescent="0.35">
      <c r="B417" s="93" t="s">
        <v>1272</v>
      </c>
      <c r="C417" s="30"/>
      <c r="D417" s="31" t="s">
        <v>1273</v>
      </c>
      <c r="E417" s="32"/>
    </row>
    <row r="418" spans="2:5" x14ac:dyDescent="0.35">
      <c r="B418" s="93" t="s">
        <v>1274</v>
      </c>
      <c r="C418" s="30"/>
      <c r="D418" s="31" t="s">
        <v>1275</v>
      </c>
      <c r="E418" s="32"/>
    </row>
    <row r="419" spans="2:5" x14ac:dyDescent="0.35">
      <c r="B419" s="93" t="s">
        <v>1276</v>
      </c>
      <c r="C419" s="30"/>
      <c r="D419" s="31" t="s">
        <v>1277</v>
      </c>
      <c r="E419" s="32"/>
    </row>
    <row r="420" spans="2:5" x14ac:dyDescent="0.35">
      <c r="B420" s="93" t="s">
        <v>1278</v>
      </c>
      <c r="C420" s="30"/>
      <c r="D420" s="31" t="s">
        <v>1279</v>
      </c>
      <c r="E420" s="32"/>
    </row>
    <row r="421" spans="2:5" x14ac:dyDescent="0.35">
      <c r="B421" s="93" t="s">
        <v>1280</v>
      </c>
      <c r="C421" s="30"/>
      <c r="D421" s="31" t="s">
        <v>1281</v>
      </c>
      <c r="E421" s="32"/>
    </row>
    <row r="422" spans="2:5" x14ac:dyDescent="0.35">
      <c r="B422" s="93" t="s">
        <v>1282</v>
      </c>
      <c r="C422" s="30"/>
      <c r="D422" s="31" t="s">
        <v>1283</v>
      </c>
      <c r="E422" s="32"/>
    </row>
    <row r="423" spans="2:5" x14ac:dyDescent="0.35">
      <c r="B423" s="93" t="s">
        <v>1284</v>
      </c>
      <c r="C423" s="30"/>
      <c r="D423" s="31" t="s">
        <v>1285</v>
      </c>
      <c r="E423" s="32"/>
    </row>
    <row r="424" spans="2:5" x14ac:dyDescent="0.35">
      <c r="B424" s="93" t="s">
        <v>1286</v>
      </c>
      <c r="C424" s="30"/>
      <c r="D424" s="31" t="s">
        <v>736</v>
      </c>
      <c r="E424" s="32"/>
    </row>
    <row r="425" spans="2:5" x14ac:dyDescent="0.35">
      <c r="B425" s="93" t="s">
        <v>1287</v>
      </c>
      <c r="C425" s="30"/>
      <c r="D425" s="31" t="s">
        <v>1288</v>
      </c>
      <c r="E425" s="32"/>
    </row>
    <row r="426" spans="2:5" x14ac:dyDescent="0.35">
      <c r="B426" s="93" t="s">
        <v>1289</v>
      </c>
      <c r="C426" s="30"/>
      <c r="D426" s="31" t="s">
        <v>1290</v>
      </c>
      <c r="E426" s="32"/>
    </row>
    <row r="427" spans="2:5" x14ac:dyDescent="0.35">
      <c r="B427" s="93" t="s">
        <v>1291</v>
      </c>
      <c r="C427" s="30"/>
      <c r="D427" s="31" t="s">
        <v>1292</v>
      </c>
      <c r="E427" s="32"/>
    </row>
    <row r="428" spans="2:5" x14ac:dyDescent="0.35">
      <c r="B428" s="93" t="s">
        <v>1293</v>
      </c>
      <c r="C428" s="30"/>
      <c r="D428" s="31" t="s">
        <v>1294</v>
      </c>
      <c r="E428" s="32"/>
    </row>
    <row r="429" spans="2:5" x14ac:dyDescent="0.35">
      <c r="B429" s="93" t="s">
        <v>1295</v>
      </c>
      <c r="C429" s="30"/>
      <c r="D429" s="31" t="s">
        <v>1296</v>
      </c>
      <c r="E429" s="32"/>
    </row>
    <row r="430" spans="2:5" x14ac:dyDescent="0.35">
      <c r="B430" s="93" t="s">
        <v>1297</v>
      </c>
      <c r="C430" s="30"/>
      <c r="D430" s="31" t="s">
        <v>1298</v>
      </c>
      <c r="E430" s="32"/>
    </row>
    <row r="431" spans="2:5" x14ac:dyDescent="0.35">
      <c r="B431" s="93" t="s">
        <v>1299</v>
      </c>
      <c r="C431" s="30"/>
      <c r="D431" s="31" t="s">
        <v>1300</v>
      </c>
      <c r="E431" s="32"/>
    </row>
    <row r="432" spans="2:5" x14ac:dyDescent="0.35">
      <c r="B432" s="93" t="s">
        <v>1301</v>
      </c>
      <c r="C432" s="30"/>
      <c r="D432" s="31" t="s">
        <v>1302</v>
      </c>
      <c r="E432" s="32"/>
    </row>
    <row r="433" spans="2:5" x14ac:dyDescent="0.35">
      <c r="B433" s="93" t="s">
        <v>1303</v>
      </c>
      <c r="C433" s="30"/>
      <c r="D433" s="31" t="s">
        <v>1304</v>
      </c>
      <c r="E433" s="32"/>
    </row>
    <row r="434" spans="2:5" x14ac:dyDescent="0.35">
      <c r="B434" s="93" t="s">
        <v>1305</v>
      </c>
      <c r="C434" s="30"/>
      <c r="D434" s="31" t="s">
        <v>1114</v>
      </c>
      <c r="E434" s="32"/>
    </row>
    <row r="435" spans="2:5" x14ac:dyDescent="0.35">
      <c r="B435" s="93" t="s">
        <v>1306</v>
      </c>
      <c r="C435" s="30"/>
      <c r="D435" s="31" t="s">
        <v>1307</v>
      </c>
      <c r="E435" s="32"/>
    </row>
    <row r="436" spans="2:5" x14ac:dyDescent="0.35">
      <c r="B436" s="93" t="s">
        <v>1308</v>
      </c>
      <c r="C436" s="30"/>
      <c r="D436" s="31" t="s">
        <v>1309</v>
      </c>
      <c r="E436" s="32"/>
    </row>
    <row r="437" spans="2:5" x14ac:dyDescent="0.35">
      <c r="B437" s="93" t="s">
        <v>1310</v>
      </c>
      <c r="C437" s="30"/>
      <c r="D437" s="31" t="s">
        <v>1311</v>
      </c>
      <c r="E437" s="32"/>
    </row>
    <row r="438" spans="2:5" x14ac:dyDescent="0.35">
      <c r="B438" s="93" t="s">
        <v>1312</v>
      </c>
      <c r="C438" s="30"/>
      <c r="D438" s="31" t="s">
        <v>1313</v>
      </c>
      <c r="E438" s="32"/>
    </row>
    <row r="439" spans="2:5" x14ac:dyDescent="0.35">
      <c r="B439" s="93" t="s">
        <v>1314</v>
      </c>
      <c r="C439" s="30"/>
      <c r="D439" s="31" t="s">
        <v>1315</v>
      </c>
      <c r="E439" s="32"/>
    </row>
    <row r="440" spans="2:5" x14ac:dyDescent="0.35">
      <c r="B440" s="93" t="s">
        <v>1316</v>
      </c>
      <c r="C440" s="30"/>
      <c r="D440" s="31" t="s">
        <v>1317</v>
      </c>
      <c r="E440" s="32"/>
    </row>
    <row r="441" spans="2:5" x14ac:dyDescent="0.35">
      <c r="B441" s="93" t="s">
        <v>1318</v>
      </c>
      <c r="C441" s="30"/>
      <c r="D441" s="31" t="s">
        <v>1319</v>
      </c>
      <c r="E441" s="32"/>
    </row>
    <row r="442" spans="2:5" x14ac:dyDescent="0.35">
      <c r="B442" s="64" t="s">
        <v>1320</v>
      </c>
      <c r="C442" s="30"/>
      <c r="D442" s="31" t="s">
        <v>1321</v>
      </c>
      <c r="E442" s="32"/>
    </row>
    <row r="443" spans="2:5" x14ac:dyDescent="0.35">
      <c r="B443" s="93" t="s">
        <v>1322</v>
      </c>
      <c r="C443" s="30"/>
      <c r="D443" s="31" t="s">
        <v>1323</v>
      </c>
      <c r="E443" s="32"/>
    </row>
    <row r="444" spans="2:5" x14ac:dyDescent="0.35">
      <c r="B444" s="93" t="s">
        <v>1324</v>
      </c>
      <c r="C444" s="30"/>
      <c r="D444" s="31" t="s">
        <v>1325</v>
      </c>
      <c r="E444" s="32"/>
    </row>
    <row r="445" spans="2:5" x14ac:dyDescent="0.35">
      <c r="B445" s="93" t="s">
        <v>1326</v>
      </c>
      <c r="C445" s="30"/>
      <c r="D445" s="31" t="s">
        <v>1327</v>
      </c>
      <c r="E445" s="32"/>
    </row>
    <row r="446" spans="2:5" x14ac:dyDescent="0.35">
      <c r="B446" s="93" t="s">
        <v>1328</v>
      </c>
      <c r="C446" s="30"/>
      <c r="D446" s="31" t="s">
        <v>1329</v>
      </c>
      <c r="E446" s="32"/>
    </row>
    <row r="447" spans="2:5" x14ac:dyDescent="0.35">
      <c r="B447" s="93" t="s">
        <v>1330</v>
      </c>
      <c r="C447" s="30"/>
      <c r="D447" s="31" t="s">
        <v>1331</v>
      </c>
      <c r="E447" s="32"/>
    </row>
    <row r="448" spans="2:5" x14ac:dyDescent="0.35">
      <c r="B448" s="93" t="s">
        <v>1332</v>
      </c>
      <c r="C448" s="30"/>
      <c r="D448" s="31" t="s">
        <v>1333</v>
      </c>
      <c r="E448" s="32"/>
    </row>
    <row r="449" spans="2:5" x14ac:dyDescent="0.35">
      <c r="B449" s="93" t="s">
        <v>1334</v>
      </c>
      <c r="C449" s="30"/>
      <c r="D449" s="31" t="s">
        <v>1335</v>
      </c>
      <c r="E449" s="32"/>
    </row>
    <row r="450" spans="2:5" x14ac:dyDescent="0.35">
      <c r="B450" s="64" t="s">
        <v>1336</v>
      </c>
      <c r="C450" s="30"/>
      <c r="D450" s="31" t="s">
        <v>1337</v>
      </c>
      <c r="E450" s="32"/>
    </row>
    <row r="451" spans="2:5" x14ac:dyDescent="0.35">
      <c r="B451" s="93" t="s">
        <v>1338</v>
      </c>
      <c r="C451" s="30"/>
      <c r="D451" s="31" t="s">
        <v>1339</v>
      </c>
      <c r="E451" s="32"/>
    </row>
    <row r="452" spans="2:5" x14ac:dyDescent="0.35">
      <c r="B452" s="93" t="s">
        <v>1340</v>
      </c>
      <c r="C452" s="30"/>
      <c r="D452" s="31" t="s">
        <v>1341</v>
      </c>
      <c r="E452" s="32"/>
    </row>
    <row r="453" spans="2:5" x14ac:dyDescent="0.35">
      <c r="B453" s="93" t="s">
        <v>1342</v>
      </c>
      <c r="C453" s="30"/>
      <c r="D453" s="31" t="s">
        <v>1343</v>
      </c>
      <c r="E453" s="32"/>
    </row>
    <row r="454" spans="2:5" x14ac:dyDescent="0.35">
      <c r="B454" s="93" t="s">
        <v>1344</v>
      </c>
      <c r="C454" s="30"/>
      <c r="D454" s="31" t="s">
        <v>1345</v>
      </c>
      <c r="E454" s="32"/>
    </row>
    <row r="455" spans="2:5" x14ac:dyDescent="0.35">
      <c r="B455" s="93" t="s">
        <v>1346</v>
      </c>
      <c r="C455" s="30"/>
      <c r="D455" s="31" t="s">
        <v>1347</v>
      </c>
      <c r="E455" s="32"/>
    </row>
    <row r="456" spans="2:5" x14ac:dyDescent="0.35">
      <c r="B456" s="93" t="s">
        <v>1348</v>
      </c>
      <c r="C456" s="30"/>
      <c r="D456" s="31" t="s">
        <v>1349</v>
      </c>
      <c r="E456" s="32"/>
    </row>
    <row r="457" spans="2:5" x14ac:dyDescent="0.35">
      <c r="B457" s="93" t="s">
        <v>1350</v>
      </c>
      <c r="C457" s="30"/>
      <c r="D457" s="31" t="s">
        <v>1351</v>
      </c>
      <c r="E457" s="32"/>
    </row>
    <row r="458" spans="2:5" x14ac:dyDescent="0.35">
      <c r="B458" s="93" t="s">
        <v>1352</v>
      </c>
      <c r="C458" s="30"/>
      <c r="D458" s="31" t="s">
        <v>1353</v>
      </c>
      <c r="E458" s="32"/>
    </row>
    <row r="459" spans="2:5" x14ac:dyDescent="0.35">
      <c r="B459" s="93" t="s">
        <v>1354</v>
      </c>
      <c r="C459" s="30"/>
      <c r="D459" s="31" t="s">
        <v>1355</v>
      </c>
      <c r="E459" s="32"/>
    </row>
    <row r="460" spans="2:5" x14ac:dyDescent="0.35">
      <c r="B460" s="93" t="s">
        <v>1356</v>
      </c>
      <c r="C460" s="31"/>
      <c r="D460" s="31" t="s">
        <v>1357</v>
      </c>
      <c r="E460" s="32"/>
    </row>
    <row r="461" spans="2:5" x14ac:dyDescent="0.35">
      <c r="B461" s="93" t="s">
        <v>1358</v>
      </c>
      <c r="C461" s="30"/>
      <c r="D461" s="31" t="s">
        <v>1359</v>
      </c>
      <c r="E461" s="32"/>
    </row>
    <row r="462" spans="2:5" x14ac:dyDescent="0.35">
      <c r="B462" s="93" t="s">
        <v>1360</v>
      </c>
      <c r="C462" s="30"/>
      <c r="D462" s="31" t="s">
        <v>1361</v>
      </c>
      <c r="E462" s="32"/>
    </row>
    <row r="463" spans="2:5" x14ac:dyDescent="0.35">
      <c r="B463" s="93" t="s">
        <v>1362</v>
      </c>
      <c r="C463" s="30"/>
      <c r="D463" s="31" t="s">
        <v>1363</v>
      </c>
      <c r="E463" s="32"/>
    </row>
    <row r="464" spans="2:5" x14ac:dyDescent="0.35">
      <c r="B464" s="93" t="s">
        <v>1364</v>
      </c>
      <c r="C464" s="30"/>
      <c r="D464" s="31" t="s">
        <v>1365</v>
      </c>
      <c r="E464" s="32"/>
    </row>
    <row r="465" spans="2:5" x14ac:dyDescent="0.35">
      <c r="B465" s="93" t="s">
        <v>1366</v>
      </c>
      <c r="C465" s="30"/>
      <c r="D465" s="31" t="s">
        <v>1367</v>
      </c>
      <c r="E465" s="32"/>
    </row>
    <row r="466" spans="2:5" x14ac:dyDescent="0.35">
      <c r="B466" s="93" t="s">
        <v>1368</v>
      </c>
      <c r="C466" s="30"/>
      <c r="D466" s="31" t="s">
        <v>1369</v>
      </c>
      <c r="E466" s="32"/>
    </row>
    <row r="467" spans="2:5" x14ac:dyDescent="0.35">
      <c r="B467" s="93" t="s">
        <v>1370</v>
      </c>
      <c r="C467" s="30"/>
      <c r="D467" s="31" t="s">
        <v>1371</v>
      </c>
      <c r="E467" s="32"/>
    </row>
    <row r="468" spans="2:5" x14ac:dyDescent="0.35">
      <c r="B468" s="93" t="s">
        <v>1372</v>
      </c>
      <c r="C468" s="30"/>
      <c r="D468" s="31" t="s">
        <v>1373</v>
      </c>
      <c r="E468" s="32"/>
    </row>
    <row r="469" spans="2:5" x14ac:dyDescent="0.35">
      <c r="B469" s="93" t="s">
        <v>1374</v>
      </c>
      <c r="C469" s="30"/>
      <c r="D469" s="31" t="s">
        <v>1375</v>
      </c>
      <c r="E469" s="32"/>
    </row>
    <row r="470" spans="2:5" x14ac:dyDescent="0.35">
      <c r="B470" s="93" t="s">
        <v>1376</v>
      </c>
      <c r="C470" s="30"/>
      <c r="D470" s="31" t="s">
        <v>1377</v>
      </c>
      <c r="E470" s="32"/>
    </row>
    <row r="471" spans="2:5" ht="25" x14ac:dyDescent="0.35">
      <c r="B471" s="93" t="s">
        <v>1378</v>
      </c>
      <c r="C471" s="30"/>
      <c r="D471" s="31" t="s">
        <v>1379</v>
      </c>
      <c r="E471" s="32"/>
    </row>
    <row r="472" spans="2:5" ht="25" x14ac:dyDescent="0.35">
      <c r="B472" s="93" t="s">
        <v>1380</v>
      </c>
      <c r="C472" s="30"/>
      <c r="D472" s="31" t="s">
        <v>1381</v>
      </c>
      <c r="E472" s="32"/>
    </row>
    <row r="473" spans="2:5" ht="25" x14ac:dyDescent="0.35">
      <c r="B473" s="93" t="s">
        <v>1382</v>
      </c>
      <c r="C473" s="30"/>
      <c r="D473" s="31" t="s">
        <v>1383</v>
      </c>
      <c r="E473" s="32"/>
    </row>
    <row r="474" spans="2:5" x14ac:dyDescent="0.35">
      <c r="B474" s="93" t="s">
        <v>1384</v>
      </c>
      <c r="C474" s="30"/>
      <c r="D474" s="31" t="s">
        <v>1385</v>
      </c>
      <c r="E474" s="32"/>
    </row>
    <row r="475" spans="2:5" x14ac:dyDescent="0.35">
      <c r="B475" s="93" t="s">
        <v>1386</v>
      </c>
      <c r="C475" s="30"/>
      <c r="D475" s="31" t="s">
        <v>1387</v>
      </c>
      <c r="E475" s="32"/>
    </row>
    <row r="476" spans="2:5" x14ac:dyDescent="0.35">
      <c r="B476" s="93" t="s">
        <v>310</v>
      </c>
      <c r="C476" s="30"/>
      <c r="D476" s="31" t="s">
        <v>1390</v>
      </c>
      <c r="E476" s="32"/>
    </row>
    <row r="477" spans="2:5" x14ac:dyDescent="0.35">
      <c r="B477" s="93" t="s">
        <v>14</v>
      </c>
      <c r="C477" s="30"/>
      <c r="D477" s="31" t="s">
        <v>1391</v>
      </c>
      <c r="E477" s="32"/>
    </row>
    <row r="478" spans="2:5" x14ac:dyDescent="0.35">
      <c r="B478" s="93" t="s">
        <v>83</v>
      </c>
      <c r="C478" s="30"/>
      <c r="D478" s="31" t="s">
        <v>1392</v>
      </c>
      <c r="E478" s="32"/>
    </row>
    <row r="479" spans="2:5" x14ac:dyDescent="0.35">
      <c r="B479" s="93" t="s">
        <v>151</v>
      </c>
      <c r="C479" s="30"/>
      <c r="D479" s="31" t="s">
        <v>1393</v>
      </c>
      <c r="E479" s="32"/>
    </row>
    <row r="480" spans="2:5" x14ac:dyDescent="0.35">
      <c r="B480" s="93" t="s">
        <v>152</v>
      </c>
      <c r="C480" s="30"/>
      <c r="D480" s="31" t="s">
        <v>1394</v>
      </c>
      <c r="E480" s="32"/>
    </row>
    <row r="481" spans="2:5" x14ac:dyDescent="0.35">
      <c r="B481" s="93" t="s">
        <v>153</v>
      </c>
      <c r="C481" s="30"/>
      <c r="D481" s="31" t="s">
        <v>1395</v>
      </c>
      <c r="E481" s="32"/>
    </row>
    <row r="482" spans="2:5" ht="25" x14ac:dyDescent="0.35">
      <c r="B482" s="93" t="s">
        <v>338</v>
      </c>
      <c r="C482" s="30"/>
      <c r="D482" s="31" t="s">
        <v>1396</v>
      </c>
      <c r="E482" s="32"/>
    </row>
    <row r="483" spans="2:5" x14ac:dyDescent="0.35">
      <c r="B483" s="94" t="s">
        <v>1397</v>
      </c>
      <c r="C483" s="35"/>
      <c r="D483" s="36" t="s">
        <v>1398</v>
      </c>
      <c r="E483" s="32"/>
    </row>
    <row r="484" spans="2:5" ht="25" x14ac:dyDescent="0.35">
      <c r="B484" s="93" t="s">
        <v>347</v>
      </c>
      <c r="C484" s="30"/>
      <c r="D484" s="31" t="s">
        <v>1399</v>
      </c>
      <c r="E484" s="32"/>
    </row>
    <row r="485" spans="2:5" ht="25" x14ac:dyDescent="0.35">
      <c r="B485" s="93" t="s">
        <v>352</v>
      </c>
      <c r="C485" s="30"/>
      <c r="D485" s="31" t="s">
        <v>1400</v>
      </c>
      <c r="E485" s="32"/>
    </row>
    <row r="486" spans="2:5" x14ac:dyDescent="0.35">
      <c r="B486" s="93" t="s">
        <v>362</v>
      </c>
      <c r="C486" s="30"/>
      <c r="D486" s="31" t="s">
        <v>1402</v>
      </c>
      <c r="E486" s="32"/>
    </row>
    <row r="487" spans="2:5" x14ac:dyDescent="0.35">
      <c r="B487" s="93" t="s">
        <v>367</v>
      </c>
      <c r="C487" s="30"/>
      <c r="D487" s="31" t="s">
        <v>1403</v>
      </c>
      <c r="E487" s="32"/>
    </row>
    <row r="488" spans="2:5" x14ac:dyDescent="0.35">
      <c r="B488" s="93" t="s">
        <v>390</v>
      </c>
      <c r="C488" s="30"/>
      <c r="D488" s="31" t="s">
        <v>1407</v>
      </c>
      <c r="E488" s="32"/>
    </row>
    <row r="489" spans="2:5" x14ac:dyDescent="0.35">
      <c r="B489" s="93" t="s">
        <v>122</v>
      </c>
      <c r="C489" s="30"/>
      <c r="D489" s="31" t="s">
        <v>1408</v>
      </c>
      <c r="E489" s="32"/>
    </row>
    <row r="490" spans="2:5" x14ac:dyDescent="0.35">
      <c r="B490" s="93" t="s">
        <v>3015</v>
      </c>
      <c r="C490" s="30"/>
      <c r="D490" s="31" t="s">
        <v>1409</v>
      </c>
      <c r="E490" s="32"/>
    </row>
    <row r="491" spans="2:5" x14ac:dyDescent="0.35">
      <c r="B491" s="93" t="s">
        <v>402</v>
      </c>
      <c r="C491" s="30"/>
      <c r="D491" s="31" t="s">
        <v>1410</v>
      </c>
      <c r="E491" s="32"/>
    </row>
    <row r="492" spans="2:5" x14ac:dyDescent="0.35">
      <c r="B492" s="93" t="s">
        <v>432</v>
      </c>
      <c r="C492" s="30"/>
      <c r="D492" s="31" t="s">
        <v>1411</v>
      </c>
      <c r="E492" s="32"/>
    </row>
    <row r="493" spans="2:5" x14ac:dyDescent="0.35">
      <c r="B493" s="93" t="s">
        <v>437</v>
      </c>
      <c r="C493" s="30"/>
      <c r="D493" s="31" t="s">
        <v>1412</v>
      </c>
      <c r="E493" s="32"/>
    </row>
    <row r="494" spans="2:5" x14ac:dyDescent="0.35">
      <c r="B494" s="93" t="s">
        <v>442</v>
      </c>
      <c r="C494" s="30"/>
      <c r="D494" s="31" t="s">
        <v>1413</v>
      </c>
      <c r="E494" s="32"/>
    </row>
    <row r="495" spans="2:5" x14ac:dyDescent="0.35">
      <c r="B495" s="93" t="s">
        <v>446</v>
      </c>
      <c r="C495" s="30"/>
      <c r="D495" s="31" t="s">
        <v>1414</v>
      </c>
      <c r="E495" s="32"/>
    </row>
    <row r="496" spans="2:5" x14ac:dyDescent="0.35">
      <c r="B496" s="93" t="s">
        <v>449</v>
      </c>
      <c r="C496" s="30"/>
      <c r="D496" s="31" t="s">
        <v>1415</v>
      </c>
      <c r="E496" s="32"/>
    </row>
    <row r="497" spans="2:5" x14ac:dyDescent="0.35">
      <c r="B497" s="93" t="s">
        <v>460</v>
      </c>
      <c r="C497" s="30"/>
      <c r="D497" s="31" t="s">
        <v>1416</v>
      </c>
      <c r="E497" s="32"/>
    </row>
    <row r="498" spans="2:5" x14ac:dyDescent="0.35">
      <c r="B498" s="93" t="s">
        <v>465</v>
      </c>
      <c r="C498" s="30"/>
      <c r="D498" s="31" t="s">
        <v>1417</v>
      </c>
      <c r="E498" s="32"/>
    </row>
    <row r="499" spans="2:5" x14ac:dyDescent="0.35">
      <c r="B499" s="93" t="s">
        <v>468</v>
      </c>
      <c r="C499" s="30"/>
      <c r="D499" s="31" t="s">
        <v>1418</v>
      </c>
      <c r="E499" s="32"/>
    </row>
    <row r="500" spans="2:5" x14ac:dyDescent="0.35">
      <c r="B500" s="93" t="s">
        <v>473</v>
      </c>
      <c r="C500" s="31"/>
      <c r="D500" s="31" t="s">
        <v>1419</v>
      </c>
      <c r="E500" s="32"/>
    </row>
    <row r="501" spans="2:5" x14ac:dyDescent="0.35">
      <c r="B501" s="93" t="s">
        <v>492</v>
      </c>
      <c r="C501" s="30"/>
      <c r="D501" s="31" t="s">
        <v>1420</v>
      </c>
      <c r="E501" s="32"/>
    </row>
    <row r="502" spans="2:5" x14ac:dyDescent="0.35">
      <c r="B502" s="93" t="s">
        <v>495</v>
      </c>
      <c r="C502" s="30"/>
      <c r="D502" s="31" t="s">
        <v>1421</v>
      </c>
      <c r="E502" s="32"/>
    </row>
    <row r="503" spans="2:5" x14ac:dyDescent="0.35">
      <c r="B503" s="93" t="s">
        <v>497</v>
      </c>
      <c r="C503" s="30"/>
      <c r="D503" s="31" t="s">
        <v>1422</v>
      </c>
      <c r="E503" s="32"/>
    </row>
    <row r="504" spans="2:5" x14ac:dyDescent="0.35">
      <c r="B504" s="93" t="s">
        <v>501</v>
      </c>
      <c r="C504" s="30"/>
      <c r="D504" s="31" t="s">
        <v>1423</v>
      </c>
      <c r="E504" s="32"/>
    </row>
    <row r="505" spans="2:5" x14ac:dyDescent="0.35">
      <c r="B505" s="93" t="s">
        <v>504</v>
      </c>
      <c r="C505" s="30"/>
      <c r="D505" s="31" t="s">
        <v>1424</v>
      </c>
      <c r="E505" s="32"/>
    </row>
    <row r="506" spans="2:5" x14ac:dyDescent="0.35">
      <c r="B506" s="93" t="s">
        <v>508</v>
      </c>
      <c r="C506" s="31"/>
      <c r="D506" s="31" t="s">
        <v>1425</v>
      </c>
      <c r="E506" s="32"/>
    </row>
    <row r="507" spans="2:5" x14ac:dyDescent="0.35">
      <c r="B507" s="93" t="s">
        <v>511</v>
      </c>
      <c r="C507" s="30"/>
      <c r="D507" s="31" t="s">
        <v>1426</v>
      </c>
      <c r="E507" s="32"/>
    </row>
    <row r="508" spans="2:5" x14ac:dyDescent="0.35">
      <c r="B508" s="93" t="s">
        <v>516</v>
      </c>
      <c r="C508" s="30"/>
      <c r="D508" s="31" t="s">
        <v>1427</v>
      </c>
      <c r="E508" s="32"/>
    </row>
    <row r="509" spans="2:5" x14ac:dyDescent="0.35">
      <c r="B509" s="93" t="s">
        <v>519</v>
      </c>
      <c r="C509" s="30"/>
      <c r="D509" s="31" t="s">
        <v>1428</v>
      </c>
      <c r="E509" s="32"/>
    </row>
    <row r="510" spans="2:5" x14ac:dyDescent="0.35">
      <c r="B510" s="93" t="s">
        <v>525</v>
      </c>
      <c r="C510" s="30"/>
      <c r="D510" s="31" t="s">
        <v>1429</v>
      </c>
      <c r="E510" s="32"/>
    </row>
    <row r="511" spans="2:5" x14ac:dyDescent="0.35">
      <c r="B511" s="93" t="s">
        <v>528</v>
      </c>
      <c r="C511" s="30"/>
      <c r="D511" s="31" t="s">
        <v>1430</v>
      </c>
      <c r="E511" s="32"/>
    </row>
    <row r="512" spans="2:5" x14ac:dyDescent="0.35">
      <c r="B512" s="93" t="s">
        <v>531</v>
      </c>
      <c r="C512" s="30"/>
      <c r="D512" s="31" t="s">
        <v>1431</v>
      </c>
      <c r="E512" s="32"/>
    </row>
    <row r="513" spans="2:5" x14ac:dyDescent="0.35">
      <c r="B513" s="93" t="s">
        <v>534</v>
      </c>
      <c r="C513" s="30"/>
      <c r="D513" s="31" t="s">
        <v>1432</v>
      </c>
      <c r="E513" s="32"/>
    </row>
    <row r="514" spans="2:5" x14ac:dyDescent="0.35">
      <c r="B514" s="93" t="s">
        <v>540</v>
      </c>
      <c r="C514" s="30"/>
      <c r="D514" s="31" t="s">
        <v>1433</v>
      </c>
      <c r="E514" s="32"/>
    </row>
    <row r="515" spans="2:5" x14ac:dyDescent="0.35">
      <c r="B515" s="93" t="s">
        <v>543</v>
      </c>
      <c r="C515" s="30"/>
      <c r="D515" s="31" t="s">
        <v>1434</v>
      </c>
      <c r="E515" s="32"/>
    </row>
    <row r="516" spans="2:5" x14ac:dyDescent="0.35">
      <c r="B516" s="93" t="s">
        <v>549</v>
      </c>
      <c r="C516" s="30"/>
      <c r="D516" s="31" t="s">
        <v>1435</v>
      </c>
      <c r="E516" s="32"/>
    </row>
    <row r="517" spans="2:5" x14ac:dyDescent="0.35">
      <c r="B517" s="93" t="s">
        <v>553</v>
      </c>
      <c r="C517" s="30"/>
      <c r="D517" s="31" t="s">
        <v>1436</v>
      </c>
      <c r="E517" s="32"/>
    </row>
    <row r="518" spans="2:5" x14ac:dyDescent="0.35">
      <c r="B518" s="93" t="s">
        <v>568</v>
      </c>
      <c r="C518" s="30"/>
      <c r="D518" s="31" t="s">
        <v>1437</v>
      </c>
      <c r="E518" s="32"/>
    </row>
    <row r="519" spans="2:5" x14ac:dyDescent="0.35">
      <c r="B519" s="93" t="s">
        <v>591</v>
      </c>
      <c r="C519" s="30"/>
      <c r="D519" s="31" t="s">
        <v>1438</v>
      </c>
      <c r="E519" s="32"/>
    </row>
    <row r="520" spans="2:5" x14ac:dyDescent="0.35">
      <c r="B520" s="93" t="s">
        <v>596</v>
      </c>
      <c r="C520" s="30"/>
      <c r="D520" s="31" t="s">
        <v>1439</v>
      </c>
      <c r="E520" s="32"/>
    </row>
    <row r="521" spans="2:5" x14ac:dyDescent="0.35">
      <c r="B521" s="93" t="s">
        <v>621</v>
      </c>
      <c r="C521" s="30"/>
      <c r="D521" s="31" t="s">
        <v>1440</v>
      </c>
      <c r="E521" s="32"/>
    </row>
    <row r="522" spans="2:5" x14ac:dyDescent="0.35">
      <c r="B522" s="93" t="s">
        <v>396</v>
      </c>
      <c r="C522" s="30"/>
      <c r="D522" s="31" t="s">
        <v>398</v>
      </c>
      <c r="E522" s="32"/>
    </row>
    <row r="523" spans="2:5" x14ac:dyDescent="0.35">
      <c r="B523" s="93" t="s">
        <v>399</v>
      </c>
      <c r="C523" s="30"/>
      <c r="D523" s="31" t="s">
        <v>401</v>
      </c>
      <c r="E523" s="32"/>
    </row>
    <row r="524" spans="2:5" x14ac:dyDescent="0.35">
      <c r="B524" s="93" t="s">
        <v>667</v>
      </c>
      <c r="C524" s="30"/>
      <c r="D524" s="31" t="s">
        <v>1441</v>
      </c>
      <c r="E524" s="32"/>
    </row>
    <row r="525" spans="2:5" x14ac:dyDescent="0.35">
      <c r="B525" s="93" t="s">
        <v>671</v>
      </c>
      <c r="C525" s="30"/>
      <c r="D525" s="31" t="s">
        <v>1442</v>
      </c>
      <c r="E525" s="32"/>
    </row>
    <row r="526" spans="2:5" x14ac:dyDescent="0.35">
      <c r="B526" s="93" t="s">
        <v>675</v>
      </c>
      <c r="C526" s="30"/>
      <c r="D526" s="31" t="s">
        <v>1443</v>
      </c>
      <c r="E526" s="32"/>
    </row>
    <row r="527" spans="2:5" x14ac:dyDescent="0.35">
      <c r="B527" s="93" t="s">
        <v>678</v>
      </c>
      <c r="C527" s="30"/>
      <c r="D527" s="31" t="s">
        <v>1444</v>
      </c>
      <c r="E527" s="32"/>
    </row>
    <row r="528" spans="2:5" x14ac:dyDescent="0.35">
      <c r="B528" s="93" t="s">
        <v>682</v>
      </c>
      <c r="C528" s="30"/>
      <c r="D528" s="31" t="s">
        <v>1445</v>
      </c>
      <c r="E528" s="32"/>
    </row>
    <row r="529" spans="2:5" x14ac:dyDescent="0.35">
      <c r="B529" s="93" t="s">
        <v>1446</v>
      </c>
      <c r="C529" s="30"/>
      <c r="D529" s="31" t="s">
        <v>1447</v>
      </c>
      <c r="E529" s="32"/>
    </row>
    <row r="530" spans="2:5" x14ac:dyDescent="0.35">
      <c r="B530" s="93" t="s">
        <v>689</v>
      </c>
      <c r="C530" s="30"/>
      <c r="D530" s="31" t="s">
        <v>1448</v>
      </c>
      <c r="E530" s="32"/>
    </row>
    <row r="531" spans="2:5" x14ac:dyDescent="0.35">
      <c r="B531" s="93" t="s">
        <v>693</v>
      </c>
      <c r="C531" s="30"/>
      <c r="D531" s="31" t="s">
        <v>1449</v>
      </c>
      <c r="E531" s="32"/>
    </row>
    <row r="532" spans="2:5" x14ac:dyDescent="0.35">
      <c r="B532" s="93" t="s">
        <v>697</v>
      </c>
      <c r="C532" s="30"/>
      <c r="D532" s="31" t="s">
        <v>1450</v>
      </c>
      <c r="E532" s="32"/>
    </row>
    <row r="533" spans="2:5" x14ac:dyDescent="0.35">
      <c r="B533" s="93" t="s">
        <v>329</v>
      </c>
      <c r="C533" s="30"/>
      <c r="D533" s="31" t="s">
        <v>331</v>
      </c>
      <c r="E533" s="32"/>
    </row>
    <row r="534" spans="2:5" x14ac:dyDescent="0.35">
      <c r="B534" s="93" t="s">
        <v>703</v>
      </c>
      <c r="C534" s="30"/>
      <c r="D534" s="31" t="s">
        <v>1451</v>
      </c>
      <c r="E534" s="32"/>
    </row>
    <row r="535" spans="2:5" x14ac:dyDescent="0.35">
      <c r="B535" s="93" t="s">
        <v>707</v>
      </c>
      <c r="C535" s="30"/>
      <c r="D535" s="31" t="s">
        <v>1452</v>
      </c>
      <c r="E535" s="32"/>
    </row>
    <row r="536" spans="2:5" x14ac:dyDescent="0.35">
      <c r="B536" s="93" t="s">
        <v>1453</v>
      </c>
      <c r="C536" s="30"/>
      <c r="D536" s="31" t="s">
        <v>313</v>
      </c>
      <c r="E536" s="32"/>
    </row>
    <row r="537" spans="2:5" x14ac:dyDescent="0.35">
      <c r="B537" s="93" t="s">
        <v>712</v>
      </c>
      <c r="C537" s="30"/>
      <c r="D537" s="31" t="s">
        <v>1454</v>
      </c>
      <c r="E537" s="32"/>
    </row>
    <row r="538" spans="2:5" x14ac:dyDescent="0.35">
      <c r="B538" s="93" t="s">
        <v>716</v>
      </c>
      <c r="C538" s="30"/>
      <c r="D538" s="31" t="s">
        <v>1455</v>
      </c>
      <c r="E538" s="32"/>
    </row>
    <row r="539" spans="2:5" x14ac:dyDescent="0.35">
      <c r="B539" s="93" t="s">
        <v>719</v>
      </c>
      <c r="C539" s="30"/>
      <c r="D539" s="31" t="s">
        <v>1456</v>
      </c>
      <c r="E539" s="32"/>
    </row>
    <row r="540" spans="2:5" x14ac:dyDescent="0.35">
      <c r="B540" s="93" t="s">
        <v>723</v>
      </c>
      <c r="C540" s="30"/>
      <c r="D540" s="31" t="s">
        <v>1457</v>
      </c>
      <c r="E540" s="32"/>
    </row>
    <row r="541" spans="2:5" x14ac:dyDescent="0.35">
      <c r="B541" s="93" t="s">
        <v>726</v>
      </c>
      <c r="C541" s="30"/>
      <c r="D541" s="31" t="s">
        <v>726</v>
      </c>
      <c r="E541" s="32"/>
    </row>
    <row r="542" spans="2:5" x14ac:dyDescent="0.35">
      <c r="B542" s="93" t="s">
        <v>734</v>
      </c>
      <c r="C542" s="30"/>
      <c r="D542" s="31" t="s">
        <v>1458</v>
      </c>
      <c r="E542" s="32"/>
    </row>
    <row r="543" spans="2:5" x14ac:dyDescent="0.35">
      <c r="B543" s="93" t="s">
        <v>737</v>
      </c>
      <c r="C543" s="31"/>
      <c r="D543" s="31" t="s">
        <v>1459</v>
      </c>
      <c r="E543" s="32"/>
    </row>
    <row r="544" spans="2:5" x14ac:dyDescent="0.35">
      <c r="B544" s="93" t="s">
        <v>740</v>
      </c>
      <c r="C544" s="30"/>
      <c r="D544" s="31" t="s">
        <v>1460</v>
      </c>
      <c r="E544" s="32"/>
    </row>
    <row r="545" spans="2:5" x14ac:dyDescent="0.35">
      <c r="B545" s="93" t="s">
        <v>749</v>
      </c>
      <c r="C545" s="30"/>
      <c r="D545" s="31" t="s">
        <v>1461</v>
      </c>
      <c r="E545" s="32"/>
    </row>
    <row r="546" spans="2:5" x14ac:dyDescent="0.35">
      <c r="B546" s="93" t="s">
        <v>777</v>
      </c>
      <c r="C546" s="30"/>
      <c r="D546" s="31" t="s">
        <v>1462</v>
      </c>
      <c r="E546" s="32"/>
    </row>
    <row r="547" spans="2:5" x14ac:dyDescent="0.35">
      <c r="B547" s="93" t="s">
        <v>786</v>
      </c>
      <c r="C547" s="30"/>
      <c r="D547" s="31" t="s">
        <v>1463</v>
      </c>
      <c r="E547" s="32"/>
    </row>
    <row r="548" spans="2:5" x14ac:dyDescent="0.35">
      <c r="B548" s="93" t="s">
        <v>791</v>
      </c>
      <c r="C548" s="30"/>
      <c r="D548" s="31" t="s">
        <v>1464</v>
      </c>
      <c r="E548" s="32"/>
    </row>
    <row r="549" spans="2:5" x14ac:dyDescent="0.35">
      <c r="B549" s="93" t="s">
        <v>798</v>
      </c>
      <c r="C549" s="31"/>
      <c r="D549" s="31" t="s">
        <v>1465</v>
      </c>
      <c r="E549" s="32"/>
    </row>
    <row r="550" spans="2:5" x14ac:dyDescent="0.35">
      <c r="B550" s="93" t="s">
        <v>1466</v>
      </c>
      <c r="C550" s="30"/>
      <c r="D550" s="31" t="s">
        <v>1467</v>
      </c>
      <c r="E550" s="32"/>
    </row>
    <row r="551" spans="2:5" x14ac:dyDescent="0.35">
      <c r="B551" s="93" t="s">
        <v>809</v>
      </c>
      <c r="C551" s="30"/>
      <c r="D551" s="31" t="s">
        <v>1458</v>
      </c>
      <c r="E551" s="32"/>
    </row>
    <row r="552" spans="2:5" x14ac:dyDescent="0.35">
      <c r="B552" s="93" t="s">
        <v>1468</v>
      </c>
      <c r="C552" s="30"/>
      <c r="D552" s="31" t="s">
        <v>1469</v>
      </c>
      <c r="E552" s="32"/>
    </row>
    <row r="553" spans="2:5" x14ac:dyDescent="0.35">
      <c r="B553" s="93" t="s">
        <v>821</v>
      </c>
      <c r="C553" s="30"/>
      <c r="D553" s="31" t="s">
        <v>1470</v>
      </c>
      <c r="E553" s="32"/>
    </row>
    <row r="554" spans="2:5" x14ac:dyDescent="0.35">
      <c r="B554" s="93" t="s">
        <v>824</v>
      </c>
      <c r="C554" s="30"/>
      <c r="D554" s="31" t="s">
        <v>1471</v>
      </c>
      <c r="E554" s="32"/>
    </row>
    <row r="555" spans="2:5" x14ac:dyDescent="0.35">
      <c r="B555" s="93" t="s">
        <v>827</v>
      </c>
      <c r="C555" s="30"/>
      <c r="D555" s="31" t="s">
        <v>1472</v>
      </c>
      <c r="E555" s="32"/>
    </row>
    <row r="556" spans="2:5" x14ac:dyDescent="0.35">
      <c r="B556" s="93" t="s">
        <v>830</v>
      </c>
      <c r="C556" s="30"/>
      <c r="D556" s="31" t="s">
        <v>1473</v>
      </c>
      <c r="E556" s="32"/>
    </row>
    <row r="557" spans="2:5" x14ac:dyDescent="0.35">
      <c r="B557" s="93" t="s">
        <v>833</v>
      </c>
      <c r="C557" s="30"/>
      <c r="D557" s="31" t="s">
        <v>1474</v>
      </c>
      <c r="E557" s="32"/>
    </row>
    <row r="558" spans="2:5" x14ac:dyDescent="0.35">
      <c r="B558" s="93" t="s">
        <v>836</v>
      </c>
      <c r="C558" s="30"/>
      <c r="D558" s="31" t="s">
        <v>1475</v>
      </c>
      <c r="E558" s="32"/>
    </row>
    <row r="559" spans="2:5" x14ac:dyDescent="0.35">
      <c r="B559" s="93" t="s">
        <v>841</v>
      </c>
      <c r="C559" s="30"/>
      <c r="D559" s="31" t="s">
        <v>1476</v>
      </c>
      <c r="E559" s="32"/>
    </row>
    <row r="560" spans="2:5" x14ac:dyDescent="0.35">
      <c r="B560" s="93" t="s">
        <v>844</v>
      </c>
      <c r="C560" s="30"/>
      <c r="D560" s="31" t="s">
        <v>1477</v>
      </c>
      <c r="E560" s="32"/>
    </row>
    <row r="561" spans="2:5" x14ac:dyDescent="0.35">
      <c r="B561" s="93" t="s">
        <v>847</v>
      </c>
      <c r="C561" s="30"/>
      <c r="D561" s="31" t="s">
        <v>1478</v>
      </c>
      <c r="E561" s="32"/>
    </row>
    <row r="562" spans="2:5" x14ac:dyDescent="0.35">
      <c r="B562" s="93" t="s">
        <v>850</v>
      </c>
      <c r="C562" s="30"/>
      <c r="D562" s="31" t="s">
        <v>1479</v>
      </c>
      <c r="E562" s="32"/>
    </row>
    <row r="563" spans="2:5" x14ac:dyDescent="0.35">
      <c r="B563" s="93" t="s">
        <v>853</v>
      </c>
      <c r="C563" s="30"/>
      <c r="D563" s="31" t="s">
        <v>1480</v>
      </c>
      <c r="E563" s="32"/>
    </row>
    <row r="564" spans="2:5" x14ac:dyDescent="0.35">
      <c r="B564" s="93" t="s">
        <v>856</v>
      </c>
      <c r="C564" s="30"/>
      <c r="D564" s="31" t="s">
        <v>1481</v>
      </c>
      <c r="E564" s="32"/>
    </row>
    <row r="565" spans="2:5" x14ac:dyDescent="0.35">
      <c r="B565" s="93" t="s">
        <v>862</v>
      </c>
      <c r="C565" s="30"/>
      <c r="D565" s="31" t="s">
        <v>1482</v>
      </c>
      <c r="E565" s="32"/>
    </row>
    <row r="566" spans="2:5" x14ac:dyDescent="0.35">
      <c r="B566" s="93" t="s">
        <v>866</v>
      </c>
      <c r="C566" s="30"/>
      <c r="D566" s="31" t="s">
        <v>1483</v>
      </c>
      <c r="E566" s="32"/>
    </row>
    <row r="567" spans="2:5" x14ac:dyDescent="0.35">
      <c r="B567" s="93" t="s">
        <v>1484</v>
      </c>
      <c r="C567" s="30"/>
      <c r="D567" s="31" t="s">
        <v>1485</v>
      </c>
      <c r="E567" s="32"/>
    </row>
    <row r="568" spans="2:5" x14ac:dyDescent="0.35">
      <c r="B568" s="93" t="s">
        <v>875</v>
      </c>
      <c r="C568" s="31"/>
      <c r="D568" s="31" t="s">
        <v>1486</v>
      </c>
      <c r="E568" s="32"/>
    </row>
    <row r="569" spans="2:5" x14ac:dyDescent="0.35">
      <c r="B569" s="93" t="s">
        <v>879</v>
      </c>
      <c r="C569" s="30"/>
      <c r="D569" s="31" t="s">
        <v>1487</v>
      </c>
      <c r="E569" s="32"/>
    </row>
    <row r="570" spans="2:5" x14ac:dyDescent="0.35">
      <c r="B570" s="93" t="s">
        <v>882</v>
      </c>
      <c r="C570" s="30"/>
      <c r="D570" s="31" t="s">
        <v>1488</v>
      </c>
      <c r="E570" s="32"/>
    </row>
    <row r="571" spans="2:5" x14ac:dyDescent="0.35">
      <c r="B571" s="93" t="s">
        <v>887</v>
      </c>
      <c r="C571" s="30"/>
      <c r="D571" s="31" t="s">
        <v>1489</v>
      </c>
      <c r="E571" s="32"/>
    </row>
    <row r="572" spans="2:5" x14ac:dyDescent="0.35">
      <c r="B572" s="93" t="s">
        <v>894</v>
      </c>
      <c r="C572" s="30"/>
      <c r="D572" s="31" t="s">
        <v>1490</v>
      </c>
      <c r="E572" s="32"/>
    </row>
    <row r="573" spans="2:5" x14ac:dyDescent="0.35">
      <c r="B573" s="93" t="s">
        <v>897</v>
      </c>
      <c r="C573" s="30"/>
      <c r="D573" s="31" t="s">
        <v>1491</v>
      </c>
      <c r="E573" s="32"/>
    </row>
    <row r="574" spans="2:5" x14ac:dyDescent="0.35">
      <c r="B574" s="93" t="s">
        <v>900</v>
      </c>
      <c r="C574" s="30"/>
      <c r="D574" s="31" t="s">
        <v>1492</v>
      </c>
      <c r="E574" s="32"/>
    </row>
    <row r="575" spans="2:5" x14ac:dyDescent="0.35">
      <c r="B575" s="93" t="s">
        <v>903</v>
      </c>
      <c r="C575" s="30"/>
      <c r="D575" s="31" t="s">
        <v>1493</v>
      </c>
      <c r="E575" s="32"/>
    </row>
    <row r="576" spans="2:5" x14ac:dyDescent="0.35">
      <c r="B576" s="93" t="s">
        <v>906</v>
      </c>
      <c r="C576" s="30"/>
      <c r="D576" s="31" t="s">
        <v>1494</v>
      </c>
      <c r="E576" s="32"/>
    </row>
    <row r="577" spans="2:5" x14ac:dyDescent="0.35">
      <c r="B577" s="93" t="s">
        <v>909</v>
      </c>
      <c r="C577" s="30"/>
      <c r="D577" s="31" t="s">
        <v>1495</v>
      </c>
      <c r="E577" s="32"/>
    </row>
    <row r="578" spans="2:5" x14ac:dyDescent="0.35">
      <c r="B578" s="93" t="s">
        <v>912</v>
      </c>
      <c r="C578" s="30"/>
      <c r="D578" s="31" t="s">
        <v>1496</v>
      </c>
      <c r="E578" s="32"/>
    </row>
    <row r="579" spans="2:5" x14ac:dyDescent="0.35">
      <c r="B579" s="93" t="s">
        <v>916</v>
      </c>
      <c r="C579" s="30"/>
      <c r="D579" s="31" t="s">
        <v>1497</v>
      </c>
      <c r="E579" s="32"/>
    </row>
    <row r="580" spans="2:5" x14ac:dyDescent="0.35">
      <c r="B580" s="93" t="s">
        <v>920</v>
      </c>
      <c r="C580" s="30"/>
      <c r="D580" s="31" t="s">
        <v>1498</v>
      </c>
      <c r="E580" s="32"/>
    </row>
    <row r="581" spans="2:5" x14ac:dyDescent="0.35">
      <c r="B581" s="93" t="s">
        <v>924</v>
      </c>
      <c r="C581" s="30"/>
      <c r="D581" s="31" t="s">
        <v>1499</v>
      </c>
      <c r="E581" s="32"/>
    </row>
    <row r="582" spans="2:5" x14ac:dyDescent="0.35">
      <c r="B582" s="93" t="s">
        <v>928</v>
      </c>
      <c r="C582" s="30"/>
      <c r="D582" s="31" t="s">
        <v>1500</v>
      </c>
      <c r="E582" s="32"/>
    </row>
    <row r="583" spans="2:5" x14ac:dyDescent="0.35">
      <c r="B583" s="93" t="s">
        <v>931</v>
      </c>
      <c r="C583" s="30"/>
      <c r="D583" s="31" t="s">
        <v>1501</v>
      </c>
      <c r="E583" s="32"/>
    </row>
    <row r="584" spans="2:5" x14ac:dyDescent="0.35">
      <c r="B584" s="93" t="s">
        <v>935</v>
      </c>
      <c r="C584" s="30"/>
      <c r="D584" s="31" t="s">
        <v>1502</v>
      </c>
      <c r="E584" s="32"/>
    </row>
    <row r="585" spans="2:5" x14ac:dyDescent="0.35">
      <c r="B585" s="93" t="s">
        <v>1503</v>
      </c>
      <c r="C585" s="30"/>
      <c r="D585" s="31" t="s">
        <v>1504</v>
      </c>
      <c r="E585" s="32"/>
    </row>
    <row r="586" spans="2:5" x14ac:dyDescent="0.35">
      <c r="B586" s="93" t="s">
        <v>948</v>
      </c>
      <c r="C586" s="30"/>
      <c r="D586" s="31" t="s">
        <v>1505</v>
      </c>
      <c r="E586" s="32"/>
    </row>
    <row r="587" spans="2:5" x14ac:dyDescent="0.35">
      <c r="B587" s="93" t="s">
        <v>952</v>
      </c>
      <c r="C587" s="30"/>
      <c r="D587" s="31" t="s">
        <v>1506</v>
      </c>
      <c r="E587" s="32"/>
    </row>
    <row r="588" spans="2:5" x14ac:dyDescent="0.35">
      <c r="B588" s="93" t="s">
        <v>955</v>
      </c>
      <c r="C588" s="30"/>
      <c r="D588" s="31" t="s">
        <v>1507</v>
      </c>
      <c r="E588" s="32"/>
    </row>
    <row r="589" spans="2:5" x14ac:dyDescent="0.35">
      <c r="B589" s="93" t="s">
        <v>959</v>
      </c>
      <c r="C589" s="30"/>
      <c r="D589" s="31" t="s">
        <v>1508</v>
      </c>
      <c r="E589" s="32"/>
    </row>
    <row r="590" spans="2:5" x14ac:dyDescent="0.35">
      <c r="B590" s="93" t="s">
        <v>962</v>
      </c>
      <c r="C590" s="30"/>
      <c r="D590" s="31" t="s">
        <v>1509</v>
      </c>
      <c r="E590" s="32"/>
    </row>
    <row r="591" spans="2:5" x14ac:dyDescent="0.35">
      <c r="B591" s="93" t="s">
        <v>966</v>
      </c>
      <c r="C591" s="30"/>
      <c r="D591" s="31" t="s">
        <v>1510</v>
      </c>
      <c r="E591" s="32"/>
    </row>
    <row r="592" spans="2:5" x14ac:dyDescent="0.35">
      <c r="B592" s="93" t="s">
        <v>969</v>
      </c>
      <c r="C592" s="30"/>
      <c r="D592" s="31" t="s">
        <v>1511</v>
      </c>
      <c r="E592" s="32"/>
    </row>
    <row r="593" spans="2:5" x14ac:dyDescent="0.35">
      <c r="B593" s="93" t="s">
        <v>973</v>
      </c>
      <c r="C593" s="31"/>
      <c r="D593" s="31" t="s">
        <v>1512</v>
      </c>
      <c r="E593" s="32"/>
    </row>
    <row r="594" spans="2:5" x14ac:dyDescent="0.35">
      <c r="B594" s="93" t="s">
        <v>977</v>
      </c>
      <c r="C594" s="30"/>
      <c r="D594" s="31" t="s">
        <v>1513</v>
      </c>
      <c r="E594" s="32"/>
    </row>
    <row r="595" spans="2:5" x14ac:dyDescent="0.35">
      <c r="B595" s="93" t="s">
        <v>979</v>
      </c>
      <c r="C595" s="30"/>
      <c r="D595" s="31" t="s">
        <v>1514</v>
      </c>
      <c r="E595" s="32"/>
    </row>
    <row r="596" spans="2:5" x14ac:dyDescent="0.35">
      <c r="B596" s="93" t="s">
        <v>982</v>
      </c>
      <c r="C596" s="30"/>
      <c r="D596" s="31" t="s">
        <v>1515</v>
      </c>
      <c r="E596" s="32"/>
    </row>
    <row r="597" spans="2:5" x14ac:dyDescent="0.35">
      <c r="B597" s="93" t="s">
        <v>986</v>
      </c>
      <c r="C597" s="30"/>
      <c r="D597" s="31" t="s">
        <v>1516</v>
      </c>
      <c r="E597" s="32"/>
    </row>
    <row r="598" spans="2:5" x14ac:dyDescent="0.35">
      <c r="B598" s="93" t="s">
        <v>989</v>
      </c>
      <c r="C598" s="30"/>
      <c r="D598" s="31" t="s">
        <v>1517</v>
      </c>
      <c r="E598" s="32"/>
    </row>
    <row r="599" spans="2:5" x14ac:dyDescent="0.35">
      <c r="B599" s="93" t="s">
        <v>992</v>
      </c>
      <c r="C599" s="31"/>
      <c r="D599" s="31" t="s">
        <v>1518</v>
      </c>
      <c r="E599" s="32"/>
    </row>
    <row r="600" spans="2:5" x14ac:dyDescent="0.35">
      <c r="B600" s="93" t="s">
        <v>1004</v>
      </c>
      <c r="C600" s="30"/>
      <c r="D600" s="31" t="s">
        <v>1519</v>
      </c>
      <c r="E600" s="32"/>
    </row>
    <row r="601" spans="2:5" x14ac:dyDescent="0.35">
      <c r="B601" s="93" t="s">
        <v>1007</v>
      </c>
      <c r="C601" s="30"/>
      <c r="D601" s="31" t="s">
        <v>1520</v>
      </c>
      <c r="E601" s="32"/>
    </row>
    <row r="602" spans="2:5" x14ac:dyDescent="0.35">
      <c r="B602" s="93" t="s">
        <v>1010</v>
      </c>
      <c r="C602" s="30"/>
      <c r="D602" s="31" t="s">
        <v>1521</v>
      </c>
      <c r="E602" s="32"/>
    </row>
    <row r="603" spans="2:5" x14ac:dyDescent="0.35">
      <c r="B603" s="93" t="s">
        <v>1013</v>
      </c>
      <c r="C603" s="30"/>
      <c r="D603" s="31" t="s">
        <v>1522</v>
      </c>
      <c r="E603" s="32"/>
    </row>
    <row r="604" spans="2:5" x14ac:dyDescent="0.35">
      <c r="B604" s="93" t="s">
        <v>1016</v>
      </c>
      <c r="C604" s="30"/>
      <c r="D604" s="31" t="s">
        <v>1523</v>
      </c>
      <c r="E604" s="32"/>
    </row>
    <row r="605" spans="2:5" x14ac:dyDescent="0.35">
      <c r="B605" s="93" t="s">
        <v>1019</v>
      </c>
      <c r="C605" s="30"/>
      <c r="D605" s="31" t="s">
        <v>1524</v>
      </c>
      <c r="E605" s="32"/>
    </row>
    <row r="606" spans="2:5" x14ac:dyDescent="0.35">
      <c r="B606" s="93" t="s">
        <v>1022</v>
      </c>
      <c r="C606" s="30"/>
      <c r="D606" s="31" t="s">
        <v>1525</v>
      </c>
      <c r="E606" s="32"/>
    </row>
    <row r="607" spans="2:5" x14ac:dyDescent="0.35">
      <c r="B607" s="93" t="s">
        <v>1025</v>
      </c>
      <c r="C607" s="30"/>
      <c r="D607" s="31" t="s">
        <v>1526</v>
      </c>
      <c r="E607" s="32"/>
    </row>
    <row r="608" spans="2:5" x14ac:dyDescent="0.35">
      <c r="B608" s="93" t="s">
        <v>1028</v>
      </c>
      <c r="C608" s="30"/>
      <c r="D608" s="31" t="s">
        <v>1527</v>
      </c>
      <c r="E608" s="32"/>
    </row>
    <row r="609" spans="2:5" x14ac:dyDescent="0.35">
      <c r="B609" s="93" t="s">
        <v>1031</v>
      </c>
      <c r="C609" s="30"/>
      <c r="D609" s="31" t="s">
        <v>1528</v>
      </c>
      <c r="E609" s="32"/>
    </row>
    <row r="610" spans="2:5" x14ac:dyDescent="0.35">
      <c r="B610" s="93" t="s">
        <v>1034</v>
      </c>
      <c r="C610" s="30"/>
      <c r="D610" s="31" t="s">
        <v>1529</v>
      </c>
      <c r="E610" s="32"/>
    </row>
    <row r="611" spans="2:5" x14ac:dyDescent="0.35">
      <c r="B611" s="93" t="s">
        <v>1037</v>
      </c>
      <c r="C611" s="30"/>
      <c r="D611" s="31" t="s">
        <v>1530</v>
      </c>
      <c r="E611" s="32"/>
    </row>
    <row r="612" spans="2:5" x14ac:dyDescent="0.35">
      <c r="B612" s="93" t="s">
        <v>1040</v>
      </c>
      <c r="C612" s="30"/>
      <c r="D612" s="31" t="s">
        <v>1531</v>
      </c>
      <c r="E612" s="32"/>
    </row>
    <row r="613" spans="2:5" x14ac:dyDescent="0.35">
      <c r="B613" s="93" t="s">
        <v>1043</v>
      </c>
      <c r="C613" s="30"/>
      <c r="D613" s="31" t="s">
        <v>1532</v>
      </c>
      <c r="E613" s="32"/>
    </row>
    <row r="614" spans="2:5" x14ac:dyDescent="0.35">
      <c r="B614" s="93" t="s">
        <v>1046</v>
      </c>
      <c r="C614" s="30"/>
      <c r="D614" s="31" t="s">
        <v>1533</v>
      </c>
      <c r="E614" s="32"/>
    </row>
    <row r="615" spans="2:5" x14ac:dyDescent="0.35">
      <c r="B615" s="93" t="s">
        <v>1049</v>
      </c>
      <c r="C615" s="30"/>
      <c r="D615" s="31" t="s">
        <v>1534</v>
      </c>
      <c r="E615" s="32"/>
    </row>
    <row r="616" spans="2:5" x14ac:dyDescent="0.35">
      <c r="B616" s="93" t="s">
        <v>1052</v>
      </c>
      <c r="C616" s="30"/>
      <c r="D616" s="31" t="s">
        <v>1535</v>
      </c>
      <c r="E616" s="32"/>
    </row>
    <row r="617" spans="2:5" x14ac:dyDescent="0.35">
      <c r="B617" s="93" t="s">
        <v>1055</v>
      </c>
      <c r="C617" s="30"/>
      <c r="D617" s="31" t="s">
        <v>1536</v>
      </c>
      <c r="E617" s="32"/>
    </row>
    <row r="618" spans="2:5" x14ac:dyDescent="0.35">
      <c r="B618" s="93" t="s">
        <v>1058</v>
      </c>
      <c r="C618" s="30"/>
      <c r="D618" s="31" t="s">
        <v>1537</v>
      </c>
      <c r="E618" s="32"/>
    </row>
    <row r="619" spans="2:5" x14ac:dyDescent="0.35">
      <c r="B619" s="93" t="s">
        <v>1061</v>
      </c>
      <c r="C619" s="30"/>
      <c r="D619" s="31" t="s">
        <v>1538</v>
      </c>
      <c r="E619" s="32"/>
    </row>
    <row r="620" spans="2:5" x14ac:dyDescent="0.35">
      <c r="B620" s="93" t="s">
        <v>270</v>
      </c>
      <c r="C620" s="30"/>
      <c r="D620" s="31" t="s">
        <v>1539</v>
      </c>
      <c r="E620" s="32"/>
    </row>
    <row r="621" spans="2:5" x14ac:dyDescent="0.35">
      <c r="B621" s="93" t="s">
        <v>1069</v>
      </c>
      <c r="C621" s="30"/>
      <c r="D621" s="31" t="s">
        <v>1540</v>
      </c>
      <c r="E621" s="32"/>
    </row>
    <row r="622" spans="2:5" ht="25" x14ac:dyDescent="0.35">
      <c r="B622" s="93" t="s">
        <v>1083</v>
      </c>
      <c r="C622" s="30"/>
      <c r="D622" s="31" t="s">
        <v>1541</v>
      </c>
      <c r="E622" s="32"/>
    </row>
    <row r="623" spans="2:5" x14ac:dyDescent="0.35">
      <c r="B623" s="93" t="s">
        <v>1086</v>
      </c>
      <c r="C623" s="30"/>
      <c r="D623" s="31" t="s">
        <v>1542</v>
      </c>
      <c r="E623" s="32"/>
    </row>
    <row r="624" spans="2:5" ht="25" x14ac:dyDescent="0.35">
      <c r="B624" s="93" t="s">
        <v>1089</v>
      </c>
      <c r="C624" s="30"/>
      <c r="D624" s="31" t="s">
        <v>1543</v>
      </c>
      <c r="E624" s="32"/>
    </row>
    <row r="625" spans="2:5" x14ac:dyDescent="0.35">
      <c r="B625" s="93" t="s">
        <v>1092</v>
      </c>
      <c r="C625" s="30"/>
      <c r="D625" s="31" t="s">
        <v>1544</v>
      </c>
      <c r="E625" s="32"/>
    </row>
    <row r="626" spans="2:5" x14ac:dyDescent="0.35">
      <c r="B626" s="93" t="s">
        <v>1545</v>
      </c>
      <c r="C626" s="30"/>
      <c r="D626" s="31" t="s">
        <v>1546</v>
      </c>
      <c r="E626" s="32"/>
    </row>
    <row r="627" spans="2:5" x14ac:dyDescent="0.35">
      <c r="B627" s="93" t="s">
        <v>1547</v>
      </c>
      <c r="C627" s="30"/>
      <c r="D627" s="31" t="s">
        <v>1548</v>
      </c>
      <c r="E627" s="32"/>
    </row>
    <row r="628" spans="2:5" ht="25" x14ac:dyDescent="0.35">
      <c r="B628" s="93" t="s">
        <v>1549</v>
      </c>
      <c r="C628" s="30"/>
      <c r="D628" s="31" t="s">
        <v>1550</v>
      </c>
      <c r="E628" s="32"/>
    </row>
    <row r="629" spans="2:5" x14ac:dyDescent="0.35">
      <c r="B629" s="93" t="s">
        <v>729</v>
      </c>
      <c r="C629" s="30"/>
      <c r="D629" s="31" t="s">
        <v>1551</v>
      </c>
      <c r="E629" s="32"/>
    </row>
    <row r="630" spans="2:5" x14ac:dyDescent="0.35">
      <c r="B630" s="93" t="s">
        <v>1552</v>
      </c>
      <c r="C630" s="30"/>
      <c r="D630" s="31" t="s">
        <v>1553</v>
      </c>
      <c r="E630" s="32"/>
    </row>
    <row r="631" spans="2:5" x14ac:dyDescent="0.35">
      <c r="B631" s="93" t="s">
        <v>1554</v>
      </c>
      <c r="C631" s="30"/>
      <c r="D631" s="31" t="s">
        <v>1555</v>
      </c>
      <c r="E631" s="32"/>
    </row>
    <row r="632" spans="2:5" x14ac:dyDescent="0.35">
      <c r="B632" s="93" t="s">
        <v>1556</v>
      </c>
      <c r="C632" s="30"/>
      <c r="D632" s="31" t="s">
        <v>1557</v>
      </c>
      <c r="E632" s="32"/>
    </row>
    <row r="633" spans="2:5" x14ac:dyDescent="0.35">
      <c r="B633" s="93" t="s">
        <v>1558</v>
      </c>
      <c r="C633" s="33"/>
      <c r="D633" s="31" t="s">
        <v>1559</v>
      </c>
      <c r="E633" s="32"/>
    </row>
    <row r="634" spans="2:5" x14ac:dyDescent="0.35">
      <c r="B634" s="93" t="s">
        <v>1560</v>
      </c>
      <c r="C634" s="30"/>
      <c r="D634" s="31" t="s">
        <v>1561</v>
      </c>
      <c r="E634" s="32"/>
    </row>
    <row r="635" spans="2:5" x14ac:dyDescent="0.35">
      <c r="B635" s="93" t="s">
        <v>1562</v>
      </c>
      <c r="C635" s="30"/>
      <c r="D635" s="31" t="s">
        <v>1563</v>
      </c>
      <c r="E635" s="32"/>
    </row>
    <row r="636" spans="2:5" x14ac:dyDescent="0.35">
      <c r="B636" s="93" t="s">
        <v>1564</v>
      </c>
      <c r="C636" s="33"/>
      <c r="D636" s="31" t="s">
        <v>1565</v>
      </c>
      <c r="E636" s="32"/>
    </row>
    <row r="637" spans="2:5" x14ac:dyDescent="0.35">
      <c r="B637" s="93" t="s">
        <v>1566</v>
      </c>
      <c r="C637" s="30"/>
      <c r="D637" s="31" t="s">
        <v>1567</v>
      </c>
      <c r="E637" s="32"/>
    </row>
    <row r="638" spans="2:5" x14ac:dyDescent="0.35">
      <c r="B638" s="93" t="s">
        <v>1568</v>
      </c>
      <c r="C638" s="33"/>
      <c r="D638" s="31" t="s">
        <v>1569</v>
      </c>
      <c r="E638" s="32"/>
    </row>
    <row r="639" spans="2:5" x14ac:dyDescent="0.35">
      <c r="B639" s="93" t="s">
        <v>1570</v>
      </c>
      <c r="C639" s="33"/>
      <c r="D639" s="31" t="s">
        <v>1571</v>
      </c>
      <c r="E639" s="32"/>
    </row>
    <row r="640" spans="2:5" x14ac:dyDescent="0.35">
      <c r="B640" s="93" t="s">
        <v>1572</v>
      </c>
      <c r="C640" s="33"/>
      <c r="D640" s="31" t="s">
        <v>1573</v>
      </c>
      <c r="E640" s="32"/>
    </row>
    <row r="641" spans="2:5" x14ac:dyDescent="0.35">
      <c r="B641" s="93" t="s">
        <v>417</v>
      </c>
      <c r="C641" s="30"/>
      <c r="D641" s="31" t="s">
        <v>1574</v>
      </c>
      <c r="E641" s="32"/>
    </row>
    <row r="642" spans="2:5" x14ac:dyDescent="0.35">
      <c r="B642" s="93" t="s">
        <v>1575</v>
      </c>
      <c r="C642" s="30"/>
      <c r="D642" s="31" t="s">
        <v>1576</v>
      </c>
      <c r="E642" s="32"/>
    </row>
    <row r="643" spans="2:5" x14ac:dyDescent="0.35">
      <c r="B643" s="93" t="s">
        <v>1577</v>
      </c>
      <c r="C643" s="30"/>
      <c r="D643" s="31" t="s">
        <v>1578</v>
      </c>
      <c r="E643" s="32"/>
    </row>
    <row r="644" spans="2:5" x14ac:dyDescent="0.35">
      <c r="B644" s="93" t="s">
        <v>406</v>
      </c>
      <c r="C644" s="30"/>
      <c r="D644" s="31" t="s">
        <v>1579</v>
      </c>
      <c r="E644" s="32"/>
    </row>
    <row r="645" spans="2:5" x14ac:dyDescent="0.35">
      <c r="B645" s="93" t="s">
        <v>1580</v>
      </c>
      <c r="C645" s="30"/>
      <c r="D645" s="31" t="s">
        <v>1581</v>
      </c>
      <c r="E645" s="32"/>
    </row>
    <row r="646" spans="2:5" x14ac:dyDescent="0.35">
      <c r="B646" s="93" t="s">
        <v>1582</v>
      </c>
      <c r="C646" s="30"/>
      <c r="D646" s="31" t="s">
        <v>949</v>
      </c>
      <c r="E646" s="32"/>
    </row>
    <row r="647" spans="2:5" x14ac:dyDescent="0.35">
      <c r="B647" s="93" t="s">
        <v>409</v>
      </c>
      <c r="C647" s="30"/>
      <c r="D647" s="31" t="s">
        <v>1583</v>
      </c>
      <c r="E647" s="32"/>
    </row>
    <row r="648" spans="2:5" x14ac:dyDescent="0.35">
      <c r="B648" s="93" t="s">
        <v>1584</v>
      </c>
      <c r="C648" s="30"/>
      <c r="D648" s="31" t="s">
        <v>943</v>
      </c>
      <c r="E648" s="32"/>
    </row>
    <row r="649" spans="2:5" x14ac:dyDescent="0.35">
      <c r="B649" s="93" t="s">
        <v>1585</v>
      </c>
      <c r="C649" s="30"/>
      <c r="D649" s="31" t="s">
        <v>1586</v>
      </c>
      <c r="E649" s="32"/>
    </row>
    <row r="650" spans="2:5" x14ac:dyDescent="0.35">
      <c r="B650" s="93" t="s">
        <v>413</v>
      </c>
      <c r="C650" s="30"/>
      <c r="D650" s="31" t="s">
        <v>1587</v>
      </c>
      <c r="E650" s="32"/>
    </row>
    <row r="651" spans="2:5" x14ac:dyDescent="0.35">
      <c r="B651" s="93" t="s">
        <v>1588</v>
      </c>
      <c r="C651" s="30"/>
      <c r="D651" s="31" t="s">
        <v>1589</v>
      </c>
      <c r="E651" s="32"/>
    </row>
    <row r="652" spans="2:5" x14ac:dyDescent="0.35">
      <c r="B652" s="93" t="s">
        <v>1590</v>
      </c>
      <c r="C652" s="30"/>
      <c r="D652" s="31" t="s">
        <v>1591</v>
      </c>
      <c r="E652" s="32"/>
    </row>
    <row r="653" spans="2:5" x14ac:dyDescent="0.35">
      <c r="B653" s="93" t="s">
        <v>1592</v>
      </c>
      <c r="C653" s="30"/>
      <c r="D653" s="31" t="s">
        <v>1593</v>
      </c>
      <c r="E653" s="32"/>
    </row>
    <row r="654" spans="2:5" x14ac:dyDescent="0.35">
      <c r="B654" s="93" t="s">
        <v>1594</v>
      </c>
      <c r="C654" s="30"/>
      <c r="D654" s="31" t="s">
        <v>1595</v>
      </c>
      <c r="E654" s="32"/>
    </row>
    <row r="655" spans="2:5" x14ac:dyDescent="0.35">
      <c r="B655" s="93" t="s">
        <v>611</v>
      </c>
      <c r="C655" s="30"/>
      <c r="D655" s="31" t="s">
        <v>1596</v>
      </c>
      <c r="E655" s="32"/>
    </row>
    <row r="656" spans="2:5" x14ac:dyDescent="0.35">
      <c r="B656" s="93" t="s">
        <v>1597</v>
      </c>
      <c r="C656" s="33"/>
      <c r="D656" s="31" t="s">
        <v>1598</v>
      </c>
      <c r="E656" s="32"/>
    </row>
    <row r="657" spans="2:5" x14ac:dyDescent="0.35">
      <c r="B657" s="93" t="s">
        <v>581</v>
      </c>
      <c r="C657" s="30"/>
      <c r="D657" s="31" t="s">
        <v>1599</v>
      </c>
      <c r="E657" s="32"/>
    </row>
    <row r="658" spans="2:5" x14ac:dyDescent="0.35">
      <c r="B658" s="93" t="s">
        <v>1600</v>
      </c>
      <c r="C658" s="30"/>
      <c r="D658" s="31" t="s">
        <v>1601</v>
      </c>
      <c r="E658" s="32"/>
    </row>
    <row r="659" spans="2:5" x14ac:dyDescent="0.35">
      <c r="B659" s="93" t="s">
        <v>1602</v>
      </c>
      <c r="C659" s="30"/>
      <c r="D659" s="31" t="s">
        <v>1603</v>
      </c>
      <c r="E659" s="32"/>
    </row>
    <row r="660" spans="2:5" x14ac:dyDescent="0.35">
      <c r="B660" s="93" t="s">
        <v>577</v>
      </c>
      <c r="C660" s="30"/>
      <c r="D660" s="31" t="s">
        <v>1604</v>
      </c>
      <c r="E660" s="32"/>
    </row>
    <row r="661" spans="2:5" x14ac:dyDescent="0.35">
      <c r="B661" s="93" t="s">
        <v>1605</v>
      </c>
      <c r="C661" s="33"/>
      <c r="D661" s="31" t="s">
        <v>1606</v>
      </c>
      <c r="E661" s="32"/>
    </row>
    <row r="662" spans="2:5" x14ac:dyDescent="0.35">
      <c r="B662" s="93" t="s">
        <v>564</v>
      </c>
      <c r="C662" s="30"/>
      <c r="D662" s="31" t="s">
        <v>323</v>
      </c>
      <c r="E662" s="32"/>
    </row>
    <row r="663" spans="2:5" x14ac:dyDescent="0.35">
      <c r="B663" s="93" t="s">
        <v>638</v>
      </c>
      <c r="C663" s="30"/>
      <c r="D663" s="31" t="s">
        <v>1607</v>
      </c>
      <c r="E663" s="32"/>
    </row>
    <row r="664" spans="2:5" x14ac:dyDescent="0.35">
      <c r="B664" s="93" t="s">
        <v>1608</v>
      </c>
      <c r="C664" s="33"/>
      <c r="D664" s="31" t="s">
        <v>1609</v>
      </c>
      <c r="E664" s="32"/>
    </row>
    <row r="665" spans="2:5" x14ac:dyDescent="0.35">
      <c r="B665" s="93" t="s">
        <v>1610</v>
      </c>
      <c r="C665" s="33"/>
      <c r="D665" s="31" t="s">
        <v>1611</v>
      </c>
      <c r="E665" s="32"/>
    </row>
    <row r="666" spans="2:5" x14ac:dyDescent="0.35">
      <c r="B666" s="93" t="s">
        <v>1612</v>
      </c>
      <c r="C666" s="30"/>
      <c r="D666" s="31" t="s">
        <v>694</v>
      </c>
      <c r="E666" s="32"/>
    </row>
    <row r="667" spans="2:5" x14ac:dyDescent="0.35">
      <c r="B667" s="93" t="s">
        <v>1613</v>
      </c>
      <c r="C667" s="33"/>
      <c r="D667" s="31" t="s">
        <v>1614</v>
      </c>
      <c r="E667" s="32"/>
    </row>
    <row r="668" spans="2:5" x14ac:dyDescent="0.35">
      <c r="B668" s="93" t="s">
        <v>1615</v>
      </c>
      <c r="C668" s="30"/>
      <c r="D668" s="31" t="s">
        <v>686</v>
      </c>
      <c r="E668" s="32"/>
    </row>
    <row r="669" spans="2:5" x14ac:dyDescent="0.35">
      <c r="B669" s="93" t="s">
        <v>1616</v>
      </c>
      <c r="C669" s="30"/>
      <c r="D669" s="31" t="s">
        <v>683</v>
      </c>
      <c r="E669" s="32"/>
    </row>
    <row r="670" spans="2:5" x14ac:dyDescent="0.35">
      <c r="B670" s="93" t="s">
        <v>1617</v>
      </c>
      <c r="C670" s="30"/>
      <c r="D670" s="31" t="s">
        <v>690</v>
      </c>
      <c r="E670" s="32"/>
    </row>
    <row r="671" spans="2:5" x14ac:dyDescent="0.35">
      <c r="B671" s="93" t="s">
        <v>455</v>
      </c>
      <c r="C671" s="30"/>
      <c r="D671" s="31" t="s">
        <v>1618</v>
      </c>
      <c r="E671" s="32"/>
    </row>
    <row r="672" spans="2:5" x14ac:dyDescent="0.35">
      <c r="B672" s="93" t="s">
        <v>1619</v>
      </c>
      <c r="C672" s="30"/>
      <c r="D672" s="31" t="s">
        <v>328</v>
      </c>
      <c r="E672" s="32"/>
    </row>
    <row r="673" spans="2:5" x14ac:dyDescent="0.35">
      <c r="B673" s="93" t="s">
        <v>1620</v>
      </c>
      <c r="C673" s="30"/>
      <c r="D673" s="31" t="s">
        <v>505</v>
      </c>
      <c r="E673" s="32"/>
    </row>
    <row r="674" spans="2:5" x14ac:dyDescent="0.35">
      <c r="B674" s="93" t="s">
        <v>1621</v>
      </c>
      <c r="C674" s="30"/>
      <c r="D674" s="31" t="s">
        <v>1622</v>
      </c>
      <c r="E674" s="32"/>
    </row>
    <row r="675" spans="2:5" x14ac:dyDescent="0.35">
      <c r="B675" s="93" t="s">
        <v>1623</v>
      </c>
      <c r="C675" s="30"/>
      <c r="D675" s="31" t="s">
        <v>1624</v>
      </c>
      <c r="E675" s="32"/>
    </row>
    <row r="676" spans="2:5" x14ac:dyDescent="0.35">
      <c r="B676" s="93" t="s">
        <v>1625</v>
      </c>
      <c r="C676" s="30"/>
      <c r="D676" s="31" t="s">
        <v>1626</v>
      </c>
      <c r="E676" s="32"/>
    </row>
    <row r="677" spans="2:5" x14ac:dyDescent="0.35">
      <c r="B677" s="93" t="s">
        <v>1627</v>
      </c>
      <c r="C677" s="33"/>
      <c r="D677" s="31" t="s">
        <v>1628</v>
      </c>
      <c r="E677" s="32"/>
    </row>
    <row r="678" spans="2:5" x14ac:dyDescent="0.35">
      <c r="B678" s="93" t="s">
        <v>1629</v>
      </c>
      <c r="C678" s="33"/>
      <c r="D678" s="31" t="s">
        <v>1630</v>
      </c>
      <c r="E678" s="32"/>
    </row>
    <row r="679" spans="2:5" x14ac:dyDescent="0.35">
      <c r="B679" s="93" t="s">
        <v>1631</v>
      </c>
      <c r="C679" s="33"/>
      <c r="D679" s="31" t="s">
        <v>1632</v>
      </c>
      <c r="E679" s="32"/>
    </row>
    <row r="680" spans="2:5" x14ac:dyDescent="0.35">
      <c r="B680" s="93" t="s">
        <v>1633</v>
      </c>
      <c r="C680" s="33"/>
      <c r="D680" s="31" t="s">
        <v>461</v>
      </c>
      <c r="E680" s="32"/>
    </row>
    <row r="681" spans="2:5" x14ac:dyDescent="0.35">
      <c r="B681" s="93" t="s">
        <v>1634</v>
      </c>
      <c r="C681" s="33"/>
      <c r="D681" s="31" t="s">
        <v>1635</v>
      </c>
      <c r="E681" s="32"/>
    </row>
    <row r="682" spans="2:5" x14ac:dyDescent="0.35">
      <c r="B682" s="93" t="s">
        <v>1636</v>
      </c>
      <c r="C682" s="30"/>
      <c r="D682" s="31" t="s">
        <v>522</v>
      </c>
      <c r="E682" s="32"/>
    </row>
    <row r="683" spans="2:5" x14ac:dyDescent="0.35">
      <c r="B683" s="93" t="s">
        <v>1637</v>
      </c>
      <c r="C683" s="30"/>
      <c r="D683" s="31" t="s">
        <v>1638</v>
      </c>
      <c r="E683" s="32"/>
    </row>
    <row r="684" spans="2:5" x14ac:dyDescent="0.35">
      <c r="B684" s="93" t="s">
        <v>1639</v>
      </c>
      <c r="C684" s="30"/>
      <c r="D684" s="31" t="s">
        <v>1640</v>
      </c>
      <c r="E684" s="32"/>
    </row>
    <row r="685" spans="2:5" x14ac:dyDescent="0.35">
      <c r="B685" s="93" t="s">
        <v>1641</v>
      </c>
      <c r="C685" s="30"/>
      <c r="D685" s="31" t="s">
        <v>1642</v>
      </c>
      <c r="E685" s="32"/>
    </row>
    <row r="686" spans="2:5" x14ac:dyDescent="0.35">
      <c r="B686" s="93" t="s">
        <v>1643</v>
      </c>
      <c r="C686" s="30"/>
      <c r="D686" s="31" t="s">
        <v>1644</v>
      </c>
      <c r="E686" s="32"/>
    </row>
    <row r="687" spans="2:5" x14ac:dyDescent="0.35">
      <c r="B687" s="93" t="s">
        <v>1645</v>
      </c>
      <c r="C687" s="30"/>
      <c r="D687" s="31" t="s">
        <v>1646</v>
      </c>
      <c r="E687" s="32"/>
    </row>
    <row r="688" spans="2:5" x14ac:dyDescent="0.35">
      <c r="B688" s="93" t="s">
        <v>1647</v>
      </c>
      <c r="C688" s="30"/>
      <c r="D688" s="31" t="s">
        <v>1648</v>
      </c>
      <c r="E688" s="32"/>
    </row>
    <row r="689" spans="2:5" x14ac:dyDescent="0.35">
      <c r="B689" s="93" t="s">
        <v>1649</v>
      </c>
      <c r="C689" s="30"/>
      <c r="D689" s="31" t="s">
        <v>1650</v>
      </c>
      <c r="E689" s="32"/>
    </row>
    <row r="690" spans="2:5" x14ac:dyDescent="0.35">
      <c r="B690" s="93" t="s">
        <v>1651</v>
      </c>
      <c r="C690" s="30"/>
      <c r="D690" s="31" t="s">
        <v>643</v>
      </c>
      <c r="E690" s="32"/>
    </row>
    <row r="691" spans="2:5" x14ac:dyDescent="0.35">
      <c r="B691" s="93" t="s">
        <v>1652</v>
      </c>
      <c r="C691" s="30"/>
      <c r="D691" s="31" t="s">
        <v>1653</v>
      </c>
      <c r="E691" s="32"/>
    </row>
    <row r="692" spans="2:5" x14ac:dyDescent="0.35">
      <c r="B692" s="93" t="s">
        <v>1655</v>
      </c>
      <c r="C692" s="33"/>
      <c r="D692" s="31" t="s">
        <v>1656</v>
      </c>
      <c r="E692" s="32"/>
    </row>
    <row r="693" spans="2:5" x14ac:dyDescent="0.35">
      <c r="B693" s="93" t="s">
        <v>1657</v>
      </c>
      <c r="C693" s="33"/>
      <c r="D693" s="31" t="s">
        <v>1658</v>
      </c>
      <c r="E693" s="32"/>
    </row>
    <row r="694" spans="2:5" x14ac:dyDescent="0.35">
      <c r="B694" s="93" t="s">
        <v>1659</v>
      </c>
      <c r="C694" s="30"/>
      <c r="D694" s="31" t="s">
        <v>1660</v>
      </c>
      <c r="E694" s="32"/>
    </row>
    <row r="695" spans="2:5" x14ac:dyDescent="0.35">
      <c r="B695" s="93" t="s">
        <v>1661</v>
      </c>
      <c r="C695" s="30"/>
      <c r="D695" s="31" t="s">
        <v>1662</v>
      </c>
      <c r="E695" s="32"/>
    </row>
    <row r="696" spans="2:5" x14ac:dyDescent="0.35">
      <c r="B696" s="93" t="s">
        <v>1663</v>
      </c>
      <c r="C696" s="31"/>
      <c r="D696" s="31" t="s">
        <v>1664</v>
      </c>
      <c r="E696" s="32"/>
    </row>
    <row r="697" spans="2:5" x14ac:dyDescent="0.35">
      <c r="B697" s="93" t="s">
        <v>1665</v>
      </c>
      <c r="C697" s="33"/>
      <c r="D697" s="31" t="s">
        <v>1666</v>
      </c>
      <c r="E697" s="32"/>
    </row>
    <row r="698" spans="2:5" x14ac:dyDescent="0.35">
      <c r="B698" s="93" t="s">
        <v>1667</v>
      </c>
      <c r="C698" s="30"/>
      <c r="D698" s="31" t="s">
        <v>1668</v>
      </c>
      <c r="E698" s="32"/>
    </row>
    <row r="699" spans="2:5" x14ac:dyDescent="0.35">
      <c r="B699" s="93" t="s">
        <v>1669</v>
      </c>
      <c r="C699" s="30"/>
      <c r="D699" s="31" t="s">
        <v>1670</v>
      </c>
      <c r="E699" s="32"/>
    </row>
    <row r="700" spans="2:5" x14ac:dyDescent="0.35">
      <c r="B700" s="93" t="s">
        <v>1671</v>
      </c>
      <c r="C700" s="30"/>
      <c r="D700" s="31" t="s">
        <v>1672</v>
      </c>
      <c r="E700" s="32"/>
    </row>
    <row r="701" spans="2:5" x14ac:dyDescent="0.35">
      <c r="B701" s="93" t="s">
        <v>1673</v>
      </c>
      <c r="C701" s="33"/>
      <c r="D701" s="31" t="s">
        <v>1674</v>
      </c>
      <c r="E701" s="32"/>
    </row>
    <row r="702" spans="2:5" x14ac:dyDescent="0.35">
      <c r="B702" s="93" t="s">
        <v>1675</v>
      </c>
      <c r="C702" s="30"/>
      <c r="D702" s="31" t="s">
        <v>1676</v>
      </c>
      <c r="E702" s="32"/>
    </row>
    <row r="703" spans="2:5" x14ac:dyDescent="0.35">
      <c r="B703" s="93" t="s">
        <v>1677</v>
      </c>
      <c r="C703" s="30"/>
      <c r="D703" s="31" t="s">
        <v>1678</v>
      </c>
      <c r="E703" s="32"/>
    </row>
    <row r="704" spans="2:5" x14ac:dyDescent="0.35">
      <c r="B704" s="93" t="s">
        <v>1679</v>
      </c>
      <c r="C704" s="33"/>
      <c r="D704" s="31" t="s">
        <v>1680</v>
      </c>
      <c r="E704" s="32"/>
    </row>
    <row r="705" spans="2:5" x14ac:dyDescent="0.35">
      <c r="B705" s="93" t="s">
        <v>603</v>
      </c>
      <c r="C705" s="30"/>
      <c r="D705" s="31" t="s">
        <v>1681</v>
      </c>
      <c r="E705" s="32"/>
    </row>
    <row r="706" spans="2:5" x14ac:dyDescent="0.35">
      <c r="B706" s="93" t="s">
        <v>606</v>
      </c>
      <c r="C706" s="33"/>
      <c r="D706" s="31" t="s">
        <v>1682</v>
      </c>
      <c r="E706" s="32"/>
    </row>
    <row r="707" spans="2:5" x14ac:dyDescent="0.35">
      <c r="B707" s="93" t="s">
        <v>1684</v>
      </c>
      <c r="C707" s="30"/>
      <c r="D707" s="31" t="s">
        <v>1685</v>
      </c>
      <c r="E707" s="32"/>
    </row>
    <row r="708" spans="2:5" x14ac:dyDescent="0.35">
      <c r="B708" s="93" t="s">
        <v>1686</v>
      </c>
      <c r="C708" s="30"/>
      <c r="D708" s="31" t="s">
        <v>1687</v>
      </c>
      <c r="E708" s="32"/>
    </row>
    <row r="709" spans="2:5" x14ac:dyDescent="0.35">
      <c r="B709" s="93" t="s">
        <v>1688</v>
      </c>
      <c r="C709" s="30"/>
      <c r="D709" s="31" t="s">
        <v>1689</v>
      </c>
      <c r="E709" s="32"/>
    </row>
    <row r="710" spans="2:5" x14ac:dyDescent="0.35">
      <c r="B710" s="93" t="s">
        <v>1690</v>
      </c>
      <c r="C710" s="30"/>
      <c r="D710" s="31" t="s">
        <v>1691</v>
      </c>
      <c r="E710" s="32"/>
    </row>
    <row r="711" spans="2:5" x14ac:dyDescent="0.35">
      <c r="B711" s="93" t="s">
        <v>1692</v>
      </c>
      <c r="C711" s="33"/>
      <c r="D711" s="31" t="s">
        <v>1693</v>
      </c>
      <c r="E711" s="32"/>
    </row>
    <row r="712" spans="2:5" x14ac:dyDescent="0.35">
      <c r="B712" s="93" t="s">
        <v>1694</v>
      </c>
      <c r="C712" s="33"/>
      <c r="D712" s="31" t="s">
        <v>1695</v>
      </c>
      <c r="E712" s="32"/>
    </row>
    <row r="713" spans="2:5" x14ac:dyDescent="0.35">
      <c r="B713" s="93" t="s">
        <v>1696</v>
      </c>
      <c r="C713" s="33"/>
      <c r="D713" s="31" t="s">
        <v>1697</v>
      </c>
      <c r="E713" s="32"/>
    </row>
    <row r="714" spans="2:5" x14ac:dyDescent="0.35">
      <c r="B714" s="93" t="s">
        <v>1698</v>
      </c>
      <c r="C714" s="33"/>
      <c r="D714" s="31" t="s">
        <v>1699</v>
      </c>
      <c r="E714" s="32"/>
    </row>
    <row r="715" spans="2:5" x14ac:dyDescent="0.35">
      <c r="B715" s="93" t="s">
        <v>1700</v>
      </c>
      <c r="C715" s="33"/>
      <c r="D715" s="31" t="s">
        <v>1701</v>
      </c>
      <c r="E715" s="32"/>
    </row>
    <row r="716" spans="2:5" x14ac:dyDescent="0.35">
      <c r="B716" s="93" t="s">
        <v>1702</v>
      </c>
      <c r="C716" s="30"/>
      <c r="D716" s="31" t="s">
        <v>1703</v>
      </c>
      <c r="E716" s="32"/>
    </row>
    <row r="717" spans="2:5" x14ac:dyDescent="0.35">
      <c r="B717" s="93" t="s">
        <v>1704</v>
      </c>
      <c r="C717" s="33"/>
      <c r="D717" s="31" t="s">
        <v>1705</v>
      </c>
      <c r="E717" s="32"/>
    </row>
    <row r="718" spans="2:5" x14ac:dyDescent="0.35">
      <c r="B718" s="93" t="s">
        <v>1078</v>
      </c>
      <c r="C718" s="30"/>
      <c r="D718" s="31" t="s">
        <v>1706</v>
      </c>
      <c r="E718" s="32"/>
    </row>
    <row r="719" spans="2:5" x14ac:dyDescent="0.35">
      <c r="B719" s="93" t="s">
        <v>1707</v>
      </c>
      <c r="C719" s="30"/>
      <c r="D719" s="31" t="s">
        <v>1708</v>
      </c>
      <c r="E719" s="32"/>
    </row>
    <row r="720" spans="2:5" x14ac:dyDescent="0.35">
      <c r="B720" s="93" t="s">
        <v>1709</v>
      </c>
      <c r="C720" s="30"/>
      <c r="D720" s="31" t="s">
        <v>1710</v>
      </c>
      <c r="E720" s="32"/>
    </row>
    <row r="721" spans="2:5" x14ac:dyDescent="0.35">
      <c r="B721" s="93" t="s">
        <v>1711</v>
      </c>
      <c r="C721" s="30"/>
      <c r="D721" s="31" t="s">
        <v>1712</v>
      </c>
      <c r="E721" s="32"/>
    </row>
    <row r="722" spans="2:5" x14ac:dyDescent="0.35">
      <c r="B722" s="93" t="s">
        <v>1713</v>
      </c>
      <c r="C722" s="30"/>
      <c r="D722" s="31" t="s">
        <v>1714</v>
      </c>
      <c r="E722" s="32"/>
    </row>
    <row r="723" spans="2:5" x14ac:dyDescent="0.35">
      <c r="B723" s="93" t="s">
        <v>1715</v>
      </c>
      <c r="C723" s="30"/>
      <c r="D723" s="31" t="s">
        <v>1716</v>
      </c>
      <c r="E723" s="32"/>
    </row>
    <row r="724" spans="2:5" x14ac:dyDescent="0.35">
      <c r="B724" s="93" t="s">
        <v>1717</v>
      </c>
      <c r="C724" s="30"/>
      <c r="D724" s="31" t="s">
        <v>1718</v>
      </c>
      <c r="E724" s="32"/>
    </row>
    <row r="725" spans="2:5" x14ac:dyDescent="0.35">
      <c r="B725" s="93" t="s">
        <v>1719</v>
      </c>
      <c r="C725" s="30"/>
      <c r="D725" s="31" t="s">
        <v>1720</v>
      </c>
      <c r="E725" s="32"/>
    </row>
    <row r="726" spans="2:5" x14ac:dyDescent="0.35">
      <c r="B726" s="93" t="s">
        <v>1721</v>
      </c>
      <c r="C726" s="33"/>
      <c r="D726" s="31" t="s">
        <v>1722</v>
      </c>
      <c r="E726" s="32"/>
    </row>
    <row r="727" spans="2:5" x14ac:dyDescent="0.35">
      <c r="B727" s="93" t="s">
        <v>1723</v>
      </c>
      <c r="C727" s="30"/>
      <c r="D727" s="31" t="s">
        <v>1724</v>
      </c>
      <c r="E727" s="32"/>
    </row>
    <row r="728" spans="2:5" x14ac:dyDescent="0.35">
      <c r="B728" s="93" t="s">
        <v>1725</v>
      </c>
      <c r="C728" s="33"/>
      <c r="D728" s="31" t="s">
        <v>1726</v>
      </c>
      <c r="E728" s="32"/>
    </row>
    <row r="729" spans="2:5" x14ac:dyDescent="0.35">
      <c r="B729" s="93" t="s">
        <v>1727</v>
      </c>
      <c r="C729" s="30"/>
      <c r="D729" s="31" t="s">
        <v>1728</v>
      </c>
      <c r="E729" s="32"/>
    </row>
    <row r="730" spans="2:5" x14ac:dyDescent="0.35">
      <c r="B730" s="93" t="s">
        <v>1729</v>
      </c>
      <c r="C730" s="30"/>
      <c r="D730" s="31" t="s">
        <v>1730</v>
      </c>
      <c r="E730" s="32"/>
    </row>
    <row r="731" spans="2:5" x14ac:dyDescent="0.35">
      <c r="B731" s="93" t="s">
        <v>1731</v>
      </c>
      <c r="C731" s="30"/>
      <c r="D731" s="31" t="s">
        <v>1732</v>
      </c>
      <c r="E731" s="32"/>
    </row>
    <row r="732" spans="2:5" x14ac:dyDescent="0.35">
      <c r="B732" s="93" t="s">
        <v>1733</v>
      </c>
      <c r="C732" s="30"/>
      <c r="D732" s="31" t="s">
        <v>1734</v>
      </c>
      <c r="E732" s="32"/>
    </row>
    <row r="733" spans="2:5" x14ac:dyDescent="0.35">
      <c r="B733" s="93" t="s">
        <v>1735</v>
      </c>
      <c r="C733" s="30"/>
      <c r="D733" s="31" t="s">
        <v>1736</v>
      </c>
      <c r="E733" s="32"/>
    </row>
    <row r="734" spans="2:5" x14ac:dyDescent="0.35">
      <c r="B734" s="93" t="s">
        <v>1737</v>
      </c>
      <c r="C734" s="30"/>
      <c r="D734" s="31" t="s">
        <v>1738</v>
      </c>
      <c r="E734" s="32"/>
    </row>
    <row r="735" spans="2:5" x14ac:dyDescent="0.35">
      <c r="B735" s="93" t="s">
        <v>1739</v>
      </c>
      <c r="C735" s="30"/>
      <c r="D735" s="31" t="s">
        <v>1740</v>
      </c>
      <c r="E735" s="32"/>
    </row>
    <row r="736" spans="2:5" x14ac:dyDescent="0.35">
      <c r="B736" s="93" t="s">
        <v>1741</v>
      </c>
      <c r="C736" s="30"/>
      <c r="D736" s="31" t="s">
        <v>1742</v>
      </c>
      <c r="E736" s="32"/>
    </row>
    <row r="737" spans="2:5" x14ac:dyDescent="0.35">
      <c r="B737" s="93" t="s">
        <v>1743</v>
      </c>
      <c r="C737" s="30"/>
      <c r="D737" s="31" t="s">
        <v>1744</v>
      </c>
      <c r="E737" s="32"/>
    </row>
    <row r="738" spans="2:5" x14ac:dyDescent="0.35">
      <c r="B738" s="93" t="s">
        <v>1745</v>
      </c>
      <c r="C738" s="30"/>
      <c r="D738" s="31" t="s">
        <v>1746</v>
      </c>
      <c r="E738" s="32"/>
    </row>
    <row r="739" spans="2:5" x14ac:dyDescent="0.35">
      <c r="B739" s="93" t="s">
        <v>1747</v>
      </c>
      <c r="C739" s="30"/>
      <c r="D739" s="31" t="s">
        <v>1748</v>
      </c>
      <c r="E739" s="32"/>
    </row>
    <row r="740" spans="2:5" x14ac:dyDescent="0.35">
      <c r="B740" s="93" t="s">
        <v>1749</v>
      </c>
      <c r="C740" s="30"/>
      <c r="D740" s="31" t="s">
        <v>1750</v>
      </c>
      <c r="E740" s="32"/>
    </row>
    <row r="741" spans="2:5" x14ac:dyDescent="0.35">
      <c r="B741" s="93" t="s">
        <v>1751</v>
      </c>
      <c r="C741" s="30"/>
      <c r="D741" s="31" t="s">
        <v>1752</v>
      </c>
      <c r="E741" s="32"/>
    </row>
    <row r="742" spans="2:5" x14ac:dyDescent="0.35">
      <c r="B742" s="93" t="s">
        <v>1754</v>
      </c>
      <c r="C742" s="33"/>
      <c r="D742" s="31" t="s">
        <v>1755</v>
      </c>
      <c r="E742" s="32"/>
    </row>
    <row r="743" spans="2:5" x14ac:dyDescent="0.35">
      <c r="B743" s="93" t="s">
        <v>1756</v>
      </c>
      <c r="C743" s="33"/>
      <c r="D743" s="31" t="s">
        <v>1757</v>
      </c>
      <c r="E743" s="32"/>
    </row>
    <row r="744" spans="2:5" x14ac:dyDescent="0.35">
      <c r="B744" s="93" t="s">
        <v>1758</v>
      </c>
      <c r="C744" s="30"/>
      <c r="D744" s="31" t="s">
        <v>700</v>
      </c>
      <c r="E744" s="32"/>
    </row>
    <row r="745" spans="2:5" x14ac:dyDescent="0.35">
      <c r="B745" s="93" t="s">
        <v>1759</v>
      </c>
      <c r="C745" s="33"/>
      <c r="D745" s="31" t="s">
        <v>1760</v>
      </c>
      <c r="E745" s="32"/>
    </row>
    <row r="746" spans="2:5" x14ac:dyDescent="0.35">
      <c r="B746" s="93" t="s">
        <v>1761</v>
      </c>
      <c r="C746" s="33"/>
      <c r="D746" s="31" t="s">
        <v>1762</v>
      </c>
      <c r="E746" s="32"/>
    </row>
    <row r="747" spans="2:5" x14ac:dyDescent="0.35">
      <c r="B747" s="93" t="s">
        <v>1763</v>
      </c>
      <c r="C747" s="33"/>
      <c r="D747" s="31" t="s">
        <v>1764</v>
      </c>
      <c r="E747" s="32"/>
    </row>
    <row r="748" spans="2:5" x14ac:dyDescent="0.35">
      <c r="B748" s="93" t="s">
        <v>1765</v>
      </c>
      <c r="C748" s="30"/>
      <c r="D748" s="31" t="s">
        <v>1766</v>
      </c>
      <c r="E748" s="32"/>
    </row>
    <row r="749" spans="2:5" x14ac:dyDescent="0.35">
      <c r="B749" s="93" t="s">
        <v>1767</v>
      </c>
      <c r="C749" s="33"/>
      <c r="D749" s="31" t="s">
        <v>435</v>
      </c>
      <c r="E749" s="32"/>
    </row>
    <row r="750" spans="2:5" x14ac:dyDescent="0.35">
      <c r="B750" s="93" t="s">
        <v>1768</v>
      </c>
      <c r="C750" s="33"/>
      <c r="D750" s="31" t="s">
        <v>1769</v>
      </c>
      <c r="E750" s="32"/>
    </row>
    <row r="751" spans="2:5" x14ac:dyDescent="0.35">
      <c r="B751" s="93" t="s">
        <v>1770</v>
      </c>
      <c r="C751" s="33"/>
      <c r="D751" s="31" t="s">
        <v>1771</v>
      </c>
      <c r="E751" s="32"/>
    </row>
    <row r="752" spans="2:5" x14ac:dyDescent="0.35">
      <c r="B752" s="93" t="s">
        <v>1772</v>
      </c>
      <c r="C752" s="33"/>
      <c r="D752" s="31" t="s">
        <v>1773</v>
      </c>
      <c r="E752" s="32"/>
    </row>
    <row r="753" spans="2:5" x14ac:dyDescent="0.35">
      <c r="B753" s="64" t="s">
        <v>1774</v>
      </c>
      <c r="C753" s="33"/>
      <c r="D753" s="31" t="s">
        <v>1775</v>
      </c>
      <c r="E753" s="32"/>
    </row>
    <row r="754" spans="2:5" x14ac:dyDescent="0.35">
      <c r="B754" s="93" t="s">
        <v>1776</v>
      </c>
      <c r="C754" s="30"/>
      <c r="D754" s="31" t="s">
        <v>720</v>
      </c>
      <c r="E754" s="32"/>
    </row>
    <row r="755" spans="2:5" x14ac:dyDescent="0.35">
      <c r="B755" s="93" t="s">
        <v>1777</v>
      </c>
      <c r="C755" s="33"/>
      <c r="D755" s="31" t="s">
        <v>1778</v>
      </c>
      <c r="E755" s="32"/>
    </row>
    <row r="756" spans="2:5" x14ac:dyDescent="0.35">
      <c r="B756" s="93" t="s">
        <v>1779</v>
      </c>
      <c r="C756" s="33"/>
      <c r="D756" s="31" t="s">
        <v>1780</v>
      </c>
      <c r="E756" s="32"/>
    </row>
    <row r="757" spans="2:5" x14ac:dyDescent="0.35">
      <c r="B757" s="93" t="s">
        <v>1781</v>
      </c>
      <c r="C757" s="30"/>
      <c r="D757" s="31" t="s">
        <v>1782</v>
      </c>
      <c r="E757" s="32"/>
    </row>
    <row r="758" spans="2:5" x14ac:dyDescent="0.35">
      <c r="B758" s="93" t="s">
        <v>1783</v>
      </c>
      <c r="C758" s="33"/>
      <c r="D758" s="31" t="s">
        <v>1784</v>
      </c>
      <c r="E758" s="32"/>
    </row>
    <row r="759" spans="2:5" x14ac:dyDescent="0.35">
      <c r="B759" s="93" t="s">
        <v>1785</v>
      </c>
      <c r="C759" s="30"/>
      <c r="D759" s="31" t="s">
        <v>983</v>
      </c>
      <c r="E759" s="32"/>
    </row>
    <row r="760" spans="2:5" x14ac:dyDescent="0.35">
      <c r="B760" s="64" t="s">
        <v>1786</v>
      </c>
      <c r="C760" s="30"/>
      <c r="D760" s="31" t="s">
        <v>679</v>
      </c>
      <c r="E760" s="32"/>
    </row>
    <row r="761" spans="2:5" x14ac:dyDescent="0.35">
      <c r="B761" s="64" t="s">
        <v>1787</v>
      </c>
      <c r="C761" s="30"/>
      <c r="D761" s="31" t="s">
        <v>672</v>
      </c>
      <c r="E761" s="32"/>
    </row>
    <row r="762" spans="2:5" x14ac:dyDescent="0.35">
      <c r="B762" s="93" t="s">
        <v>1788</v>
      </c>
      <c r="C762" s="30"/>
      <c r="D762" s="31" t="s">
        <v>664</v>
      </c>
      <c r="E762" s="32"/>
    </row>
    <row r="763" spans="2:5" x14ac:dyDescent="0.35">
      <c r="B763" s="93" t="s">
        <v>1789</v>
      </c>
      <c r="C763" s="30"/>
      <c r="D763" s="31" t="s">
        <v>661</v>
      </c>
      <c r="E763" s="32"/>
    </row>
    <row r="764" spans="2:5" x14ac:dyDescent="0.35">
      <c r="B764" s="93" t="s">
        <v>1790</v>
      </c>
      <c r="C764" s="30"/>
      <c r="D764" s="31" t="s">
        <v>668</v>
      </c>
      <c r="E764" s="32"/>
    </row>
    <row r="765" spans="2:5" x14ac:dyDescent="0.35">
      <c r="B765" s="93" t="s">
        <v>1791</v>
      </c>
      <c r="C765" s="30"/>
      <c r="D765" s="31" t="s">
        <v>932</v>
      </c>
      <c r="E765" s="32"/>
    </row>
    <row r="766" spans="2:5" x14ac:dyDescent="0.35">
      <c r="B766" s="93" t="s">
        <v>1792</v>
      </c>
      <c r="C766" s="30"/>
      <c r="D766" s="31" t="s">
        <v>1793</v>
      </c>
      <c r="E766" s="32"/>
    </row>
    <row r="767" spans="2:5" x14ac:dyDescent="0.35">
      <c r="B767" s="93" t="s">
        <v>420</v>
      </c>
      <c r="C767" s="33"/>
      <c r="D767" s="31" t="s">
        <v>1794</v>
      </c>
      <c r="E767" s="32"/>
    </row>
    <row r="768" spans="2:5" x14ac:dyDescent="0.35">
      <c r="B768" s="93" t="s">
        <v>1795</v>
      </c>
      <c r="C768" s="30"/>
      <c r="D768" s="31" t="s">
        <v>1796</v>
      </c>
      <c r="E768" s="32"/>
    </row>
    <row r="769" spans="2:5" x14ac:dyDescent="0.35">
      <c r="B769" s="93" t="s">
        <v>1797</v>
      </c>
      <c r="C769" s="30"/>
      <c r="D769" s="31" t="s">
        <v>1798</v>
      </c>
      <c r="E769" s="32"/>
    </row>
    <row r="770" spans="2:5" x14ac:dyDescent="0.35">
      <c r="B770" s="93" t="s">
        <v>1799</v>
      </c>
      <c r="C770" s="30"/>
      <c r="D770" s="31" t="s">
        <v>1800</v>
      </c>
      <c r="E770" s="32"/>
    </row>
    <row r="771" spans="2:5" x14ac:dyDescent="0.35">
      <c r="B771" s="93" t="s">
        <v>1801</v>
      </c>
      <c r="C771" s="30"/>
      <c r="D771" s="31" t="s">
        <v>1802</v>
      </c>
      <c r="E771" s="32"/>
    </row>
    <row r="772" spans="2:5" x14ac:dyDescent="0.35">
      <c r="B772" s="93" t="s">
        <v>1803</v>
      </c>
      <c r="C772" s="30"/>
      <c r="D772" s="31" t="s">
        <v>1804</v>
      </c>
      <c r="E772" s="32"/>
    </row>
    <row r="773" spans="2:5" x14ac:dyDescent="0.35">
      <c r="B773" s="93" t="s">
        <v>1805</v>
      </c>
      <c r="C773" s="30"/>
      <c r="D773" s="31" t="s">
        <v>1806</v>
      </c>
      <c r="E773" s="32"/>
    </row>
    <row r="774" spans="2:5" x14ac:dyDescent="0.35">
      <c r="B774" s="93" t="s">
        <v>1807</v>
      </c>
      <c r="C774" s="30"/>
      <c r="D774" s="31" t="s">
        <v>1808</v>
      </c>
      <c r="E774" s="32"/>
    </row>
    <row r="775" spans="2:5" x14ac:dyDescent="0.35">
      <c r="B775" s="93" t="s">
        <v>1809</v>
      </c>
      <c r="C775" s="33"/>
      <c r="D775" s="31" t="s">
        <v>1810</v>
      </c>
      <c r="E775" s="32"/>
    </row>
    <row r="776" spans="2:5" x14ac:dyDescent="0.35">
      <c r="B776" s="93" t="s">
        <v>1811</v>
      </c>
      <c r="C776" s="33"/>
      <c r="D776" s="31" t="s">
        <v>1812</v>
      </c>
      <c r="E776" s="32"/>
    </row>
    <row r="777" spans="2:5" x14ac:dyDescent="0.35">
      <c r="B777" s="93" t="s">
        <v>1813</v>
      </c>
      <c r="C777" s="33"/>
      <c r="D777" s="31" t="s">
        <v>1814</v>
      </c>
      <c r="E777" s="32"/>
    </row>
    <row r="778" spans="2:5" x14ac:dyDescent="0.35">
      <c r="B778" s="93" t="s">
        <v>1815</v>
      </c>
      <c r="C778" s="33"/>
      <c r="D778" s="31" t="s">
        <v>1816</v>
      </c>
      <c r="E778" s="32"/>
    </row>
    <row r="779" spans="2:5" x14ac:dyDescent="0.35">
      <c r="B779" s="93" t="s">
        <v>1817</v>
      </c>
      <c r="C779" s="30"/>
      <c r="D779" s="31" t="s">
        <v>1818</v>
      </c>
      <c r="E779" s="32"/>
    </row>
    <row r="780" spans="2:5" x14ac:dyDescent="0.35">
      <c r="B780" s="93" t="s">
        <v>1819</v>
      </c>
      <c r="C780" s="30"/>
      <c r="D780" s="31" t="s">
        <v>1820</v>
      </c>
      <c r="E780" s="32"/>
    </row>
    <row r="781" spans="2:5" x14ac:dyDescent="0.35">
      <c r="B781" s="93" t="s">
        <v>1821</v>
      </c>
      <c r="C781" s="30"/>
      <c r="D781" s="31" t="s">
        <v>1822</v>
      </c>
      <c r="E781" s="32"/>
    </row>
    <row r="782" spans="2:5" x14ac:dyDescent="0.35">
      <c r="B782" s="93" t="s">
        <v>1823</v>
      </c>
      <c r="C782" s="30"/>
      <c r="D782" s="31" t="s">
        <v>1824</v>
      </c>
      <c r="E782" s="32"/>
    </row>
    <row r="783" spans="2:5" x14ac:dyDescent="0.35">
      <c r="B783" s="64" t="s">
        <v>1825</v>
      </c>
      <c r="C783" s="30"/>
      <c r="D783" s="31" t="s">
        <v>1826</v>
      </c>
      <c r="E783" s="32"/>
    </row>
    <row r="784" spans="2:5" x14ac:dyDescent="0.35">
      <c r="B784" s="93" t="s">
        <v>1827</v>
      </c>
      <c r="C784" s="30"/>
      <c r="D784" s="31" t="s">
        <v>876</v>
      </c>
      <c r="E784" s="32"/>
    </row>
    <row r="785" spans="2:5" x14ac:dyDescent="0.35">
      <c r="B785" s="64" t="s">
        <v>1828</v>
      </c>
      <c r="C785" s="30"/>
      <c r="D785" s="31" t="s">
        <v>1829</v>
      </c>
      <c r="E785" s="32"/>
    </row>
    <row r="786" spans="2:5" x14ac:dyDescent="0.35">
      <c r="B786" s="93" t="s">
        <v>1830</v>
      </c>
      <c r="C786" s="30"/>
      <c r="D786" s="31" t="s">
        <v>768</v>
      </c>
      <c r="E786" s="32"/>
    </row>
    <row r="787" spans="2:5" x14ac:dyDescent="0.35">
      <c r="B787" s="93" t="s">
        <v>1831</v>
      </c>
      <c r="C787" s="30"/>
      <c r="D787" s="31" t="s">
        <v>1832</v>
      </c>
      <c r="E787" s="32"/>
    </row>
    <row r="788" spans="2:5" x14ac:dyDescent="0.35">
      <c r="B788" s="93" t="s">
        <v>1833</v>
      </c>
      <c r="C788" s="30"/>
      <c r="D788" s="31" t="s">
        <v>1834</v>
      </c>
      <c r="E788" s="32"/>
    </row>
    <row r="789" spans="2:5" x14ac:dyDescent="0.35">
      <c r="B789" s="93" t="s">
        <v>1835</v>
      </c>
      <c r="C789" s="30"/>
      <c r="D789" s="31" t="s">
        <v>1836</v>
      </c>
      <c r="E789" s="32"/>
    </row>
    <row r="790" spans="2:5" x14ac:dyDescent="0.35">
      <c r="B790" s="93" t="s">
        <v>1837</v>
      </c>
      <c r="C790" s="30"/>
      <c r="D790" s="31" t="s">
        <v>650</v>
      </c>
      <c r="E790" s="32"/>
    </row>
    <row r="791" spans="2:5" x14ac:dyDescent="0.35">
      <c r="B791" s="93" t="s">
        <v>1838</v>
      </c>
      <c r="C791" s="33"/>
      <c r="D791" s="31" t="s">
        <v>1839</v>
      </c>
      <c r="E791" s="32"/>
    </row>
    <row r="792" spans="2:5" x14ac:dyDescent="0.35">
      <c r="B792" s="93" t="s">
        <v>587</v>
      </c>
      <c r="C792" s="30"/>
      <c r="D792" s="31" t="s">
        <v>1840</v>
      </c>
      <c r="E792" s="32"/>
    </row>
    <row r="793" spans="2:5" x14ac:dyDescent="0.35">
      <c r="B793" s="93" t="s">
        <v>1841</v>
      </c>
      <c r="C793" s="30"/>
      <c r="D793" s="31" t="s">
        <v>1842</v>
      </c>
      <c r="E793" s="32"/>
    </row>
    <row r="794" spans="2:5" x14ac:dyDescent="0.35">
      <c r="B794" s="93" t="s">
        <v>1843</v>
      </c>
      <c r="C794" s="30"/>
      <c r="D794" s="31" t="s">
        <v>1844</v>
      </c>
      <c r="E794" s="32"/>
    </row>
    <row r="795" spans="2:5" x14ac:dyDescent="0.35">
      <c r="B795" s="93" t="s">
        <v>1845</v>
      </c>
      <c r="C795" s="30"/>
      <c r="D795" s="31" t="s">
        <v>1846</v>
      </c>
      <c r="E795" s="32"/>
    </row>
    <row r="796" spans="2:5" x14ac:dyDescent="0.35">
      <c r="B796" s="93" t="s">
        <v>1847</v>
      </c>
      <c r="C796" s="30"/>
      <c r="D796" s="31" t="s">
        <v>1848</v>
      </c>
      <c r="E796" s="32"/>
    </row>
    <row r="797" spans="2:5" x14ac:dyDescent="0.35">
      <c r="B797" s="93" t="s">
        <v>1849</v>
      </c>
      <c r="C797" s="30"/>
      <c r="D797" s="31" t="s">
        <v>1850</v>
      </c>
      <c r="E797" s="32"/>
    </row>
    <row r="798" spans="2:5" x14ac:dyDescent="0.35">
      <c r="B798" s="93" t="s">
        <v>1851</v>
      </c>
      <c r="C798" s="33"/>
      <c r="D798" s="31" t="s">
        <v>1852</v>
      </c>
      <c r="E798" s="32"/>
    </row>
    <row r="799" spans="2:5" x14ac:dyDescent="0.35">
      <c r="B799" s="93" t="s">
        <v>1853</v>
      </c>
      <c r="C799" s="33"/>
      <c r="D799" s="31" t="s">
        <v>1854</v>
      </c>
      <c r="E799" s="32"/>
    </row>
    <row r="800" spans="2:5" x14ac:dyDescent="0.35">
      <c r="B800" s="93" t="s">
        <v>1855</v>
      </c>
      <c r="C800" s="33"/>
      <c r="D800" s="31" t="s">
        <v>1856</v>
      </c>
      <c r="E800" s="32"/>
    </row>
    <row r="801" spans="2:5" x14ac:dyDescent="0.35">
      <c r="B801" s="93" t="s">
        <v>1857</v>
      </c>
      <c r="C801" s="33"/>
      <c r="D801" s="31" t="s">
        <v>1858</v>
      </c>
      <c r="E801" s="32"/>
    </row>
    <row r="802" spans="2:5" x14ac:dyDescent="0.35">
      <c r="B802" s="93" t="s">
        <v>1859</v>
      </c>
      <c r="C802" s="33"/>
      <c r="D802" s="31" t="s">
        <v>1860</v>
      </c>
      <c r="E802" s="32"/>
    </row>
    <row r="803" spans="2:5" x14ac:dyDescent="0.35">
      <c r="B803" s="93" t="s">
        <v>1861</v>
      </c>
      <c r="C803" s="33"/>
      <c r="D803" s="31" t="s">
        <v>1862</v>
      </c>
      <c r="E803" s="32"/>
    </row>
    <row r="804" spans="2:5" x14ac:dyDescent="0.35">
      <c r="B804" s="93" t="s">
        <v>1863</v>
      </c>
      <c r="C804" s="33"/>
      <c r="D804" s="31" t="s">
        <v>1864</v>
      </c>
      <c r="E804" s="32"/>
    </row>
    <row r="805" spans="2:5" x14ac:dyDescent="0.35">
      <c r="B805" s="93" t="s">
        <v>1865</v>
      </c>
      <c r="C805" s="33"/>
      <c r="D805" s="31" t="s">
        <v>1866</v>
      </c>
      <c r="E805" s="32"/>
    </row>
    <row r="806" spans="2:5" x14ac:dyDescent="0.35">
      <c r="B806" s="93" t="s">
        <v>1867</v>
      </c>
      <c r="C806" s="33"/>
      <c r="D806" s="31" t="s">
        <v>1868</v>
      </c>
      <c r="E806" s="32"/>
    </row>
    <row r="807" spans="2:5" x14ac:dyDescent="0.35">
      <c r="B807" s="93" t="s">
        <v>1869</v>
      </c>
      <c r="C807" s="33"/>
      <c r="D807" s="31" t="s">
        <v>1870</v>
      </c>
      <c r="E807" s="32"/>
    </row>
    <row r="808" spans="2:5" x14ac:dyDescent="0.35">
      <c r="B808" s="93" t="s">
        <v>1871</v>
      </c>
      <c r="C808" s="33"/>
      <c r="D808" s="31" t="s">
        <v>1872</v>
      </c>
      <c r="E808" s="32"/>
    </row>
    <row r="809" spans="2:5" x14ac:dyDescent="0.35">
      <c r="B809" s="93" t="s">
        <v>1873</v>
      </c>
      <c r="C809" s="33"/>
      <c r="D809" s="31" t="s">
        <v>1874</v>
      </c>
      <c r="E809" s="32"/>
    </row>
    <row r="810" spans="2:5" x14ac:dyDescent="0.35">
      <c r="B810" s="93" t="s">
        <v>1875</v>
      </c>
      <c r="C810" s="33"/>
      <c r="D810" s="31" t="s">
        <v>1876</v>
      </c>
      <c r="E810" s="32"/>
    </row>
    <row r="811" spans="2:5" x14ac:dyDescent="0.35">
      <c r="B811" s="93" t="s">
        <v>1877</v>
      </c>
      <c r="C811" s="33"/>
      <c r="D811" s="31" t="s">
        <v>1878</v>
      </c>
      <c r="E811" s="32"/>
    </row>
    <row r="812" spans="2:5" x14ac:dyDescent="0.35">
      <c r="B812" s="93" t="s">
        <v>1879</v>
      </c>
      <c r="C812" s="33"/>
      <c r="D812" s="31" t="s">
        <v>1880</v>
      </c>
      <c r="E812" s="32"/>
    </row>
    <row r="813" spans="2:5" x14ac:dyDescent="0.35">
      <c r="B813" s="93" t="s">
        <v>1881</v>
      </c>
      <c r="C813" s="33"/>
      <c r="D813" s="31" t="s">
        <v>1882</v>
      </c>
      <c r="E813" s="32"/>
    </row>
    <row r="814" spans="2:5" x14ac:dyDescent="0.35">
      <c r="B814" s="93" t="s">
        <v>1883</v>
      </c>
      <c r="C814" s="33"/>
      <c r="D814" s="31" t="s">
        <v>1884</v>
      </c>
      <c r="E814" s="32"/>
    </row>
    <row r="815" spans="2:5" x14ac:dyDescent="0.35">
      <c r="B815" s="93" t="s">
        <v>1885</v>
      </c>
      <c r="C815" s="33"/>
      <c r="D815" s="31" t="s">
        <v>1886</v>
      </c>
      <c r="E815" s="32"/>
    </row>
    <row r="816" spans="2:5" x14ac:dyDescent="0.35">
      <c r="B816" s="93" t="s">
        <v>1887</v>
      </c>
      <c r="C816" s="33"/>
      <c r="D816" s="31" t="s">
        <v>1888</v>
      </c>
      <c r="E816" s="32"/>
    </row>
    <row r="817" spans="2:5" x14ac:dyDescent="0.35">
      <c r="B817" s="93" t="s">
        <v>1889</v>
      </c>
      <c r="C817" s="30"/>
      <c r="D817" s="31" t="s">
        <v>799</v>
      </c>
      <c r="E817" s="32"/>
    </row>
    <row r="818" spans="2:5" x14ac:dyDescent="0.35">
      <c r="B818" s="93" t="s">
        <v>1890</v>
      </c>
      <c r="C818" s="33"/>
      <c r="D818" s="31" t="s">
        <v>1891</v>
      </c>
      <c r="E818" s="32"/>
    </row>
    <row r="819" spans="2:5" x14ac:dyDescent="0.35">
      <c r="B819" s="93" t="s">
        <v>1892</v>
      </c>
      <c r="C819" s="30"/>
      <c r="D819" s="31" t="s">
        <v>792</v>
      </c>
      <c r="E819" s="32"/>
    </row>
    <row r="820" spans="2:5" x14ac:dyDescent="0.35">
      <c r="B820" s="64" t="s">
        <v>1893</v>
      </c>
      <c r="C820" s="33"/>
      <c r="D820" s="31" t="s">
        <v>1894</v>
      </c>
      <c r="E820" s="32"/>
    </row>
    <row r="821" spans="2:5" x14ac:dyDescent="0.35">
      <c r="B821" s="93" t="s">
        <v>1895</v>
      </c>
      <c r="C821" s="30"/>
      <c r="D821" s="31" t="s">
        <v>795</v>
      </c>
      <c r="E821" s="32"/>
    </row>
    <row r="822" spans="2:5" x14ac:dyDescent="0.35">
      <c r="B822" s="93" t="s">
        <v>1896</v>
      </c>
      <c r="C822" s="30"/>
      <c r="D822" s="31" t="s">
        <v>582</v>
      </c>
      <c r="E822" s="32"/>
    </row>
    <row r="823" spans="2:5" x14ac:dyDescent="0.35">
      <c r="B823" s="93" t="s">
        <v>1897</v>
      </c>
      <c r="C823" s="30"/>
      <c r="D823" s="31" t="s">
        <v>1898</v>
      </c>
      <c r="E823" s="32"/>
    </row>
    <row r="824" spans="2:5" x14ac:dyDescent="0.35">
      <c r="B824" s="93" t="s">
        <v>1899</v>
      </c>
      <c r="C824" s="33"/>
      <c r="D824" s="31" t="s">
        <v>1900</v>
      </c>
      <c r="E824" s="32"/>
    </row>
    <row r="825" spans="2:5" x14ac:dyDescent="0.35">
      <c r="B825" s="93" t="s">
        <v>1901</v>
      </c>
      <c r="C825" s="30"/>
      <c r="D825" s="31" t="s">
        <v>1902</v>
      </c>
      <c r="E825" s="32"/>
    </row>
    <row r="826" spans="2:5" x14ac:dyDescent="0.35">
      <c r="B826" s="93" t="s">
        <v>1903</v>
      </c>
      <c r="C826" s="30"/>
      <c r="D826" s="31" t="s">
        <v>443</v>
      </c>
      <c r="E826" s="32"/>
    </row>
    <row r="827" spans="2:5" x14ac:dyDescent="0.35">
      <c r="B827" s="93" t="s">
        <v>1904</v>
      </c>
      <c r="C827" s="33"/>
      <c r="D827" s="31" t="s">
        <v>1905</v>
      </c>
      <c r="E827" s="32"/>
    </row>
    <row r="828" spans="2:5" x14ac:dyDescent="0.35">
      <c r="B828" s="93" t="s">
        <v>1906</v>
      </c>
      <c r="C828" s="30"/>
      <c r="D828" s="31" t="s">
        <v>956</v>
      </c>
      <c r="E828" s="32"/>
    </row>
    <row r="829" spans="2:5" x14ac:dyDescent="0.35">
      <c r="B829" s="93" t="s">
        <v>1907</v>
      </c>
      <c r="C829" s="30"/>
      <c r="D829" s="31" t="s">
        <v>963</v>
      </c>
      <c r="E829" s="32"/>
    </row>
    <row r="830" spans="2:5" x14ac:dyDescent="0.35">
      <c r="B830" s="93" t="s">
        <v>1908</v>
      </c>
      <c r="C830" s="30"/>
      <c r="D830" s="31" t="s">
        <v>1909</v>
      </c>
      <c r="E830" s="32"/>
    </row>
    <row r="831" spans="2:5" x14ac:dyDescent="0.35">
      <c r="B831" s="93" t="s">
        <v>1910</v>
      </c>
      <c r="C831" s="33"/>
      <c r="D831" s="31" t="s">
        <v>1911</v>
      </c>
      <c r="E831" s="32"/>
    </row>
    <row r="832" spans="2:5" x14ac:dyDescent="0.35">
      <c r="B832" s="93" t="s">
        <v>1912</v>
      </c>
      <c r="C832" s="33"/>
      <c r="D832" s="31" t="s">
        <v>1913</v>
      </c>
      <c r="E832" s="32"/>
    </row>
    <row r="833" spans="2:5" x14ac:dyDescent="0.35">
      <c r="B833" s="93" t="s">
        <v>1914</v>
      </c>
      <c r="C833" s="30"/>
      <c r="D833" s="31" t="s">
        <v>1915</v>
      </c>
      <c r="E833" s="32"/>
    </row>
    <row r="834" spans="2:5" x14ac:dyDescent="0.35">
      <c r="B834" s="93" t="s">
        <v>1916</v>
      </c>
      <c r="C834" s="30"/>
      <c r="D834" s="31" t="s">
        <v>1917</v>
      </c>
      <c r="E834" s="32"/>
    </row>
    <row r="835" spans="2:5" x14ac:dyDescent="0.35">
      <c r="B835" s="93" t="s">
        <v>1918</v>
      </c>
      <c r="C835" s="30"/>
      <c r="D835" s="31" t="s">
        <v>1919</v>
      </c>
      <c r="E835" s="32"/>
    </row>
    <row r="836" spans="2:5" x14ac:dyDescent="0.35">
      <c r="B836" s="93" t="s">
        <v>1920</v>
      </c>
      <c r="C836" s="30"/>
      <c r="D836" s="31" t="s">
        <v>1921</v>
      </c>
      <c r="E836" s="32"/>
    </row>
    <row r="837" spans="2:5" x14ac:dyDescent="0.35">
      <c r="B837" s="93" t="s">
        <v>1922</v>
      </c>
      <c r="C837" s="33"/>
      <c r="D837" s="31" t="s">
        <v>1923</v>
      </c>
      <c r="E837" s="32"/>
    </row>
    <row r="838" spans="2:5" x14ac:dyDescent="0.35">
      <c r="B838" s="93" t="s">
        <v>1924</v>
      </c>
      <c r="C838" s="30"/>
      <c r="D838" s="31" t="s">
        <v>1925</v>
      </c>
      <c r="E838" s="32"/>
    </row>
    <row r="839" spans="2:5" x14ac:dyDescent="0.35">
      <c r="B839" s="93" t="s">
        <v>1926</v>
      </c>
      <c r="C839" s="33"/>
      <c r="D839" s="31" t="s">
        <v>1927</v>
      </c>
      <c r="E839" s="32"/>
    </row>
    <row r="840" spans="2:5" x14ac:dyDescent="0.35">
      <c r="B840" s="93" t="s">
        <v>1928</v>
      </c>
      <c r="C840" s="33"/>
      <c r="D840" s="31" t="s">
        <v>1929</v>
      </c>
      <c r="E840" s="32"/>
    </row>
    <row r="841" spans="2:5" x14ac:dyDescent="0.35">
      <c r="B841" s="93" t="s">
        <v>1930</v>
      </c>
      <c r="C841" s="33"/>
      <c r="D841" s="31" t="s">
        <v>1931</v>
      </c>
      <c r="E841" s="32"/>
    </row>
    <row r="842" spans="2:5" x14ac:dyDescent="0.35">
      <c r="B842" s="93" t="s">
        <v>1932</v>
      </c>
      <c r="C842" s="30"/>
      <c r="D842" s="31" t="s">
        <v>1933</v>
      </c>
      <c r="E842" s="32"/>
    </row>
    <row r="843" spans="2:5" x14ac:dyDescent="0.35">
      <c r="B843" s="93" t="s">
        <v>1934</v>
      </c>
      <c r="C843" s="30"/>
      <c r="D843" s="31" t="s">
        <v>1935</v>
      </c>
      <c r="E843" s="32"/>
    </row>
    <row r="844" spans="2:5" x14ac:dyDescent="0.35">
      <c r="B844" s="93" t="s">
        <v>1936</v>
      </c>
      <c r="C844" s="30"/>
      <c r="D844" s="31" t="s">
        <v>1937</v>
      </c>
      <c r="E844" s="32"/>
    </row>
    <row r="845" spans="2:5" x14ac:dyDescent="0.35">
      <c r="B845" s="93" t="s">
        <v>1938</v>
      </c>
      <c r="C845" s="30"/>
      <c r="D845" s="31" t="s">
        <v>1939</v>
      </c>
      <c r="E845" s="32"/>
    </row>
    <row r="846" spans="2:5" x14ac:dyDescent="0.35">
      <c r="B846" s="93" t="s">
        <v>1940</v>
      </c>
      <c r="C846" s="30"/>
      <c r="D846" s="31" t="s">
        <v>469</v>
      </c>
      <c r="E846" s="32"/>
    </row>
    <row r="847" spans="2:5" x14ac:dyDescent="0.35">
      <c r="B847" s="93" t="s">
        <v>1941</v>
      </c>
      <c r="C847" s="30"/>
      <c r="D847" s="31" t="s">
        <v>1942</v>
      </c>
      <c r="E847" s="32"/>
    </row>
    <row r="848" spans="2:5" x14ac:dyDescent="0.35">
      <c r="B848" s="93" t="s">
        <v>1943</v>
      </c>
      <c r="C848" s="33"/>
      <c r="D848" s="31" t="s">
        <v>1944</v>
      </c>
      <c r="E848" s="32"/>
    </row>
    <row r="849" spans="2:5" x14ac:dyDescent="0.35">
      <c r="B849" s="93" t="s">
        <v>1945</v>
      </c>
      <c r="C849" s="33"/>
      <c r="D849" s="31" t="s">
        <v>1946</v>
      </c>
      <c r="E849" s="32"/>
    </row>
    <row r="850" spans="2:5" x14ac:dyDescent="0.35">
      <c r="B850" s="93" t="s">
        <v>1947</v>
      </c>
      <c r="C850" s="33"/>
      <c r="D850" s="37" t="s">
        <v>1948</v>
      </c>
      <c r="E850" s="32"/>
    </row>
    <row r="851" spans="2:5" x14ac:dyDescent="0.35">
      <c r="B851" s="93" t="s">
        <v>1949</v>
      </c>
      <c r="C851" s="30"/>
      <c r="D851" s="31" t="s">
        <v>940</v>
      </c>
      <c r="E851" s="32"/>
    </row>
    <row r="852" spans="2:5" x14ac:dyDescent="0.35">
      <c r="B852" s="93" t="s">
        <v>1950</v>
      </c>
      <c r="C852" s="30"/>
      <c r="D852" s="31" t="s">
        <v>1951</v>
      </c>
      <c r="E852" s="32"/>
    </row>
    <row r="853" spans="2:5" x14ac:dyDescent="0.35">
      <c r="B853" s="173" t="s">
        <v>1952</v>
      </c>
      <c r="C853" s="30"/>
      <c r="D853" s="31" t="s">
        <v>1953</v>
      </c>
      <c r="E853" s="32"/>
    </row>
    <row r="854" spans="2:5" x14ac:dyDescent="0.35">
      <c r="B854" s="93" t="s">
        <v>1954</v>
      </c>
      <c r="C854" s="33"/>
      <c r="D854" s="31" t="s">
        <v>1955</v>
      </c>
      <c r="E854" s="32"/>
    </row>
    <row r="855" spans="2:5" x14ac:dyDescent="0.35">
      <c r="B855" s="93" t="s">
        <v>1956</v>
      </c>
      <c r="C855" s="30"/>
      <c r="D855" s="31" t="s">
        <v>333</v>
      </c>
      <c r="E855" s="32"/>
    </row>
    <row r="856" spans="2:5" x14ac:dyDescent="0.35">
      <c r="B856" s="93" t="s">
        <v>1957</v>
      </c>
      <c r="C856" s="30"/>
      <c r="D856" s="31" t="s">
        <v>1958</v>
      </c>
      <c r="E856" s="32"/>
    </row>
    <row r="857" spans="2:5" x14ac:dyDescent="0.35">
      <c r="B857" s="93" t="s">
        <v>1959</v>
      </c>
      <c r="C857" s="30"/>
      <c r="D857" s="31" t="s">
        <v>1960</v>
      </c>
      <c r="E857" s="32"/>
    </row>
    <row r="858" spans="2:5" x14ac:dyDescent="0.35">
      <c r="B858" s="93" t="s">
        <v>1961</v>
      </c>
      <c r="C858" s="30"/>
      <c r="D858" s="31" t="s">
        <v>1962</v>
      </c>
      <c r="E858" s="32"/>
    </row>
    <row r="859" spans="2:5" x14ac:dyDescent="0.35">
      <c r="B859" s="93" t="s">
        <v>1963</v>
      </c>
      <c r="C859" s="30"/>
      <c r="D859" s="31" t="s">
        <v>1964</v>
      </c>
      <c r="E859" s="32"/>
    </row>
    <row r="860" spans="2:5" x14ac:dyDescent="0.35">
      <c r="B860" s="93" t="s">
        <v>1965</v>
      </c>
      <c r="C860" s="30"/>
      <c r="D860" s="31" t="s">
        <v>1966</v>
      </c>
      <c r="E860" s="32"/>
    </row>
    <row r="861" spans="2:5" x14ac:dyDescent="0.35">
      <c r="B861" s="93" t="s">
        <v>1967</v>
      </c>
      <c r="C861" s="30"/>
      <c r="D861" s="31" t="s">
        <v>1968</v>
      </c>
      <c r="E861" s="32"/>
    </row>
    <row r="862" spans="2:5" x14ac:dyDescent="0.35">
      <c r="B862" s="93" t="s">
        <v>1969</v>
      </c>
      <c r="C862" s="30"/>
      <c r="D862" s="31" t="s">
        <v>1970</v>
      </c>
      <c r="E862" s="32"/>
    </row>
    <row r="863" spans="2:5" x14ac:dyDescent="0.35">
      <c r="B863" s="93" t="s">
        <v>1971</v>
      </c>
      <c r="C863" s="30"/>
      <c r="D863" s="31" t="s">
        <v>565</v>
      </c>
      <c r="E863" s="32"/>
    </row>
    <row r="864" spans="2:5" x14ac:dyDescent="0.35">
      <c r="B864" s="93" t="s">
        <v>1972</v>
      </c>
      <c r="C864" s="30"/>
      <c r="D864" s="31" t="s">
        <v>713</v>
      </c>
      <c r="E864" s="32"/>
    </row>
    <row r="865" spans="2:5" x14ac:dyDescent="0.35">
      <c r="B865" s="93" t="s">
        <v>1973</v>
      </c>
      <c r="C865" s="33"/>
      <c r="D865" s="31" t="s">
        <v>1974</v>
      </c>
      <c r="E865" s="32"/>
    </row>
    <row r="866" spans="2:5" x14ac:dyDescent="0.35">
      <c r="B866" s="93" t="s">
        <v>1975</v>
      </c>
      <c r="C866" s="30"/>
      <c r="D866" s="31" t="s">
        <v>708</v>
      </c>
      <c r="E866" s="32"/>
    </row>
    <row r="867" spans="2:5" x14ac:dyDescent="0.35">
      <c r="B867" s="93" t="s">
        <v>1976</v>
      </c>
      <c r="C867" s="30"/>
      <c r="D867" s="31" t="s">
        <v>704</v>
      </c>
      <c r="E867" s="32"/>
    </row>
    <row r="868" spans="2:5" x14ac:dyDescent="0.35">
      <c r="B868" s="93" t="s">
        <v>1977</v>
      </c>
      <c r="C868" s="30"/>
      <c r="D868" s="31" t="s">
        <v>711</v>
      </c>
      <c r="E868" s="32"/>
    </row>
    <row r="869" spans="2:5" x14ac:dyDescent="0.35">
      <c r="B869" s="93" t="s">
        <v>624</v>
      </c>
      <c r="C869" s="30"/>
      <c r="D869" s="31" t="s">
        <v>1978</v>
      </c>
      <c r="E869" s="32"/>
    </row>
    <row r="870" spans="2:5" x14ac:dyDescent="0.35">
      <c r="B870" s="93" t="s">
        <v>627</v>
      </c>
      <c r="C870" s="30"/>
      <c r="D870" s="31" t="s">
        <v>1979</v>
      </c>
      <c r="E870" s="32"/>
    </row>
    <row r="871" spans="2:5" x14ac:dyDescent="0.35">
      <c r="B871" s="93" t="s">
        <v>1980</v>
      </c>
      <c r="C871" s="30"/>
      <c r="D871" s="31" t="s">
        <v>617</v>
      </c>
      <c r="E871" s="32"/>
    </row>
    <row r="872" spans="2:5" x14ac:dyDescent="0.35">
      <c r="B872" s="93" t="s">
        <v>1981</v>
      </c>
      <c r="C872" s="30"/>
      <c r="D872" s="31" t="s">
        <v>1982</v>
      </c>
      <c r="E872" s="32"/>
    </row>
    <row r="873" spans="2:5" x14ac:dyDescent="0.35">
      <c r="B873" s="93" t="s">
        <v>1983</v>
      </c>
      <c r="C873" s="33"/>
      <c r="D873" s="31" t="s">
        <v>1984</v>
      </c>
      <c r="E873" s="32"/>
    </row>
    <row r="874" spans="2:5" x14ac:dyDescent="0.35">
      <c r="B874" s="93" t="s">
        <v>642</v>
      </c>
      <c r="C874" s="30"/>
      <c r="D874" s="31" t="s">
        <v>1985</v>
      </c>
      <c r="E874" s="32"/>
    </row>
    <row r="875" spans="2:5" x14ac:dyDescent="0.35">
      <c r="B875" s="93" t="s">
        <v>1986</v>
      </c>
      <c r="C875" s="30"/>
      <c r="D875" s="31" t="s">
        <v>1987</v>
      </c>
      <c r="E875" s="32"/>
    </row>
    <row r="876" spans="2:5" x14ac:dyDescent="0.35">
      <c r="B876" s="93" t="s">
        <v>1989</v>
      </c>
      <c r="C876" s="33"/>
      <c r="D876" s="31" t="s">
        <v>1990</v>
      </c>
      <c r="E876" s="32"/>
    </row>
    <row r="877" spans="2:5" x14ac:dyDescent="0.35">
      <c r="B877" s="93" t="s">
        <v>1992</v>
      </c>
      <c r="C877" s="33"/>
      <c r="D877" s="31" t="s">
        <v>1993</v>
      </c>
      <c r="E877" s="32"/>
    </row>
    <row r="878" spans="2:5" x14ac:dyDescent="0.35">
      <c r="B878" s="93" t="s">
        <v>1995</v>
      </c>
      <c r="C878" s="30"/>
      <c r="D878" s="31" t="s">
        <v>1996</v>
      </c>
      <c r="E878" s="32"/>
    </row>
    <row r="879" spans="2:5" x14ac:dyDescent="0.35">
      <c r="B879" s="93" t="s">
        <v>1997</v>
      </c>
      <c r="C879" s="30"/>
      <c r="D879" s="31" t="s">
        <v>1998</v>
      </c>
      <c r="E879" s="32"/>
    </row>
    <row r="880" spans="2:5" x14ac:dyDescent="0.35">
      <c r="B880" s="93" t="s">
        <v>1999</v>
      </c>
      <c r="C880" s="30"/>
      <c r="D880" s="31" t="s">
        <v>2000</v>
      </c>
      <c r="E880" s="32"/>
    </row>
    <row r="881" spans="2:5" x14ac:dyDescent="0.35">
      <c r="B881" s="93" t="s">
        <v>2001</v>
      </c>
      <c r="C881" s="33"/>
      <c r="D881" s="31" t="s">
        <v>2002</v>
      </c>
      <c r="E881" s="32"/>
    </row>
    <row r="882" spans="2:5" x14ac:dyDescent="0.35">
      <c r="B882" s="93" t="s">
        <v>2003</v>
      </c>
      <c r="C882" s="33"/>
      <c r="D882" s="31" t="s">
        <v>2004</v>
      </c>
      <c r="E882" s="32"/>
    </row>
    <row r="883" spans="2:5" x14ac:dyDescent="0.35">
      <c r="B883" s="93" t="s">
        <v>2005</v>
      </c>
      <c r="C883" s="30"/>
      <c r="D883" s="31" t="s">
        <v>2006</v>
      </c>
      <c r="E883" s="32"/>
    </row>
    <row r="884" spans="2:5" x14ac:dyDescent="0.35">
      <c r="B884" s="93" t="s">
        <v>2007</v>
      </c>
      <c r="C884" s="30"/>
      <c r="D884" s="31" t="s">
        <v>2008</v>
      </c>
      <c r="E884" s="32"/>
    </row>
    <row r="885" spans="2:5" x14ac:dyDescent="0.35">
      <c r="B885" s="93" t="s">
        <v>2009</v>
      </c>
      <c r="C885" s="30"/>
      <c r="D885" s="31" t="s">
        <v>2010</v>
      </c>
      <c r="E885" s="32"/>
    </row>
    <row r="886" spans="2:5" x14ac:dyDescent="0.35">
      <c r="B886" s="93" t="s">
        <v>2011</v>
      </c>
      <c r="C886" s="30"/>
      <c r="D886" s="31" t="s">
        <v>2012</v>
      </c>
      <c r="E886" s="32"/>
    </row>
    <row r="887" spans="2:5" x14ac:dyDescent="0.35">
      <c r="B887" s="93" t="s">
        <v>2015</v>
      </c>
      <c r="C887" s="30"/>
      <c r="D887" s="31" t="s">
        <v>2016</v>
      </c>
      <c r="E887" s="32"/>
    </row>
    <row r="888" spans="2:5" x14ac:dyDescent="0.35">
      <c r="B888" s="93" t="s">
        <v>2017</v>
      </c>
      <c r="C888" s="30"/>
      <c r="D888" s="31" t="s">
        <v>2018</v>
      </c>
      <c r="E888" s="32"/>
    </row>
    <row r="889" spans="2:5" x14ac:dyDescent="0.35">
      <c r="B889" s="93" t="s">
        <v>2019</v>
      </c>
      <c r="C889" s="30"/>
      <c r="D889" s="31" t="s">
        <v>2020</v>
      </c>
      <c r="E889" s="32"/>
    </row>
    <row r="890" spans="2:5" x14ac:dyDescent="0.35">
      <c r="B890" s="93" t="s">
        <v>452</v>
      </c>
      <c r="C890" s="30"/>
      <c r="D890" s="31" t="s">
        <v>2021</v>
      </c>
      <c r="E890" s="32"/>
    </row>
    <row r="891" spans="2:5" x14ac:dyDescent="0.35">
      <c r="B891" s="93" t="s">
        <v>2022</v>
      </c>
      <c r="C891" s="30"/>
      <c r="D891" s="31" t="s">
        <v>2023</v>
      </c>
      <c r="E891" s="32"/>
    </row>
    <row r="892" spans="2:5" x14ac:dyDescent="0.35">
      <c r="B892" s="93" t="s">
        <v>2024</v>
      </c>
      <c r="C892" s="30"/>
      <c r="D892" s="31" t="s">
        <v>2025</v>
      </c>
      <c r="E892" s="32"/>
    </row>
    <row r="893" spans="2:5" x14ac:dyDescent="0.35">
      <c r="B893" s="93" t="s">
        <v>2026</v>
      </c>
      <c r="C893" s="30"/>
      <c r="D893" s="31" t="s">
        <v>2027</v>
      </c>
      <c r="E893" s="32"/>
    </row>
    <row r="894" spans="2:5" x14ac:dyDescent="0.35">
      <c r="B894" s="93" t="s">
        <v>1064</v>
      </c>
      <c r="C894" s="30"/>
      <c r="D894" s="31" t="s">
        <v>2028</v>
      </c>
      <c r="E894" s="32"/>
    </row>
    <row r="895" spans="2:5" x14ac:dyDescent="0.35">
      <c r="B895" s="93" t="s">
        <v>2029</v>
      </c>
      <c r="C895" s="33"/>
      <c r="D895" s="31" t="s">
        <v>2030</v>
      </c>
      <c r="E895" s="32"/>
    </row>
    <row r="896" spans="2:5" x14ac:dyDescent="0.35">
      <c r="B896" s="93" t="s">
        <v>2031</v>
      </c>
      <c r="C896" s="30"/>
      <c r="D896" s="31" t="s">
        <v>2032</v>
      </c>
      <c r="E896" s="32"/>
    </row>
    <row r="897" spans="2:5" x14ac:dyDescent="0.35">
      <c r="B897" s="93" t="s">
        <v>2033</v>
      </c>
      <c r="C897" s="33"/>
      <c r="D897" s="31" t="s">
        <v>2034</v>
      </c>
      <c r="E897" s="32"/>
    </row>
    <row r="898" spans="2:5" x14ac:dyDescent="0.35">
      <c r="B898" s="93" t="s">
        <v>2035</v>
      </c>
      <c r="C898" s="33"/>
      <c r="D898" s="31" t="s">
        <v>2036</v>
      </c>
      <c r="E898" s="32"/>
    </row>
    <row r="899" spans="2:5" x14ac:dyDescent="0.35">
      <c r="B899" s="93" t="s">
        <v>2037</v>
      </c>
      <c r="C899" s="33"/>
      <c r="D899" s="31" t="s">
        <v>2038</v>
      </c>
      <c r="E899" s="32"/>
    </row>
    <row r="900" spans="2:5" x14ac:dyDescent="0.35">
      <c r="B900" s="93" t="s">
        <v>2039</v>
      </c>
      <c r="C900" s="30"/>
      <c r="D900" s="31" t="s">
        <v>653</v>
      </c>
      <c r="E900" s="32"/>
    </row>
    <row r="901" spans="2:5" x14ac:dyDescent="0.35">
      <c r="B901" s="93" t="s">
        <v>2040</v>
      </c>
      <c r="C901" s="30"/>
      <c r="D901" s="31" t="s">
        <v>647</v>
      </c>
      <c r="E901" s="32"/>
    </row>
    <row r="902" spans="2:5" x14ac:dyDescent="0.35">
      <c r="B902" s="93" t="s">
        <v>2041</v>
      </c>
      <c r="C902" s="30"/>
      <c r="D902" s="31" t="s">
        <v>578</v>
      </c>
      <c r="E902" s="32"/>
    </row>
    <row r="903" spans="2:5" x14ac:dyDescent="0.35">
      <c r="B903" s="93" t="s">
        <v>2042</v>
      </c>
      <c r="C903" s="30"/>
      <c r="D903" s="31" t="s">
        <v>781</v>
      </c>
      <c r="E903" s="32"/>
    </row>
    <row r="904" spans="2:5" x14ac:dyDescent="0.35">
      <c r="B904" s="93" t="s">
        <v>2043</v>
      </c>
      <c r="C904" s="33"/>
      <c r="D904" s="31" t="s">
        <v>2044</v>
      </c>
      <c r="E904" s="32"/>
    </row>
    <row r="905" spans="2:5" x14ac:dyDescent="0.35">
      <c r="B905" s="93" t="s">
        <v>2045</v>
      </c>
      <c r="C905" s="30"/>
      <c r="D905" s="31" t="s">
        <v>774</v>
      </c>
      <c r="E905" s="32"/>
    </row>
    <row r="906" spans="2:5" x14ac:dyDescent="0.35">
      <c r="B906" s="93" t="s">
        <v>2046</v>
      </c>
      <c r="C906" s="30"/>
      <c r="D906" s="31" t="s">
        <v>771</v>
      </c>
      <c r="E906" s="32"/>
    </row>
    <row r="907" spans="2:5" x14ac:dyDescent="0.35">
      <c r="B907" s="93" t="s">
        <v>2047</v>
      </c>
      <c r="C907" s="30"/>
      <c r="D907" s="31" t="s">
        <v>778</v>
      </c>
      <c r="E907" s="32"/>
    </row>
    <row r="908" spans="2:5" x14ac:dyDescent="0.35">
      <c r="B908" s="93" t="s">
        <v>2048</v>
      </c>
      <c r="C908" s="30"/>
      <c r="D908" s="31" t="s">
        <v>2049</v>
      </c>
      <c r="E908" s="32"/>
    </row>
    <row r="909" spans="2:5" x14ac:dyDescent="0.35">
      <c r="B909" s="93" t="s">
        <v>2050</v>
      </c>
      <c r="C909" s="33"/>
      <c r="D909" s="31" t="s">
        <v>2051</v>
      </c>
      <c r="E909" s="32"/>
    </row>
    <row r="910" spans="2:5" x14ac:dyDescent="0.35">
      <c r="B910" s="93" t="s">
        <v>2052</v>
      </c>
      <c r="C910" s="33"/>
      <c r="D910" s="31" t="s">
        <v>2053</v>
      </c>
      <c r="E910" s="32"/>
    </row>
    <row r="911" spans="2:5" x14ac:dyDescent="0.35">
      <c r="B911" s="93" t="s">
        <v>2054</v>
      </c>
      <c r="C911" s="33"/>
      <c r="D911" s="31" t="s">
        <v>2055</v>
      </c>
      <c r="E911" s="32"/>
    </row>
    <row r="912" spans="2:5" x14ac:dyDescent="0.35">
      <c r="B912" s="93" t="s">
        <v>2056</v>
      </c>
      <c r="C912" s="33"/>
      <c r="D912" s="31" t="s">
        <v>2057</v>
      </c>
      <c r="E912" s="32"/>
    </row>
    <row r="913" spans="2:5" x14ac:dyDescent="0.35">
      <c r="B913" s="93" t="s">
        <v>2058</v>
      </c>
      <c r="C913" s="30"/>
      <c r="D913" s="31" t="s">
        <v>2059</v>
      </c>
      <c r="E913" s="32"/>
    </row>
    <row r="914" spans="2:5" x14ac:dyDescent="0.35">
      <c r="B914" s="93" t="s">
        <v>2060</v>
      </c>
      <c r="C914" s="30"/>
      <c r="D914" s="31" t="s">
        <v>2061</v>
      </c>
      <c r="E914" s="32"/>
    </row>
    <row r="915" spans="2:5" x14ac:dyDescent="0.35">
      <c r="B915" s="93" t="s">
        <v>2062</v>
      </c>
      <c r="C915" s="33"/>
      <c r="D915" s="31" t="s">
        <v>2062</v>
      </c>
      <c r="E915" s="32"/>
    </row>
    <row r="916" spans="2:5" x14ac:dyDescent="0.35">
      <c r="B916" s="93" t="s">
        <v>2063</v>
      </c>
      <c r="C916" s="30"/>
      <c r="D916" s="31" t="s">
        <v>483</v>
      </c>
      <c r="E916" s="32"/>
    </row>
    <row r="917" spans="2:5" x14ac:dyDescent="0.35">
      <c r="B917" s="93" t="s">
        <v>2064</v>
      </c>
      <c r="C917" s="30"/>
      <c r="D917" s="31" t="s">
        <v>2065</v>
      </c>
      <c r="E917" s="32"/>
    </row>
    <row r="918" spans="2:5" x14ac:dyDescent="0.35">
      <c r="B918" s="93" t="s">
        <v>2066</v>
      </c>
      <c r="C918" s="30"/>
      <c r="D918" s="31" t="s">
        <v>2067</v>
      </c>
      <c r="E918" s="32"/>
    </row>
    <row r="919" spans="2:5" x14ac:dyDescent="0.35">
      <c r="B919" s="93" t="s">
        <v>2068</v>
      </c>
      <c r="C919" s="33"/>
      <c r="D919" s="31" t="s">
        <v>2069</v>
      </c>
      <c r="E919" s="32"/>
    </row>
    <row r="920" spans="2:5" x14ac:dyDescent="0.35">
      <c r="B920" s="93" t="s">
        <v>2070</v>
      </c>
      <c r="C920" s="33"/>
      <c r="D920" s="31" t="s">
        <v>2071</v>
      </c>
      <c r="E920" s="32"/>
    </row>
    <row r="921" spans="2:5" x14ac:dyDescent="0.35">
      <c r="B921" s="93" t="s">
        <v>2072</v>
      </c>
      <c r="C921" s="33"/>
      <c r="D921" s="31" t="s">
        <v>2073</v>
      </c>
      <c r="E921" s="32"/>
    </row>
    <row r="922" spans="2:5" x14ac:dyDescent="0.35">
      <c r="B922" s="93" t="s">
        <v>2074</v>
      </c>
      <c r="C922" s="30"/>
      <c r="D922" s="31" t="s">
        <v>925</v>
      </c>
      <c r="E922" s="32"/>
    </row>
    <row r="923" spans="2:5" x14ac:dyDescent="0.35">
      <c r="B923" s="93" t="s">
        <v>2075</v>
      </c>
      <c r="C923" s="33"/>
      <c r="D923" s="31" t="s">
        <v>2076</v>
      </c>
      <c r="E923" s="32"/>
    </row>
    <row r="924" spans="2:5" x14ac:dyDescent="0.35">
      <c r="B924" s="64" t="s">
        <v>2077</v>
      </c>
      <c r="C924" s="30"/>
      <c r="D924" s="31" t="s">
        <v>917</v>
      </c>
      <c r="E924" s="32"/>
    </row>
    <row r="925" spans="2:5" x14ac:dyDescent="0.35">
      <c r="B925" s="64" t="s">
        <v>2078</v>
      </c>
      <c r="C925" s="30"/>
      <c r="D925" s="31" t="s">
        <v>913</v>
      </c>
      <c r="E925" s="32"/>
    </row>
    <row r="926" spans="2:5" x14ac:dyDescent="0.35">
      <c r="B926" s="93" t="s">
        <v>2079</v>
      </c>
      <c r="C926" s="30"/>
      <c r="D926" s="31" t="s">
        <v>921</v>
      </c>
      <c r="E926" s="32"/>
    </row>
    <row r="927" spans="2:5" x14ac:dyDescent="0.35">
      <c r="B927" s="93" t="s">
        <v>423</v>
      </c>
      <c r="C927" s="30"/>
      <c r="D927" s="31" t="s">
        <v>2080</v>
      </c>
      <c r="E927" s="32"/>
    </row>
    <row r="928" spans="2:5" x14ac:dyDescent="0.35">
      <c r="B928" s="93" t="s">
        <v>561</v>
      </c>
      <c r="C928" s="33"/>
      <c r="D928" s="31" t="s">
        <v>2081</v>
      </c>
      <c r="E928" s="32"/>
    </row>
    <row r="929" spans="2:5" x14ac:dyDescent="0.35">
      <c r="B929" s="93" t="s">
        <v>2082</v>
      </c>
      <c r="C929" s="33"/>
      <c r="D929" s="31" t="s">
        <v>2083</v>
      </c>
      <c r="E929" s="32"/>
    </row>
    <row r="930" spans="2:5" x14ac:dyDescent="0.35">
      <c r="B930" s="93" t="s">
        <v>2084</v>
      </c>
      <c r="C930" s="33"/>
      <c r="D930" s="31" t="s">
        <v>2085</v>
      </c>
      <c r="E930" s="32"/>
    </row>
    <row r="931" spans="2:5" x14ac:dyDescent="0.35">
      <c r="B931" s="93" t="s">
        <v>2086</v>
      </c>
      <c r="C931" s="30"/>
      <c r="D931" s="31" t="s">
        <v>2087</v>
      </c>
      <c r="E931" s="32"/>
    </row>
    <row r="932" spans="2:5" x14ac:dyDescent="0.35">
      <c r="B932" s="93" t="s">
        <v>2088</v>
      </c>
      <c r="C932" s="30"/>
      <c r="D932" s="31" t="s">
        <v>488</v>
      </c>
      <c r="E932" s="32"/>
    </row>
    <row r="933" spans="2:5" x14ac:dyDescent="0.35">
      <c r="B933" s="93" t="s">
        <v>2089</v>
      </c>
      <c r="C933" s="30"/>
      <c r="D933" s="31" t="s">
        <v>2090</v>
      </c>
      <c r="E933" s="32"/>
    </row>
    <row r="934" spans="2:5" x14ac:dyDescent="0.35">
      <c r="B934" s="93" t="s">
        <v>2091</v>
      </c>
      <c r="C934" s="30"/>
      <c r="D934" s="31" t="s">
        <v>2092</v>
      </c>
      <c r="E934" s="32"/>
    </row>
    <row r="935" spans="2:5" x14ac:dyDescent="0.35">
      <c r="B935" s="93" t="s">
        <v>2093</v>
      </c>
      <c r="C935" s="30"/>
      <c r="D935" s="31" t="s">
        <v>2094</v>
      </c>
      <c r="E935" s="32"/>
    </row>
    <row r="936" spans="2:5" x14ac:dyDescent="0.35">
      <c r="B936" s="93" t="s">
        <v>2095</v>
      </c>
      <c r="C936" s="30"/>
      <c r="D936" s="31" t="s">
        <v>2096</v>
      </c>
      <c r="E936" s="32"/>
    </row>
    <row r="937" spans="2:5" x14ac:dyDescent="0.35">
      <c r="B937" s="93" t="s">
        <v>2097</v>
      </c>
      <c r="C937" s="30"/>
      <c r="D937" s="31" t="s">
        <v>2098</v>
      </c>
      <c r="E937" s="32"/>
    </row>
    <row r="938" spans="2:5" x14ac:dyDescent="0.35">
      <c r="B938" s="93" t="s">
        <v>2099</v>
      </c>
      <c r="C938" s="30"/>
      <c r="D938" s="31" t="s">
        <v>2100</v>
      </c>
      <c r="E938" s="32"/>
    </row>
    <row r="939" spans="2:5" x14ac:dyDescent="0.35">
      <c r="B939" s="93" t="s">
        <v>2101</v>
      </c>
      <c r="C939" s="33"/>
      <c r="D939" s="31" t="s">
        <v>2102</v>
      </c>
      <c r="E939" s="32"/>
    </row>
    <row r="940" spans="2:5" x14ac:dyDescent="0.35">
      <c r="B940" s="93" t="s">
        <v>2103</v>
      </c>
      <c r="C940" s="30"/>
      <c r="D940" s="31" t="s">
        <v>474</v>
      </c>
      <c r="E940" s="32"/>
    </row>
    <row r="941" spans="2:5" x14ac:dyDescent="0.35">
      <c r="B941" s="93" t="s">
        <v>2104</v>
      </c>
      <c r="C941" s="30"/>
      <c r="D941" s="31" t="s">
        <v>2105</v>
      </c>
      <c r="E941" s="32"/>
    </row>
    <row r="942" spans="2:5" x14ac:dyDescent="0.35">
      <c r="B942" s="93" t="s">
        <v>2106</v>
      </c>
      <c r="C942" s="30"/>
      <c r="D942" s="31" t="s">
        <v>2107</v>
      </c>
      <c r="E942" s="32"/>
    </row>
    <row r="943" spans="2:5" x14ac:dyDescent="0.35">
      <c r="B943" s="93" t="s">
        <v>2108</v>
      </c>
      <c r="C943" s="30"/>
      <c r="D943" s="31" t="s">
        <v>2109</v>
      </c>
      <c r="E943" s="32"/>
    </row>
    <row r="944" spans="2:5" x14ac:dyDescent="0.35">
      <c r="B944" s="93" t="s">
        <v>2110</v>
      </c>
      <c r="C944" s="33"/>
      <c r="D944" s="31" t="s">
        <v>2111</v>
      </c>
      <c r="E944" s="32"/>
    </row>
    <row r="945" spans="2:5" x14ac:dyDescent="0.35">
      <c r="B945" s="93" t="s">
        <v>407</v>
      </c>
      <c r="C945" s="30"/>
      <c r="D945" s="31" t="s">
        <v>408</v>
      </c>
      <c r="E945" s="32"/>
    </row>
    <row r="946" spans="2:5" x14ac:dyDescent="0.35">
      <c r="B946" s="93" t="s">
        <v>2112</v>
      </c>
      <c r="C946" s="33"/>
      <c r="D946" s="31" t="s">
        <v>1131</v>
      </c>
      <c r="E946" s="32"/>
    </row>
    <row r="947" spans="2:5" x14ac:dyDescent="0.35">
      <c r="B947" s="93" t="s">
        <v>2113</v>
      </c>
      <c r="C947" s="30"/>
      <c r="D947" s="31" t="s">
        <v>2114</v>
      </c>
      <c r="E947" s="32"/>
    </row>
    <row r="948" spans="2:5" x14ac:dyDescent="0.35">
      <c r="B948" s="93" t="s">
        <v>2115</v>
      </c>
      <c r="C948" s="30"/>
      <c r="D948" s="31" t="s">
        <v>2116</v>
      </c>
      <c r="E948" s="32"/>
    </row>
    <row r="949" spans="2:5" x14ac:dyDescent="0.35">
      <c r="B949" s="93" t="s">
        <v>2117</v>
      </c>
      <c r="C949" s="30"/>
      <c r="D949" s="31" t="s">
        <v>2118</v>
      </c>
      <c r="E949" s="32"/>
    </row>
    <row r="950" spans="2:5" x14ac:dyDescent="0.35">
      <c r="B950" s="93" t="s">
        <v>2119</v>
      </c>
      <c r="C950" s="30"/>
      <c r="D950" s="31" t="s">
        <v>2120</v>
      </c>
      <c r="E950" s="32"/>
    </row>
    <row r="951" spans="2:5" x14ac:dyDescent="0.35">
      <c r="B951" s="93" t="s">
        <v>2121</v>
      </c>
      <c r="C951" s="33"/>
      <c r="D951" s="31" t="s">
        <v>2122</v>
      </c>
      <c r="E951" s="32"/>
    </row>
    <row r="952" spans="2:5" x14ac:dyDescent="0.35">
      <c r="B952" s="93" t="s">
        <v>2123</v>
      </c>
      <c r="C952" s="30"/>
      <c r="D952" s="31" t="s">
        <v>2124</v>
      </c>
      <c r="E952" s="32"/>
    </row>
    <row r="953" spans="2:5" x14ac:dyDescent="0.35">
      <c r="B953" s="93" t="s">
        <v>2125</v>
      </c>
      <c r="C953" s="30"/>
      <c r="D953" s="31" t="s">
        <v>2126</v>
      </c>
      <c r="E953" s="32"/>
    </row>
    <row r="954" spans="2:5" x14ac:dyDescent="0.35">
      <c r="B954" s="93" t="s">
        <v>2127</v>
      </c>
      <c r="C954" s="33"/>
      <c r="D954" s="31" t="s">
        <v>2128</v>
      </c>
      <c r="E954" s="32"/>
    </row>
    <row r="955" spans="2:5" x14ac:dyDescent="0.35">
      <c r="B955" s="93" t="s">
        <v>2129</v>
      </c>
      <c r="C955" s="33"/>
      <c r="D955" s="31" t="s">
        <v>2128</v>
      </c>
      <c r="E955" s="32"/>
    </row>
    <row r="956" spans="2:5" x14ac:dyDescent="0.35">
      <c r="B956" s="93" t="s">
        <v>2130</v>
      </c>
      <c r="C956" s="33"/>
      <c r="D956" s="31" t="s">
        <v>2131</v>
      </c>
      <c r="E956" s="32"/>
    </row>
    <row r="957" spans="2:5" x14ac:dyDescent="0.35">
      <c r="B957" s="93" t="s">
        <v>2132</v>
      </c>
      <c r="C957" s="30"/>
      <c r="D957" s="31" t="s">
        <v>2133</v>
      </c>
      <c r="E957" s="32"/>
    </row>
    <row r="958" spans="2:5" x14ac:dyDescent="0.35">
      <c r="B958" s="93" t="s">
        <v>2134</v>
      </c>
      <c r="C958" s="30"/>
      <c r="D958" s="31" t="s">
        <v>2135</v>
      </c>
      <c r="E958" s="32"/>
    </row>
    <row r="959" spans="2:5" x14ac:dyDescent="0.35">
      <c r="B959" s="93" t="s">
        <v>2136</v>
      </c>
      <c r="C959" s="30"/>
      <c r="D959" s="31" t="s">
        <v>2137</v>
      </c>
      <c r="E959" s="32"/>
    </row>
    <row r="960" spans="2:5" x14ac:dyDescent="0.35">
      <c r="B960" s="93" t="s">
        <v>2138</v>
      </c>
      <c r="C960" s="30"/>
      <c r="D960" s="31" t="s">
        <v>2139</v>
      </c>
      <c r="E960" s="32"/>
    </row>
    <row r="961" spans="2:5" x14ac:dyDescent="0.35">
      <c r="B961" s="93" t="s">
        <v>2140</v>
      </c>
      <c r="C961" s="30"/>
      <c r="D961" s="31" t="s">
        <v>2141</v>
      </c>
      <c r="E961" s="32"/>
    </row>
    <row r="962" spans="2:5" x14ac:dyDescent="0.35">
      <c r="B962" s="93" t="s">
        <v>2142</v>
      </c>
      <c r="C962" s="33"/>
      <c r="D962" s="31" t="s">
        <v>2143</v>
      </c>
      <c r="E962" s="32"/>
    </row>
    <row r="963" spans="2:5" x14ac:dyDescent="0.35">
      <c r="B963" s="93" t="s">
        <v>646</v>
      </c>
      <c r="C963" s="30"/>
      <c r="D963" s="31" t="s">
        <v>2144</v>
      </c>
      <c r="E963" s="32"/>
    </row>
    <row r="964" spans="2:5" x14ac:dyDescent="0.35">
      <c r="B964" s="93" t="s">
        <v>2145</v>
      </c>
      <c r="C964" s="33"/>
      <c r="D964" s="31" t="s">
        <v>2146</v>
      </c>
      <c r="E964" s="32"/>
    </row>
    <row r="965" spans="2:5" x14ac:dyDescent="0.35">
      <c r="B965" s="93" t="s">
        <v>2147</v>
      </c>
      <c r="C965" s="30"/>
      <c r="D965" s="31" t="s">
        <v>2148</v>
      </c>
      <c r="E965" s="32"/>
    </row>
    <row r="966" spans="2:5" x14ac:dyDescent="0.35">
      <c r="B966" s="93" t="s">
        <v>630</v>
      </c>
      <c r="C966" s="30"/>
      <c r="D966" s="31" t="s">
        <v>2149</v>
      </c>
      <c r="E966" s="32"/>
    </row>
    <row r="967" spans="2:5" x14ac:dyDescent="0.35">
      <c r="B967" s="93" t="s">
        <v>634</v>
      </c>
      <c r="C967" s="33"/>
      <c r="D967" s="31" t="s">
        <v>2150</v>
      </c>
      <c r="E967" s="32"/>
    </row>
    <row r="968" spans="2:5" x14ac:dyDescent="0.35">
      <c r="B968" s="93" t="s">
        <v>2151</v>
      </c>
      <c r="C968" s="30"/>
      <c r="D968" s="31" t="s">
        <v>2152</v>
      </c>
      <c r="E968" s="32"/>
    </row>
    <row r="969" spans="2:5" x14ac:dyDescent="0.35">
      <c r="B969" s="93" t="s">
        <v>2153</v>
      </c>
      <c r="C969" s="33"/>
      <c r="D969" s="31" t="s">
        <v>2154</v>
      </c>
      <c r="E969" s="32"/>
    </row>
    <row r="970" spans="2:5" x14ac:dyDescent="0.35">
      <c r="B970" s="93" t="s">
        <v>2155</v>
      </c>
      <c r="C970" s="30"/>
      <c r="D970" s="31" t="s">
        <v>2156</v>
      </c>
      <c r="E970" s="32"/>
    </row>
    <row r="971" spans="2:5" x14ac:dyDescent="0.35">
      <c r="B971" s="93" t="s">
        <v>2157</v>
      </c>
      <c r="C971" s="30"/>
      <c r="D971" s="31" t="s">
        <v>2158</v>
      </c>
      <c r="E971" s="32"/>
    </row>
    <row r="972" spans="2:5" x14ac:dyDescent="0.35">
      <c r="B972" s="93" t="s">
        <v>2159</v>
      </c>
      <c r="C972" s="30"/>
      <c r="D972" s="31" t="s">
        <v>2160</v>
      </c>
      <c r="E972" s="32"/>
    </row>
    <row r="973" spans="2:5" x14ac:dyDescent="0.35">
      <c r="B973" s="93" t="s">
        <v>2161</v>
      </c>
      <c r="C973" s="30"/>
      <c r="D973" s="31" t="s">
        <v>2162</v>
      </c>
      <c r="E973" s="32"/>
    </row>
    <row r="974" spans="2:5" x14ac:dyDescent="0.35">
      <c r="B974" s="93" t="s">
        <v>2163</v>
      </c>
      <c r="C974" s="30"/>
      <c r="D974" s="31" t="s">
        <v>2164</v>
      </c>
      <c r="E974" s="32"/>
    </row>
    <row r="975" spans="2:5" x14ac:dyDescent="0.35">
      <c r="B975" s="93" t="s">
        <v>2165</v>
      </c>
      <c r="C975" s="33"/>
      <c r="D975" s="31" t="s">
        <v>2166</v>
      </c>
      <c r="E975" s="32"/>
    </row>
    <row r="976" spans="2:5" x14ac:dyDescent="0.35">
      <c r="B976" s="93" t="s">
        <v>2167</v>
      </c>
      <c r="C976" s="33"/>
      <c r="D976" s="31" t="s">
        <v>2168</v>
      </c>
      <c r="E976" s="32"/>
    </row>
    <row r="977" spans="2:5" x14ac:dyDescent="0.35">
      <c r="B977" s="93" t="s">
        <v>2169</v>
      </c>
      <c r="C977" s="30"/>
      <c r="D977" s="31" t="s">
        <v>2170</v>
      </c>
      <c r="E977" s="32"/>
    </row>
    <row r="978" spans="2:5" x14ac:dyDescent="0.35">
      <c r="B978" s="93" t="s">
        <v>2171</v>
      </c>
      <c r="C978" s="30"/>
      <c r="D978" s="31" t="s">
        <v>2172</v>
      </c>
      <c r="E978" s="32"/>
    </row>
    <row r="979" spans="2:5" x14ac:dyDescent="0.35">
      <c r="B979" s="93" t="s">
        <v>618</v>
      </c>
      <c r="C979" s="30"/>
      <c r="D979" s="31" t="s">
        <v>2173</v>
      </c>
      <c r="E979" s="32"/>
    </row>
    <row r="980" spans="2:5" x14ac:dyDescent="0.35">
      <c r="B980" s="93" t="s">
        <v>2174</v>
      </c>
      <c r="C980" s="30"/>
      <c r="D980" s="31" t="s">
        <v>2175</v>
      </c>
      <c r="E980" s="32"/>
    </row>
    <row r="981" spans="2:5" x14ac:dyDescent="0.35">
      <c r="B981" s="93" t="s">
        <v>2176</v>
      </c>
      <c r="C981" s="30"/>
      <c r="D981" s="31" t="s">
        <v>2177</v>
      </c>
      <c r="E981" s="32"/>
    </row>
    <row r="982" spans="2:5" x14ac:dyDescent="0.35">
      <c r="B982" s="93" t="s">
        <v>2178</v>
      </c>
      <c r="C982" s="33"/>
      <c r="D982" s="31" t="s">
        <v>2179</v>
      </c>
      <c r="E982" s="32"/>
    </row>
    <row r="983" spans="2:5" x14ac:dyDescent="0.35">
      <c r="B983" s="93" t="s">
        <v>2180</v>
      </c>
      <c r="C983" s="30"/>
      <c r="D983" s="31" t="s">
        <v>588</v>
      </c>
      <c r="E983" s="32"/>
    </row>
    <row r="984" spans="2:5" x14ac:dyDescent="0.35">
      <c r="B984" s="93" t="s">
        <v>2181</v>
      </c>
      <c r="C984" s="30"/>
      <c r="D984" s="31" t="s">
        <v>816</v>
      </c>
      <c r="E984" s="32"/>
    </row>
    <row r="985" spans="2:5" x14ac:dyDescent="0.35">
      <c r="B985" s="93" t="s">
        <v>2182</v>
      </c>
      <c r="C985" s="33"/>
      <c r="D985" s="31" t="s">
        <v>2183</v>
      </c>
      <c r="E985" s="32"/>
    </row>
    <row r="986" spans="2:5" x14ac:dyDescent="0.35">
      <c r="B986" s="93" t="s">
        <v>2184</v>
      </c>
      <c r="C986" s="30"/>
      <c r="D986" s="31" t="s">
        <v>810</v>
      </c>
      <c r="E986" s="32"/>
    </row>
    <row r="987" spans="2:5" x14ac:dyDescent="0.35">
      <c r="B987" s="93" t="s">
        <v>2185</v>
      </c>
      <c r="C987" s="30"/>
      <c r="D987" s="31" t="s">
        <v>806</v>
      </c>
      <c r="E987" s="32"/>
    </row>
    <row r="988" spans="2:5" x14ac:dyDescent="0.35">
      <c r="B988" s="93" t="s">
        <v>2186</v>
      </c>
      <c r="C988" s="30"/>
      <c r="D988" s="31" t="s">
        <v>813</v>
      </c>
      <c r="E988" s="32"/>
    </row>
    <row r="989" spans="2:5" x14ac:dyDescent="0.35">
      <c r="B989" s="93" t="s">
        <v>1001</v>
      </c>
      <c r="C989" s="30"/>
      <c r="D989" s="31" t="s">
        <v>2187</v>
      </c>
      <c r="E989" s="32"/>
    </row>
    <row r="990" spans="2:5" x14ac:dyDescent="0.35">
      <c r="B990" s="93" t="s">
        <v>2188</v>
      </c>
      <c r="C990" s="33"/>
      <c r="D990" s="31" t="s">
        <v>2189</v>
      </c>
      <c r="E990" s="32"/>
    </row>
    <row r="991" spans="2:5" x14ac:dyDescent="0.35">
      <c r="B991" s="93" t="s">
        <v>2190</v>
      </c>
      <c r="C991" s="33"/>
      <c r="D991" s="31" t="s">
        <v>2191</v>
      </c>
      <c r="E991" s="32"/>
    </row>
    <row r="992" spans="2:5" x14ac:dyDescent="0.35">
      <c r="B992" s="93" t="s">
        <v>2192</v>
      </c>
      <c r="C992" s="33"/>
      <c r="D992" s="31" t="s">
        <v>2193</v>
      </c>
      <c r="E992" s="32"/>
    </row>
    <row r="993" spans="2:5" x14ac:dyDescent="0.35">
      <c r="B993" s="93" t="s">
        <v>2194</v>
      </c>
      <c r="C993" s="33"/>
      <c r="D993" s="31" t="s">
        <v>2195</v>
      </c>
      <c r="E993" s="32"/>
    </row>
    <row r="994" spans="2:5" x14ac:dyDescent="0.35">
      <c r="B994" s="93" t="s">
        <v>2196</v>
      </c>
      <c r="C994" s="33"/>
      <c r="D994" s="31" t="s">
        <v>2197</v>
      </c>
      <c r="E994" s="32"/>
    </row>
    <row r="995" spans="2:5" x14ac:dyDescent="0.35">
      <c r="B995" s="93" t="s">
        <v>2198</v>
      </c>
      <c r="C995" s="33"/>
      <c r="D995" s="31" t="s">
        <v>2199</v>
      </c>
      <c r="E995" s="32"/>
    </row>
    <row r="996" spans="2:5" x14ac:dyDescent="0.35">
      <c r="B996" s="93" t="s">
        <v>2200</v>
      </c>
      <c r="C996" s="33"/>
      <c r="D996" s="31" t="s">
        <v>2201</v>
      </c>
      <c r="E996" s="32"/>
    </row>
    <row r="997" spans="2:5" x14ac:dyDescent="0.35">
      <c r="B997" s="93" t="s">
        <v>2202</v>
      </c>
      <c r="C997" s="33"/>
      <c r="D997" s="31" t="s">
        <v>2203</v>
      </c>
      <c r="E997" s="32"/>
    </row>
    <row r="998" spans="2:5" x14ac:dyDescent="0.35">
      <c r="B998" s="93" t="s">
        <v>2204</v>
      </c>
      <c r="C998" s="33"/>
      <c r="D998" s="31" t="s">
        <v>2205</v>
      </c>
      <c r="E998" s="32"/>
    </row>
    <row r="999" spans="2:5" x14ac:dyDescent="0.35">
      <c r="B999" s="93" t="s">
        <v>2206</v>
      </c>
      <c r="C999" s="33"/>
      <c r="D999" s="31" t="s">
        <v>2207</v>
      </c>
      <c r="E999" s="32"/>
    </row>
    <row r="1000" spans="2:5" x14ac:dyDescent="0.35">
      <c r="B1000" s="93" t="s">
        <v>2208</v>
      </c>
      <c r="C1000" s="33"/>
      <c r="D1000" s="31" t="s">
        <v>2209</v>
      </c>
      <c r="E1000" s="32"/>
    </row>
    <row r="1001" spans="2:5" x14ac:dyDescent="0.35">
      <c r="B1001" s="93" t="s">
        <v>2210</v>
      </c>
      <c r="C1001" s="33"/>
      <c r="D1001" s="31" t="s">
        <v>2211</v>
      </c>
      <c r="E1001" s="32"/>
    </row>
    <row r="1002" spans="2:5" x14ac:dyDescent="0.35">
      <c r="B1002" s="93" t="s">
        <v>2212</v>
      </c>
      <c r="C1002" s="33"/>
      <c r="D1002" s="31" t="s">
        <v>2213</v>
      </c>
      <c r="E1002" s="32"/>
    </row>
    <row r="1003" spans="2:5" x14ac:dyDescent="0.35">
      <c r="B1003" s="93" t="s">
        <v>2214</v>
      </c>
      <c r="C1003" s="33"/>
      <c r="D1003" s="31" t="s">
        <v>2215</v>
      </c>
      <c r="E1003" s="32"/>
    </row>
    <row r="1004" spans="2:5" x14ac:dyDescent="0.35">
      <c r="B1004" s="93" t="s">
        <v>2216</v>
      </c>
      <c r="C1004" s="33"/>
      <c r="D1004" s="31" t="s">
        <v>2217</v>
      </c>
      <c r="E1004" s="32"/>
    </row>
    <row r="1005" spans="2:5" x14ac:dyDescent="0.35">
      <c r="B1005" s="93" t="s">
        <v>2218</v>
      </c>
      <c r="C1005" s="33"/>
      <c r="D1005" s="31" t="s">
        <v>2219</v>
      </c>
      <c r="E1005" s="32"/>
    </row>
    <row r="1006" spans="2:5" x14ac:dyDescent="0.35">
      <c r="B1006" s="93" t="s">
        <v>2220</v>
      </c>
      <c r="C1006" s="33"/>
      <c r="D1006" s="31" t="s">
        <v>2221</v>
      </c>
      <c r="E1006" s="32"/>
    </row>
    <row r="1007" spans="2:5" x14ac:dyDescent="0.35">
      <c r="B1007" s="93" t="s">
        <v>2222</v>
      </c>
      <c r="C1007" s="33"/>
      <c r="D1007" s="31" t="s">
        <v>2223</v>
      </c>
      <c r="E1007" s="32"/>
    </row>
    <row r="1008" spans="2:5" x14ac:dyDescent="0.35">
      <c r="B1008" s="93" t="s">
        <v>2224</v>
      </c>
      <c r="C1008" s="33"/>
      <c r="D1008" s="31" t="s">
        <v>2225</v>
      </c>
      <c r="E1008" s="32"/>
    </row>
    <row r="1009" spans="2:5" x14ac:dyDescent="0.35">
      <c r="B1009" s="93" t="s">
        <v>2226</v>
      </c>
      <c r="C1009" s="33"/>
      <c r="D1009" s="31" t="s">
        <v>2227</v>
      </c>
      <c r="E1009" s="32"/>
    </row>
    <row r="1010" spans="2:5" x14ac:dyDescent="0.35">
      <c r="B1010" s="93" t="s">
        <v>2228</v>
      </c>
      <c r="C1010" s="33"/>
      <c r="D1010" s="31" t="s">
        <v>2229</v>
      </c>
      <c r="E1010" s="32"/>
    </row>
    <row r="1011" spans="2:5" x14ac:dyDescent="0.35">
      <c r="B1011" s="93" t="s">
        <v>2230</v>
      </c>
      <c r="C1011" s="33"/>
      <c r="D1011" s="31" t="s">
        <v>2231</v>
      </c>
      <c r="E1011" s="32"/>
    </row>
    <row r="1012" spans="2:5" x14ac:dyDescent="0.35">
      <c r="B1012" s="93" t="s">
        <v>2232</v>
      </c>
      <c r="C1012" s="33"/>
      <c r="D1012" s="31" t="s">
        <v>2233</v>
      </c>
      <c r="E1012" s="32"/>
    </row>
    <row r="1013" spans="2:5" x14ac:dyDescent="0.35">
      <c r="B1013" s="93" t="s">
        <v>2234</v>
      </c>
      <c r="C1013" s="33"/>
      <c r="D1013" s="31" t="s">
        <v>2235</v>
      </c>
      <c r="E1013" s="32"/>
    </row>
    <row r="1014" spans="2:5" x14ac:dyDescent="0.35">
      <c r="B1014" s="93" t="s">
        <v>2236</v>
      </c>
      <c r="C1014" s="33"/>
      <c r="D1014" s="31" t="s">
        <v>2237</v>
      </c>
      <c r="E1014" s="32"/>
    </row>
    <row r="1015" spans="2:5" x14ac:dyDescent="0.35">
      <c r="B1015" s="93" t="s">
        <v>2238</v>
      </c>
      <c r="C1015" s="33"/>
      <c r="D1015" s="31" t="s">
        <v>2239</v>
      </c>
      <c r="E1015" s="32"/>
    </row>
    <row r="1016" spans="2:5" x14ac:dyDescent="0.35">
      <c r="B1016" s="93" t="s">
        <v>2240</v>
      </c>
      <c r="C1016" s="33"/>
      <c r="D1016" s="31" t="s">
        <v>2241</v>
      </c>
      <c r="E1016" s="32"/>
    </row>
    <row r="1017" spans="2:5" x14ac:dyDescent="0.35">
      <c r="B1017" s="93" t="s">
        <v>2242</v>
      </c>
      <c r="C1017" s="33"/>
      <c r="D1017" s="31" t="s">
        <v>2243</v>
      </c>
      <c r="E1017" s="32"/>
    </row>
    <row r="1018" spans="2:5" x14ac:dyDescent="0.35">
      <c r="B1018" s="93" t="s">
        <v>2244</v>
      </c>
      <c r="C1018" s="33"/>
      <c r="D1018" s="31" t="s">
        <v>2245</v>
      </c>
      <c r="E1018" s="32"/>
    </row>
    <row r="1019" spans="2:5" x14ac:dyDescent="0.35">
      <c r="B1019" s="93" t="s">
        <v>2246</v>
      </c>
      <c r="C1019" s="33"/>
      <c r="D1019" s="31" t="s">
        <v>2247</v>
      </c>
      <c r="E1019" s="32"/>
    </row>
    <row r="1020" spans="2:5" x14ac:dyDescent="0.35">
      <c r="B1020" s="93" t="s">
        <v>2248</v>
      </c>
      <c r="C1020" s="33"/>
      <c r="D1020" s="31" t="s">
        <v>2249</v>
      </c>
      <c r="E1020" s="32"/>
    </row>
    <row r="1021" spans="2:5" x14ac:dyDescent="0.35">
      <c r="B1021" s="93" t="s">
        <v>2250</v>
      </c>
      <c r="C1021" s="33"/>
      <c r="D1021" s="31" t="s">
        <v>2251</v>
      </c>
      <c r="E1021" s="32"/>
    </row>
    <row r="1022" spans="2:5" x14ac:dyDescent="0.35">
      <c r="B1022" s="93" t="s">
        <v>2252</v>
      </c>
      <c r="C1022" s="33"/>
      <c r="D1022" s="31" t="s">
        <v>2253</v>
      </c>
      <c r="E1022" s="32"/>
    </row>
    <row r="1023" spans="2:5" x14ac:dyDescent="0.35">
      <c r="B1023" s="93" t="s">
        <v>2254</v>
      </c>
      <c r="C1023" s="30"/>
      <c r="D1023" s="31" t="s">
        <v>2255</v>
      </c>
      <c r="E1023" s="32"/>
    </row>
    <row r="1024" spans="2:5" x14ac:dyDescent="0.35">
      <c r="B1024" s="93" t="s">
        <v>2256</v>
      </c>
      <c r="C1024" s="30"/>
      <c r="D1024" s="31" t="s">
        <v>2257</v>
      </c>
      <c r="E1024" s="32"/>
    </row>
    <row r="1025" spans="2:5" x14ac:dyDescent="0.35">
      <c r="B1025" s="93" t="s">
        <v>2258</v>
      </c>
      <c r="C1025" s="33"/>
      <c r="D1025" s="31" t="s">
        <v>2259</v>
      </c>
      <c r="E1025" s="32"/>
    </row>
    <row r="1026" spans="2:5" x14ac:dyDescent="0.35">
      <c r="B1026" s="93" t="s">
        <v>2260</v>
      </c>
      <c r="C1026" s="30"/>
      <c r="D1026" s="31" t="s">
        <v>2261</v>
      </c>
      <c r="E1026" s="32"/>
    </row>
    <row r="1027" spans="2:5" x14ac:dyDescent="0.35">
      <c r="B1027" s="93" t="s">
        <v>2262</v>
      </c>
      <c r="C1027" s="33"/>
      <c r="D1027" s="31" t="s">
        <v>2263</v>
      </c>
      <c r="E1027" s="32"/>
    </row>
    <row r="1028" spans="2:5" x14ac:dyDescent="0.35">
      <c r="B1028" s="93" t="s">
        <v>2264</v>
      </c>
      <c r="C1028" s="33"/>
      <c r="D1028" s="31" t="s">
        <v>2265</v>
      </c>
      <c r="E1028" s="32"/>
    </row>
    <row r="1029" spans="2:5" x14ac:dyDescent="0.35">
      <c r="B1029" s="93" t="s">
        <v>2266</v>
      </c>
      <c r="C1029" s="30"/>
      <c r="D1029" s="31" t="s">
        <v>2267</v>
      </c>
      <c r="E1029" s="32"/>
    </row>
    <row r="1030" spans="2:5" x14ac:dyDescent="0.35">
      <c r="B1030" s="93" t="s">
        <v>2268</v>
      </c>
      <c r="C1030" s="30"/>
      <c r="D1030" s="31" t="s">
        <v>2269</v>
      </c>
      <c r="E1030" s="32"/>
    </row>
    <row r="1031" spans="2:5" x14ac:dyDescent="0.35">
      <c r="B1031" s="93" t="s">
        <v>2270</v>
      </c>
      <c r="C1031" s="33"/>
      <c r="D1031" s="31" t="s">
        <v>2271</v>
      </c>
      <c r="E1031" s="32"/>
    </row>
    <row r="1032" spans="2:5" x14ac:dyDescent="0.35">
      <c r="B1032" s="93" t="s">
        <v>2272</v>
      </c>
      <c r="C1032" s="33"/>
      <c r="D1032" s="31" t="s">
        <v>2273</v>
      </c>
      <c r="E1032" s="32"/>
    </row>
    <row r="1033" spans="2:5" x14ac:dyDescent="0.35">
      <c r="B1033" s="93" t="s">
        <v>2274</v>
      </c>
      <c r="C1033" s="33"/>
      <c r="D1033" s="31" t="s">
        <v>2275</v>
      </c>
      <c r="E1033" s="32"/>
    </row>
    <row r="1034" spans="2:5" x14ac:dyDescent="0.35">
      <c r="B1034" s="93" t="s">
        <v>2276</v>
      </c>
      <c r="C1034" s="33"/>
      <c r="D1034" s="31" t="s">
        <v>2277</v>
      </c>
      <c r="E1034" s="32"/>
    </row>
    <row r="1035" spans="2:5" x14ac:dyDescent="0.35">
      <c r="B1035" s="93" t="s">
        <v>2278</v>
      </c>
      <c r="C1035" s="33"/>
      <c r="D1035" s="31" t="s">
        <v>2279</v>
      </c>
      <c r="E1035" s="32"/>
    </row>
    <row r="1036" spans="2:5" x14ac:dyDescent="0.35">
      <c r="B1036" s="93" t="s">
        <v>2280</v>
      </c>
      <c r="C1036" s="33"/>
      <c r="D1036" s="31" t="s">
        <v>2281</v>
      </c>
      <c r="E1036" s="32"/>
    </row>
    <row r="1037" spans="2:5" x14ac:dyDescent="0.35">
      <c r="B1037" s="93" t="s">
        <v>2282</v>
      </c>
      <c r="C1037" s="33"/>
      <c r="D1037" s="31" t="s">
        <v>2283</v>
      </c>
      <c r="E1037" s="32"/>
    </row>
    <row r="1038" spans="2:5" x14ac:dyDescent="0.35">
      <c r="B1038" s="93" t="s">
        <v>2284</v>
      </c>
      <c r="C1038" s="33"/>
      <c r="D1038" s="31" t="s">
        <v>2285</v>
      </c>
      <c r="E1038" s="32"/>
    </row>
    <row r="1039" spans="2:5" x14ac:dyDescent="0.35">
      <c r="B1039" s="93" t="s">
        <v>2286</v>
      </c>
      <c r="C1039" s="30"/>
      <c r="D1039" s="31" t="s">
        <v>2287</v>
      </c>
      <c r="E1039" s="32"/>
    </row>
    <row r="1040" spans="2:5" x14ac:dyDescent="0.35">
      <c r="B1040" s="93" t="s">
        <v>2288</v>
      </c>
      <c r="C1040" s="30"/>
      <c r="D1040" s="31" t="s">
        <v>2289</v>
      </c>
      <c r="E1040" s="32"/>
    </row>
    <row r="1041" spans="2:5" x14ac:dyDescent="0.35">
      <c r="B1041" s="93" t="s">
        <v>2290</v>
      </c>
      <c r="C1041" s="33"/>
      <c r="D1041" s="31" t="s">
        <v>2291</v>
      </c>
      <c r="E1041" s="32"/>
    </row>
    <row r="1042" spans="2:5" x14ac:dyDescent="0.35">
      <c r="B1042" s="93" t="s">
        <v>2292</v>
      </c>
      <c r="C1042" s="33"/>
      <c r="D1042" s="31" t="s">
        <v>2293</v>
      </c>
      <c r="E1042" s="32"/>
    </row>
    <row r="1043" spans="2:5" x14ac:dyDescent="0.35">
      <c r="B1043" s="93" t="s">
        <v>2294</v>
      </c>
      <c r="C1043" s="30"/>
      <c r="D1043" s="31" t="s">
        <v>2295</v>
      </c>
      <c r="E1043" s="32"/>
    </row>
    <row r="1044" spans="2:5" x14ac:dyDescent="0.35">
      <c r="B1044" s="93" t="s">
        <v>2296</v>
      </c>
      <c r="C1044" s="30"/>
      <c r="D1044" s="31" t="s">
        <v>502</v>
      </c>
      <c r="E1044" s="32"/>
    </row>
    <row r="1045" spans="2:5" x14ac:dyDescent="0.35">
      <c r="B1045" s="93" t="s">
        <v>2297</v>
      </c>
      <c r="C1045" s="30"/>
      <c r="D1045" s="31" t="s">
        <v>2298</v>
      </c>
      <c r="E1045" s="32"/>
    </row>
    <row r="1046" spans="2:5" x14ac:dyDescent="0.35">
      <c r="B1046" s="93" t="s">
        <v>2299</v>
      </c>
      <c r="C1046" s="33"/>
      <c r="D1046" s="31" t="s">
        <v>2300</v>
      </c>
      <c r="E1046" s="32"/>
    </row>
    <row r="1047" spans="2:5" x14ac:dyDescent="0.35">
      <c r="B1047" s="93" t="s">
        <v>2301</v>
      </c>
      <c r="C1047" s="33"/>
      <c r="D1047" s="31" t="s">
        <v>2302</v>
      </c>
      <c r="E1047" s="32"/>
    </row>
    <row r="1048" spans="2:5" x14ac:dyDescent="0.35">
      <c r="B1048" s="93" t="s">
        <v>658</v>
      </c>
      <c r="C1048" s="33"/>
      <c r="D1048" s="31" t="s">
        <v>2303</v>
      </c>
      <c r="E1048" s="32"/>
    </row>
    <row r="1049" spans="2:5" x14ac:dyDescent="0.35">
      <c r="B1049" s="93" t="s">
        <v>2306</v>
      </c>
      <c r="C1049" s="33"/>
      <c r="D1049" s="31" t="s">
        <v>2307</v>
      </c>
      <c r="E1049" s="32"/>
    </row>
    <row r="1050" spans="2:5" x14ac:dyDescent="0.35">
      <c r="B1050" s="93" t="s">
        <v>2308</v>
      </c>
      <c r="C1050" s="30"/>
      <c r="D1050" s="31" t="s">
        <v>2309</v>
      </c>
      <c r="E1050" s="32"/>
    </row>
    <row r="1051" spans="2:5" x14ac:dyDescent="0.35">
      <c r="B1051" s="93" t="s">
        <v>2310</v>
      </c>
      <c r="C1051" s="30"/>
      <c r="D1051" s="31" t="s">
        <v>438</v>
      </c>
      <c r="E1051" s="32"/>
    </row>
    <row r="1052" spans="2:5" x14ac:dyDescent="0.35">
      <c r="B1052" s="93" t="s">
        <v>482</v>
      </c>
      <c r="C1052" s="30"/>
      <c r="D1052" s="31" t="s">
        <v>2311</v>
      </c>
      <c r="E1052" s="32"/>
    </row>
    <row r="1053" spans="2:5" x14ac:dyDescent="0.35">
      <c r="B1053" s="93" t="s">
        <v>2312</v>
      </c>
      <c r="C1053" s="33"/>
      <c r="D1053" s="31" t="s">
        <v>2313</v>
      </c>
      <c r="E1053" s="32"/>
    </row>
    <row r="1054" spans="2:5" x14ac:dyDescent="0.35">
      <c r="B1054" s="93" t="s">
        <v>2314</v>
      </c>
      <c r="C1054" s="33"/>
      <c r="D1054" s="31" t="s">
        <v>2313</v>
      </c>
      <c r="E1054" s="32"/>
    </row>
    <row r="1055" spans="2:5" x14ac:dyDescent="0.35">
      <c r="B1055" s="93" t="s">
        <v>2315</v>
      </c>
      <c r="C1055" s="33"/>
      <c r="D1055" s="31" t="s">
        <v>2316</v>
      </c>
      <c r="E1055" s="32"/>
    </row>
    <row r="1056" spans="2:5" x14ac:dyDescent="0.35">
      <c r="B1056" s="93" t="s">
        <v>2317</v>
      </c>
      <c r="C1056" s="33"/>
      <c r="D1056" s="31" t="s">
        <v>2318</v>
      </c>
      <c r="E1056" s="32"/>
    </row>
    <row r="1057" spans="2:5" x14ac:dyDescent="0.35">
      <c r="B1057" s="93" t="s">
        <v>2319</v>
      </c>
      <c r="C1057" s="33"/>
      <c r="D1057" s="31" t="s">
        <v>2320</v>
      </c>
      <c r="E1057" s="32"/>
    </row>
    <row r="1058" spans="2:5" x14ac:dyDescent="0.35">
      <c r="B1058" s="93" t="s">
        <v>2321</v>
      </c>
      <c r="C1058" s="33"/>
      <c r="D1058" s="31" t="s">
        <v>2322</v>
      </c>
      <c r="E1058" s="32"/>
    </row>
    <row r="1059" spans="2:5" x14ac:dyDescent="0.35">
      <c r="B1059" s="93" t="s">
        <v>2323</v>
      </c>
      <c r="C1059" s="33"/>
      <c r="D1059" s="31" t="s">
        <v>2324</v>
      </c>
      <c r="E1059" s="32"/>
    </row>
    <row r="1060" spans="2:5" x14ac:dyDescent="0.35">
      <c r="B1060" s="93" t="s">
        <v>2325</v>
      </c>
      <c r="C1060" s="33"/>
      <c r="D1060" s="31" t="s">
        <v>2326</v>
      </c>
      <c r="E1060" s="32"/>
    </row>
    <row r="1061" spans="2:5" x14ac:dyDescent="0.35">
      <c r="B1061" s="93" t="s">
        <v>2327</v>
      </c>
      <c r="C1061" s="33"/>
      <c r="D1061" s="31" t="s">
        <v>2328</v>
      </c>
      <c r="E1061" s="32"/>
    </row>
    <row r="1062" spans="2:5" x14ac:dyDescent="0.35">
      <c r="B1062" s="93" t="s">
        <v>2329</v>
      </c>
      <c r="C1062" s="30"/>
      <c r="D1062" s="31" t="s">
        <v>2330</v>
      </c>
      <c r="E1062" s="32"/>
    </row>
    <row r="1063" spans="2:5" x14ac:dyDescent="0.35">
      <c r="B1063" s="93" t="s">
        <v>2331</v>
      </c>
      <c r="C1063" s="33"/>
      <c r="D1063" s="31" t="s">
        <v>2332</v>
      </c>
      <c r="E1063" s="32"/>
    </row>
    <row r="1064" spans="2:5" x14ac:dyDescent="0.35">
      <c r="B1064" s="93" t="s">
        <v>2333</v>
      </c>
      <c r="C1064" s="33"/>
      <c r="D1064" s="31" t="s">
        <v>2334</v>
      </c>
      <c r="E1064" s="32"/>
    </row>
    <row r="1065" spans="2:5" x14ac:dyDescent="0.35">
      <c r="B1065" s="93" t="s">
        <v>2335</v>
      </c>
      <c r="C1065" s="33"/>
      <c r="D1065" s="31" t="s">
        <v>2336</v>
      </c>
      <c r="E1065" s="32"/>
    </row>
    <row r="1066" spans="2:5" x14ac:dyDescent="0.35">
      <c r="B1066" s="93" t="s">
        <v>2339</v>
      </c>
      <c r="C1066" s="30"/>
      <c r="D1066" s="31" t="s">
        <v>2340</v>
      </c>
      <c r="E1066" s="32"/>
    </row>
    <row r="1067" spans="2:5" x14ac:dyDescent="0.35">
      <c r="B1067" s="93" t="s">
        <v>2341</v>
      </c>
      <c r="C1067" s="30"/>
      <c r="D1067" s="31" t="s">
        <v>2342</v>
      </c>
      <c r="E1067" s="32"/>
    </row>
    <row r="1068" spans="2:5" x14ac:dyDescent="0.35">
      <c r="B1068" s="93" t="s">
        <v>2343</v>
      </c>
      <c r="C1068" s="30"/>
      <c r="D1068" s="31" t="s">
        <v>2344</v>
      </c>
      <c r="E1068" s="32"/>
    </row>
    <row r="1069" spans="2:5" x14ac:dyDescent="0.35">
      <c r="B1069" s="93" t="s">
        <v>600</v>
      </c>
      <c r="C1069" s="30"/>
      <c r="D1069" s="31" t="s">
        <v>2345</v>
      </c>
      <c r="E1069" s="32"/>
    </row>
    <row r="1070" spans="2:5" x14ac:dyDescent="0.35">
      <c r="B1070" s="93" t="s">
        <v>2346</v>
      </c>
      <c r="C1070" s="30"/>
      <c r="D1070" s="31" t="s">
        <v>2347</v>
      </c>
      <c r="E1070" s="32"/>
    </row>
    <row r="1071" spans="2:5" x14ac:dyDescent="0.35">
      <c r="B1071" s="93" t="s">
        <v>2348</v>
      </c>
      <c r="C1071" s="30"/>
      <c r="D1071" s="31" t="s">
        <v>2349</v>
      </c>
      <c r="E1071" s="32"/>
    </row>
    <row r="1072" spans="2:5" x14ac:dyDescent="0.35">
      <c r="B1072" s="93" t="s">
        <v>2350</v>
      </c>
      <c r="C1072" s="33"/>
      <c r="D1072" s="31" t="s">
        <v>2351</v>
      </c>
      <c r="E1072" s="32"/>
    </row>
    <row r="1073" spans="2:5" x14ac:dyDescent="0.35">
      <c r="B1073" s="93" t="s">
        <v>2352</v>
      </c>
      <c r="C1073" s="33"/>
      <c r="D1073" s="31" t="s">
        <v>2353</v>
      </c>
      <c r="E1073" s="32"/>
    </row>
    <row r="1074" spans="2:5" x14ac:dyDescent="0.35">
      <c r="B1074" s="93" t="s">
        <v>2354</v>
      </c>
      <c r="C1074" s="33"/>
      <c r="D1074" s="31" t="s">
        <v>2355</v>
      </c>
      <c r="E1074" s="32"/>
    </row>
    <row r="1075" spans="2:5" x14ac:dyDescent="0.35">
      <c r="B1075" s="93" t="s">
        <v>2356</v>
      </c>
      <c r="C1075" s="33"/>
      <c r="D1075" s="31" t="s">
        <v>2357</v>
      </c>
      <c r="E1075" s="32"/>
    </row>
    <row r="1076" spans="2:5" x14ac:dyDescent="0.35">
      <c r="B1076" s="93" t="s">
        <v>2358</v>
      </c>
      <c r="C1076" s="30"/>
      <c r="D1076" s="31" t="s">
        <v>2359</v>
      </c>
      <c r="E1076" s="32"/>
    </row>
    <row r="1077" spans="2:5" x14ac:dyDescent="0.35">
      <c r="B1077" s="93" t="s">
        <v>2360</v>
      </c>
      <c r="C1077" s="30"/>
      <c r="D1077" s="31" t="s">
        <v>2361</v>
      </c>
      <c r="E1077" s="32"/>
    </row>
    <row r="1078" spans="2:5" x14ac:dyDescent="0.35">
      <c r="B1078" s="93" t="s">
        <v>2362</v>
      </c>
      <c r="C1078" s="30"/>
      <c r="D1078" s="31" t="s">
        <v>2363</v>
      </c>
      <c r="E1078" s="32"/>
    </row>
    <row r="1079" spans="2:5" x14ac:dyDescent="0.35">
      <c r="B1079" s="93" t="s">
        <v>2364</v>
      </c>
      <c r="C1079" s="30"/>
      <c r="D1079" s="31" t="s">
        <v>2365</v>
      </c>
      <c r="E1079" s="32"/>
    </row>
    <row r="1080" spans="2:5" x14ac:dyDescent="0.35">
      <c r="B1080" s="93" t="s">
        <v>2366</v>
      </c>
      <c r="C1080" s="33"/>
      <c r="D1080" s="31" t="s">
        <v>2367</v>
      </c>
      <c r="E1080" s="32"/>
    </row>
    <row r="1081" spans="2:5" x14ac:dyDescent="0.35">
      <c r="B1081" s="93" t="s">
        <v>2368</v>
      </c>
      <c r="C1081" s="30"/>
      <c r="D1081" s="31" t="s">
        <v>2369</v>
      </c>
      <c r="E1081" s="32"/>
    </row>
    <row r="1082" spans="2:5" x14ac:dyDescent="0.35">
      <c r="B1082" s="93" t="s">
        <v>2370</v>
      </c>
      <c r="C1082" s="30"/>
      <c r="D1082" s="31" t="s">
        <v>2371</v>
      </c>
      <c r="E1082" s="32"/>
    </row>
    <row r="1083" spans="2:5" x14ac:dyDescent="0.35">
      <c r="B1083" s="93" t="s">
        <v>2372</v>
      </c>
      <c r="C1083" s="33"/>
      <c r="D1083" s="31" t="s">
        <v>2373</v>
      </c>
      <c r="E1083" s="32"/>
    </row>
    <row r="1084" spans="2:5" x14ac:dyDescent="0.35">
      <c r="B1084" s="93" t="s">
        <v>2374</v>
      </c>
      <c r="C1084" s="30"/>
      <c r="D1084" s="31" t="s">
        <v>2375</v>
      </c>
      <c r="E1084" s="32"/>
    </row>
    <row r="1085" spans="2:5" x14ac:dyDescent="0.35">
      <c r="B1085" s="93" t="s">
        <v>2376</v>
      </c>
      <c r="C1085" s="33"/>
      <c r="D1085" s="31" t="s">
        <v>2377</v>
      </c>
      <c r="E1085" s="32"/>
    </row>
    <row r="1086" spans="2:5" x14ac:dyDescent="0.35">
      <c r="B1086" s="93" t="s">
        <v>2378</v>
      </c>
      <c r="C1086" s="30"/>
      <c r="D1086" s="31" t="s">
        <v>2379</v>
      </c>
      <c r="E1086" s="32"/>
    </row>
    <row r="1087" spans="2:5" x14ac:dyDescent="0.35">
      <c r="B1087" s="93" t="s">
        <v>2380</v>
      </c>
      <c r="C1087" s="30"/>
      <c r="D1087" s="31" t="s">
        <v>433</v>
      </c>
      <c r="E1087" s="32"/>
    </row>
    <row r="1088" spans="2:5" x14ac:dyDescent="0.35">
      <c r="B1088" s="93" t="s">
        <v>2381</v>
      </c>
      <c r="C1088" s="33"/>
      <c r="D1088" s="31" t="s">
        <v>2382</v>
      </c>
      <c r="E1088" s="32"/>
    </row>
    <row r="1089" spans="2:5" x14ac:dyDescent="0.35">
      <c r="B1089" s="93" t="s">
        <v>2383</v>
      </c>
      <c r="C1089" s="30"/>
      <c r="D1089" s="31" t="s">
        <v>2384</v>
      </c>
      <c r="E1089" s="32"/>
    </row>
    <row r="1090" spans="2:5" x14ac:dyDescent="0.35">
      <c r="B1090" s="93" t="s">
        <v>2385</v>
      </c>
      <c r="C1090" s="30"/>
      <c r="D1090" s="31" t="s">
        <v>2386</v>
      </c>
      <c r="E1090" s="32"/>
    </row>
    <row r="1091" spans="2:5" x14ac:dyDescent="0.35">
      <c r="B1091" s="93" t="s">
        <v>477</v>
      </c>
      <c r="C1091" s="33"/>
      <c r="D1091" s="31" t="s">
        <v>2387</v>
      </c>
      <c r="E1091" s="32"/>
    </row>
    <row r="1092" spans="2:5" x14ac:dyDescent="0.35">
      <c r="B1092" s="93" t="s">
        <v>2388</v>
      </c>
      <c r="C1092" s="33"/>
      <c r="D1092" s="31" t="s">
        <v>2389</v>
      </c>
      <c r="E1092" s="32"/>
    </row>
    <row r="1093" spans="2:5" x14ac:dyDescent="0.35">
      <c r="B1093" s="93" t="s">
        <v>2391</v>
      </c>
      <c r="C1093" s="30"/>
      <c r="D1093" s="31" t="s">
        <v>2392</v>
      </c>
      <c r="E1093" s="32"/>
    </row>
    <row r="1094" spans="2:5" x14ac:dyDescent="0.35">
      <c r="B1094" s="93" t="s">
        <v>2393</v>
      </c>
      <c r="C1094" s="33"/>
      <c r="D1094" s="31" t="s">
        <v>2394</v>
      </c>
      <c r="E1094" s="32"/>
    </row>
    <row r="1095" spans="2:5" x14ac:dyDescent="0.35">
      <c r="B1095" s="93" t="s">
        <v>2395</v>
      </c>
      <c r="C1095" s="33"/>
      <c r="D1095" s="31" t="s">
        <v>2396</v>
      </c>
      <c r="E1095" s="32"/>
    </row>
    <row r="1096" spans="2:5" x14ac:dyDescent="0.35">
      <c r="B1096" s="93" t="s">
        <v>2397</v>
      </c>
      <c r="C1096" s="30"/>
      <c r="D1096" s="31" t="s">
        <v>2398</v>
      </c>
      <c r="E1096" s="32"/>
    </row>
    <row r="1097" spans="2:5" x14ac:dyDescent="0.35">
      <c r="B1097" s="93" t="s">
        <v>2399</v>
      </c>
      <c r="C1097" s="30"/>
      <c r="D1097" s="31" t="s">
        <v>2400</v>
      </c>
      <c r="E1097" s="32"/>
    </row>
    <row r="1098" spans="2:5" x14ac:dyDescent="0.35">
      <c r="B1098" s="93" t="s">
        <v>2401</v>
      </c>
      <c r="C1098" s="33"/>
      <c r="D1098" s="31" t="s">
        <v>2402</v>
      </c>
      <c r="E1098" s="32"/>
    </row>
    <row r="1099" spans="2:5" x14ac:dyDescent="0.35">
      <c r="B1099" s="93" t="s">
        <v>2403</v>
      </c>
      <c r="C1099" s="33"/>
      <c r="D1099" s="31" t="s">
        <v>2404</v>
      </c>
      <c r="E1099" s="32"/>
    </row>
    <row r="1100" spans="2:5" x14ac:dyDescent="0.35">
      <c r="B1100" s="93" t="s">
        <v>2405</v>
      </c>
      <c r="C1100" s="33"/>
      <c r="D1100" s="31" t="s">
        <v>2406</v>
      </c>
      <c r="E1100" s="32"/>
    </row>
    <row r="1101" spans="2:5" x14ac:dyDescent="0.35">
      <c r="B1101" s="93" t="s">
        <v>2407</v>
      </c>
      <c r="C1101" s="30"/>
      <c r="D1101" s="31" t="s">
        <v>2408</v>
      </c>
      <c r="E1101" s="32"/>
    </row>
    <row r="1102" spans="2:5" x14ac:dyDescent="0.35">
      <c r="B1102" s="93" t="s">
        <v>2409</v>
      </c>
      <c r="C1102" s="30"/>
      <c r="D1102" s="31" t="s">
        <v>597</v>
      </c>
      <c r="E1102" s="32"/>
    </row>
    <row r="1103" spans="2:5" x14ac:dyDescent="0.35">
      <c r="B1103" s="93" t="s">
        <v>2410</v>
      </c>
      <c r="C1103" s="33"/>
      <c r="D1103" s="31" t="s">
        <v>2411</v>
      </c>
      <c r="E1103" s="32"/>
    </row>
    <row r="1104" spans="2:5" x14ac:dyDescent="0.35">
      <c r="B1104" s="93" t="s">
        <v>2412</v>
      </c>
      <c r="C1104" s="30"/>
      <c r="D1104" s="31" t="s">
        <v>870</v>
      </c>
      <c r="E1104" s="32"/>
    </row>
    <row r="1105" spans="2:5" x14ac:dyDescent="0.35">
      <c r="B1105" s="93" t="s">
        <v>2413</v>
      </c>
      <c r="C1105" s="33"/>
      <c r="D1105" s="31" t="s">
        <v>2414</v>
      </c>
      <c r="E1105" s="32"/>
    </row>
    <row r="1106" spans="2:5" x14ac:dyDescent="0.35">
      <c r="B1106" s="93" t="s">
        <v>2415</v>
      </c>
      <c r="C1106" s="30"/>
      <c r="D1106" s="31" t="s">
        <v>863</v>
      </c>
      <c r="E1106" s="32"/>
    </row>
    <row r="1107" spans="2:5" x14ac:dyDescent="0.35">
      <c r="B1107" s="93" t="s">
        <v>2416</v>
      </c>
      <c r="C1107" s="30"/>
      <c r="D1107" s="31" t="s">
        <v>859</v>
      </c>
      <c r="E1107" s="32"/>
    </row>
    <row r="1108" spans="2:5" x14ac:dyDescent="0.35">
      <c r="B1108" s="93" t="s">
        <v>2417</v>
      </c>
      <c r="C1108" s="30"/>
      <c r="D1108" s="31" t="s">
        <v>867</v>
      </c>
      <c r="E1108" s="32"/>
    </row>
    <row r="1109" spans="2:5" x14ac:dyDescent="0.35">
      <c r="B1109" s="93" t="s">
        <v>2418</v>
      </c>
      <c r="C1109" s="30"/>
      <c r="D1109" s="31" t="s">
        <v>2419</v>
      </c>
      <c r="E1109" s="32"/>
    </row>
    <row r="1110" spans="2:5" x14ac:dyDescent="0.35">
      <c r="B1110" s="93" t="s">
        <v>2420</v>
      </c>
      <c r="C1110" s="30"/>
      <c r="D1110" s="31" t="s">
        <v>2421</v>
      </c>
      <c r="E1110" s="32"/>
    </row>
    <row r="1111" spans="2:5" x14ac:dyDescent="0.35">
      <c r="B1111" s="93" t="s">
        <v>2422</v>
      </c>
      <c r="C1111" s="33"/>
      <c r="D1111" s="31" t="s">
        <v>2423</v>
      </c>
      <c r="E1111" s="32"/>
    </row>
    <row r="1112" spans="2:5" x14ac:dyDescent="0.35">
      <c r="B1112" s="93" t="s">
        <v>2424</v>
      </c>
      <c r="C1112" s="30"/>
      <c r="D1112" s="31" t="s">
        <v>2425</v>
      </c>
      <c r="E1112" s="32"/>
    </row>
    <row r="1113" spans="2:5" x14ac:dyDescent="0.35">
      <c r="B1113" s="93" t="s">
        <v>1072</v>
      </c>
      <c r="C1113" s="30"/>
      <c r="D1113" s="31" t="s">
        <v>2428</v>
      </c>
      <c r="E1113" s="32"/>
    </row>
    <row r="1114" spans="2:5" x14ac:dyDescent="0.35">
      <c r="B1114" s="93" t="s">
        <v>2429</v>
      </c>
      <c r="C1114" s="30"/>
      <c r="D1114" s="31" t="s">
        <v>970</v>
      </c>
      <c r="E1114" s="32"/>
    </row>
    <row r="1115" spans="2:5" x14ac:dyDescent="0.35">
      <c r="B1115" s="93" t="s">
        <v>2430</v>
      </c>
      <c r="C1115" s="30"/>
      <c r="D1115" s="31" t="s">
        <v>974</v>
      </c>
      <c r="E1115" s="32"/>
    </row>
    <row r="1116" spans="2:5" x14ac:dyDescent="0.35">
      <c r="B1116" s="93" t="s">
        <v>2432</v>
      </c>
      <c r="C1116" s="33"/>
      <c r="D1116" s="31" t="s">
        <v>2433</v>
      </c>
      <c r="E1116" s="32"/>
    </row>
    <row r="1117" spans="2:5" x14ac:dyDescent="0.35">
      <c r="B1117" s="93" t="s">
        <v>574</v>
      </c>
      <c r="C1117" s="30"/>
      <c r="D1117" s="31" t="s">
        <v>574</v>
      </c>
      <c r="E1117" s="32"/>
    </row>
    <row r="1118" spans="2:5" x14ac:dyDescent="0.35">
      <c r="B1118" s="93" t="s">
        <v>2434</v>
      </c>
      <c r="C1118" s="30"/>
      <c r="D1118" s="31" t="s">
        <v>763</v>
      </c>
      <c r="E1118" s="32"/>
    </row>
    <row r="1119" spans="2:5" x14ac:dyDescent="0.35">
      <c r="B1119" s="93" t="s">
        <v>2435</v>
      </c>
      <c r="C1119" s="33"/>
      <c r="D1119" s="31" t="s">
        <v>2436</v>
      </c>
      <c r="E1119" s="32"/>
    </row>
    <row r="1120" spans="2:5" x14ac:dyDescent="0.35">
      <c r="B1120" s="93" t="s">
        <v>2437</v>
      </c>
      <c r="C1120" s="30"/>
      <c r="D1120" s="31" t="s">
        <v>757</v>
      </c>
      <c r="E1120" s="32"/>
    </row>
    <row r="1121" spans="2:5" x14ac:dyDescent="0.35">
      <c r="B1121" s="93" t="s">
        <v>2438</v>
      </c>
      <c r="C1121" s="30"/>
      <c r="D1121" s="31" t="s">
        <v>754</v>
      </c>
      <c r="E1121" s="32"/>
    </row>
    <row r="1122" spans="2:5" x14ac:dyDescent="0.35">
      <c r="B1122" s="93" t="s">
        <v>2439</v>
      </c>
      <c r="C1122" s="30"/>
      <c r="D1122" s="31" t="s">
        <v>760</v>
      </c>
      <c r="E1122" s="32"/>
    </row>
    <row r="1123" spans="2:5" x14ac:dyDescent="0.35">
      <c r="B1123" s="93" t="s">
        <v>2440</v>
      </c>
      <c r="C1123" s="30"/>
      <c r="D1123" s="31" t="s">
        <v>631</v>
      </c>
      <c r="E1123" s="32"/>
    </row>
    <row r="1124" spans="2:5" x14ac:dyDescent="0.35">
      <c r="B1124" s="93" t="s">
        <v>2441</v>
      </c>
      <c r="C1124" s="30"/>
      <c r="D1124" s="31" t="s">
        <v>635</v>
      </c>
      <c r="E1124" s="32"/>
    </row>
    <row r="1125" spans="2:5" x14ac:dyDescent="0.35">
      <c r="B1125" s="93" t="s">
        <v>2442</v>
      </c>
      <c r="C1125" s="30"/>
      <c r="D1125" s="31" t="s">
        <v>2443</v>
      </c>
      <c r="E1125" s="32"/>
    </row>
    <row r="1126" spans="2:5" x14ac:dyDescent="0.35">
      <c r="B1126" s="93" t="s">
        <v>2444</v>
      </c>
      <c r="C1126" s="30"/>
      <c r="D1126" s="31" t="s">
        <v>2445</v>
      </c>
      <c r="E1126" s="32"/>
    </row>
    <row r="1127" spans="2:5" x14ac:dyDescent="0.35">
      <c r="B1127" s="93" t="s">
        <v>2446</v>
      </c>
      <c r="C1127" s="33"/>
      <c r="D1127" s="31" t="s">
        <v>2447</v>
      </c>
      <c r="E1127" s="32"/>
    </row>
    <row r="1128" spans="2:5" x14ac:dyDescent="0.35">
      <c r="B1128" s="93" t="s">
        <v>2448</v>
      </c>
      <c r="C1128" s="30"/>
      <c r="D1128" s="31" t="s">
        <v>2449</v>
      </c>
      <c r="E1128" s="32"/>
    </row>
    <row r="1129" spans="2:5" x14ac:dyDescent="0.35">
      <c r="B1129" s="93" t="s">
        <v>2450</v>
      </c>
      <c r="C1129" s="33"/>
      <c r="D1129" s="31" t="s">
        <v>2451</v>
      </c>
      <c r="E1129" s="32"/>
    </row>
    <row r="1130" spans="2:5" x14ac:dyDescent="0.35">
      <c r="B1130" s="93" t="s">
        <v>2453</v>
      </c>
      <c r="C1130" s="30"/>
      <c r="D1130" s="31" t="s">
        <v>2454</v>
      </c>
      <c r="E1130" s="32"/>
    </row>
    <row r="1131" spans="2:5" x14ac:dyDescent="0.35">
      <c r="B1131" s="93" t="s">
        <v>2455</v>
      </c>
      <c r="C1131" s="30"/>
      <c r="D1131" s="31" t="s">
        <v>2456</v>
      </c>
      <c r="E1131" s="32"/>
    </row>
    <row r="1132" spans="2:5" x14ac:dyDescent="0.35">
      <c r="B1132" s="93" t="s">
        <v>537</v>
      </c>
      <c r="C1132" s="30"/>
      <c r="D1132" s="31" t="s">
        <v>2457</v>
      </c>
      <c r="E1132" s="32"/>
    </row>
    <row r="1133" spans="2:5" x14ac:dyDescent="0.35">
      <c r="B1133" s="93" t="s">
        <v>2458</v>
      </c>
      <c r="C1133" s="30"/>
      <c r="D1133" s="31" t="s">
        <v>2459</v>
      </c>
      <c r="E1133" s="32"/>
    </row>
    <row r="1134" spans="2:5" x14ac:dyDescent="0.35">
      <c r="B1134" s="93" t="s">
        <v>2460</v>
      </c>
      <c r="C1134" s="33"/>
      <c r="D1134" s="31" t="s">
        <v>2461</v>
      </c>
      <c r="E1134" s="32"/>
    </row>
    <row r="1135" spans="2:5" x14ac:dyDescent="0.35">
      <c r="B1135" s="93" t="s">
        <v>2462</v>
      </c>
      <c r="C1135" s="30"/>
      <c r="D1135" s="31" t="s">
        <v>2463</v>
      </c>
      <c r="E1135" s="32"/>
    </row>
    <row r="1136" spans="2:5" x14ac:dyDescent="0.35">
      <c r="B1136" s="93" t="s">
        <v>2464</v>
      </c>
      <c r="C1136" s="30"/>
      <c r="D1136" s="31" t="s">
        <v>2465</v>
      </c>
      <c r="E1136" s="32"/>
    </row>
    <row r="1137" spans="2:5" x14ac:dyDescent="0.35">
      <c r="B1137" s="93" t="s">
        <v>2466</v>
      </c>
      <c r="C1137" s="30"/>
      <c r="D1137" s="31" t="s">
        <v>2467</v>
      </c>
      <c r="E1137" s="32"/>
    </row>
    <row r="1138" spans="2:5" x14ac:dyDescent="0.35">
      <c r="B1138" s="93" t="s">
        <v>2468</v>
      </c>
      <c r="C1138" s="30"/>
      <c r="D1138" s="31" t="s">
        <v>2469</v>
      </c>
      <c r="E1138" s="32"/>
    </row>
    <row r="1139" spans="2:5" x14ac:dyDescent="0.35">
      <c r="B1139" s="93" t="s">
        <v>2470</v>
      </c>
      <c r="C1139" s="30"/>
      <c r="D1139" s="31" t="s">
        <v>2471</v>
      </c>
      <c r="E1139" s="32"/>
    </row>
    <row r="1140" spans="2:5" x14ac:dyDescent="0.35">
      <c r="B1140" s="93" t="s">
        <v>2472</v>
      </c>
      <c r="C1140" s="30"/>
      <c r="D1140" s="31" t="s">
        <v>2473</v>
      </c>
      <c r="E1140" s="32"/>
    </row>
    <row r="1141" spans="2:5" x14ac:dyDescent="0.35">
      <c r="B1141" s="93" t="s">
        <v>2474</v>
      </c>
      <c r="C1141" s="30"/>
      <c r="D1141" s="31" t="s">
        <v>2475</v>
      </c>
      <c r="E1141" s="32"/>
    </row>
    <row r="1142" spans="2:5" x14ac:dyDescent="0.35">
      <c r="B1142" s="93" t="s">
        <v>2476</v>
      </c>
      <c r="C1142" s="30"/>
      <c r="D1142" s="31" t="s">
        <v>2477</v>
      </c>
      <c r="E1142" s="32"/>
    </row>
    <row r="1143" spans="2:5" x14ac:dyDescent="0.35">
      <c r="B1143" s="93" t="s">
        <v>2478</v>
      </c>
      <c r="C1143" s="30"/>
      <c r="D1143" s="31" t="s">
        <v>512</v>
      </c>
      <c r="E1143" s="32"/>
    </row>
    <row r="1144" spans="2:5" x14ac:dyDescent="0.35">
      <c r="B1144" s="93" t="s">
        <v>2479</v>
      </c>
      <c r="C1144" s="30"/>
      <c r="D1144" s="31" t="s">
        <v>512</v>
      </c>
      <c r="E1144" s="32"/>
    </row>
    <row r="1145" spans="2:5" x14ac:dyDescent="0.35">
      <c r="B1145" s="93" t="s">
        <v>2480</v>
      </c>
      <c r="C1145" s="33"/>
      <c r="D1145" s="31" t="s">
        <v>2481</v>
      </c>
      <c r="E1145" s="32"/>
    </row>
    <row r="1146" spans="2:5" x14ac:dyDescent="0.35">
      <c r="B1146" s="93" t="s">
        <v>2482</v>
      </c>
      <c r="C1146" s="33"/>
      <c r="D1146" s="31" t="s">
        <v>835</v>
      </c>
      <c r="E1146" s="32"/>
    </row>
    <row r="1147" spans="2:5" x14ac:dyDescent="0.35">
      <c r="B1147" s="93" t="s">
        <v>2483</v>
      </c>
      <c r="C1147" s="30"/>
      <c r="D1147" s="31" t="s">
        <v>2484</v>
      </c>
      <c r="E1147" s="32"/>
    </row>
    <row r="1148" spans="2:5" x14ac:dyDescent="0.35">
      <c r="B1148" s="93" t="s">
        <v>2485</v>
      </c>
      <c r="C1148" s="30"/>
      <c r="D1148" s="31" t="s">
        <v>2486</v>
      </c>
      <c r="E1148" s="32"/>
    </row>
    <row r="1149" spans="2:5" x14ac:dyDescent="0.35">
      <c r="B1149" s="93" t="s">
        <v>2487</v>
      </c>
      <c r="C1149" s="30"/>
      <c r="D1149" s="31" t="s">
        <v>2488</v>
      </c>
      <c r="E1149" s="32"/>
    </row>
    <row r="1150" spans="2:5" x14ac:dyDescent="0.35">
      <c r="B1150" s="93" t="s">
        <v>2489</v>
      </c>
      <c r="C1150" s="33"/>
      <c r="D1150" s="31" t="s">
        <v>2490</v>
      </c>
      <c r="E1150" s="32"/>
    </row>
    <row r="1151" spans="2:5" x14ac:dyDescent="0.35">
      <c r="B1151" s="93" t="s">
        <v>2491</v>
      </c>
      <c r="C1151" s="33"/>
      <c r="D1151" s="31" t="s">
        <v>2492</v>
      </c>
      <c r="E1151" s="32"/>
    </row>
    <row r="1152" spans="2:5" x14ac:dyDescent="0.35">
      <c r="B1152" s="93" t="s">
        <v>573</v>
      </c>
      <c r="C1152" s="33"/>
      <c r="D1152" s="31" t="s">
        <v>2493</v>
      </c>
      <c r="E1152" s="32"/>
    </row>
    <row r="1153" spans="2:5" x14ac:dyDescent="0.35">
      <c r="B1153" s="93" t="s">
        <v>353</v>
      </c>
      <c r="C1153" s="30"/>
      <c r="D1153" s="31" t="s">
        <v>355</v>
      </c>
      <c r="E1153" s="32"/>
    </row>
    <row r="1154" spans="2:5" x14ac:dyDescent="0.35">
      <c r="B1154" s="93" t="s">
        <v>2494</v>
      </c>
      <c r="C1154" s="33"/>
      <c r="D1154" s="31" t="s">
        <v>2495</v>
      </c>
      <c r="E1154" s="32"/>
    </row>
    <row r="1155" spans="2:5" x14ac:dyDescent="0.35">
      <c r="B1155" s="93" t="s">
        <v>2496</v>
      </c>
      <c r="C1155" s="30"/>
      <c r="D1155" s="31" t="s">
        <v>2497</v>
      </c>
      <c r="E1155" s="32"/>
    </row>
    <row r="1156" spans="2:5" x14ac:dyDescent="0.35">
      <c r="B1156" s="93" t="s">
        <v>2498</v>
      </c>
      <c r="C1156" s="30"/>
      <c r="D1156" s="31" t="s">
        <v>2499</v>
      </c>
      <c r="E1156" s="32"/>
    </row>
    <row r="1157" spans="2:5" x14ac:dyDescent="0.35">
      <c r="B1157" s="93" t="s">
        <v>2500</v>
      </c>
      <c r="C1157" s="30"/>
      <c r="D1157" s="31" t="s">
        <v>2501</v>
      </c>
      <c r="E1157" s="32"/>
    </row>
    <row r="1158" spans="2:5" x14ac:dyDescent="0.35">
      <c r="B1158" s="93" t="s">
        <v>2502</v>
      </c>
      <c r="C1158" s="30"/>
      <c r="D1158" s="31" t="s">
        <v>2503</v>
      </c>
      <c r="E1158" s="32"/>
    </row>
    <row r="1159" spans="2:5" x14ac:dyDescent="0.35">
      <c r="B1159" s="93" t="s">
        <v>2504</v>
      </c>
      <c r="C1159" s="30"/>
      <c r="D1159" s="31" t="s">
        <v>639</v>
      </c>
      <c r="E1159" s="32"/>
    </row>
    <row r="1160" spans="2:5" x14ac:dyDescent="0.35">
      <c r="B1160" s="93" t="s">
        <v>2505</v>
      </c>
      <c r="C1160" s="33"/>
      <c r="D1160" s="31" t="s">
        <v>2506</v>
      </c>
      <c r="E1160" s="32"/>
    </row>
    <row r="1161" spans="2:5" x14ac:dyDescent="0.35">
      <c r="B1161" s="93" t="s">
        <v>2507</v>
      </c>
      <c r="C1161" s="33"/>
      <c r="D1161" s="31" t="s">
        <v>2508</v>
      </c>
      <c r="E1161" s="32"/>
    </row>
    <row r="1162" spans="2:5" x14ac:dyDescent="0.35">
      <c r="B1162" s="93" t="s">
        <v>2509</v>
      </c>
      <c r="C1162" s="33"/>
      <c r="D1162" s="31" t="s">
        <v>2510</v>
      </c>
      <c r="E1162" s="32"/>
    </row>
    <row r="1163" spans="2:5" x14ac:dyDescent="0.35">
      <c r="B1163" s="93" t="s">
        <v>2511</v>
      </c>
      <c r="C1163" s="33"/>
      <c r="D1163" s="31" t="s">
        <v>2512</v>
      </c>
      <c r="E1163" s="32"/>
    </row>
    <row r="1164" spans="2:5" x14ac:dyDescent="0.35">
      <c r="B1164" s="93" t="s">
        <v>2513</v>
      </c>
      <c r="C1164" s="30"/>
      <c r="D1164" s="31" t="s">
        <v>2514</v>
      </c>
      <c r="E1164" s="32"/>
    </row>
    <row r="1165" spans="2:5" x14ac:dyDescent="0.35">
      <c r="B1165" s="93" t="s">
        <v>2515</v>
      </c>
      <c r="C1165" s="30"/>
      <c r="D1165" s="31" t="s">
        <v>2516</v>
      </c>
      <c r="E1165" s="32"/>
    </row>
    <row r="1166" spans="2:5" x14ac:dyDescent="0.35">
      <c r="B1166" s="93" t="s">
        <v>2517</v>
      </c>
      <c r="C1166" s="33"/>
      <c r="D1166" s="31" t="s">
        <v>2518</v>
      </c>
      <c r="E1166" s="32"/>
    </row>
    <row r="1167" spans="2:5" x14ac:dyDescent="0.35">
      <c r="B1167" s="93" t="s">
        <v>2519</v>
      </c>
      <c r="C1167" s="30"/>
      <c r="D1167" s="31" t="s">
        <v>2520</v>
      </c>
      <c r="E1167" s="32"/>
    </row>
    <row r="1168" spans="2:5" x14ac:dyDescent="0.35">
      <c r="B1168" s="93" t="s">
        <v>2522</v>
      </c>
      <c r="C1168" s="30"/>
      <c r="D1168" s="31" t="s">
        <v>2523</v>
      </c>
      <c r="E1168" s="32"/>
    </row>
    <row r="1169" spans="2:5" x14ac:dyDescent="0.35">
      <c r="B1169" s="93" t="s">
        <v>2524</v>
      </c>
      <c r="C1169" s="33"/>
      <c r="D1169" s="31" t="s">
        <v>2525</v>
      </c>
      <c r="E1169" s="32"/>
    </row>
    <row r="1170" spans="2:5" x14ac:dyDescent="0.35">
      <c r="B1170" s="93" t="s">
        <v>2526</v>
      </c>
      <c r="C1170" s="30"/>
      <c r="D1170" s="31" t="s">
        <v>319</v>
      </c>
      <c r="E1170" s="32"/>
    </row>
    <row r="1171" spans="2:5" x14ac:dyDescent="0.35">
      <c r="B1171" s="93" t="s">
        <v>2527</v>
      </c>
      <c r="C1171" s="30"/>
      <c r="D1171" s="31" t="s">
        <v>2528</v>
      </c>
      <c r="E1171" s="32"/>
    </row>
    <row r="1172" spans="2:5" x14ac:dyDescent="0.35">
      <c r="B1172" s="93" t="s">
        <v>2529</v>
      </c>
      <c r="C1172" s="30"/>
      <c r="D1172" s="31" t="s">
        <v>2530</v>
      </c>
      <c r="E1172" s="32"/>
    </row>
    <row r="1173" spans="2:5" x14ac:dyDescent="0.35">
      <c r="B1173" s="93" t="s">
        <v>2531</v>
      </c>
      <c r="C1173" s="30"/>
      <c r="D1173" s="31" t="s">
        <v>2532</v>
      </c>
      <c r="E1173" s="32"/>
    </row>
    <row r="1174" spans="2:5" x14ac:dyDescent="0.35">
      <c r="B1174" s="93" t="s">
        <v>2533</v>
      </c>
      <c r="C1174" s="30"/>
      <c r="D1174" s="31" t="s">
        <v>2534</v>
      </c>
      <c r="E1174" s="32"/>
    </row>
    <row r="1175" spans="2:5" x14ac:dyDescent="0.35">
      <c r="B1175" s="93" t="s">
        <v>2535</v>
      </c>
      <c r="C1175" s="30"/>
      <c r="D1175" s="31" t="s">
        <v>2536</v>
      </c>
      <c r="E1175" s="32"/>
    </row>
    <row r="1176" spans="2:5" x14ac:dyDescent="0.35">
      <c r="B1176" s="93" t="s">
        <v>2537</v>
      </c>
      <c r="C1176" s="30"/>
      <c r="D1176" s="31" t="s">
        <v>2538</v>
      </c>
      <c r="E1176" s="32"/>
    </row>
    <row r="1177" spans="2:5" x14ac:dyDescent="0.35">
      <c r="B1177" s="93" t="s">
        <v>2539</v>
      </c>
      <c r="C1177" s="30"/>
      <c r="D1177" s="31" t="s">
        <v>2540</v>
      </c>
      <c r="E1177" s="32"/>
    </row>
    <row r="1178" spans="2:5" x14ac:dyDescent="0.35">
      <c r="B1178" s="93" t="s">
        <v>2541</v>
      </c>
      <c r="C1178" s="33"/>
      <c r="D1178" s="31" t="s">
        <v>2542</v>
      </c>
      <c r="E1178" s="32"/>
    </row>
    <row r="1179" spans="2:5" x14ac:dyDescent="0.35">
      <c r="B1179" s="93" t="s">
        <v>2543</v>
      </c>
      <c r="C1179" s="30"/>
      <c r="D1179" s="31" t="s">
        <v>2544</v>
      </c>
      <c r="E1179" s="32"/>
    </row>
    <row r="1180" spans="2:5" x14ac:dyDescent="0.35">
      <c r="B1180" s="93" t="s">
        <v>2545</v>
      </c>
      <c r="C1180" s="30"/>
      <c r="D1180" s="31" t="s">
        <v>554</v>
      </c>
      <c r="E1180" s="32"/>
    </row>
    <row r="1181" spans="2:5" x14ac:dyDescent="0.35">
      <c r="B1181" s="93" t="s">
        <v>2546</v>
      </c>
      <c r="C1181" s="33"/>
      <c r="D1181" s="31" t="s">
        <v>2547</v>
      </c>
      <c r="E1181" s="32"/>
    </row>
    <row r="1182" spans="2:5" x14ac:dyDescent="0.35">
      <c r="B1182" s="93" t="s">
        <v>2548</v>
      </c>
      <c r="C1182" s="30"/>
      <c r="D1182" s="31" t="s">
        <v>546</v>
      </c>
      <c r="E1182" s="32"/>
    </row>
    <row r="1183" spans="2:5" x14ac:dyDescent="0.35">
      <c r="B1183" s="93" t="s">
        <v>2549</v>
      </c>
      <c r="C1183" s="30"/>
      <c r="D1183" s="31" t="s">
        <v>544</v>
      </c>
      <c r="E1183" s="32"/>
    </row>
    <row r="1184" spans="2:5" x14ac:dyDescent="0.35">
      <c r="B1184" s="93" t="s">
        <v>2550</v>
      </c>
      <c r="C1184" s="30"/>
      <c r="D1184" s="31" t="s">
        <v>550</v>
      </c>
      <c r="E1184" s="32"/>
    </row>
    <row r="1185" spans="2:5" x14ac:dyDescent="0.35">
      <c r="B1185" s="93" t="s">
        <v>2551</v>
      </c>
      <c r="C1185" s="30"/>
      <c r="D1185" s="31" t="s">
        <v>2552</v>
      </c>
      <c r="E1185" s="32"/>
    </row>
    <row r="1186" spans="2:5" x14ac:dyDescent="0.35">
      <c r="B1186" s="93" t="s">
        <v>2553</v>
      </c>
      <c r="C1186" s="30"/>
      <c r="D1186" s="31" t="s">
        <v>2554</v>
      </c>
      <c r="E1186" s="32"/>
    </row>
    <row r="1187" spans="2:5" x14ac:dyDescent="0.35">
      <c r="B1187" s="93" t="s">
        <v>2555</v>
      </c>
      <c r="C1187" s="30"/>
      <c r="D1187" s="32" t="s">
        <v>2556</v>
      </c>
      <c r="E1187" s="32"/>
    </row>
    <row r="1188" spans="2:5" x14ac:dyDescent="0.35">
      <c r="B1188" s="93" t="s">
        <v>2557</v>
      </c>
      <c r="C1188" s="30"/>
      <c r="D1188" s="32" t="s">
        <v>2558</v>
      </c>
      <c r="E1188" s="32"/>
    </row>
    <row r="1189" spans="2:5" x14ac:dyDescent="0.35">
      <c r="B1189" s="93" t="s">
        <v>2559</v>
      </c>
      <c r="C1189" s="30"/>
      <c r="D1189" s="32" t="s">
        <v>2560</v>
      </c>
      <c r="E1189" s="32"/>
    </row>
    <row r="1190" spans="2:5" x14ac:dyDescent="0.35">
      <c r="B1190" s="93" t="s">
        <v>2561</v>
      </c>
      <c r="C1190" s="30"/>
      <c r="D1190" s="32" t="s">
        <v>2562</v>
      </c>
      <c r="E1190" s="32"/>
    </row>
    <row r="1191" spans="2:5" x14ac:dyDescent="0.35">
      <c r="B1191" s="93" t="s">
        <v>2563</v>
      </c>
      <c r="C1191" s="30"/>
      <c r="D1191" s="32" t="s">
        <v>2564</v>
      </c>
      <c r="E1191" s="32"/>
    </row>
    <row r="1192" spans="2:5" x14ac:dyDescent="0.35">
      <c r="B1192" s="93" t="s">
        <v>2565</v>
      </c>
      <c r="C1192" s="30"/>
      <c r="D1192" s="32" t="s">
        <v>2566</v>
      </c>
      <c r="E1192" s="32"/>
    </row>
    <row r="1193" spans="2:5" x14ac:dyDescent="0.35">
      <c r="B1193" s="93" t="s">
        <v>2559</v>
      </c>
      <c r="C1193" s="30"/>
      <c r="D1193" s="32" t="s">
        <v>2560</v>
      </c>
      <c r="E1193" s="32"/>
    </row>
    <row r="1194" spans="2:5" x14ac:dyDescent="0.35">
      <c r="B1194" s="93" t="s">
        <v>2567</v>
      </c>
      <c r="C1194" s="30"/>
      <c r="D1194" s="32" t="s">
        <v>2568</v>
      </c>
      <c r="E1194" s="32"/>
    </row>
    <row r="1195" spans="2:5" x14ac:dyDescent="0.35">
      <c r="B1195" s="93" t="s">
        <v>2569</v>
      </c>
      <c r="C1195" s="30"/>
      <c r="D1195" s="32" t="s">
        <v>2570</v>
      </c>
      <c r="E1195" s="32"/>
    </row>
    <row r="1196" spans="2:5" x14ac:dyDescent="0.35">
      <c r="B1196" s="93" t="s">
        <v>2571</v>
      </c>
      <c r="C1196" s="30"/>
      <c r="D1196" s="32" t="s">
        <v>2572</v>
      </c>
      <c r="E1196" s="32"/>
    </row>
    <row r="1197" spans="2:5" x14ac:dyDescent="0.35">
      <c r="B1197" s="93" t="s">
        <v>2573</v>
      </c>
      <c r="C1197" s="30"/>
      <c r="D1197" s="32" t="s">
        <v>2574</v>
      </c>
      <c r="E1197" s="32"/>
    </row>
    <row r="1198" spans="2:5" x14ac:dyDescent="0.35">
      <c r="B1198" s="93" t="s">
        <v>2575</v>
      </c>
      <c r="C1198" s="30"/>
      <c r="D1198" s="32" t="s">
        <v>2576</v>
      </c>
      <c r="E1198" s="32"/>
    </row>
    <row r="1199" spans="2:5" x14ac:dyDescent="0.35">
      <c r="B1199" s="93" t="s">
        <v>2565</v>
      </c>
      <c r="C1199" s="30"/>
      <c r="D1199" s="32" t="s">
        <v>2566</v>
      </c>
      <c r="E1199" s="32"/>
    </row>
    <row r="1200" spans="2:5" x14ac:dyDescent="0.35">
      <c r="B1200" s="93" t="s">
        <v>2577</v>
      </c>
      <c r="C1200" s="30"/>
      <c r="D1200" s="32" t="s">
        <v>2578</v>
      </c>
      <c r="E1200" s="32"/>
    </row>
    <row r="1201" spans="2:5" x14ac:dyDescent="0.35">
      <c r="B1201" s="93" t="s">
        <v>2575</v>
      </c>
      <c r="C1201" s="30"/>
      <c r="D1201" s="32" t="s">
        <v>2576</v>
      </c>
      <c r="E1201" s="32"/>
    </row>
    <row r="1202" spans="2:5" x14ac:dyDescent="0.35">
      <c r="B1202" s="93" t="s">
        <v>2579</v>
      </c>
      <c r="C1202" s="30"/>
      <c r="D1202" s="32" t="s">
        <v>2580</v>
      </c>
      <c r="E1202" s="32"/>
    </row>
    <row r="1203" spans="2:5" x14ac:dyDescent="0.35">
      <c r="B1203" s="93" t="s">
        <v>2581</v>
      </c>
      <c r="C1203" s="30"/>
      <c r="D1203" s="32" t="s">
        <v>2582</v>
      </c>
      <c r="E1203" s="32"/>
    </row>
    <row r="1204" spans="2:5" x14ac:dyDescent="0.35">
      <c r="B1204" s="93" t="s">
        <v>2581</v>
      </c>
      <c r="C1204" s="30"/>
      <c r="D1204" s="32" t="s">
        <v>2582</v>
      </c>
      <c r="E1204" s="32"/>
    </row>
    <row r="1205" spans="2:5" x14ac:dyDescent="0.35">
      <c r="B1205" s="93" t="s">
        <v>2583</v>
      </c>
      <c r="C1205" s="30"/>
      <c r="D1205" s="32" t="s">
        <v>2584</v>
      </c>
      <c r="E1205" s="32"/>
    </row>
    <row r="1206" spans="2:5" x14ac:dyDescent="0.35">
      <c r="B1206" s="93" t="s">
        <v>2577</v>
      </c>
      <c r="C1206" s="30"/>
      <c r="D1206" s="32" t="s">
        <v>2578</v>
      </c>
      <c r="E1206" s="32"/>
    </row>
    <row r="1207" spans="2:5" x14ac:dyDescent="0.35">
      <c r="B1207" s="93" t="s">
        <v>2585</v>
      </c>
      <c r="C1207" s="30"/>
      <c r="D1207" s="32" t="s">
        <v>2586</v>
      </c>
      <c r="E1207" s="32"/>
    </row>
    <row r="1208" spans="2:5" x14ac:dyDescent="0.35">
      <c r="B1208" s="93" t="s">
        <v>2579</v>
      </c>
      <c r="C1208" s="30"/>
      <c r="D1208" s="32" t="s">
        <v>2580</v>
      </c>
      <c r="E1208" s="32"/>
    </row>
    <row r="1209" spans="2:5" x14ac:dyDescent="0.35">
      <c r="B1209" s="93" t="s">
        <v>2585</v>
      </c>
      <c r="C1209" s="30"/>
      <c r="D1209" s="32" t="s">
        <v>2586</v>
      </c>
      <c r="E1209" s="32"/>
    </row>
    <row r="1210" spans="2:5" x14ac:dyDescent="0.35">
      <c r="B1210" s="93" t="s">
        <v>2587</v>
      </c>
      <c r="C1210" s="30"/>
      <c r="D1210" s="32" t="s">
        <v>2588</v>
      </c>
      <c r="E1210" s="32"/>
    </row>
    <row r="1211" spans="2:5" x14ac:dyDescent="0.35">
      <c r="B1211" s="93" t="s">
        <v>2565</v>
      </c>
      <c r="C1211" s="30"/>
      <c r="D1211" s="32" t="s">
        <v>2566</v>
      </c>
      <c r="E1211" s="32"/>
    </row>
    <row r="1212" spans="2:5" x14ac:dyDescent="0.35">
      <c r="B1212" s="93" t="s">
        <v>2589</v>
      </c>
      <c r="C1212" s="30"/>
      <c r="D1212" s="32" t="s">
        <v>2590</v>
      </c>
      <c r="E1212" s="32"/>
    </row>
    <row r="1213" spans="2:5" x14ac:dyDescent="0.35">
      <c r="B1213" s="93" t="s">
        <v>2583</v>
      </c>
      <c r="C1213" s="30"/>
      <c r="D1213" s="32" t="s">
        <v>2584</v>
      </c>
      <c r="E1213" s="32"/>
    </row>
    <row r="1214" spans="2:5" x14ac:dyDescent="0.35">
      <c r="B1214" s="93" t="s">
        <v>2569</v>
      </c>
      <c r="C1214" s="30"/>
      <c r="D1214" s="32" t="s">
        <v>2570</v>
      </c>
      <c r="E1214" s="32"/>
    </row>
    <row r="1215" spans="2:5" x14ac:dyDescent="0.35">
      <c r="B1215" s="93" t="s">
        <v>2575</v>
      </c>
      <c r="C1215" s="30"/>
      <c r="D1215" s="32" t="s">
        <v>2576</v>
      </c>
      <c r="E1215" s="32"/>
    </row>
    <row r="1216" spans="2:5" x14ac:dyDescent="0.35">
      <c r="B1216" s="93" t="s">
        <v>2577</v>
      </c>
      <c r="C1216" s="30"/>
      <c r="D1216" s="32" t="s">
        <v>2578</v>
      </c>
      <c r="E1216" s="32"/>
    </row>
    <row r="1217" spans="2:5" x14ac:dyDescent="0.35">
      <c r="B1217" s="93" t="s">
        <v>2581</v>
      </c>
      <c r="C1217" s="30"/>
      <c r="D1217" s="32" t="s">
        <v>2582</v>
      </c>
      <c r="E1217" s="32"/>
    </row>
    <row r="1218" spans="2:5" x14ac:dyDescent="0.35">
      <c r="B1218" s="93" t="s">
        <v>2579</v>
      </c>
      <c r="C1218" s="30"/>
      <c r="D1218" s="32" t="s">
        <v>2580</v>
      </c>
      <c r="E1218" s="32"/>
    </row>
    <row r="1219" spans="2:5" x14ac:dyDescent="0.35">
      <c r="B1219" s="93" t="s">
        <v>2591</v>
      </c>
      <c r="C1219" s="30"/>
      <c r="D1219" s="32" t="s">
        <v>2592</v>
      </c>
      <c r="E1219" s="32"/>
    </row>
    <row r="1220" spans="2:5" x14ac:dyDescent="0.35">
      <c r="B1220" s="93" t="s">
        <v>2593</v>
      </c>
      <c r="C1220" s="30"/>
      <c r="D1220" s="32" t="s">
        <v>2594</v>
      </c>
      <c r="E1220" s="32"/>
    </row>
    <row r="1221" spans="2:5" x14ac:dyDescent="0.35">
      <c r="B1221" s="93" t="s">
        <v>2595</v>
      </c>
      <c r="C1221" s="30"/>
      <c r="D1221" s="32" t="s">
        <v>2596</v>
      </c>
      <c r="E1221" s="32"/>
    </row>
    <row r="1222" spans="2:5" x14ac:dyDescent="0.35">
      <c r="B1222" s="93" t="s">
        <v>2597</v>
      </c>
      <c r="C1222" s="30"/>
      <c r="D1222" s="31" t="s">
        <v>2598</v>
      </c>
      <c r="E1222" s="32"/>
    </row>
    <row r="1223" spans="2:5" x14ac:dyDescent="0.35">
      <c r="B1223" s="93" t="s">
        <v>1286</v>
      </c>
      <c r="C1223" s="30"/>
      <c r="D1223" s="31" t="s">
        <v>2599</v>
      </c>
      <c r="E1223" s="32"/>
    </row>
    <row r="1224" spans="2:5" x14ac:dyDescent="0.35">
      <c r="B1224" s="93" t="s">
        <v>2600</v>
      </c>
      <c r="C1224" s="30"/>
      <c r="D1224" s="31" t="s">
        <v>2601</v>
      </c>
      <c r="E1224" s="32"/>
    </row>
    <row r="1225" spans="2:5" x14ac:dyDescent="0.35">
      <c r="B1225" s="93" t="s">
        <v>2602</v>
      </c>
      <c r="C1225" s="30"/>
      <c r="D1225" s="31" t="s">
        <v>2603</v>
      </c>
      <c r="E1225" s="32"/>
    </row>
    <row r="1226" spans="2:5" x14ac:dyDescent="0.35">
      <c r="B1226" s="93" t="s">
        <v>2604</v>
      </c>
      <c r="C1226" s="30"/>
      <c r="D1226" s="31" t="s">
        <v>2605</v>
      </c>
      <c r="E1226" s="32"/>
    </row>
    <row r="1227" spans="2:5" x14ac:dyDescent="0.35">
      <c r="B1227" s="93" t="s">
        <v>2606</v>
      </c>
      <c r="C1227" s="30"/>
      <c r="D1227" s="31" t="s">
        <v>2607</v>
      </c>
      <c r="E1227" s="32"/>
    </row>
    <row r="1228" spans="2:5" x14ac:dyDescent="0.35">
      <c r="B1228" s="93" t="s">
        <v>2608</v>
      </c>
      <c r="C1228" s="30"/>
      <c r="D1228" s="31" t="s">
        <v>2609</v>
      </c>
      <c r="E1228" s="32"/>
    </row>
    <row r="1229" spans="2:5" x14ac:dyDescent="0.35">
      <c r="B1229" s="93" t="s">
        <v>2610</v>
      </c>
      <c r="C1229" s="30"/>
      <c r="D1229" s="31" t="s">
        <v>2611</v>
      </c>
      <c r="E1229" s="32"/>
    </row>
    <row r="1230" spans="2:5" x14ac:dyDescent="0.35">
      <c r="B1230" s="93" t="s">
        <v>2612</v>
      </c>
      <c r="C1230" s="30"/>
      <c r="D1230" s="31" t="s">
        <v>2613</v>
      </c>
      <c r="E1230" s="32"/>
    </row>
    <row r="1231" spans="2:5" x14ac:dyDescent="0.35">
      <c r="B1231" s="93" t="s">
        <v>2615</v>
      </c>
      <c r="C1231" s="30"/>
      <c r="D1231" s="31" t="s">
        <v>2616</v>
      </c>
      <c r="E1231" s="32"/>
    </row>
    <row r="1232" spans="2:5" x14ac:dyDescent="0.35">
      <c r="B1232" s="93" t="s">
        <v>2617</v>
      </c>
      <c r="C1232" s="30"/>
      <c r="D1232" s="31" t="s">
        <v>2618</v>
      </c>
      <c r="E1232" s="32"/>
    </row>
    <row r="1233" spans="2:5" x14ac:dyDescent="0.35">
      <c r="B1233" s="93" t="s">
        <v>2619</v>
      </c>
      <c r="C1233" s="30"/>
      <c r="D1233" s="31" t="s">
        <v>2620</v>
      </c>
      <c r="E1233" s="32"/>
    </row>
    <row r="1234" spans="2:5" x14ac:dyDescent="0.35">
      <c r="B1234" s="93" t="s">
        <v>2621</v>
      </c>
      <c r="C1234" s="30"/>
      <c r="D1234" s="31" t="s">
        <v>2622</v>
      </c>
      <c r="E1234" s="32"/>
    </row>
    <row r="1235" spans="2:5" x14ac:dyDescent="0.35">
      <c r="B1235" s="93" t="s">
        <v>2623</v>
      </c>
      <c r="C1235" s="30"/>
      <c r="D1235" s="31" t="s">
        <v>2624</v>
      </c>
      <c r="E1235" s="32"/>
    </row>
    <row r="1236" spans="2:5" x14ac:dyDescent="0.35">
      <c r="B1236" s="93" t="s">
        <v>2625</v>
      </c>
      <c r="C1236" s="30"/>
      <c r="D1236" s="31" t="s">
        <v>1391</v>
      </c>
      <c r="E1236" s="32"/>
    </row>
    <row r="1237" spans="2:5" x14ac:dyDescent="0.35">
      <c r="B1237" s="93" t="s">
        <v>2626</v>
      </c>
      <c r="C1237" s="30"/>
      <c r="D1237" s="31" t="s">
        <v>2627</v>
      </c>
      <c r="E1237" s="32"/>
    </row>
    <row r="1238" spans="2:5" ht="25" x14ac:dyDescent="0.35">
      <c r="B1238" s="93" t="s">
        <v>2628</v>
      </c>
      <c r="C1238" s="30"/>
      <c r="D1238" s="31" t="s">
        <v>2629</v>
      </c>
      <c r="E1238" s="32"/>
    </row>
    <row r="1239" spans="2:5" x14ac:dyDescent="0.35">
      <c r="B1239" s="93" t="s">
        <v>2630</v>
      </c>
      <c r="C1239" s="30"/>
      <c r="D1239" s="31" t="s">
        <v>2631</v>
      </c>
      <c r="E1239" s="32"/>
    </row>
    <row r="1240" spans="2:5" x14ac:dyDescent="0.35">
      <c r="B1240" s="93" t="s">
        <v>2632</v>
      </c>
      <c r="C1240" s="30"/>
      <c r="D1240" s="31" t="s">
        <v>2633</v>
      </c>
      <c r="E1240" s="32"/>
    </row>
    <row r="1241" spans="2:5" x14ac:dyDescent="0.35">
      <c r="B1241" s="93" t="s">
        <v>2634</v>
      </c>
      <c r="C1241" s="30"/>
      <c r="D1241" s="31" t="s">
        <v>2635</v>
      </c>
      <c r="E1241" s="32"/>
    </row>
    <row r="1242" spans="2:5" x14ac:dyDescent="0.35">
      <c r="B1242" s="93" t="s">
        <v>2636</v>
      </c>
      <c r="C1242" s="30"/>
      <c r="D1242" s="31" t="s">
        <v>2637</v>
      </c>
      <c r="E1242" s="32"/>
    </row>
    <row r="1243" spans="2:5" x14ac:dyDescent="0.35">
      <c r="B1243" s="93" t="s">
        <v>2638</v>
      </c>
      <c r="C1243" s="30"/>
      <c r="D1243" s="31" t="s">
        <v>2639</v>
      </c>
      <c r="E1243" s="32"/>
    </row>
    <row r="1244" spans="2:5" x14ac:dyDescent="0.35">
      <c r="B1244" s="93" t="s">
        <v>2640</v>
      </c>
      <c r="C1244" s="30"/>
      <c r="D1244" s="31" t="s">
        <v>2641</v>
      </c>
      <c r="E1244" s="32"/>
    </row>
    <row r="1245" spans="2:5" x14ac:dyDescent="0.35">
      <c r="B1245" s="64" t="str">
        <f>"RO "&amp;LEFT(Year,4)&amp;"-"&amp;RIGHT(Year,2)</f>
        <v>RO 2024-25</v>
      </c>
      <c r="C1245" s="30"/>
      <c r="D1245" s="34" t="str">
        <f>"RO "&amp;LEFT(Year,4)&amp;"-"&amp;RIGHT(Year,2)</f>
        <v>RO 2024-25</v>
      </c>
      <c r="E1245" s="32"/>
    </row>
    <row r="1246" spans="2:5" x14ac:dyDescent="0.35">
      <c r="B1246" s="93" t="s">
        <v>2642</v>
      </c>
      <c r="C1246" s="30"/>
      <c r="D1246" s="32" t="s">
        <v>2642</v>
      </c>
      <c r="E1246" s="32"/>
    </row>
    <row r="1247" spans="2:5" x14ac:dyDescent="0.35">
      <c r="B1247" s="93" t="s">
        <v>607</v>
      </c>
      <c r="C1247" s="30"/>
      <c r="D1247" s="31" t="s">
        <v>2643</v>
      </c>
      <c r="E1247" s="32"/>
    </row>
    <row r="1248" spans="2:5" x14ac:dyDescent="0.35">
      <c r="B1248" s="93" t="s">
        <v>717</v>
      </c>
      <c r="C1248" s="30"/>
      <c r="D1248" s="31" t="s">
        <v>2644</v>
      </c>
      <c r="E1248" s="32"/>
    </row>
    <row r="1249" spans="2:5" x14ac:dyDescent="0.35">
      <c r="B1249" s="93" t="s">
        <v>609</v>
      </c>
      <c r="C1249" s="30"/>
      <c r="D1249" s="31" t="s">
        <v>2645</v>
      </c>
      <c r="E1249" s="32"/>
    </row>
    <row r="1250" spans="2:5" x14ac:dyDescent="0.35">
      <c r="B1250" s="93" t="s">
        <v>709</v>
      </c>
      <c r="C1250" s="30"/>
      <c r="D1250" s="31" t="s">
        <v>2646</v>
      </c>
      <c r="E1250" s="32"/>
    </row>
    <row r="1251" spans="2:5" x14ac:dyDescent="0.35">
      <c r="B1251" s="93" t="s">
        <v>1246</v>
      </c>
      <c r="C1251" s="30"/>
      <c r="D1251" s="31" t="s">
        <v>2647</v>
      </c>
      <c r="E1251" s="32"/>
    </row>
    <row r="1252" spans="2:5" x14ac:dyDescent="0.35">
      <c r="B1252" s="93" t="s">
        <v>701</v>
      </c>
      <c r="C1252" s="30"/>
      <c r="D1252" s="31" t="s">
        <v>2648</v>
      </c>
      <c r="E1252" s="32"/>
    </row>
    <row r="1253" spans="2:5" x14ac:dyDescent="0.35">
      <c r="B1253" s="93" t="s">
        <v>1050</v>
      </c>
      <c r="C1253" s="30"/>
      <c r="D1253" s="31" t="s">
        <v>2649</v>
      </c>
      <c r="E1253" s="32"/>
    </row>
    <row r="1254" spans="2:5" x14ac:dyDescent="0.35">
      <c r="B1254" s="93" t="s">
        <v>1097</v>
      </c>
      <c r="C1254" s="30"/>
      <c r="D1254" s="31" t="s">
        <v>2650</v>
      </c>
      <c r="E1254" s="32"/>
    </row>
    <row r="1255" spans="2:5" x14ac:dyDescent="0.35">
      <c r="B1255" s="93" t="s">
        <v>1020</v>
      </c>
      <c r="C1255" s="30"/>
      <c r="D1255" s="31" t="s">
        <v>2651</v>
      </c>
      <c r="E1255" s="32"/>
    </row>
    <row r="1256" spans="2:5" x14ac:dyDescent="0.35">
      <c r="B1256" s="93" t="s">
        <v>1204</v>
      </c>
      <c r="C1256" s="30"/>
      <c r="D1256" s="31" t="s">
        <v>2652</v>
      </c>
      <c r="E1256" s="32"/>
    </row>
    <row r="1257" spans="2:5" x14ac:dyDescent="0.35">
      <c r="B1257" s="93" t="s">
        <v>789</v>
      </c>
      <c r="C1257" s="30"/>
      <c r="D1257" s="31" t="s">
        <v>2653</v>
      </c>
      <c r="E1257" s="32"/>
    </row>
    <row r="1258" spans="2:5" x14ac:dyDescent="0.35">
      <c r="B1258" s="93" t="s">
        <v>2654</v>
      </c>
      <c r="C1258" s="30"/>
      <c r="D1258" s="31" t="s">
        <v>2655</v>
      </c>
      <c r="E1258" s="32"/>
    </row>
    <row r="1259" spans="2:5" x14ac:dyDescent="0.35">
      <c r="B1259" s="93" t="s">
        <v>2656</v>
      </c>
      <c r="C1259" s="30"/>
      <c r="D1259" s="31" t="s">
        <v>2657</v>
      </c>
      <c r="E1259" s="32"/>
    </row>
    <row r="1260" spans="2:5" x14ac:dyDescent="0.35">
      <c r="B1260" s="93" t="s">
        <v>1251</v>
      </c>
      <c r="C1260" s="30"/>
      <c r="D1260" s="31" t="s">
        <v>2658</v>
      </c>
      <c r="E1260" s="32"/>
    </row>
    <row r="1261" spans="2:5" ht="25" x14ac:dyDescent="0.35">
      <c r="B1261" s="95" t="s">
        <v>2659</v>
      </c>
      <c r="C1261" s="30"/>
      <c r="D1261" s="32"/>
      <c r="E1261" s="32"/>
    </row>
    <row r="1262" spans="2:5" x14ac:dyDescent="0.35">
      <c r="B1262" s="93" t="s">
        <v>2660</v>
      </c>
      <c r="C1262" s="30"/>
      <c r="D1262" s="32" t="s">
        <v>2661</v>
      </c>
      <c r="E1262" s="32"/>
    </row>
    <row r="1263" spans="2:5" x14ac:dyDescent="0.35">
      <c r="B1263" s="93" t="s">
        <v>2664</v>
      </c>
      <c r="C1263" s="30"/>
      <c r="D1263" s="32" t="s">
        <v>2665</v>
      </c>
      <c r="E1263" s="32"/>
    </row>
    <row r="1264" spans="2:5" ht="37.5" x14ac:dyDescent="0.35">
      <c r="B1264" s="64" t="s">
        <v>2668</v>
      </c>
      <c r="C1264" s="30"/>
      <c r="D1264" s="64" t="s">
        <v>2669</v>
      </c>
      <c r="E1264" s="32"/>
    </row>
    <row r="1265" spans="2:5" x14ac:dyDescent="0.35">
      <c r="B1265" s="64" t="s">
        <v>2670</v>
      </c>
      <c r="C1265" s="30"/>
      <c r="D1265" s="32" t="s">
        <v>2671</v>
      </c>
      <c r="E1265" s="32"/>
    </row>
    <row r="1266" spans="2:5" ht="25" x14ac:dyDescent="0.35">
      <c r="B1266" s="93" t="s">
        <v>2672</v>
      </c>
      <c r="C1266" s="30"/>
      <c r="D1266" s="93" t="s">
        <v>2673</v>
      </c>
      <c r="E1266" s="32"/>
    </row>
    <row r="1267" spans="2:5" x14ac:dyDescent="0.35">
      <c r="B1267" s="93" t="s">
        <v>2674</v>
      </c>
      <c r="C1267" s="30"/>
      <c r="D1267" s="32" t="s">
        <v>2675</v>
      </c>
      <c r="E1267" s="32"/>
    </row>
    <row r="1268" spans="2:5" x14ac:dyDescent="0.35">
      <c r="B1268" s="93" t="s">
        <v>2676</v>
      </c>
      <c r="C1268" s="30"/>
      <c r="D1268" s="32" t="s">
        <v>2677</v>
      </c>
      <c r="E1268" s="32"/>
    </row>
    <row r="1269" spans="2:5" x14ac:dyDescent="0.35">
      <c r="B1269" s="93" t="s">
        <v>2678</v>
      </c>
      <c r="C1269" s="30"/>
      <c r="D1269" s="32"/>
      <c r="E1269" s="32"/>
    </row>
    <row r="1270" spans="2:5" x14ac:dyDescent="0.35">
      <c r="B1270" s="93" t="s">
        <v>169</v>
      </c>
      <c r="C1270" s="30"/>
      <c r="D1270" s="32"/>
      <c r="E1270" s="32"/>
    </row>
    <row r="1271" spans="2:5" x14ac:dyDescent="0.35">
      <c r="B1271" s="93" t="s">
        <v>170</v>
      </c>
      <c r="C1271" s="30"/>
      <c r="D1271" s="32"/>
      <c r="E1271" s="32"/>
    </row>
    <row r="1272" spans="2:5" x14ac:dyDescent="0.35">
      <c r="B1272" s="93" t="s">
        <v>81</v>
      </c>
      <c r="C1272" s="30"/>
      <c r="D1272" s="32"/>
      <c r="E1272" s="32"/>
    </row>
    <row r="1273" spans="2:5" x14ac:dyDescent="0.35">
      <c r="B1273" s="93" t="s">
        <v>171</v>
      </c>
      <c r="C1273" s="30"/>
      <c r="D1273" s="32"/>
      <c r="E1273" s="32"/>
    </row>
    <row r="1274" spans="2:5" x14ac:dyDescent="0.35">
      <c r="B1274" s="93" t="s">
        <v>2680</v>
      </c>
      <c r="C1274" s="30"/>
      <c r="D1274" s="32" t="s">
        <v>2681</v>
      </c>
      <c r="E1274" s="32"/>
    </row>
    <row r="1275" spans="2:5" x14ac:dyDescent="0.35">
      <c r="B1275" s="93" t="s">
        <v>2685</v>
      </c>
      <c r="C1275" s="30"/>
      <c r="D1275" s="32" t="s">
        <v>2686</v>
      </c>
      <c r="E1275" s="32"/>
    </row>
    <row r="1276" spans="2:5" x14ac:dyDescent="0.35">
      <c r="B1276" s="93" t="s">
        <v>2687</v>
      </c>
      <c r="C1276" s="30"/>
      <c r="D1276" s="32" t="s">
        <v>2688</v>
      </c>
      <c r="E1276" s="32"/>
    </row>
    <row r="1277" spans="2:5" x14ac:dyDescent="0.35">
      <c r="B1277" s="93" t="s">
        <v>2689</v>
      </c>
      <c r="C1277" s="30"/>
      <c r="D1277" s="32" t="s">
        <v>2690</v>
      </c>
      <c r="E1277" s="32"/>
    </row>
    <row r="1278" spans="2:5" x14ac:dyDescent="0.35">
      <c r="B1278" s="93" t="s">
        <v>2691</v>
      </c>
      <c r="C1278" s="30"/>
      <c r="D1278" s="32" t="s">
        <v>2692</v>
      </c>
      <c r="E1278" s="32"/>
    </row>
    <row r="1279" spans="2:5" x14ac:dyDescent="0.35">
      <c r="B1279" s="93" t="s">
        <v>2693</v>
      </c>
      <c r="C1279" s="30"/>
      <c r="D1279" s="32" t="s">
        <v>2694</v>
      </c>
      <c r="E1279" s="32"/>
    </row>
    <row r="1280" spans="2:5" x14ac:dyDescent="0.35">
      <c r="B1280" s="93" t="s">
        <v>2695</v>
      </c>
      <c r="C1280" s="30"/>
      <c r="D1280" s="32" t="s">
        <v>2696</v>
      </c>
      <c r="E1280" s="32"/>
    </row>
    <row r="1281" spans="2:5" x14ac:dyDescent="0.35">
      <c r="B1281" s="93" t="s">
        <v>2697</v>
      </c>
      <c r="C1281" s="30"/>
      <c r="D1281" s="32" t="s">
        <v>2698</v>
      </c>
      <c r="E1281" s="32"/>
    </row>
    <row r="1282" spans="2:5" x14ac:dyDescent="0.35">
      <c r="B1282" s="93" t="s">
        <v>2699</v>
      </c>
      <c r="C1282" s="30"/>
      <c r="D1282" s="32" t="s">
        <v>2700</v>
      </c>
      <c r="E1282" s="32"/>
    </row>
    <row r="1283" spans="2:5" x14ac:dyDescent="0.35">
      <c r="B1283" s="93" t="s">
        <v>2701</v>
      </c>
      <c r="C1283" s="30"/>
      <c r="D1283" s="32" t="s">
        <v>2702</v>
      </c>
      <c r="E1283" s="32"/>
    </row>
    <row r="1284" spans="2:5" x14ac:dyDescent="0.35">
      <c r="B1284" s="93" t="s">
        <v>2703</v>
      </c>
      <c r="C1284" s="30"/>
      <c r="D1284" s="32" t="s">
        <v>2704</v>
      </c>
      <c r="E1284" s="32"/>
    </row>
    <row r="1285" spans="2:5" x14ac:dyDescent="0.35">
      <c r="B1285" s="93" t="s">
        <v>2705</v>
      </c>
      <c r="C1285" s="30"/>
      <c r="D1285" s="32" t="s">
        <v>2706</v>
      </c>
      <c r="E1285" s="32"/>
    </row>
    <row r="1286" spans="2:5" x14ac:dyDescent="0.35">
      <c r="B1286" s="93" t="s">
        <v>2707</v>
      </c>
      <c r="C1286" s="30"/>
      <c r="D1286" s="32" t="s">
        <v>2708</v>
      </c>
      <c r="E1286" s="32"/>
    </row>
    <row r="1287" spans="2:5" x14ac:dyDescent="0.35">
      <c r="B1287" s="93" t="s">
        <v>2709</v>
      </c>
      <c r="C1287" s="30"/>
      <c r="D1287" s="32" t="s">
        <v>2709</v>
      </c>
      <c r="E1287" s="32"/>
    </row>
    <row r="1288" spans="2:5" x14ac:dyDescent="0.35">
      <c r="B1288" s="93" t="s">
        <v>971</v>
      </c>
      <c r="C1288" s="30"/>
      <c r="D1288" s="32" t="s">
        <v>2710</v>
      </c>
      <c r="E1288" s="32"/>
    </row>
    <row r="1289" spans="2:5" x14ac:dyDescent="0.35">
      <c r="B1289" s="93" t="s">
        <v>2711</v>
      </c>
      <c r="C1289" s="30"/>
      <c r="D1289" s="32" t="s">
        <v>2712</v>
      </c>
      <c r="E1289" s="32"/>
    </row>
    <row r="1290" spans="2:5" x14ac:dyDescent="0.35">
      <c r="B1290" s="93" t="s">
        <v>2713</v>
      </c>
      <c r="C1290" s="30"/>
      <c r="D1290" s="32" t="s">
        <v>2714</v>
      </c>
      <c r="E1290" s="32"/>
    </row>
    <row r="1291" spans="2:5" x14ac:dyDescent="0.35">
      <c r="B1291" s="93" t="s">
        <v>2715</v>
      </c>
      <c r="C1291" s="30"/>
      <c r="D1291" s="32" t="s">
        <v>2716</v>
      </c>
      <c r="E1291" s="32"/>
    </row>
    <row r="1292" spans="2:5" ht="25" x14ac:dyDescent="0.35">
      <c r="B1292" s="64" t="s">
        <v>2717</v>
      </c>
      <c r="C1292" s="30"/>
      <c r="D1292" s="32" t="s">
        <v>2718</v>
      </c>
      <c r="E1292" s="32"/>
    </row>
    <row r="1293" spans="2:5" ht="25" x14ac:dyDescent="0.35">
      <c r="B1293" s="64" t="s">
        <v>2719</v>
      </c>
      <c r="C1293" s="30"/>
      <c r="D1293" s="32" t="s">
        <v>2720</v>
      </c>
      <c r="E1293" s="32"/>
    </row>
    <row r="1294" spans="2:5" ht="25" x14ac:dyDescent="0.35">
      <c r="B1294" s="93" t="s">
        <v>2721</v>
      </c>
      <c r="C1294" s="30"/>
      <c r="D1294" s="32" t="s">
        <v>2722</v>
      </c>
      <c r="E1294" s="32"/>
    </row>
    <row r="1295" spans="2:5" ht="25" x14ac:dyDescent="0.35">
      <c r="B1295" s="93" t="s">
        <v>2723</v>
      </c>
      <c r="C1295" s="30"/>
      <c r="D1295" s="32" t="s">
        <v>2724</v>
      </c>
      <c r="E1295" s="32"/>
    </row>
    <row r="1296" spans="2:5" ht="25" x14ac:dyDescent="0.35">
      <c r="B1296" s="93" t="s">
        <v>2725</v>
      </c>
      <c r="C1296" s="30"/>
      <c r="D1296" s="32" t="s">
        <v>2726</v>
      </c>
      <c r="E1296" s="32"/>
    </row>
    <row r="1297" spans="2:5" ht="25" x14ac:dyDescent="0.35">
      <c r="B1297" s="93" t="s">
        <v>2727</v>
      </c>
      <c r="C1297" s="30"/>
      <c r="D1297" s="32" t="s">
        <v>2728</v>
      </c>
      <c r="E1297" s="32"/>
    </row>
    <row r="1298" spans="2:5" ht="25" x14ac:dyDescent="0.35">
      <c r="B1298" s="93" t="s">
        <v>2729</v>
      </c>
      <c r="C1298" s="30"/>
      <c r="D1298" s="32" t="s">
        <v>2730</v>
      </c>
      <c r="E1298" s="32"/>
    </row>
    <row r="1299" spans="2:5" ht="25" x14ac:dyDescent="0.35">
      <c r="B1299" s="93" t="s">
        <v>2731</v>
      </c>
      <c r="C1299" s="30"/>
      <c r="D1299" s="32" t="s">
        <v>2732</v>
      </c>
      <c r="E1299" s="32"/>
    </row>
    <row r="1300" spans="2:5" x14ac:dyDescent="0.35">
      <c r="B1300" s="93" t="s">
        <v>2733</v>
      </c>
      <c r="C1300" s="30"/>
      <c r="D1300" s="32" t="s">
        <v>2734</v>
      </c>
      <c r="E1300" s="32"/>
    </row>
    <row r="1301" spans="2:5" x14ac:dyDescent="0.35">
      <c r="B1301" s="93" t="s">
        <v>2735</v>
      </c>
      <c r="C1301" s="30"/>
      <c r="D1301" s="32" t="s">
        <v>2734</v>
      </c>
      <c r="E1301" s="32"/>
    </row>
    <row r="1302" spans="2:5" x14ac:dyDescent="0.35">
      <c r="B1302" s="93" t="s">
        <v>2736</v>
      </c>
      <c r="C1302" s="30"/>
      <c r="D1302" s="32" t="s">
        <v>2734</v>
      </c>
      <c r="E1302" s="32"/>
    </row>
    <row r="1303" spans="2:5" x14ac:dyDescent="0.35">
      <c r="B1303" s="93" t="s">
        <v>2737</v>
      </c>
      <c r="C1303" s="30"/>
      <c r="D1303" s="32" t="s">
        <v>2738</v>
      </c>
      <c r="E1303" s="32"/>
    </row>
    <row r="1304" spans="2:5" x14ac:dyDescent="0.35">
      <c r="B1304" s="93" t="s">
        <v>2739</v>
      </c>
      <c r="C1304" s="30"/>
      <c r="D1304" s="32" t="s">
        <v>2740</v>
      </c>
      <c r="E1304" s="32"/>
    </row>
    <row r="1305" spans="2:5" x14ac:dyDescent="0.35">
      <c r="B1305" s="93" t="s">
        <v>2741</v>
      </c>
      <c r="C1305" s="30"/>
      <c r="D1305" s="32" t="s">
        <v>2742</v>
      </c>
      <c r="E1305" s="32"/>
    </row>
    <row r="1306" spans="2:5" x14ac:dyDescent="0.35">
      <c r="B1306" s="93" t="s">
        <v>2743</v>
      </c>
      <c r="C1306" s="30"/>
      <c r="D1306" s="32" t="s">
        <v>2744</v>
      </c>
      <c r="E1306" s="32"/>
    </row>
    <row r="1307" spans="2:5" x14ac:dyDescent="0.35">
      <c r="B1307" s="93" t="s">
        <v>2745</v>
      </c>
      <c r="C1307" s="30"/>
      <c r="D1307" s="32" t="s">
        <v>2746</v>
      </c>
      <c r="E1307" s="32"/>
    </row>
    <row r="1308" spans="2:5" x14ac:dyDescent="0.35">
      <c r="B1308" s="93" t="s">
        <v>2747</v>
      </c>
      <c r="C1308" s="30"/>
      <c r="D1308" s="32" t="s">
        <v>2748</v>
      </c>
      <c r="E1308" s="32"/>
    </row>
    <row r="1309" spans="2:5" x14ac:dyDescent="0.35">
      <c r="B1309" s="93" t="s">
        <v>2749</v>
      </c>
      <c r="C1309" s="30"/>
      <c r="D1309" s="32" t="s">
        <v>2750</v>
      </c>
      <c r="E1309" s="32"/>
    </row>
    <row r="1310" spans="2:5" x14ac:dyDescent="0.35">
      <c r="B1310" s="93" t="s">
        <v>2751</v>
      </c>
      <c r="C1310" s="30"/>
      <c r="D1310" s="32" t="s">
        <v>2752</v>
      </c>
      <c r="E1310" s="32"/>
    </row>
    <row r="1311" spans="2:5" x14ac:dyDescent="0.35">
      <c r="B1311" s="93" t="s">
        <v>2753</v>
      </c>
      <c r="C1311" s="30"/>
      <c r="D1311" s="32" t="s">
        <v>2754</v>
      </c>
      <c r="E1311" s="32"/>
    </row>
    <row r="1312" spans="2:5" x14ac:dyDescent="0.35">
      <c r="B1312" s="93" t="s">
        <v>2755</v>
      </c>
      <c r="C1312" s="30"/>
      <c r="D1312" s="32" t="s">
        <v>2756</v>
      </c>
      <c r="E1312" s="32"/>
    </row>
    <row r="1313" spans="2:5" x14ac:dyDescent="0.35">
      <c r="B1313" s="93" t="s">
        <v>2757</v>
      </c>
      <c r="C1313" s="30"/>
      <c r="D1313" s="32" t="s">
        <v>2758</v>
      </c>
      <c r="E1313" s="32"/>
    </row>
    <row r="1314" spans="2:5" x14ac:dyDescent="0.35">
      <c r="B1314" s="93" t="s">
        <v>2759</v>
      </c>
      <c r="C1314" s="30"/>
      <c r="D1314" s="32" t="s">
        <v>2760</v>
      </c>
      <c r="E1314" s="32"/>
    </row>
    <row r="1315" spans="2:5" x14ac:dyDescent="0.35">
      <c r="B1315" s="93" t="s">
        <v>2761</v>
      </c>
      <c r="C1315" s="30"/>
      <c r="D1315" s="32" t="s">
        <v>2762</v>
      </c>
      <c r="E1315" s="32"/>
    </row>
    <row r="1316" spans="2:5" x14ac:dyDescent="0.35">
      <c r="B1316" s="93" t="s">
        <v>2763</v>
      </c>
      <c r="C1316" s="30"/>
      <c r="D1316" s="32" t="s">
        <v>2764</v>
      </c>
      <c r="E1316" s="32"/>
    </row>
    <row r="1317" spans="2:5" x14ac:dyDescent="0.35">
      <c r="B1317" s="93" t="s">
        <v>2765</v>
      </c>
      <c r="C1317" s="30"/>
      <c r="D1317" s="32" t="s">
        <v>2766</v>
      </c>
      <c r="E1317" s="32"/>
    </row>
    <row r="1318" spans="2:5" x14ac:dyDescent="0.35">
      <c r="B1318" s="93" t="s">
        <v>2767</v>
      </c>
      <c r="C1318" s="30"/>
      <c r="D1318" s="32" t="s">
        <v>2768</v>
      </c>
      <c r="E1318" s="32"/>
    </row>
    <row r="1319" spans="2:5" x14ac:dyDescent="0.35">
      <c r="B1319" s="93" t="s">
        <v>2769</v>
      </c>
      <c r="C1319" s="30"/>
      <c r="D1319" s="32" t="s">
        <v>2770</v>
      </c>
      <c r="E1319" s="32"/>
    </row>
    <row r="1320" spans="2:5" x14ac:dyDescent="0.35">
      <c r="B1320" s="93" t="s">
        <v>2771</v>
      </c>
      <c r="C1320" s="30"/>
      <c r="D1320" s="32" t="s">
        <v>2772</v>
      </c>
      <c r="E1320" s="32"/>
    </row>
    <row r="1321" spans="2:5" x14ac:dyDescent="0.35">
      <c r="B1321" s="93" t="s">
        <v>2773</v>
      </c>
      <c r="C1321" s="30"/>
      <c r="D1321" s="32" t="s">
        <v>2774</v>
      </c>
      <c r="E1321" s="32"/>
    </row>
    <row r="1322" spans="2:5" x14ac:dyDescent="0.35">
      <c r="B1322" s="93" t="s">
        <v>2775</v>
      </c>
      <c r="C1322" s="30"/>
      <c r="D1322" s="32" t="s">
        <v>2776</v>
      </c>
      <c r="E1322" s="32"/>
    </row>
    <row r="1323" spans="2:5" ht="50" x14ac:dyDescent="0.35">
      <c r="B1323" s="96" t="s">
        <v>2777</v>
      </c>
      <c r="C1323" s="30"/>
      <c r="D1323" s="96" t="s">
        <v>2778</v>
      </c>
      <c r="E1323" s="32"/>
    </row>
    <row r="1324" spans="2:5" x14ac:dyDescent="0.35">
      <c r="B1324" s="93" t="s">
        <v>2779</v>
      </c>
      <c r="C1324" s="30"/>
      <c r="D1324" s="32" t="s">
        <v>2780</v>
      </c>
      <c r="E1324" s="32"/>
    </row>
    <row r="1325" spans="2:5" x14ac:dyDescent="0.35">
      <c r="B1325" s="93" t="s">
        <v>2781</v>
      </c>
      <c r="C1325" s="30"/>
      <c r="D1325" s="32" t="s">
        <v>2782</v>
      </c>
      <c r="E1325" s="32"/>
    </row>
    <row r="1326" spans="2:5" x14ac:dyDescent="0.35">
      <c r="B1326" s="93" t="s">
        <v>2783</v>
      </c>
      <c r="C1326" s="30"/>
      <c r="D1326" s="32" t="s">
        <v>2784</v>
      </c>
      <c r="E1326" s="32"/>
    </row>
    <row r="1327" spans="2:5" x14ac:dyDescent="0.35">
      <c r="B1327" s="93" t="s">
        <v>2785</v>
      </c>
      <c r="C1327" s="30"/>
      <c r="D1327" s="32" t="s">
        <v>2786</v>
      </c>
      <c r="E1327" s="32"/>
    </row>
    <row r="1328" spans="2:5" x14ac:dyDescent="0.35">
      <c r="B1328" s="93" t="s">
        <v>2787</v>
      </c>
      <c r="C1328" s="30"/>
      <c r="D1328" s="32" t="s">
        <v>2788</v>
      </c>
      <c r="E1328" s="32"/>
    </row>
    <row r="1329" spans="2:5" x14ac:dyDescent="0.35">
      <c r="B1329" s="93" t="s">
        <v>2789</v>
      </c>
      <c r="C1329" s="30"/>
      <c r="D1329" s="32" t="s">
        <v>2790</v>
      </c>
      <c r="E1329" s="32"/>
    </row>
    <row r="1330" spans="2:5" x14ac:dyDescent="0.35">
      <c r="B1330" s="93" t="s">
        <v>2792</v>
      </c>
      <c r="C1330" s="30"/>
      <c r="D1330" s="32" t="s">
        <v>2793</v>
      </c>
      <c r="E1330" s="32"/>
    </row>
    <row r="1331" spans="2:5" x14ac:dyDescent="0.35">
      <c r="B1331" s="93" t="s">
        <v>2794</v>
      </c>
      <c r="C1331" s="30"/>
      <c r="D1331" s="32" t="s">
        <v>2795</v>
      </c>
      <c r="E1331" s="32"/>
    </row>
    <row r="1332" spans="2:5" x14ac:dyDescent="0.35">
      <c r="B1332" s="93" t="s">
        <v>2796</v>
      </c>
      <c r="C1332" s="30"/>
      <c r="D1332" s="32" t="s">
        <v>2797</v>
      </c>
      <c r="E1332" s="32"/>
    </row>
    <row r="1333" spans="2:5" x14ac:dyDescent="0.35">
      <c r="B1333" s="93" t="s">
        <v>2798</v>
      </c>
      <c r="C1333" s="30"/>
      <c r="D1333" s="32" t="s">
        <v>2799</v>
      </c>
      <c r="E1333" s="32"/>
    </row>
    <row r="1334" spans="2:5" x14ac:dyDescent="0.35">
      <c r="B1334" s="93" t="s">
        <v>2800</v>
      </c>
      <c r="C1334" s="30"/>
      <c r="D1334" s="32" t="s">
        <v>2801</v>
      </c>
      <c r="E1334" s="32"/>
    </row>
    <row r="1335" spans="2:5" x14ac:dyDescent="0.35">
      <c r="B1335" s="93" t="s">
        <v>2802</v>
      </c>
      <c r="C1335" s="30"/>
      <c r="D1335" s="32" t="s">
        <v>2802</v>
      </c>
      <c r="E1335" s="32"/>
    </row>
    <row r="1336" spans="2:5" x14ac:dyDescent="0.35">
      <c r="B1336" s="93" t="s">
        <v>1064</v>
      </c>
      <c r="C1336" s="30"/>
      <c r="D1336" s="32"/>
      <c r="E1336" s="32"/>
    </row>
    <row r="1337" spans="2:5" x14ac:dyDescent="0.35">
      <c r="B1337" s="64" t="s">
        <v>2804</v>
      </c>
      <c r="C1337" s="30"/>
      <c r="D1337" s="32" t="s">
        <v>2805</v>
      </c>
      <c r="E1337" s="32"/>
    </row>
    <row r="1338" spans="2:5" x14ac:dyDescent="0.35">
      <c r="B1338" s="93" t="s">
        <v>2806</v>
      </c>
      <c r="C1338" s="30"/>
      <c r="D1338" s="32" t="s">
        <v>2807</v>
      </c>
      <c r="E1338" s="32"/>
    </row>
    <row r="1339" spans="2:5" x14ac:dyDescent="0.35">
      <c r="B1339" s="93" t="s">
        <v>2810</v>
      </c>
      <c r="C1339" s="30"/>
      <c r="D1339" s="32" t="s">
        <v>2811</v>
      </c>
      <c r="E1339" s="32"/>
    </row>
    <row r="1340" spans="2:5" x14ac:dyDescent="0.35">
      <c r="B1340" s="93" t="s">
        <v>2814</v>
      </c>
      <c r="C1340" s="30"/>
      <c r="D1340" s="32" t="s">
        <v>2815</v>
      </c>
      <c r="E1340" s="32"/>
    </row>
    <row r="1341" spans="2:5" x14ac:dyDescent="0.35">
      <c r="B1341" s="93" t="s">
        <v>2816</v>
      </c>
      <c r="C1341" s="30"/>
      <c r="D1341" s="32" t="s">
        <v>2817</v>
      </c>
      <c r="E1341" s="32"/>
    </row>
    <row r="1342" spans="2:5" x14ac:dyDescent="0.35">
      <c r="B1342" s="93" t="s">
        <v>2818</v>
      </c>
      <c r="C1342" s="30"/>
      <c r="D1342" s="32" t="s">
        <v>2819</v>
      </c>
      <c r="E1342" s="32"/>
    </row>
    <row r="1343" spans="2:5" x14ac:dyDescent="0.35">
      <c r="B1343" s="93" t="s">
        <v>2820</v>
      </c>
      <c r="C1343" s="30"/>
      <c r="D1343" s="32" t="s">
        <v>2820</v>
      </c>
      <c r="E1343" s="32"/>
    </row>
    <row r="1344" spans="2:5" x14ac:dyDescent="0.35">
      <c r="B1344" s="93" t="s">
        <v>2821</v>
      </c>
      <c r="C1344" s="30"/>
      <c r="D1344" s="32" t="s">
        <v>2822</v>
      </c>
      <c r="E1344" s="32"/>
    </row>
    <row r="1345" spans="2:5" x14ac:dyDescent="0.35">
      <c r="B1345" s="93" t="s">
        <v>2823</v>
      </c>
      <c r="C1345" s="30"/>
      <c r="D1345" s="32" t="s">
        <v>2824</v>
      </c>
      <c r="E1345" s="32"/>
    </row>
    <row r="1346" spans="2:5" x14ac:dyDescent="0.35">
      <c r="B1346" s="93" t="s">
        <v>2825</v>
      </c>
      <c r="C1346" s="30"/>
      <c r="D1346" s="32" t="s">
        <v>2826</v>
      </c>
      <c r="E1346" s="32"/>
    </row>
    <row r="1347" spans="2:5" x14ac:dyDescent="0.35">
      <c r="B1347" s="93" t="s">
        <v>2827</v>
      </c>
      <c r="C1347" s="30"/>
      <c r="D1347" s="32" t="s">
        <v>2828</v>
      </c>
      <c r="E1347" s="32"/>
    </row>
    <row r="1348" spans="2:5" x14ac:dyDescent="0.35">
      <c r="B1348" s="93" t="s">
        <v>2829</v>
      </c>
      <c r="C1348" s="30"/>
      <c r="D1348" s="32" t="s">
        <v>2830</v>
      </c>
      <c r="E1348" s="32"/>
    </row>
    <row r="1349" spans="2:5" x14ac:dyDescent="0.35">
      <c r="B1349" s="93" t="s">
        <v>2831</v>
      </c>
      <c r="C1349" s="30"/>
      <c r="D1349" s="32" t="s">
        <v>2832</v>
      </c>
      <c r="E1349" s="32"/>
    </row>
    <row r="1350" spans="2:5" x14ac:dyDescent="0.35">
      <c r="B1350" s="93" t="s">
        <v>2833</v>
      </c>
      <c r="C1350" s="30"/>
      <c r="D1350" s="32" t="s">
        <v>2834</v>
      </c>
      <c r="E1350" s="32"/>
    </row>
    <row r="1351" spans="2:5" x14ac:dyDescent="0.35">
      <c r="B1351" s="93" t="s">
        <v>2835</v>
      </c>
      <c r="C1351" s="30"/>
      <c r="D1351" s="32" t="s">
        <v>2836</v>
      </c>
      <c r="E1351" s="32"/>
    </row>
    <row r="1352" spans="2:5" x14ac:dyDescent="0.35">
      <c r="B1352" s="93" t="s">
        <v>2837</v>
      </c>
      <c r="C1352" s="30"/>
      <c r="D1352" s="32" t="s">
        <v>2838</v>
      </c>
      <c r="E1352" s="32"/>
    </row>
    <row r="1353" spans="2:5" x14ac:dyDescent="0.35">
      <c r="B1353" s="93" t="s">
        <v>2839</v>
      </c>
      <c r="C1353" s="30"/>
      <c r="D1353" s="32" t="s">
        <v>2840</v>
      </c>
      <c r="E1353" s="32"/>
    </row>
    <row r="1354" spans="2:5" x14ac:dyDescent="0.35">
      <c r="B1354" s="93" t="s">
        <v>2841</v>
      </c>
      <c r="C1354" s="30"/>
      <c r="D1354" s="32" t="s">
        <v>2842</v>
      </c>
      <c r="E1354" s="32"/>
    </row>
    <row r="1355" spans="2:5" x14ac:dyDescent="0.35">
      <c r="B1355" s="93" t="s">
        <v>2843</v>
      </c>
      <c r="C1355" s="30"/>
      <c r="D1355" s="32" t="s">
        <v>2844</v>
      </c>
      <c r="E1355" s="32"/>
    </row>
    <row r="1356" spans="2:5" x14ac:dyDescent="0.35">
      <c r="B1356" s="93" t="s">
        <v>2845</v>
      </c>
      <c r="C1356" s="30"/>
      <c r="D1356" s="32" t="s">
        <v>2846</v>
      </c>
      <c r="E1356" s="32"/>
    </row>
    <row r="1357" spans="2:5" x14ac:dyDescent="0.35">
      <c r="B1357" s="93" t="s">
        <v>2847</v>
      </c>
      <c r="C1357" s="30"/>
      <c r="D1357" s="32" t="s">
        <v>2848</v>
      </c>
      <c r="E1357" s="32"/>
    </row>
    <row r="1358" spans="2:5" ht="25" x14ac:dyDescent="0.35">
      <c r="B1358" s="93" t="s">
        <v>2849</v>
      </c>
      <c r="C1358" s="30"/>
      <c r="D1358" s="93" t="s">
        <v>2850</v>
      </c>
      <c r="E1358" s="32"/>
    </row>
    <row r="1359" spans="2:5" x14ac:dyDescent="0.35">
      <c r="B1359" s="93" t="s">
        <v>2851</v>
      </c>
      <c r="C1359" s="30"/>
      <c r="D1359" s="32" t="s">
        <v>2852</v>
      </c>
      <c r="E1359" s="32"/>
    </row>
    <row r="1360" spans="2:5" x14ac:dyDescent="0.35">
      <c r="B1360" s="93" t="s">
        <v>2853</v>
      </c>
      <c r="C1360" s="30"/>
      <c r="D1360" s="32" t="s">
        <v>2854</v>
      </c>
      <c r="E1360" s="32"/>
    </row>
    <row r="1361" spans="2:5" x14ac:dyDescent="0.35">
      <c r="B1361" s="93" t="s">
        <v>2855</v>
      </c>
      <c r="C1361" s="30"/>
      <c r="D1361" s="32" t="s">
        <v>2856</v>
      </c>
      <c r="E1361" s="32"/>
    </row>
    <row r="1362" spans="2:5" x14ac:dyDescent="0.35">
      <c r="B1362" s="93" t="s">
        <v>2857</v>
      </c>
      <c r="C1362" s="30"/>
      <c r="D1362" s="32" t="s">
        <v>2858</v>
      </c>
      <c r="E1362" s="32"/>
    </row>
    <row r="1363" spans="2:5" x14ac:dyDescent="0.35">
      <c r="B1363" s="93" t="s">
        <v>2859</v>
      </c>
      <c r="C1363" s="30"/>
      <c r="D1363" s="32" t="s">
        <v>2860</v>
      </c>
      <c r="E1363" s="32"/>
    </row>
    <row r="1364" spans="2:5" x14ac:dyDescent="0.35">
      <c r="B1364" s="93" t="s">
        <v>2861</v>
      </c>
      <c r="C1364" s="30"/>
      <c r="D1364" s="32" t="s">
        <v>2862</v>
      </c>
      <c r="E1364" s="32"/>
    </row>
    <row r="1365" spans="2:5" x14ac:dyDescent="0.35">
      <c r="B1365" s="93" t="s">
        <v>2863</v>
      </c>
      <c r="C1365" s="30"/>
      <c r="D1365" s="32" t="s">
        <v>2864</v>
      </c>
      <c r="E1365" s="32"/>
    </row>
    <row r="1366" spans="2:5" x14ac:dyDescent="0.35">
      <c r="B1366" s="93" t="s">
        <v>2865</v>
      </c>
      <c r="C1366" s="30"/>
      <c r="D1366" s="32" t="s">
        <v>2866</v>
      </c>
      <c r="E1366" s="32"/>
    </row>
    <row r="1367" spans="2:5" ht="25" x14ac:dyDescent="0.35">
      <c r="B1367" s="93" t="s">
        <v>2867</v>
      </c>
      <c r="C1367" s="30"/>
      <c r="D1367" s="93" t="s">
        <v>2868</v>
      </c>
      <c r="E1367" s="32"/>
    </row>
    <row r="1368" spans="2:5" x14ac:dyDescent="0.35">
      <c r="B1368" s="93" t="s">
        <v>2869</v>
      </c>
      <c r="C1368" s="30"/>
      <c r="D1368" s="32" t="s">
        <v>2870</v>
      </c>
      <c r="E1368" s="32"/>
    </row>
    <row r="1369" spans="2:5" x14ac:dyDescent="0.35">
      <c r="B1369" s="93" t="s">
        <v>2871</v>
      </c>
      <c r="C1369" s="30"/>
      <c r="D1369" s="32" t="s">
        <v>2872</v>
      </c>
      <c r="E1369" s="32"/>
    </row>
    <row r="1370" spans="2:5" x14ac:dyDescent="0.35">
      <c r="B1370" s="93" t="s">
        <v>2873</v>
      </c>
      <c r="C1370" s="30"/>
      <c r="D1370" s="32" t="s">
        <v>2874</v>
      </c>
      <c r="E1370" s="32"/>
    </row>
    <row r="1371" spans="2:5" x14ac:dyDescent="0.35">
      <c r="B1371" s="93" t="s">
        <v>2875</v>
      </c>
      <c r="C1371" s="30"/>
      <c r="D1371" s="32" t="s">
        <v>2876</v>
      </c>
      <c r="E1371" s="32"/>
    </row>
    <row r="1372" spans="2:5" ht="25" x14ac:dyDescent="0.35">
      <c r="B1372" s="93" t="s">
        <v>2877</v>
      </c>
      <c r="C1372" s="30"/>
      <c r="D1372" s="93" t="s">
        <v>2878</v>
      </c>
      <c r="E1372" s="32"/>
    </row>
    <row r="1373" spans="2:5" x14ac:dyDescent="0.35">
      <c r="B1373" s="93" t="s">
        <v>2879</v>
      </c>
      <c r="C1373" s="30"/>
      <c r="D1373" s="32" t="s">
        <v>2880</v>
      </c>
      <c r="E1373" s="32"/>
    </row>
    <row r="1374" spans="2:5" x14ac:dyDescent="0.35">
      <c r="B1374" s="93" t="s">
        <v>2881</v>
      </c>
      <c r="C1374" s="30"/>
      <c r="D1374" s="32" t="s">
        <v>2882</v>
      </c>
      <c r="E1374" s="32"/>
    </row>
    <row r="1375" spans="2:5" x14ac:dyDescent="0.35">
      <c r="B1375" s="93" t="s">
        <v>2883</v>
      </c>
      <c r="C1375" s="30" t="s">
        <v>2884</v>
      </c>
      <c r="D1375" s="32" t="s">
        <v>2885</v>
      </c>
      <c r="E1375" s="32"/>
    </row>
    <row r="1376" spans="2:5" x14ac:dyDescent="0.35">
      <c r="B1376" s="93" t="s">
        <v>2886</v>
      </c>
      <c r="C1376" s="30"/>
      <c r="D1376" s="32" t="s">
        <v>2887</v>
      </c>
      <c r="E1376" s="32"/>
    </row>
    <row r="1377" spans="2:5" x14ac:dyDescent="0.35">
      <c r="B1377" s="93" t="s">
        <v>2888</v>
      </c>
      <c r="C1377" s="30"/>
      <c r="D1377" s="32" t="s">
        <v>2889</v>
      </c>
      <c r="E1377" s="32"/>
    </row>
    <row r="1378" spans="2:5" x14ac:dyDescent="0.35">
      <c r="B1378" s="93" t="s">
        <v>2890</v>
      </c>
      <c r="C1378" s="30"/>
      <c r="D1378" s="32" t="s">
        <v>2891</v>
      </c>
      <c r="E1378" s="32"/>
    </row>
    <row r="1379" spans="2:5" x14ac:dyDescent="0.35">
      <c r="B1379" s="93" t="s">
        <v>2892</v>
      </c>
      <c r="C1379" s="30"/>
      <c r="D1379" s="32" t="s">
        <v>2893</v>
      </c>
      <c r="E1379" s="32"/>
    </row>
    <row r="1380" spans="2:5" x14ac:dyDescent="0.35">
      <c r="B1380" s="93" t="s">
        <v>2894</v>
      </c>
      <c r="C1380" s="30"/>
      <c r="D1380" s="32" t="s">
        <v>2895</v>
      </c>
      <c r="E1380" s="32"/>
    </row>
    <row r="1381" spans="2:5" x14ac:dyDescent="0.35">
      <c r="B1381" s="93" t="s">
        <v>2896</v>
      </c>
      <c r="C1381" s="30"/>
      <c r="D1381" s="32" t="s">
        <v>2897</v>
      </c>
      <c r="E1381" s="32"/>
    </row>
    <row r="1382" spans="2:5" x14ac:dyDescent="0.35">
      <c r="B1382" s="93" t="s">
        <v>2898</v>
      </c>
      <c r="C1382" s="30"/>
      <c r="D1382" s="32" t="s">
        <v>2899</v>
      </c>
      <c r="E1382" s="32"/>
    </row>
    <row r="1383" spans="2:5" x14ac:dyDescent="0.35">
      <c r="B1383" s="132" t="s">
        <v>2996</v>
      </c>
      <c r="C1383" s="30"/>
      <c r="D1383" s="32" t="s">
        <v>2995</v>
      </c>
      <c r="E1383" s="32"/>
    </row>
    <row r="1384" spans="2:5" ht="25" x14ac:dyDescent="0.35">
      <c r="B1384" s="135" t="s">
        <v>3013</v>
      </c>
      <c r="C1384" s="30"/>
      <c r="D1384" s="135" t="s">
        <v>3014</v>
      </c>
      <c r="E1384" s="136"/>
    </row>
    <row r="1385" spans="2:5" x14ac:dyDescent="0.35">
      <c r="B1385" s="93" t="s">
        <v>3026</v>
      </c>
      <c r="C1385" s="30"/>
      <c r="D1385" s="32" t="s">
        <v>3027</v>
      </c>
      <c r="E1385" s="32"/>
    </row>
    <row r="1386" spans="2:5" x14ac:dyDescent="0.35">
      <c r="B1386" s="93" t="s">
        <v>3304</v>
      </c>
      <c r="C1386" s="30"/>
      <c r="D1386" s="32" t="s">
        <v>3307</v>
      </c>
      <c r="E1386" s="32"/>
    </row>
    <row r="1387" spans="2:5" x14ac:dyDescent="0.35">
      <c r="B1387" s="93" t="s">
        <v>3305</v>
      </c>
      <c r="C1387" s="30"/>
      <c r="D1387" s="32" t="s">
        <v>3308</v>
      </c>
      <c r="E1387" s="32"/>
    </row>
    <row r="1388" spans="2:5" x14ac:dyDescent="0.35">
      <c r="B1388" s="366" t="s">
        <v>3306</v>
      </c>
      <c r="C1388" s="367"/>
      <c r="D1388" s="368" t="s">
        <v>3309</v>
      </c>
      <c r="E1388" s="368"/>
    </row>
  </sheetData>
  <sheetProtection sheet="1" objects="1" scenarios="1"/>
  <pageMargins left="0.7" right="0.7" top="0.75" bottom="0.75" header="0.3" footer="0.3"/>
  <pageSetup paperSize="9" orientation="portrait" horizontalDpi="300" verticalDpi="300" r:id="rId1"/>
  <tableParts count="1">
    <tablePart r:id="rId2"/>
  </tablePart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tabColor rgb="FFFFCC99"/>
  </sheetPr>
  <dimension ref="A1:AO795"/>
  <sheetViews>
    <sheetView topLeftCell="AC1" zoomScaleNormal="100" workbookViewId="0">
      <selection activeCell="R27" sqref="R27"/>
    </sheetView>
  </sheetViews>
  <sheetFormatPr defaultRowHeight="15.5" x14ac:dyDescent="0.35"/>
  <cols>
    <col min="1" max="1" width="2.765625" customWidth="1"/>
    <col min="3" max="3" width="4.84375" customWidth="1"/>
    <col min="4" max="4" width="4.07421875" customWidth="1"/>
    <col min="5" max="5" width="4.4609375" customWidth="1"/>
    <col min="7" max="7" width="8.3046875" bestFit="1" customWidth="1"/>
    <col min="8" max="8" width="7.765625" bestFit="1" customWidth="1"/>
    <col min="9" max="9" width="7.53515625" bestFit="1" customWidth="1"/>
    <col min="10" max="10" width="5.53515625" customWidth="1"/>
    <col min="17" max="17" width="5.4609375" bestFit="1" customWidth="1"/>
    <col min="18" max="18" width="2.765625" customWidth="1"/>
    <col min="19" max="19" width="6.3046875" customWidth="1"/>
    <col min="20" max="20" width="5.23046875" customWidth="1"/>
    <col min="21" max="21" width="7.765625" customWidth="1"/>
    <col min="23" max="23" width="12.69140625" customWidth="1"/>
    <col min="24" max="24" width="9.23046875" customWidth="1"/>
    <col min="29" max="29" width="2.765625" customWidth="1"/>
    <col min="30" max="30" width="11.69140625" style="98" bestFit="1" customWidth="1"/>
    <col min="31" max="31" width="6.84375" customWidth="1"/>
    <col min="32" max="32" width="5.3046875" customWidth="1"/>
    <col min="33" max="33" width="3.53515625" customWidth="1"/>
    <col min="34" max="34" width="39.3046875" customWidth="1"/>
    <col min="35" max="35" width="3.69140625" customWidth="1"/>
    <col min="36" max="36" width="7.69140625" customWidth="1"/>
    <col min="37" max="37" width="9.69140625" bestFit="1" customWidth="1"/>
    <col min="38" max="38" width="2.765625" customWidth="1"/>
    <col min="39" max="41" width="66.765625" style="98" customWidth="1"/>
  </cols>
  <sheetData>
    <row r="1" spans="1:41" x14ac:dyDescent="0.35">
      <c r="S1" s="193" t="s">
        <v>3056</v>
      </c>
      <c r="AH1" s="334" t="str">
        <f>"&gt;="&amp;Year-202</f>
        <v>&gt;=202223</v>
      </c>
      <c r="AK1" s="335" t="s">
        <v>284</v>
      </c>
    </row>
    <row r="2" spans="1:41" x14ac:dyDescent="0.35">
      <c r="B2" s="194" t="s">
        <v>3045</v>
      </c>
      <c r="AD2" s="194" t="s">
        <v>3048</v>
      </c>
    </row>
    <row r="3" spans="1:41" x14ac:dyDescent="0.35">
      <c r="A3" s="98"/>
      <c r="B3" s="183" t="s">
        <v>115</v>
      </c>
      <c r="C3" s="184" t="s">
        <v>107</v>
      </c>
      <c r="D3" s="184" t="s">
        <v>108</v>
      </c>
      <c r="E3" s="184" t="s">
        <v>109</v>
      </c>
      <c r="F3" s="184" t="s">
        <v>114</v>
      </c>
      <c r="G3" s="185" t="s">
        <v>3035</v>
      </c>
      <c r="H3" s="186" t="s">
        <v>3036</v>
      </c>
      <c r="I3" s="186" t="s">
        <v>3037</v>
      </c>
      <c r="J3" s="187" t="s">
        <v>3038</v>
      </c>
      <c r="K3" s="184" t="s">
        <v>3039</v>
      </c>
      <c r="L3" s="184" t="s">
        <v>3040</v>
      </c>
      <c r="M3" s="184" t="s">
        <v>2818</v>
      </c>
      <c r="N3" s="184" t="s">
        <v>3041</v>
      </c>
      <c r="O3" s="184" t="s">
        <v>3042</v>
      </c>
      <c r="P3" s="184" t="s">
        <v>3043</v>
      </c>
      <c r="Q3" s="188" t="s">
        <v>3044</v>
      </c>
      <c r="S3" s="8"/>
      <c r="T3" s="193" t="s">
        <v>296</v>
      </c>
      <c r="U3" s="198" t="s">
        <v>190</v>
      </c>
      <c r="V3" s="193" t="s">
        <v>3049</v>
      </c>
      <c r="W3" s="193" t="s">
        <v>3057</v>
      </c>
      <c r="X3" s="193" t="s">
        <v>3058</v>
      </c>
      <c r="Y3" s="193" t="s">
        <v>3059</v>
      </c>
      <c r="AA3" s="195"/>
      <c r="AB3" s="195"/>
      <c r="AD3" s="98" t="s">
        <v>3055</v>
      </c>
      <c r="AE3" s="98" t="s">
        <v>107</v>
      </c>
      <c r="AF3" s="98" t="s">
        <v>114</v>
      </c>
      <c r="AG3" s="98" t="s">
        <v>108</v>
      </c>
      <c r="AH3" s="98" t="s">
        <v>3049</v>
      </c>
      <c r="AI3" s="98" t="s">
        <v>109</v>
      </c>
      <c r="AJ3" s="98" t="s">
        <v>115</v>
      </c>
      <c r="AK3" s="98" t="s">
        <v>89</v>
      </c>
      <c r="AM3" s="210" t="s">
        <v>3070</v>
      </c>
    </row>
    <row r="4" spans="1:41" x14ac:dyDescent="0.35">
      <c r="A4" s="98"/>
      <c r="B4" s="189" t="str">
        <f t="shared" ref="B4:B20" si="0">LEFT(Year,4)&amp;RIGHT(Year,2)</f>
        <v>202425</v>
      </c>
      <c r="C4" s="190" t="s">
        <v>1</v>
      </c>
      <c r="D4" s="190">
        <f t="shared" ref="D4:D17" si="1">T4</f>
        <v>1</v>
      </c>
      <c r="E4" s="190">
        <f>1</f>
        <v>1</v>
      </c>
      <c r="F4" s="190">
        <f t="shared" ref="F4:F20" si="2">UANumber</f>
        <v>0</v>
      </c>
      <c r="G4" s="203" t="e">
        <f t="shared" ref="G4:G20" si="3">VLOOKUP($D4,LineData,2,FALSE)</f>
        <v>#N/A</v>
      </c>
      <c r="H4" s="203" t="e">
        <f t="shared" ref="H4:H20" si="4">VLOOKUP($D4,LineData,3,FALSE)</f>
        <v>#N/A</v>
      </c>
      <c r="I4" s="203">
        <f t="shared" ref="I4:I20" si="5">VLOOKUP($D4,LineData,4,FALSE)</f>
        <v>0</v>
      </c>
      <c r="J4" s="206">
        <f t="shared" ref="J4:J20" si="6">VLOOKUP($D4,LineData,10,FALSE)</f>
        <v>0</v>
      </c>
      <c r="K4" s="191">
        <f t="shared" ref="K4:K20" si="7">VLOOKUP($D4,LineData,11,FALSE)</f>
        <v>0</v>
      </c>
      <c r="L4" s="191">
        <f t="shared" ref="L4:L20" si="8">VLOOKUP($D4,LineData,12,FALSE)</f>
        <v>0</v>
      </c>
      <c r="M4" s="206">
        <f t="shared" ref="M4:M20" si="9">VLOOKUP($D4,LineData,13,FALSE)</f>
        <v>0</v>
      </c>
      <c r="N4" s="206">
        <f t="shared" ref="N4:N20" si="10">VLOOKUP($D4,LineData,14,FALSE)</f>
        <v>0</v>
      </c>
      <c r="O4" s="206">
        <f t="shared" ref="O4:O20" si="11">VLOOKUP($D4,LineData,15,FALSE)</f>
        <v>0</v>
      </c>
      <c r="P4" s="206">
        <f t="shared" ref="P4:P20" si="12">VLOOKUP($D4,LineData,16,FALSE)</f>
        <v>0</v>
      </c>
      <c r="Q4" s="192">
        <f>IF(ISERROR(VLOOKUP($D4,ValData!$S$4:$AB$16,10,FALSE)),0,IF(VLOOKUP($D4,ValData!$S$4:$AB$16,10,FALSE)="",0,VLOOKUP($D4,ValData!$S$4:$AB$16,10,FALSE)))</f>
        <v>0</v>
      </c>
      <c r="T4" s="98">
        <v>1</v>
      </c>
      <c r="U4" s="197" t="s">
        <v>190</v>
      </c>
      <c r="V4" s="98" t="s">
        <v>3050</v>
      </c>
      <c r="X4" s="98" t="str">
        <f>VLOOKUP(T4,Text!$A$28:$D$47,4,FALSE)</f>
        <v>Gofyniad cyllidebol</v>
      </c>
      <c r="AA4" s="195"/>
      <c r="AB4" s="196"/>
      <c r="AD4" s="98" t="str">
        <f t="shared" ref="AD4:AD67" si="13">AF4&amp;"_"&amp;AG4&amp;"_"&amp;AJ4</f>
        <v>512_1_202223</v>
      </c>
      <c r="AE4" s="98" t="s">
        <v>1</v>
      </c>
      <c r="AF4" s="98">
        <v>512</v>
      </c>
      <c r="AG4" s="98">
        <v>1</v>
      </c>
      <c r="AH4" s="98" t="s">
        <v>3050</v>
      </c>
      <c r="AI4" s="98">
        <v>1</v>
      </c>
      <c r="AJ4" s="98">
        <v>202223</v>
      </c>
      <c r="AK4" s="207">
        <v>160017270</v>
      </c>
      <c r="AM4" s="210" t="s">
        <v>306</v>
      </c>
      <c r="AN4" s="210" t="s">
        <v>308</v>
      </c>
      <c r="AO4" s="210" t="s">
        <v>3079</v>
      </c>
    </row>
    <row r="5" spans="1:41" x14ac:dyDescent="0.35">
      <c r="A5" s="98"/>
      <c r="B5" s="189" t="str">
        <f t="shared" si="0"/>
        <v>202425</v>
      </c>
      <c r="C5" s="190" t="s">
        <v>1</v>
      </c>
      <c r="D5" s="190">
        <f t="shared" si="1"/>
        <v>2</v>
      </c>
      <c r="E5" s="190">
        <f>1</f>
        <v>1</v>
      </c>
      <c r="F5" s="190">
        <f t="shared" si="2"/>
        <v>0</v>
      </c>
      <c r="G5" s="204" t="e">
        <f t="shared" si="3"/>
        <v>#N/A</v>
      </c>
      <c r="H5" s="204" t="e">
        <f t="shared" si="4"/>
        <v>#N/A</v>
      </c>
      <c r="I5" s="204">
        <f t="shared" si="5"/>
        <v>0</v>
      </c>
      <c r="J5" s="206" t="e">
        <f t="shared" si="6"/>
        <v>#N/A</v>
      </c>
      <c r="K5" s="191">
        <f t="shared" si="7"/>
        <v>0</v>
      </c>
      <c r="L5" s="191">
        <f t="shared" si="8"/>
        <v>0</v>
      </c>
      <c r="M5" s="206">
        <f t="shared" si="9"/>
        <v>0</v>
      </c>
      <c r="N5" s="206">
        <f t="shared" si="10"/>
        <v>0</v>
      </c>
      <c r="O5" s="206">
        <f t="shared" si="11"/>
        <v>0</v>
      </c>
      <c r="P5" s="206">
        <f t="shared" si="12"/>
        <v>0</v>
      </c>
      <c r="Q5" s="192">
        <f>IF(ISERROR(VLOOKUP($D5,ValData!$S$4:$AB$16,10,FALSE)),0,IF(VLOOKUP($D5,ValData!$S$4:$AB$16,10,FALSE)="",0,VLOOKUP($D5,ValData!$S$4:$AB$16,10,FALSE)))</f>
        <v>0</v>
      </c>
      <c r="T5" s="98">
        <v>2</v>
      </c>
      <c r="U5" s="197" t="s">
        <v>23</v>
      </c>
      <c r="V5" s="98" t="s">
        <v>2</v>
      </c>
      <c r="X5" s="98" t="str">
        <f>VLOOKUP(T5,Text!$A$28:$D$47,4,FALSE)</f>
        <v>Rhyddhad ardrethi annomestig dewisiol</v>
      </c>
      <c r="AA5" s="195"/>
      <c r="AB5" s="196"/>
      <c r="AD5" s="98" t="str">
        <f t="shared" si="13"/>
        <v>514_1_202223</v>
      </c>
      <c r="AE5" s="98" t="s">
        <v>1</v>
      </c>
      <c r="AF5" s="98">
        <v>514</v>
      </c>
      <c r="AG5" s="98">
        <v>1</v>
      </c>
      <c r="AH5" s="98" t="s">
        <v>3050</v>
      </c>
      <c r="AI5" s="98">
        <v>1</v>
      </c>
      <c r="AJ5" s="98">
        <v>202223</v>
      </c>
      <c r="AK5" s="207">
        <v>297391480</v>
      </c>
      <c r="AM5" s="211" t="s">
        <v>3131</v>
      </c>
      <c r="AN5" s="211" t="s">
        <v>3132</v>
      </c>
      <c r="AO5" s="211" t="str">
        <f>IF(Details!$G$3=2,ValData!AM5,ValData!AN5)</f>
        <v>After completing the form - check any flagged figures (marked ‘1’ in the ‘Auto’ column) that are either outside tolerance (&gt;5%) or not equal to zero (see ‘Arithmetic Checks’ section)</v>
      </c>
    </row>
    <row r="6" spans="1:41" x14ac:dyDescent="0.35">
      <c r="A6" s="98"/>
      <c r="B6" s="189" t="str">
        <f t="shared" si="0"/>
        <v>202425</v>
      </c>
      <c r="C6" s="190" t="s">
        <v>1</v>
      </c>
      <c r="D6" s="190">
        <f t="shared" si="1"/>
        <v>3</v>
      </c>
      <c r="E6" s="190">
        <f>1</f>
        <v>1</v>
      </c>
      <c r="F6" s="190">
        <f t="shared" si="2"/>
        <v>0</v>
      </c>
      <c r="G6" s="203" t="e">
        <f t="shared" si="3"/>
        <v>#N/A</v>
      </c>
      <c r="H6" s="203" t="e">
        <f t="shared" si="4"/>
        <v>#N/A</v>
      </c>
      <c r="I6" s="203">
        <f t="shared" si="5"/>
        <v>0</v>
      </c>
      <c r="J6" s="206">
        <f t="shared" si="6"/>
        <v>0</v>
      </c>
      <c r="K6" s="191">
        <f t="shared" si="7"/>
        <v>0</v>
      </c>
      <c r="L6" s="191">
        <f t="shared" si="8"/>
        <v>0</v>
      </c>
      <c r="M6" s="206">
        <f t="shared" si="9"/>
        <v>0</v>
      </c>
      <c r="N6" s="206">
        <f t="shared" si="10"/>
        <v>0</v>
      </c>
      <c r="O6" s="206">
        <f t="shared" si="11"/>
        <v>0</v>
      </c>
      <c r="P6" s="206">
        <f t="shared" si="12"/>
        <v>0</v>
      </c>
      <c r="Q6" s="192">
        <f>IF(ISERROR(VLOOKUP($D6,ValData!$S$4:$AB$16,10,FALSE)),0,IF(VLOOKUP($D6,ValData!$S$4:$AB$16,10,FALSE)="",0,VLOOKUP($D6,ValData!$S$4:$AB$16,10,FALSE)))</f>
        <v>0</v>
      </c>
      <c r="T6" s="98">
        <v>3</v>
      </c>
      <c r="U6" s="197"/>
      <c r="V6" s="98" t="s">
        <v>3</v>
      </c>
      <c r="X6" s="98" t="str">
        <f>VLOOKUP(T6,Text!$A$28:$D$47,4,FALSE)</f>
        <v>Ail-ddosbarthu ardrethi annomestig</v>
      </c>
      <c r="AA6" s="195"/>
      <c r="AB6" s="196"/>
      <c r="AD6" s="98" t="str">
        <f t="shared" si="13"/>
        <v>516_1_202223</v>
      </c>
      <c r="AE6" s="98" t="s">
        <v>1</v>
      </c>
      <c r="AF6" s="98">
        <v>516</v>
      </c>
      <c r="AG6" s="98">
        <v>1</v>
      </c>
      <c r="AH6" s="98" t="s">
        <v>3050</v>
      </c>
      <c r="AI6" s="98">
        <v>1</v>
      </c>
      <c r="AJ6" s="98">
        <v>202223</v>
      </c>
      <c r="AK6" s="207">
        <v>258922518</v>
      </c>
      <c r="AM6" s="211" t="s">
        <v>3071</v>
      </c>
      <c r="AN6" s="211" t="s">
        <v>3072</v>
      </c>
      <c r="AO6" s="211" t="str">
        <f>IF(Details!$G$3=2,ValData!AM6,ValData!AN6)</f>
        <v>The line tolerance limits (columns M and N) are either pre-set or can be adjusted manually (currently set at 50 and 5% - cells M7 and N7).</v>
      </c>
    </row>
    <row r="7" spans="1:41" x14ac:dyDescent="0.35">
      <c r="A7" s="98"/>
      <c r="B7" s="189" t="str">
        <f t="shared" si="0"/>
        <v>202425</v>
      </c>
      <c r="C7" s="190" t="s">
        <v>1</v>
      </c>
      <c r="D7" s="190">
        <f t="shared" si="1"/>
        <v>4</v>
      </c>
      <c r="E7" s="190">
        <f>1</f>
        <v>1</v>
      </c>
      <c r="F7" s="190">
        <f t="shared" si="2"/>
        <v>0</v>
      </c>
      <c r="G7" s="204" t="e">
        <f t="shared" si="3"/>
        <v>#N/A</v>
      </c>
      <c r="H7" s="204" t="e">
        <f t="shared" si="4"/>
        <v>#N/A</v>
      </c>
      <c r="I7" s="204">
        <f t="shared" si="5"/>
        <v>0</v>
      </c>
      <c r="J7" s="206">
        <f t="shared" si="6"/>
        <v>0</v>
      </c>
      <c r="K7" s="191">
        <f t="shared" si="7"/>
        <v>0</v>
      </c>
      <c r="L7" s="191">
        <f t="shared" si="8"/>
        <v>0</v>
      </c>
      <c r="M7" s="206">
        <f t="shared" si="9"/>
        <v>0</v>
      </c>
      <c r="N7" s="206">
        <f t="shared" si="10"/>
        <v>0</v>
      </c>
      <c r="O7" s="206">
        <f t="shared" si="11"/>
        <v>0</v>
      </c>
      <c r="P7" s="206">
        <f t="shared" si="12"/>
        <v>0</v>
      </c>
      <c r="Q7" s="192">
        <f>IF(ISERROR(VLOOKUP($D7,ValData!$S$4:$AB$16,10,FALSE)),0,IF(VLOOKUP($D7,ValData!$S$4:$AB$16,10,FALSE)="",0,VLOOKUP($D7,ValData!$S$4:$AB$16,10,FALSE)))</f>
        <v>0</v>
      </c>
      <c r="T7" s="98">
        <v>4</v>
      </c>
      <c r="U7" s="197"/>
      <c r="V7" s="98" t="s">
        <v>4</v>
      </c>
      <c r="X7" s="98" t="str">
        <f>VLOOKUP(T7,Text!$A$28:$D$47,4,FALSE)</f>
        <v>Grant cynnal refeniw (gan gynnwys cyllido gwaelodol)</v>
      </c>
      <c r="AA7" s="195"/>
      <c r="AB7" s="196"/>
      <c r="AD7" s="98" t="str">
        <f t="shared" si="13"/>
        <v>518_1_202223</v>
      </c>
      <c r="AE7" s="98" t="s">
        <v>1</v>
      </c>
      <c r="AF7" s="98">
        <v>518</v>
      </c>
      <c r="AG7" s="98">
        <v>1</v>
      </c>
      <c r="AH7" s="98" t="s">
        <v>3050</v>
      </c>
      <c r="AI7" s="98">
        <v>1</v>
      </c>
      <c r="AJ7" s="98">
        <v>202223</v>
      </c>
      <c r="AK7" s="207">
        <v>236032515</v>
      </c>
      <c r="AM7" s="211" t="s">
        <v>3073</v>
      </c>
      <c r="AN7" s="211" t="s">
        <v>3074</v>
      </c>
      <c r="AO7" s="211" t="str">
        <f>IF(Details!$G$3=2,ValData!AM7,ValData!AN7)</f>
        <v xml:space="preserve">If you wish to add supporting information to any row please put it in ‘Your Comments’, otherwise an email confirming that you are happy with the figures will do. </v>
      </c>
    </row>
    <row r="8" spans="1:41" ht="15" customHeight="1" x14ac:dyDescent="0.35">
      <c r="A8" s="98"/>
      <c r="B8" s="189" t="str">
        <f t="shared" si="0"/>
        <v>202425</v>
      </c>
      <c r="C8" s="190" t="s">
        <v>1</v>
      </c>
      <c r="D8" s="190">
        <f t="shared" si="1"/>
        <v>5</v>
      </c>
      <c r="E8" s="190">
        <f>1</f>
        <v>1</v>
      </c>
      <c r="F8" s="190">
        <f t="shared" si="2"/>
        <v>0</v>
      </c>
      <c r="G8" s="203" t="e">
        <f t="shared" si="3"/>
        <v>#N/A</v>
      </c>
      <c r="H8" s="203" t="e">
        <f t="shared" si="4"/>
        <v>#N/A</v>
      </c>
      <c r="I8" s="203">
        <f t="shared" si="5"/>
        <v>0</v>
      </c>
      <c r="J8" s="206">
        <f t="shared" si="6"/>
        <v>0</v>
      </c>
      <c r="K8" s="191">
        <f t="shared" si="7"/>
        <v>0</v>
      </c>
      <c r="L8" s="191">
        <f t="shared" si="8"/>
        <v>0</v>
      </c>
      <c r="M8" s="206">
        <f t="shared" si="9"/>
        <v>0</v>
      </c>
      <c r="N8" s="206">
        <f t="shared" si="10"/>
        <v>0</v>
      </c>
      <c r="O8" s="206">
        <f t="shared" si="11"/>
        <v>0</v>
      </c>
      <c r="P8" s="206">
        <f t="shared" si="12"/>
        <v>0</v>
      </c>
      <c r="Q8" s="192">
        <f>IF(ISERROR(VLOOKUP($D8,ValData!$S$4:$AB$16,10,FALSE)),0,IF(VLOOKUP($D8,ValData!$S$4:$AB$16,10,FALSE)="",0,VLOOKUP($D8,ValData!$S$4:$AB$16,10,FALSE)))</f>
        <v>0</v>
      </c>
      <c r="T8" s="98">
        <v>5</v>
      </c>
      <c r="U8" s="197" t="s">
        <v>190</v>
      </c>
      <c r="V8" s="98" t="s">
        <v>2949</v>
      </c>
      <c r="X8" s="98" t="str">
        <f>VLOOKUP(T8,Text!$A$28:$D$47,4,FALSE)</f>
        <v>Swm i'w casglu o'r dreth gyngor</v>
      </c>
      <c r="AA8" s="195"/>
      <c r="AB8" s="196"/>
      <c r="AD8" s="98" t="str">
        <f t="shared" si="13"/>
        <v>520_1_202223</v>
      </c>
      <c r="AE8" s="98" t="s">
        <v>1</v>
      </c>
      <c r="AF8" s="98">
        <v>520</v>
      </c>
      <c r="AG8" s="98">
        <v>1</v>
      </c>
      <c r="AH8" s="98" t="s">
        <v>3050</v>
      </c>
      <c r="AI8" s="98">
        <v>1</v>
      </c>
      <c r="AJ8" s="98">
        <v>202223</v>
      </c>
      <c r="AK8" s="207">
        <v>329844818</v>
      </c>
      <c r="AM8" s="211" t="s">
        <v>3075</v>
      </c>
      <c r="AN8" s="211" t="s">
        <v>3076</v>
      </c>
      <c r="AO8" s="211" t="str">
        <f>IF(Details!$G$3=2,ValData!AM8,ValData!AN8)</f>
        <v>After receiving the completed form - we will mark any rows that we think need to be cleared using the 'Check' column along with adding any comments and/or</v>
      </c>
    </row>
    <row r="9" spans="1:41" x14ac:dyDescent="0.35">
      <c r="A9" s="98"/>
      <c r="B9" s="189" t="str">
        <f t="shared" si="0"/>
        <v>202425</v>
      </c>
      <c r="C9" s="190" t="s">
        <v>1</v>
      </c>
      <c r="D9" s="190">
        <f t="shared" si="1"/>
        <v>6</v>
      </c>
      <c r="E9" s="190">
        <f>1</f>
        <v>1</v>
      </c>
      <c r="F9" s="190">
        <f t="shared" si="2"/>
        <v>0</v>
      </c>
      <c r="G9" s="204" t="e">
        <f t="shared" si="3"/>
        <v>#N/A</v>
      </c>
      <c r="H9" s="204" t="e">
        <f t="shared" si="4"/>
        <v>#N/A</v>
      </c>
      <c r="I9" s="204">
        <f t="shared" si="5"/>
        <v>0</v>
      </c>
      <c r="J9" s="206" t="e">
        <f t="shared" si="6"/>
        <v>#N/A</v>
      </c>
      <c r="K9" s="191">
        <f t="shared" si="7"/>
        <v>0</v>
      </c>
      <c r="L9" s="191">
        <f t="shared" si="8"/>
        <v>0</v>
      </c>
      <c r="M9" s="206">
        <f t="shared" si="9"/>
        <v>0</v>
      </c>
      <c r="N9" s="206">
        <f t="shared" si="10"/>
        <v>0</v>
      </c>
      <c r="O9" s="206">
        <f t="shared" si="11"/>
        <v>0</v>
      </c>
      <c r="P9" s="206">
        <f t="shared" si="12"/>
        <v>0</v>
      </c>
      <c r="Q9" s="192">
        <f>IF(ISERROR(VLOOKUP($D9,ValData!$S$4:$AB$16,10,FALSE)),0,IF(VLOOKUP($D9,ValData!$S$4:$AB$16,10,FALSE)="",0,VLOOKUP($D9,ValData!$S$4:$AB$16,10,FALSE)))</f>
        <v>0</v>
      </c>
      <c r="T9" s="98">
        <v>6</v>
      </c>
      <c r="U9" s="197"/>
      <c r="V9" s="98" t="s">
        <v>2962</v>
      </c>
      <c r="X9" s="98" t="str">
        <f>VLOOKUP(T9,Text!$A$28:$D$47,4,FALSE)</f>
        <v xml:space="preserve">Sylfaen y dreth gyngor cyn addasiad gyfradd casglu (addasadwy, </v>
      </c>
      <c r="AA9" s="195"/>
      <c r="AB9" s="196"/>
      <c r="AD9" s="98" t="str">
        <f t="shared" si="13"/>
        <v>522_1_202223</v>
      </c>
      <c r="AE9" s="98" t="s">
        <v>1</v>
      </c>
      <c r="AF9" s="98">
        <v>522</v>
      </c>
      <c r="AG9" s="98">
        <v>1</v>
      </c>
      <c r="AH9" s="98" t="s">
        <v>3050</v>
      </c>
      <c r="AI9" s="98">
        <v>1</v>
      </c>
      <c r="AJ9" s="98">
        <v>202223</v>
      </c>
      <c r="AK9" s="207">
        <v>283251255</v>
      </c>
      <c r="AM9" s="211" t="s">
        <v>3077</v>
      </c>
      <c r="AN9" s="211" t="s">
        <v>3078</v>
      </c>
      <c r="AO9" s="211" t="str">
        <f>IF(Details!$G$3=2,ValData!AM9,ValData!AN9)</f>
        <v xml:space="preserve">any relevant previous comments provided by your authority in the 'Our Comments' column. We may ask you for further information if required. </v>
      </c>
    </row>
    <row r="10" spans="1:41" x14ac:dyDescent="0.35">
      <c r="A10" s="98"/>
      <c r="B10" s="189" t="str">
        <f t="shared" si="0"/>
        <v>202425</v>
      </c>
      <c r="C10" s="190" t="s">
        <v>1</v>
      </c>
      <c r="D10" s="190">
        <f t="shared" si="1"/>
        <v>7</v>
      </c>
      <c r="E10" s="190">
        <f>1</f>
        <v>1</v>
      </c>
      <c r="F10" s="190">
        <f t="shared" si="2"/>
        <v>0</v>
      </c>
      <c r="G10" s="203" t="e">
        <f t="shared" si="3"/>
        <v>#N/A</v>
      </c>
      <c r="H10" s="203" t="e">
        <f t="shared" si="4"/>
        <v>#N/A</v>
      </c>
      <c r="I10" s="203">
        <f t="shared" si="5"/>
        <v>0</v>
      </c>
      <c r="J10" s="206" t="e">
        <f t="shared" si="6"/>
        <v>#N/A</v>
      </c>
      <c r="K10" s="191">
        <f t="shared" si="7"/>
        <v>0</v>
      </c>
      <c r="L10" s="191">
        <f t="shared" si="8"/>
        <v>0</v>
      </c>
      <c r="M10" s="206">
        <f t="shared" si="9"/>
        <v>0</v>
      </c>
      <c r="N10" s="206">
        <f t="shared" si="10"/>
        <v>0</v>
      </c>
      <c r="O10" s="206">
        <f t="shared" si="11"/>
        <v>0</v>
      </c>
      <c r="P10" s="206">
        <f t="shared" si="12"/>
        <v>0</v>
      </c>
      <c r="Q10" s="192">
        <f>IF(ISERROR(VLOOKUP($D10,ValData!$S$4:$AB$16,10,FALSE)),0,IF(VLOOKUP($D10,ValData!$S$4:$AB$16,10,FALSE)="",0,VLOOKUP($D10,ValData!$S$4:$AB$16,10,FALSE)))</f>
        <v>0</v>
      </c>
      <c r="T10" s="98">
        <v>7</v>
      </c>
      <c r="U10" s="197"/>
      <c r="V10" s="98" t="s">
        <v>2963</v>
      </c>
      <c r="X10" s="98" t="str">
        <f>VLOOKUP(T10,Text!$A$28:$D$47,4,FALSE)</f>
        <v>Cyfradd gasglu dybiedig (addasadwy,</v>
      </c>
      <c r="AA10" s="195"/>
      <c r="AB10" s="196"/>
      <c r="AD10" s="98" t="str">
        <f t="shared" si="13"/>
        <v>524_1_202223</v>
      </c>
      <c r="AE10" s="98" t="s">
        <v>1</v>
      </c>
      <c r="AF10" s="98">
        <v>524</v>
      </c>
      <c r="AG10" s="98">
        <v>1</v>
      </c>
      <c r="AH10" s="98" t="s">
        <v>3050</v>
      </c>
      <c r="AI10" s="98">
        <v>1</v>
      </c>
      <c r="AJ10" s="98">
        <v>202223</v>
      </c>
      <c r="AK10" s="207">
        <v>306212211</v>
      </c>
      <c r="AM10" s="211" t="s">
        <v>3144</v>
      </c>
      <c r="AN10" s="211" t="s">
        <v>3145</v>
      </c>
      <c r="AO10" s="211" t="str">
        <f>IF(Details!$G$3=2,ValData!AM10,ValData!AN10)</f>
        <v>Any cleared items will be marked 'C' in the 'Status' column (column AA).</v>
      </c>
    </row>
    <row r="11" spans="1:41" ht="15" customHeight="1" x14ac:dyDescent="0.35">
      <c r="A11" s="98"/>
      <c r="B11" s="189" t="str">
        <f t="shared" si="0"/>
        <v>202425</v>
      </c>
      <c r="C11" s="190" t="s">
        <v>1</v>
      </c>
      <c r="D11" s="190">
        <f t="shared" si="1"/>
        <v>8</v>
      </c>
      <c r="E11" s="190">
        <f>1</f>
        <v>1</v>
      </c>
      <c r="F11" s="190">
        <f t="shared" si="2"/>
        <v>0</v>
      </c>
      <c r="G11" s="204" t="e">
        <f t="shared" si="3"/>
        <v>#N/A</v>
      </c>
      <c r="H11" s="204" t="e">
        <f t="shared" si="4"/>
        <v>#N/A</v>
      </c>
      <c r="I11" s="204">
        <f t="shared" si="5"/>
        <v>0</v>
      </c>
      <c r="J11" s="206" t="e">
        <f t="shared" si="6"/>
        <v>#N/A</v>
      </c>
      <c r="K11" s="191">
        <f t="shared" si="7"/>
        <v>0</v>
      </c>
      <c r="L11" s="191">
        <f t="shared" si="8"/>
        <v>0</v>
      </c>
      <c r="M11" s="206">
        <f t="shared" si="9"/>
        <v>0</v>
      </c>
      <c r="N11" s="206">
        <f t="shared" si="10"/>
        <v>0</v>
      </c>
      <c r="O11" s="206">
        <f t="shared" si="11"/>
        <v>0</v>
      </c>
      <c r="P11" s="206">
        <f t="shared" si="12"/>
        <v>0</v>
      </c>
      <c r="Q11" s="192">
        <f>IF(ISERROR(VLOOKUP($D11,ValData!$S$4:$AB$16,10,FALSE)),0,IF(VLOOKUP($D11,ValData!$S$4:$AB$16,10,FALSE)="",0,VLOOKUP($D11,ValData!$S$4:$AB$16,10,FALSE)))</f>
        <v>0</v>
      </c>
      <c r="T11" s="98">
        <v>8</v>
      </c>
      <c r="U11" s="197"/>
      <c r="V11" s="98" t="s">
        <v>2964</v>
      </c>
      <c r="X11" s="98" t="str">
        <f>VLOOKUP(T11,Text!$A$28:$D$47,4,FALSE)</f>
        <v>Anheddau Dosbarth O wedi'u heithrio (addasadwy,</v>
      </c>
      <c r="AA11" s="195"/>
      <c r="AB11" s="196"/>
      <c r="AD11" s="98" t="str">
        <f t="shared" si="13"/>
        <v>526_1_202223</v>
      </c>
      <c r="AE11" s="98" t="s">
        <v>1</v>
      </c>
      <c r="AF11" s="98">
        <v>526</v>
      </c>
      <c r="AG11" s="98">
        <v>1</v>
      </c>
      <c r="AH11" s="98" t="s">
        <v>3050</v>
      </c>
      <c r="AI11" s="98">
        <v>1</v>
      </c>
      <c r="AJ11" s="98">
        <v>202223</v>
      </c>
      <c r="AK11" s="207">
        <v>166881432</v>
      </c>
      <c r="AM11" s="98" t="s">
        <v>3101</v>
      </c>
      <c r="AN11" s="98" t="s">
        <v>3106</v>
      </c>
      <c r="AO11" s="211" t="str">
        <f>IF(Details!$G$3=2,ValData!AM11,ValData!AN11)</f>
        <v>TYPE FIELD KEY</v>
      </c>
    </row>
    <row r="12" spans="1:41" x14ac:dyDescent="0.35">
      <c r="A12" s="98"/>
      <c r="B12" s="189" t="str">
        <f t="shared" si="0"/>
        <v>202425</v>
      </c>
      <c r="C12" s="190" t="s">
        <v>1</v>
      </c>
      <c r="D12" s="190">
        <f t="shared" si="1"/>
        <v>9</v>
      </c>
      <c r="E12" s="190">
        <f>1</f>
        <v>1</v>
      </c>
      <c r="F12" s="190">
        <f t="shared" si="2"/>
        <v>0</v>
      </c>
      <c r="G12" s="203" t="e">
        <f t="shared" si="3"/>
        <v>#N/A</v>
      </c>
      <c r="H12" s="203" t="e">
        <f t="shared" si="4"/>
        <v>#N/A</v>
      </c>
      <c r="I12" s="203">
        <f t="shared" si="5"/>
        <v>0</v>
      </c>
      <c r="J12" s="206">
        <f t="shared" si="6"/>
        <v>0</v>
      </c>
      <c r="K12" s="191">
        <f t="shared" si="7"/>
        <v>0</v>
      </c>
      <c r="L12" s="191">
        <f t="shared" si="8"/>
        <v>0</v>
      </c>
      <c r="M12" s="206">
        <f t="shared" si="9"/>
        <v>0</v>
      </c>
      <c r="N12" s="206">
        <f t="shared" si="10"/>
        <v>0</v>
      </c>
      <c r="O12" s="206">
        <f t="shared" si="11"/>
        <v>0</v>
      </c>
      <c r="P12" s="206">
        <f t="shared" si="12"/>
        <v>0</v>
      </c>
      <c r="Q12" s="192">
        <f>IF(ISERROR(VLOOKUP($D12,ValData!$S$4:$AB$16,10,FALSE)),0,IF(VLOOKUP($D12,ValData!$S$4:$AB$16,10,FALSE)="",0,VLOOKUP($D12,ValData!$S$4:$AB$16,10,FALSE)))</f>
        <v>0</v>
      </c>
      <c r="T12" s="98">
        <v>9</v>
      </c>
      <c r="U12" s="197" t="s">
        <v>190</v>
      </c>
      <c r="V12" s="98" t="s">
        <v>2951</v>
      </c>
      <c r="X12" s="98" t="str">
        <f>VLOOKUP(T12,Text!$A$28:$D$47,4,FALSE)</f>
        <v>Sylfaen y dreth gyngor at ddiben pennu'r dreth</v>
      </c>
      <c r="AA12" s="195"/>
      <c r="AB12" s="196"/>
      <c r="AD12" s="98" t="str">
        <f t="shared" si="13"/>
        <v>528_1_202223</v>
      </c>
      <c r="AE12" s="98" t="s">
        <v>1</v>
      </c>
      <c r="AF12" s="98">
        <v>528</v>
      </c>
      <c r="AG12" s="98">
        <v>1</v>
      </c>
      <c r="AH12" s="98" t="s">
        <v>3050</v>
      </c>
      <c r="AI12" s="98">
        <v>1</v>
      </c>
      <c r="AJ12" s="98">
        <v>202223</v>
      </c>
      <c r="AK12" s="207">
        <v>273592584</v>
      </c>
      <c r="AM12" s="98" t="s">
        <v>3104</v>
      </c>
      <c r="AN12" s="98" t="s">
        <v>3107</v>
      </c>
      <c r="AO12" s="211" t="str">
        <f>IF(Details!$G$3=2,ValData!AM12,ValData!AN12)</f>
        <v>1. value only breach</v>
      </c>
    </row>
    <row r="13" spans="1:41" ht="15" customHeight="1" x14ac:dyDescent="0.35">
      <c r="A13" s="98"/>
      <c r="B13" s="189" t="str">
        <f t="shared" si="0"/>
        <v>202425</v>
      </c>
      <c r="C13" s="190" t="s">
        <v>1</v>
      </c>
      <c r="D13" s="190">
        <f t="shared" si="1"/>
        <v>10</v>
      </c>
      <c r="E13" s="190">
        <f>1</f>
        <v>1</v>
      </c>
      <c r="F13" s="190">
        <f t="shared" si="2"/>
        <v>0</v>
      </c>
      <c r="G13" s="204" t="e">
        <f t="shared" si="3"/>
        <v>#N/A</v>
      </c>
      <c r="H13" s="204" t="e">
        <f t="shared" si="4"/>
        <v>#N/A</v>
      </c>
      <c r="I13" s="204">
        <f t="shared" si="5"/>
        <v>0</v>
      </c>
      <c r="J13" s="206" t="e">
        <f t="shared" si="6"/>
        <v>#N/A</v>
      </c>
      <c r="K13" s="191">
        <f t="shared" si="7"/>
        <v>0</v>
      </c>
      <c r="L13" s="191">
        <f t="shared" si="8"/>
        <v>0</v>
      </c>
      <c r="M13" s="206">
        <f t="shared" si="9"/>
        <v>0</v>
      </c>
      <c r="N13" s="206">
        <f t="shared" si="10"/>
        <v>0</v>
      </c>
      <c r="O13" s="206">
        <f t="shared" si="11"/>
        <v>0</v>
      </c>
      <c r="P13" s="206">
        <f t="shared" si="12"/>
        <v>0</v>
      </c>
      <c r="Q13" s="192">
        <f>IF(ISERROR(VLOOKUP($D13,ValData!$S$4:$AB$16,10,FALSE)),0,IF(VLOOKUP($D13,ValData!$S$4:$AB$16,10,FALSE)="",0,VLOOKUP($D13,ValData!$S$4:$AB$16,10,FALSE)))</f>
        <v>0</v>
      </c>
      <c r="T13" s="98">
        <v>10</v>
      </c>
      <c r="U13" s="197" t="s">
        <v>190</v>
      </c>
      <c r="V13" s="98" t="s">
        <v>2955</v>
      </c>
      <c r="X13" s="98" t="str">
        <f>VLOOKUP(T13,Text!$A$28:$D$47,4,FALSE)</f>
        <v>Y dreth gyngor a gyfrifwyd o dan adran 33</v>
      </c>
      <c r="AA13" s="195"/>
      <c r="AB13" s="196"/>
      <c r="AD13" s="98" t="str">
        <f t="shared" si="13"/>
        <v>530_1_202223</v>
      </c>
      <c r="AE13" s="98" t="s">
        <v>1</v>
      </c>
      <c r="AF13" s="98">
        <v>530</v>
      </c>
      <c r="AG13" s="98">
        <v>1</v>
      </c>
      <c r="AH13" s="98" t="s">
        <v>3050</v>
      </c>
      <c r="AI13" s="98">
        <v>1</v>
      </c>
      <c r="AJ13" s="98">
        <v>202223</v>
      </c>
      <c r="AK13" s="207">
        <v>422596786.44320738</v>
      </c>
      <c r="AM13" s="98" t="s">
        <v>3102</v>
      </c>
      <c r="AN13" s="98" t="s">
        <v>3138</v>
      </c>
      <c r="AO13" s="211" t="str">
        <f>IF(Details!$G$3=2,ValData!AM13,ValData!AN13)</f>
        <v>2.  % only breach</v>
      </c>
    </row>
    <row r="14" spans="1:41" x14ac:dyDescent="0.35">
      <c r="A14" s="98"/>
      <c r="B14" s="189" t="str">
        <f t="shared" si="0"/>
        <v>202425</v>
      </c>
      <c r="C14" s="190" t="s">
        <v>1</v>
      </c>
      <c r="D14" s="190">
        <f t="shared" si="1"/>
        <v>11</v>
      </c>
      <c r="E14" s="190">
        <f>1</f>
        <v>1</v>
      </c>
      <c r="F14" s="190">
        <f t="shared" si="2"/>
        <v>0</v>
      </c>
      <c r="G14" s="203" t="e">
        <f t="shared" si="3"/>
        <v>#N/A</v>
      </c>
      <c r="H14" s="203" t="e">
        <f t="shared" si="4"/>
        <v>#N/A</v>
      </c>
      <c r="I14" s="203">
        <f t="shared" si="5"/>
        <v>0</v>
      </c>
      <c r="J14" s="206" t="e">
        <f t="shared" si="6"/>
        <v>#N/A</v>
      </c>
      <c r="K14" s="191">
        <f t="shared" si="7"/>
        <v>0</v>
      </c>
      <c r="L14" s="191">
        <f t="shared" si="8"/>
        <v>0</v>
      </c>
      <c r="M14" s="206">
        <f t="shared" si="9"/>
        <v>0</v>
      </c>
      <c r="N14" s="206">
        <f t="shared" si="10"/>
        <v>0</v>
      </c>
      <c r="O14" s="206">
        <f t="shared" si="11"/>
        <v>0</v>
      </c>
      <c r="P14" s="206">
        <f t="shared" si="12"/>
        <v>0</v>
      </c>
      <c r="Q14" s="192">
        <f>IF(ISERROR(VLOOKUP($D14,ValData!$S$4:$AB$16,10,FALSE)),0,IF(VLOOKUP($D14,ValData!$S$4:$AB$16,10,FALSE)="",0,VLOOKUP($D14,ValData!$S$4:$AB$16,10,FALSE)))</f>
        <v>0</v>
      </c>
      <c r="T14" s="98">
        <v>11</v>
      </c>
      <c r="U14" s="197" t="s">
        <v>190</v>
      </c>
      <c r="V14" s="98" t="s">
        <v>2957</v>
      </c>
      <c r="X14" s="98" t="str">
        <f>VLOOKUP(T14,Text!$A$28:$D$47,4,FALSE)</f>
        <v>Treth gyngor awdurdod yr heddlu yn ardal yr awdurdod bilio</v>
      </c>
      <c r="AA14" s="195"/>
      <c r="AB14" s="196"/>
      <c r="AD14" s="98" t="str">
        <f t="shared" si="13"/>
        <v>532_1_202223</v>
      </c>
      <c r="AE14" s="98" t="s">
        <v>1</v>
      </c>
      <c r="AF14" s="98">
        <v>532</v>
      </c>
      <c r="AG14" s="98">
        <v>1</v>
      </c>
      <c r="AH14" s="98" t="s">
        <v>3050</v>
      </c>
      <c r="AI14" s="98">
        <v>1</v>
      </c>
      <c r="AJ14" s="98">
        <v>202223</v>
      </c>
      <c r="AK14" s="207">
        <v>524013451</v>
      </c>
      <c r="AM14" s="98" t="s">
        <v>3103</v>
      </c>
      <c r="AN14" s="98" t="s">
        <v>3108</v>
      </c>
      <c r="AO14" s="211" t="str">
        <f>IF(Details!$G$3=2,ValData!AM14,ValData!AN14)</f>
        <v>3. both breached</v>
      </c>
    </row>
    <row r="15" spans="1:41" x14ac:dyDescent="0.35">
      <c r="A15" s="98"/>
      <c r="B15" s="189" t="str">
        <f t="shared" si="0"/>
        <v>202425</v>
      </c>
      <c r="C15" s="190" t="s">
        <v>1</v>
      </c>
      <c r="D15" s="190">
        <f t="shared" si="1"/>
        <v>12</v>
      </c>
      <c r="E15" s="190">
        <f>1</f>
        <v>1</v>
      </c>
      <c r="F15" s="190">
        <f t="shared" si="2"/>
        <v>0</v>
      </c>
      <c r="G15" s="204" t="e">
        <f t="shared" si="3"/>
        <v>#N/A</v>
      </c>
      <c r="H15" s="204" t="e">
        <f t="shared" si="4"/>
        <v>#N/A</v>
      </c>
      <c r="I15" s="204">
        <f t="shared" si="5"/>
        <v>0</v>
      </c>
      <c r="J15" s="206">
        <f t="shared" si="6"/>
        <v>0</v>
      </c>
      <c r="K15" s="191">
        <f t="shared" si="7"/>
        <v>0</v>
      </c>
      <c r="L15" s="191">
        <f t="shared" si="8"/>
        <v>0</v>
      </c>
      <c r="M15" s="206">
        <f t="shared" si="9"/>
        <v>0</v>
      </c>
      <c r="N15" s="206">
        <f t="shared" si="10"/>
        <v>0</v>
      </c>
      <c r="O15" s="206">
        <f t="shared" si="11"/>
        <v>0</v>
      </c>
      <c r="P15" s="206">
        <f t="shared" si="12"/>
        <v>0</v>
      </c>
      <c r="Q15" s="192">
        <f>IF(ISERROR(VLOOKUP($D15,ValData!$S$4:$AB$16,10,FALSE)),0,IF(VLOOKUP($D15,ValData!$S$4:$AB$16,10,FALSE)="",0,VLOOKUP($D15,ValData!$S$4:$AB$16,10,FALSE)))</f>
        <v>0</v>
      </c>
      <c r="T15" s="98">
        <v>12</v>
      </c>
      <c r="U15" s="197" t="s">
        <v>190</v>
      </c>
      <c r="V15" s="98" t="s">
        <v>2959</v>
      </c>
      <c r="X15" s="98" t="str">
        <f>VLOOKUP(T15,Text!$A$28:$D$47,4,FALSE)</f>
        <v>Y dreth gyngor gyfartalog ar gyfer ardal awdurdod bilio</v>
      </c>
      <c r="AA15" s="195"/>
      <c r="AB15" s="196"/>
      <c r="AD15" s="98" t="str">
        <f t="shared" si="13"/>
        <v>534_1_202223</v>
      </c>
      <c r="AE15" s="98" t="s">
        <v>1</v>
      </c>
      <c r="AF15" s="98">
        <v>534</v>
      </c>
      <c r="AG15" s="98">
        <v>1</v>
      </c>
      <c r="AH15" s="98" t="s">
        <v>3050</v>
      </c>
      <c r="AI15" s="98">
        <v>1</v>
      </c>
      <c r="AJ15" s="98">
        <v>202223</v>
      </c>
      <c r="AK15" s="207">
        <v>340426065</v>
      </c>
      <c r="AM15" s="213" t="s">
        <v>3133</v>
      </c>
      <c r="AN15" s="98" t="s">
        <v>3134</v>
      </c>
      <c r="AO15" s="211" t="str">
        <f>IF(Details!$G$3=2,ValData!AM15,ValData!AN15)</f>
        <v>4. total not = zero</v>
      </c>
    </row>
    <row r="16" spans="1:41" x14ac:dyDescent="0.35">
      <c r="A16" s="98"/>
      <c r="B16" s="189" t="str">
        <f t="shared" si="0"/>
        <v>202425</v>
      </c>
      <c r="C16" s="190" t="s">
        <v>1</v>
      </c>
      <c r="D16" s="190">
        <f t="shared" si="1"/>
        <v>15</v>
      </c>
      <c r="E16" s="190">
        <f>1</f>
        <v>1</v>
      </c>
      <c r="F16" s="190">
        <f t="shared" si="2"/>
        <v>0</v>
      </c>
      <c r="G16" s="203" t="e">
        <f t="shared" si="3"/>
        <v>#N/A</v>
      </c>
      <c r="H16" s="203" t="e">
        <f t="shared" si="4"/>
        <v>#N/A</v>
      </c>
      <c r="I16" s="203">
        <f t="shared" si="5"/>
        <v>0</v>
      </c>
      <c r="J16" s="206" t="e">
        <f t="shared" si="6"/>
        <v>#N/A</v>
      </c>
      <c r="K16" s="191">
        <f t="shared" si="7"/>
        <v>0</v>
      </c>
      <c r="L16" s="191">
        <f t="shared" si="8"/>
        <v>0</v>
      </c>
      <c r="M16" s="206">
        <f t="shared" si="9"/>
        <v>0</v>
      </c>
      <c r="N16" s="206">
        <f t="shared" si="10"/>
        <v>0</v>
      </c>
      <c r="O16" s="206">
        <f t="shared" si="11"/>
        <v>0</v>
      </c>
      <c r="P16" s="206">
        <f t="shared" si="12"/>
        <v>0</v>
      </c>
      <c r="Q16" s="192">
        <f>IF(ISERROR(VLOOKUP($D16,ValData!$S$4:$AB$16,10,FALSE)),0,IF(VLOOKUP($D16,ValData!$S$4:$AB$16,10,FALSE)="",0,VLOOKUP($D16,ValData!$S$4:$AB$16,10,FALSE)))</f>
        <v>0</v>
      </c>
      <c r="T16" s="98">
        <v>15</v>
      </c>
      <c r="U16" s="197" t="s">
        <v>23</v>
      </c>
      <c r="V16" s="98" t="s">
        <v>163</v>
      </c>
      <c r="X16" s="98" t="str">
        <f>VLOOKUP(T16,Text!$A$28:$D$47,4,FALSE)</f>
        <v>Praeseptiau cyngor cymunedol</v>
      </c>
      <c r="AA16" s="195"/>
      <c r="AB16" s="196"/>
      <c r="AD16" s="98" t="str">
        <f t="shared" si="13"/>
        <v>536_1_202223</v>
      </c>
      <c r="AE16" s="98" t="s">
        <v>1</v>
      </c>
      <c r="AF16" s="98">
        <v>536</v>
      </c>
      <c r="AG16" s="98">
        <v>1</v>
      </c>
      <c r="AH16" s="98" t="s">
        <v>3050</v>
      </c>
      <c r="AI16" s="98">
        <v>1</v>
      </c>
      <c r="AJ16" s="98">
        <v>202223</v>
      </c>
      <c r="AK16" s="207">
        <v>322058500</v>
      </c>
      <c r="AM16" s="98" t="s">
        <v>3105</v>
      </c>
      <c r="AN16" s="98" t="s">
        <v>3109</v>
      </c>
      <c r="AO16" s="211" t="str">
        <f>IF(Details!$G$3=2,ValData!AM16,ValData!AN16)</f>
        <v>9. either figure zero</v>
      </c>
    </row>
    <row r="17" spans="1:41" x14ac:dyDescent="0.35">
      <c r="A17" s="98"/>
      <c r="B17" s="189" t="str">
        <f t="shared" si="0"/>
        <v>202425</v>
      </c>
      <c r="C17" s="190" t="s">
        <v>1</v>
      </c>
      <c r="D17" s="190">
        <f t="shared" si="1"/>
        <v>16</v>
      </c>
      <c r="E17" s="190">
        <f>1</f>
        <v>1</v>
      </c>
      <c r="F17" s="190">
        <f t="shared" si="2"/>
        <v>0</v>
      </c>
      <c r="G17" s="204" t="e">
        <f t="shared" si="3"/>
        <v>#N/A</v>
      </c>
      <c r="H17" s="204" t="e">
        <f t="shared" si="4"/>
        <v>#N/A</v>
      </c>
      <c r="I17" s="204">
        <f t="shared" si="5"/>
        <v>0</v>
      </c>
      <c r="J17" s="206" t="e">
        <f t="shared" si="6"/>
        <v>#N/A</v>
      </c>
      <c r="K17" s="191">
        <f t="shared" si="7"/>
        <v>0</v>
      </c>
      <c r="L17" s="191">
        <f t="shared" si="8"/>
        <v>0</v>
      </c>
      <c r="M17" s="206">
        <f t="shared" si="9"/>
        <v>0</v>
      </c>
      <c r="N17" s="206">
        <f t="shared" si="10"/>
        <v>0</v>
      </c>
      <c r="O17" s="206">
        <f t="shared" si="11"/>
        <v>0</v>
      </c>
      <c r="P17" s="206">
        <f t="shared" si="12"/>
        <v>0</v>
      </c>
      <c r="Q17" s="192">
        <f>IF(ISERROR(VLOOKUP($D17,ValData!$S$4:$AB$16,10,FALSE)),0,IF(VLOOKUP($D17,ValData!$S$4:$AB$16,10,FALSE)="",0,VLOOKUP($D17,ValData!$S$4:$AB$16,10,FALSE)))</f>
        <v>0</v>
      </c>
      <c r="T17" s="98">
        <v>16</v>
      </c>
      <c r="U17" s="197" t="s">
        <v>23</v>
      </c>
      <c r="V17" s="98" t="s">
        <v>3051</v>
      </c>
      <c r="X17" s="98" t="str">
        <f>VLOOKUP(T17,Text!$A$28:$D$47,4,FALSE)</f>
        <v>Praesept awdurdod yr heddlu</v>
      </c>
      <c r="AD17" s="98" t="str">
        <f t="shared" si="13"/>
        <v>538_1_202223</v>
      </c>
      <c r="AE17" s="98" t="s">
        <v>1</v>
      </c>
      <c r="AF17" s="98">
        <v>538</v>
      </c>
      <c r="AG17" s="98">
        <v>1</v>
      </c>
      <c r="AH17" s="98" t="s">
        <v>3050</v>
      </c>
      <c r="AI17" s="98">
        <v>1</v>
      </c>
      <c r="AJ17" s="98">
        <v>202223</v>
      </c>
      <c r="AK17" s="207">
        <v>275537781</v>
      </c>
      <c r="AM17" s="98" t="s">
        <v>3110</v>
      </c>
      <c r="AN17" s="98" t="s">
        <v>3116</v>
      </c>
      <c r="AO17" s="211" t="str">
        <f>IF(Details!$G$3=2,ValData!AM17,ValData!AN17)</f>
        <v>STATUS FIELD KEY</v>
      </c>
    </row>
    <row r="18" spans="1:41" x14ac:dyDescent="0.35">
      <c r="A18" s="98"/>
      <c r="B18" s="189" t="str">
        <f t="shared" si="0"/>
        <v>202425</v>
      </c>
      <c r="C18" s="190" t="s">
        <v>1</v>
      </c>
      <c r="D18" s="190">
        <f>T19</f>
        <v>19</v>
      </c>
      <c r="E18" s="190">
        <f>1</f>
        <v>1</v>
      </c>
      <c r="F18" s="190">
        <f t="shared" si="2"/>
        <v>0</v>
      </c>
      <c r="G18" s="204" t="e">
        <f t="shared" si="3"/>
        <v>#N/A</v>
      </c>
      <c r="H18" s="204" t="e">
        <f t="shared" si="4"/>
        <v>#N/A</v>
      </c>
      <c r="I18" s="204">
        <f t="shared" si="5"/>
        <v>0</v>
      </c>
      <c r="J18" s="206">
        <f t="shared" si="6"/>
        <v>0</v>
      </c>
      <c r="K18" s="191">
        <f t="shared" si="7"/>
        <v>0</v>
      </c>
      <c r="L18" s="191">
        <f t="shared" si="8"/>
        <v>0</v>
      </c>
      <c r="M18" s="206">
        <f t="shared" si="9"/>
        <v>0</v>
      </c>
      <c r="N18" s="206">
        <f t="shared" si="10"/>
        <v>0</v>
      </c>
      <c r="O18" s="206">
        <f t="shared" si="11"/>
        <v>0</v>
      </c>
      <c r="P18" s="206">
        <f t="shared" si="12"/>
        <v>0</v>
      </c>
      <c r="Q18" s="192">
        <f>IF(ISERROR(VLOOKUP($D18,ValData!$S$4:$AB$16,10,FALSE)),0,IF(VLOOKUP($D18,ValData!$S$4:$AB$16,10,FALSE)="",0,VLOOKUP($D18,ValData!$S$4:$AB$16,10,FALSE)))</f>
        <v>0</v>
      </c>
      <c r="T18" s="98">
        <v>17</v>
      </c>
      <c r="U18" s="197" t="s">
        <v>23</v>
      </c>
      <c r="V18" s="98" t="s">
        <v>3052</v>
      </c>
      <c r="X18" s="98" t="str">
        <f>VLOOKUP(T18,Text!$A$28:$D$47,4,FALSE)</f>
        <v>Gofyniad cyllidebol</v>
      </c>
      <c r="AD18" s="98" t="str">
        <f t="shared" si="13"/>
        <v>540_1_202223</v>
      </c>
      <c r="AE18" s="98" t="s">
        <v>1</v>
      </c>
      <c r="AF18" s="98">
        <v>540</v>
      </c>
      <c r="AG18" s="98">
        <v>1</v>
      </c>
      <c r="AH18" s="98" t="s">
        <v>3050</v>
      </c>
      <c r="AI18" s="98">
        <v>1</v>
      </c>
      <c r="AJ18" s="98">
        <v>202223</v>
      </c>
      <c r="AK18" s="207">
        <v>564111298</v>
      </c>
      <c r="AM18" s="98" t="s">
        <v>3111</v>
      </c>
      <c r="AN18" s="98" t="s">
        <v>3117</v>
      </c>
      <c r="AO18" s="211" t="str">
        <f>IF(Details!$G$3=2,ValData!AM18,ValData!AN18)</f>
        <v>A - to be actioned by WG</v>
      </c>
    </row>
    <row r="19" spans="1:41" x14ac:dyDescent="0.35">
      <c r="A19" s="98"/>
      <c r="B19" s="189" t="str">
        <f t="shared" si="0"/>
        <v>202425</v>
      </c>
      <c r="C19" s="190" t="s">
        <v>1</v>
      </c>
      <c r="D19" s="190">
        <f>T20</f>
        <v>22</v>
      </c>
      <c r="E19" s="190">
        <f>1</f>
        <v>1</v>
      </c>
      <c r="F19" s="190">
        <f t="shared" si="2"/>
        <v>0</v>
      </c>
      <c r="G19" s="203" t="e">
        <f t="shared" si="3"/>
        <v>#N/A</v>
      </c>
      <c r="H19" s="203" t="e">
        <f t="shared" si="4"/>
        <v>#N/A</v>
      </c>
      <c r="I19" s="203">
        <f t="shared" si="5"/>
        <v>0</v>
      </c>
      <c r="J19" s="206" t="e">
        <f t="shared" si="6"/>
        <v>#N/A</v>
      </c>
      <c r="K19" s="191">
        <f t="shared" si="7"/>
        <v>0</v>
      </c>
      <c r="L19" s="191">
        <f t="shared" si="8"/>
        <v>0</v>
      </c>
      <c r="M19" s="206">
        <f t="shared" si="9"/>
        <v>0</v>
      </c>
      <c r="N19" s="206">
        <f t="shared" si="10"/>
        <v>0</v>
      </c>
      <c r="O19" s="206">
        <f t="shared" si="11"/>
        <v>0</v>
      </c>
      <c r="P19" s="206">
        <f t="shared" si="12"/>
        <v>0</v>
      </c>
      <c r="Q19" s="192">
        <f>IF(ISERROR(VLOOKUP($D19,ValData!$S$4:$AB$16,10,FALSE)),0,IF(VLOOKUP($D19,ValData!$S$4:$AB$16,10,FALSE)="",0,VLOOKUP($D19,ValData!$S$4:$AB$16,10,FALSE)))</f>
        <v>0</v>
      </c>
      <c r="T19" s="98">
        <v>19</v>
      </c>
      <c r="U19" s="197" t="s">
        <v>190</v>
      </c>
      <c r="V19" s="98" t="s">
        <v>3053</v>
      </c>
      <c r="X19" s="98" t="str">
        <f>VLOOKUP(T19,Text!$A$28:$D$47,4,FALSE)</f>
        <v>Cyfanswm cymorth llywodraeth ganolog (wedi cyfrifo)</v>
      </c>
      <c r="AD19" s="98" t="str">
        <f t="shared" si="13"/>
        <v>542_1_202223</v>
      </c>
      <c r="AE19" s="98" t="s">
        <v>1</v>
      </c>
      <c r="AF19" s="98">
        <v>542</v>
      </c>
      <c r="AG19" s="98">
        <v>1</v>
      </c>
      <c r="AH19" s="98" t="s">
        <v>3050</v>
      </c>
      <c r="AI19" s="98">
        <v>1</v>
      </c>
      <c r="AJ19" s="98">
        <v>202223</v>
      </c>
      <c r="AK19" s="207">
        <v>143009895</v>
      </c>
      <c r="AM19" s="98" t="s">
        <v>3112</v>
      </c>
      <c r="AN19" s="98" t="s">
        <v>3118</v>
      </c>
      <c r="AO19" s="211" t="str">
        <f>IF(Details!$G$3=2,ValData!AM19,ValData!AN19)</f>
        <v>C - Cleared</v>
      </c>
    </row>
    <row r="20" spans="1:41" x14ac:dyDescent="0.35">
      <c r="A20" s="98"/>
      <c r="B20" s="189" t="str">
        <f t="shared" si="0"/>
        <v>202425</v>
      </c>
      <c r="C20" s="190" t="s">
        <v>1</v>
      </c>
      <c r="D20" s="190">
        <f>T21</f>
        <v>23</v>
      </c>
      <c r="E20" s="190">
        <f>1</f>
        <v>1</v>
      </c>
      <c r="F20" s="190">
        <f t="shared" si="2"/>
        <v>0</v>
      </c>
      <c r="G20" s="204" t="e">
        <f t="shared" si="3"/>
        <v>#N/A</v>
      </c>
      <c r="H20" s="204" t="e">
        <f t="shared" si="4"/>
        <v>#N/A</v>
      </c>
      <c r="I20" s="204">
        <f t="shared" si="5"/>
        <v>0</v>
      </c>
      <c r="J20" s="206" t="e">
        <f t="shared" si="6"/>
        <v>#N/A</v>
      </c>
      <c r="K20" s="191">
        <f t="shared" si="7"/>
        <v>0</v>
      </c>
      <c r="L20" s="191">
        <f t="shared" si="8"/>
        <v>0</v>
      </c>
      <c r="M20" s="206">
        <f t="shared" si="9"/>
        <v>0</v>
      </c>
      <c r="N20" s="206">
        <f t="shared" si="10"/>
        <v>0</v>
      </c>
      <c r="O20" s="206">
        <f t="shared" si="11"/>
        <v>0</v>
      </c>
      <c r="P20" s="206">
        <f t="shared" si="12"/>
        <v>0</v>
      </c>
      <c r="Q20" s="192">
        <f>IF(ISERROR(VLOOKUP($D20,ValData!$S$4:$AB$16,10,FALSE)),0,IF(VLOOKUP($D20,ValData!$S$4:$AB$16,10,FALSE)="",0,VLOOKUP($D20,ValData!$S$4:$AB$16,10,FALSE)))</f>
        <v>0</v>
      </c>
      <c r="T20" s="98">
        <v>22</v>
      </c>
      <c r="U20" s="197" t="s">
        <v>190</v>
      </c>
      <c r="V20" s="98" t="s">
        <v>2952</v>
      </c>
      <c r="X20" s="98" t="str">
        <f>VLOOKUP(T20,Text!$A$28:$D$47,4,FALSE)</f>
        <v>Y dreth gyngor heb gynnwys praeseptau cynghorau cymuned</v>
      </c>
      <c r="AD20" s="98" t="str">
        <f t="shared" si="13"/>
        <v>544_1_202223</v>
      </c>
      <c r="AE20" s="98" t="s">
        <v>1</v>
      </c>
      <c r="AF20" s="98">
        <v>544</v>
      </c>
      <c r="AG20" s="98">
        <v>1</v>
      </c>
      <c r="AH20" s="98" t="s">
        <v>3050</v>
      </c>
      <c r="AI20" s="98">
        <v>1</v>
      </c>
      <c r="AJ20" s="98">
        <v>202223</v>
      </c>
      <c r="AK20" s="207">
        <v>394768857</v>
      </c>
      <c r="AM20" s="98" t="s">
        <v>3113</v>
      </c>
      <c r="AN20" s="98" t="s">
        <v>3119</v>
      </c>
      <c r="AO20" s="211" t="str">
        <f>IF(Details!$G$3=2,ValData!AM20,ValData!AN20)</f>
        <v>NB - Important</v>
      </c>
    </row>
    <row r="21" spans="1:41" x14ac:dyDescent="0.35">
      <c r="A21" s="98"/>
      <c r="T21" s="98">
        <v>23</v>
      </c>
      <c r="U21" s="197" t="s">
        <v>190</v>
      </c>
      <c r="V21" s="98" t="s">
        <v>3054</v>
      </c>
      <c r="X21" s="98" t="str">
        <f>VLOOKUP(T21,Text!$A$28:$D$47,4,FALSE)</f>
        <v>Praeseptiau cyngor cymunedol</v>
      </c>
      <c r="AD21" s="98" t="str">
        <f t="shared" si="13"/>
        <v>545_1_202223</v>
      </c>
      <c r="AE21" s="98" t="s">
        <v>1</v>
      </c>
      <c r="AF21" s="98">
        <v>545</v>
      </c>
      <c r="AG21" s="98">
        <v>1</v>
      </c>
      <c r="AH21" s="98" t="s">
        <v>3050</v>
      </c>
      <c r="AI21" s="98">
        <v>1</v>
      </c>
      <c r="AJ21" s="98">
        <v>202223</v>
      </c>
      <c r="AK21" s="207">
        <v>168059696</v>
      </c>
      <c r="AM21" s="98" t="s">
        <v>3114</v>
      </c>
      <c r="AN21" s="98" t="s">
        <v>3120</v>
      </c>
      <c r="AO21" s="211" t="str">
        <f>IF(Details!$G$3=2,ValData!AM21,ValData!AN21)</f>
        <v>U - Unresolved</v>
      </c>
    </row>
    <row r="22" spans="1:41" x14ac:dyDescent="0.35">
      <c r="AD22" s="98" t="str">
        <f t="shared" si="13"/>
        <v>546_1_202223</v>
      </c>
      <c r="AE22" s="98" t="s">
        <v>1</v>
      </c>
      <c r="AF22" s="98">
        <v>546</v>
      </c>
      <c r="AG22" s="98">
        <v>1</v>
      </c>
      <c r="AH22" s="98" t="s">
        <v>3050</v>
      </c>
      <c r="AI22" s="98">
        <v>1</v>
      </c>
      <c r="AJ22" s="98">
        <v>202223</v>
      </c>
      <c r="AK22" s="207">
        <v>211214072</v>
      </c>
      <c r="AM22" s="98" t="s">
        <v>3115</v>
      </c>
      <c r="AN22" s="98" t="s">
        <v>3121</v>
      </c>
      <c r="AO22" s="214" t="str">
        <f>IF(Details!$G$3=2,ValData!AM22,ValData!AN22)</f>
        <v>W - Waiting for action from LA</v>
      </c>
    </row>
    <row r="23" spans="1:41" x14ac:dyDescent="0.35">
      <c r="AD23" s="98" t="str">
        <f t="shared" si="13"/>
        <v>548_1_202223</v>
      </c>
      <c r="AE23" s="98" t="s">
        <v>1</v>
      </c>
      <c r="AF23" s="98">
        <v>548</v>
      </c>
      <c r="AG23" s="98">
        <v>1</v>
      </c>
      <c r="AH23" s="98" t="s">
        <v>3050</v>
      </c>
      <c r="AI23" s="98">
        <v>1</v>
      </c>
      <c r="AJ23" s="98">
        <v>202223</v>
      </c>
      <c r="AK23" s="207">
        <v>185389205</v>
      </c>
    </row>
    <row r="24" spans="1:41" x14ac:dyDescent="0.35">
      <c r="AD24" s="98" t="str">
        <f t="shared" si="13"/>
        <v>550_1_202223</v>
      </c>
      <c r="AE24" s="98" t="s">
        <v>1</v>
      </c>
      <c r="AF24" s="98">
        <v>550</v>
      </c>
      <c r="AG24" s="98">
        <v>1</v>
      </c>
      <c r="AH24" s="98" t="s">
        <v>3050</v>
      </c>
      <c r="AI24" s="98">
        <v>1</v>
      </c>
      <c r="AJ24" s="98">
        <v>202223</v>
      </c>
      <c r="AK24" s="207">
        <v>343479276.16000003</v>
      </c>
    </row>
    <row r="25" spans="1:41" x14ac:dyDescent="0.35">
      <c r="AD25" s="98" t="str">
        <f t="shared" si="13"/>
        <v>552_1_202223</v>
      </c>
      <c r="AE25" s="98" t="s">
        <v>1</v>
      </c>
      <c r="AF25" s="98">
        <v>552</v>
      </c>
      <c r="AG25" s="98">
        <v>1</v>
      </c>
      <c r="AH25" s="98" t="s">
        <v>3050</v>
      </c>
      <c r="AI25" s="98">
        <v>1</v>
      </c>
      <c r="AJ25" s="98">
        <v>202223</v>
      </c>
      <c r="AK25" s="207">
        <v>743841086</v>
      </c>
      <c r="AM25" s="210" t="s">
        <v>3081</v>
      </c>
    </row>
    <row r="26" spans="1:41" x14ac:dyDescent="0.35">
      <c r="AD26" s="98" t="str">
        <f t="shared" si="13"/>
        <v>512_2_202223</v>
      </c>
      <c r="AE26" s="98" t="s">
        <v>1</v>
      </c>
      <c r="AF26" s="98">
        <v>512</v>
      </c>
      <c r="AG26" s="98">
        <v>2</v>
      </c>
      <c r="AH26" s="98" t="s">
        <v>2</v>
      </c>
      <c r="AI26" s="98">
        <v>1</v>
      </c>
      <c r="AJ26" s="98">
        <v>202223</v>
      </c>
      <c r="AK26" s="207">
        <v>72471</v>
      </c>
      <c r="AM26" s="210" t="s">
        <v>306</v>
      </c>
      <c r="AN26" s="210" t="s">
        <v>308</v>
      </c>
      <c r="AO26" s="210" t="s">
        <v>3079</v>
      </c>
    </row>
    <row r="27" spans="1:41" x14ac:dyDescent="0.35">
      <c r="AD27" s="98" t="str">
        <f t="shared" si="13"/>
        <v>514_2_202223</v>
      </c>
      <c r="AE27" s="98" t="s">
        <v>1</v>
      </c>
      <c r="AF27" s="98">
        <v>514</v>
      </c>
      <c r="AG27" s="98">
        <v>2</v>
      </c>
      <c r="AH27" s="98" t="s">
        <v>2</v>
      </c>
      <c r="AI27" s="98">
        <v>1</v>
      </c>
      <c r="AJ27" s="98">
        <v>202223</v>
      </c>
      <c r="AK27" s="207">
        <v>495660</v>
      </c>
      <c r="AM27" s="211" t="s">
        <v>3082</v>
      </c>
      <c r="AN27" s="211" t="s">
        <v>3083</v>
      </c>
      <c r="AO27" s="211" t="str">
        <f>IF(Details!$G$3=2,ValData!AM27,ValData!AN27)</f>
        <v>select</v>
      </c>
    </row>
    <row r="28" spans="1:41" x14ac:dyDescent="0.35">
      <c r="AD28" s="98" t="str">
        <f t="shared" si="13"/>
        <v>516_2_202223</v>
      </c>
      <c r="AE28" s="98" t="s">
        <v>1</v>
      </c>
      <c r="AF28" s="98">
        <v>516</v>
      </c>
      <c r="AG28" s="98">
        <v>2</v>
      </c>
      <c r="AH28" s="98" t="s">
        <v>2</v>
      </c>
      <c r="AI28" s="98">
        <v>1</v>
      </c>
      <c r="AJ28" s="98">
        <v>202223</v>
      </c>
      <c r="AK28" s="207">
        <v>223000</v>
      </c>
      <c r="AM28" s="211" t="s">
        <v>3084</v>
      </c>
      <c r="AN28" s="211" t="s">
        <v>3085</v>
      </c>
      <c r="AO28" s="211" t="str">
        <f>IF(Details!$G$3=2,ValData!AM28,ValData!AN28)</f>
        <v>row</v>
      </c>
    </row>
    <row r="29" spans="1:41" x14ac:dyDescent="0.35">
      <c r="AD29" s="98" t="str">
        <f t="shared" si="13"/>
        <v>518_2_202223</v>
      </c>
      <c r="AE29" s="98" t="s">
        <v>1</v>
      </c>
      <c r="AF29" s="98">
        <v>518</v>
      </c>
      <c r="AG29" s="98">
        <v>2</v>
      </c>
      <c r="AH29" s="98" t="s">
        <v>2</v>
      </c>
      <c r="AI29" s="98">
        <v>1</v>
      </c>
      <c r="AJ29" s="98">
        <v>202223</v>
      </c>
      <c r="AK29" s="207">
        <v>60049</v>
      </c>
      <c r="AM29" s="211" t="s">
        <v>3086</v>
      </c>
      <c r="AN29" s="211" t="s">
        <v>3087</v>
      </c>
      <c r="AO29" s="211" t="str">
        <f>IF(Details!$G$3=2,ValData!AM29,ValData!AN29)</f>
        <v>column</v>
      </c>
    </row>
    <row r="30" spans="1:41" x14ac:dyDescent="0.35">
      <c r="AD30" s="98" t="str">
        <f t="shared" si="13"/>
        <v>520_2_202223</v>
      </c>
      <c r="AE30" s="98" t="s">
        <v>1</v>
      </c>
      <c r="AF30" s="98">
        <v>520</v>
      </c>
      <c r="AG30" s="98">
        <v>2</v>
      </c>
      <c r="AH30" s="98" t="s">
        <v>2</v>
      </c>
      <c r="AI30" s="98">
        <v>1</v>
      </c>
      <c r="AJ30" s="98">
        <v>202223</v>
      </c>
      <c r="AK30" s="207">
        <v>33366</v>
      </c>
      <c r="AM30" s="211" t="s">
        <v>3088</v>
      </c>
      <c r="AN30" s="211" t="s">
        <v>3089</v>
      </c>
      <c r="AO30" s="211" t="str">
        <f>IF(Details!$G$3=2,ValData!AM30,ValData!AN30)</f>
        <v>row description (sum lines shown in bold)</v>
      </c>
    </row>
    <row r="31" spans="1:41" x14ac:dyDescent="0.35">
      <c r="AD31" s="98" t="str">
        <f t="shared" si="13"/>
        <v>522_2_202223</v>
      </c>
      <c r="AE31" s="98" t="s">
        <v>1</v>
      </c>
      <c r="AF31" s="98">
        <v>522</v>
      </c>
      <c r="AG31" s="98">
        <v>2</v>
      </c>
      <c r="AH31" s="98" t="s">
        <v>2</v>
      </c>
      <c r="AI31" s="98">
        <v>1</v>
      </c>
      <c r="AJ31" s="98">
        <v>202223</v>
      </c>
      <c r="AK31" s="207">
        <v>259650</v>
      </c>
      <c r="AM31" s="211" t="s">
        <v>3090</v>
      </c>
      <c r="AN31" s="211" t="s">
        <v>3091</v>
      </c>
      <c r="AO31" s="211" t="str">
        <f>IF(Details!$G$3=2,ValData!AM31,ValData!AN31)</f>
        <v>value</v>
      </c>
    </row>
    <row r="32" spans="1:41" x14ac:dyDescent="0.35">
      <c r="AD32" s="98" t="str">
        <f t="shared" si="13"/>
        <v>524_2_202223</v>
      </c>
      <c r="AE32" s="98" t="s">
        <v>1</v>
      </c>
      <c r="AF32" s="98">
        <v>524</v>
      </c>
      <c r="AG32" s="98">
        <v>2</v>
      </c>
      <c r="AH32" s="98" t="s">
        <v>2</v>
      </c>
      <c r="AI32" s="98">
        <v>1</v>
      </c>
      <c r="AJ32" s="98">
        <v>202223</v>
      </c>
      <c r="AK32" s="207">
        <v>133820</v>
      </c>
      <c r="AM32" s="211" t="s">
        <v>3060</v>
      </c>
      <c r="AN32" s="211" t="s">
        <v>3092</v>
      </c>
      <c r="AO32" s="211" t="str">
        <f>IF(Details!$G$3=2,ValData!AM32,ValData!AN32)</f>
        <v>type</v>
      </c>
    </row>
    <row r="33" spans="30:41" x14ac:dyDescent="0.35">
      <c r="AD33" s="98" t="str">
        <f t="shared" si="13"/>
        <v>526_2_202223</v>
      </c>
      <c r="AE33" s="98" t="s">
        <v>1</v>
      </c>
      <c r="AF33" s="98">
        <v>526</v>
      </c>
      <c r="AG33" s="98">
        <v>2</v>
      </c>
      <c r="AH33" s="98" t="s">
        <v>2</v>
      </c>
      <c r="AI33" s="98">
        <v>1</v>
      </c>
      <c r="AJ33" s="98">
        <v>202223</v>
      </c>
      <c r="AK33" s="207">
        <v>221000</v>
      </c>
      <c r="AM33" s="211" t="s">
        <v>3061</v>
      </c>
      <c r="AN33" s="211" t="s">
        <v>3093</v>
      </c>
      <c r="AO33" s="211" t="str">
        <f>IF(Details!$G$3=2,ValData!AM33,ValData!AN33)</f>
        <v>auto</v>
      </c>
    </row>
    <row r="34" spans="30:41" x14ac:dyDescent="0.35">
      <c r="AD34" s="98" t="str">
        <f t="shared" si="13"/>
        <v>528_2_202223</v>
      </c>
      <c r="AE34" s="98" t="s">
        <v>1</v>
      </c>
      <c r="AF34" s="98">
        <v>528</v>
      </c>
      <c r="AG34" s="98">
        <v>2</v>
      </c>
      <c r="AH34" s="98" t="s">
        <v>2</v>
      </c>
      <c r="AI34" s="98">
        <v>1</v>
      </c>
      <c r="AJ34" s="98">
        <v>202223</v>
      </c>
      <c r="AK34" s="207">
        <v>290260</v>
      </c>
      <c r="AM34" s="211" t="s">
        <v>3062</v>
      </c>
      <c r="AN34" s="211" t="s">
        <v>3094</v>
      </c>
      <c r="AO34" s="211" t="str">
        <f>IF(Details!$G$3=2,ValData!AM34,ValData!AN34)</f>
        <v>mark</v>
      </c>
    </row>
    <row r="35" spans="30:41" x14ac:dyDescent="0.35">
      <c r="AD35" s="98" t="str">
        <f t="shared" si="13"/>
        <v>530_2_202223</v>
      </c>
      <c r="AE35" s="98" t="s">
        <v>1</v>
      </c>
      <c r="AF35" s="98">
        <v>530</v>
      </c>
      <c r="AG35" s="98">
        <v>2</v>
      </c>
      <c r="AH35" s="98" t="s">
        <v>2</v>
      </c>
      <c r="AI35" s="98">
        <v>1</v>
      </c>
      <c r="AJ35" s="98">
        <v>202223</v>
      </c>
      <c r="AK35" s="207">
        <v>289074</v>
      </c>
      <c r="AM35" s="211" t="s">
        <v>3063</v>
      </c>
      <c r="AN35" s="211" t="s">
        <v>3095</v>
      </c>
      <c r="AO35" s="211" t="str">
        <f>IF(Details!$G$3=2,ValData!AM35,ValData!AN35)</f>
        <v>check</v>
      </c>
    </row>
    <row r="36" spans="30:41" x14ac:dyDescent="0.35">
      <c r="AD36" s="98" t="str">
        <f t="shared" si="13"/>
        <v>532_2_202223</v>
      </c>
      <c r="AE36" s="98" t="s">
        <v>1</v>
      </c>
      <c r="AF36" s="98">
        <v>532</v>
      </c>
      <c r="AG36" s="98">
        <v>2</v>
      </c>
      <c r="AH36" s="98" t="s">
        <v>2</v>
      </c>
      <c r="AI36" s="98">
        <v>1</v>
      </c>
      <c r="AJ36" s="98">
        <v>202223</v>
      </c>
      <c r="AK36" s="207">
        <v>418000</v>
      </c>
      <c r="AM36" s="211" t="s">
        <v>3064</v>
      </c>
      <c r="AN36" s="211" t="s">
        <v>3096</v>
      </c>
      <c r="AO36" s="211" t="str">
        <f>IF(Details!$G$3=2,ValData!AM36,ValData!AN36)</f>
        <v>status</v>
      </c>
    </row>
    <row r="37" spans="30:41" x14ac:dyDescent="0.35">
      <c r="AD37" s="98" t="str">
        <f t="shared" si="13"/>
        <v>534_2_202223</v>
      </c>
      <c r="AE37" s="98" t="s">
        <v>1</v>
      </c>
      <c r="AF37" s="98">
        <v>534</v>
      </c>
      <c r="AG37" s="98">
        <v>2</v>
      </c>
      <c r="AH37" s="98" t="s">
        <v>2</v>
      </c>
      <c r="AI37" s="98">
        <v>1</v>
      </c>
      <c r="AJ37" s="98">
        <v>202223</v>
      </c>
      <c r="AK37" s="207">
        <v>386684</v>
      </c>
      <c r="AM37" s="211" t="s">
        <v>3129</v>
      </c>
      <c r="AN37" s="211" t="s">
        <v>3126</v>
      </c>
      <c r="AO37" s="211" t="str">
        <f>IF(Details!$G$3=2,ValData!AM37,ValData!AN37)</f>
        <v>Your comments</v>
      </c>
    </row>
    <row r="38" spans="30:41" x14ac:dyDescent="0.35">
      <c r="AD38" s="98" t="str">
        <f t="shared" si="13"/>
        <v>536_2_202223</v>
      </c>
      <c r="AE38" s="98" t="s">
        <v>1</v>
      </c>
      <c r="AF38" s="98">
        <v>536</v>
      </c>
      <c r="AG38" s="98">
        <v>2</v>
      </c>
      <c r="AH38" s="98" t="s">
        <v>2</v>
      </c>
      <c r="AI38" s="98">
        <v>1</v>
      </c>
      <c r="AJ38" s="98">
        <v>202223</v>
      </c>
      <c r="AK38" s="207">
        <v>304000</v>
      </c>
      <c r="AM38" s="211" t="s">
        <v>3128</v>
      </c>
      <c r="AN38" s="211" t="s">
        <v>3127</v>
      </c>
      <c r="AO38" s="211" t="str">
        <f>IF(Details!$G$3=2,ValData!AM38,ValData!AN38)</f>
        <v>Our comments</v>
      </c>
    </row>
    <row r="39" spans="30:41" x14ac:dyDescent="0.35">
      <c r="AD39" s="98" t="str">
        <f t="shared" si="13"/>
        <v>538_2_202223</v>
      </c>
      <c r="AE39" s="98" t="s">
        <v>1</v>
      </c>
      <c r="AF39" s="98">
        <v>538</v>
      </c>
      <c r="AG39" s="98">
        <v>2</v>
      </c>
      <c r="AH39" s="98" t="s">
        <v>2</v>
      </c>
      <c r="AI39" s="98">
        <v>1</v>
      </c>
      <c r="AJ39" s="98">
        <v>202223</v>
      </c>
      <c r="AK39" s="207">
        <v>290000</v>
      </c>
      <c r="AM39" s="211" t="s">
        <v>3130</v>
      </c>
      <c r="AN39" s="211" t="s">
        <v>3097</v>
      </c>
      <c r="AO39" s="211" t="str">
        <f>IF(Details!$G$3=2,ValData!AM39,ValData!AN39)</f>
        <v>signed by</v>
      </c>
    </row>
    <row r="40" spans="30:41" x14ac:dyDescent="0.35">
      <c r="AD40" s="98" t="str">
        <f t="shared" si="13"/>
        <v>540_2_202223</v>
      </c>
      <c r="AE40" s="98" t="s">
        <v>1</v>
      </c>
      <c r="AF40" s="98">
        <v>540</v>
      </c>
      <c r="AG40" s="98">
        <v>2</v>
      </c>
      <c r="AH40" s="98" t="s">
        <v>2</v>
      </c>
      <c r="AI40" s="98">
        <v>1</v>
      </c>
      <c r="AJ40" s="98">
        <v>202223</v>
      </c>
      <c r="AK40" s="207">
        <v>425000</v>
      </c>
      <c r="AM40" s="211" t="s">
        <v>3065</v>
      </c>
      <c r="AN40" s="211" t="s">
        <v>3098</v>
      </c>
      <c r="AO40" s="211" t="str">
        <f>IF(Details!$G$3=2,ValData!AM40,ValData!AN40)</f>
        <v>date</v>
      </c>
    </row>
    <row r="41" spans="30:41" x14ac:dyDescent="0.35">
      <c r="AD41" s="98" t="str">
        <f t="shared" si="13"/>
        <v>542_2_202223</v>
      </c>
      <c r="AE41" s="98" t="s">
        <v>1</v>
      </c>
      <c r="AF41" s="98">
        <v>542</v>
      </c>
      <c r="AG41" s="98">
        <v>2</v>
      </c>
      <c r="AH41" s="98" t="s">
        <v>2</v>
      </c>
      <c r="AI41" s="98">
        <v>1</v>
      </c>
      <c r="AJ41" s="98">
        <v>202223</v>
      </c>
      <c r="AK41" s="207">
        <v>94000</v>
      </c>
      <c r="AM41" s="211" t="s">
        <v>3068</v>
      </c>
      <c r="AN41" s="211" t="s">
        <v>3099</v>
      </c>
      <c r="AO41" s="211" t="str">
        <f>IF(Details!$G$3=2,ValData!AM41,ValData!AN41)</f>
        <v>difference</v>
      </c>
    </row>
    <row r="42" spans="30:41" x14ac:dyDescent="0.35">
      <c r="AD42" s="98" t="str">
        <f t="shared" si="13"/>
        <v>544_2_202223</v>
      </c>
      <c r="AE42" s="98" t="s">
        <v>1</v>
      </c>
      <c r="AF42" s="98">
        <v>544</v>
      </c>
      <c r="AG42" s="98">
        <v>2</v>
      </c>
      <c r="AH42" s="98" t="s">
        <v>2</v>
      </c>
      <c r="AI42" s="98">
        <v>1</v>
      </c>
      <c r="AJ42" s="98">
        <v>202223</v>
      </c>
      <c r="AK42" s="207">
        <v>187366</v>
      </c>
      <c r="AM42" s="211" t="s">
        <v>3140</v>
      </c>
      <c r="AN42" s="211" t="s">
        <v>3141</v>
      </c>
      <c r="AO42" s="211" t="str">
        <f>IF(Details!$G$3=2,ValData!AM42,ValData!AN42)</f>
        <v>tolerance:</v>
      </c>
    </row>
    <row r="43" spans="30:41" x14ac:dyDescent="0.35">
      <c r="AD43" s="98" t="str">
        <f t="shared" si="13"/>
        <v>545_2_202223</v>
      </c>
      <c r="AE43" s="98" t="s">
        <v>1</v>
      </c>
      <c r="AF43" s="98">
        <v>545</v>
      </c>
      <c r="AG43" s="98">
        <v>2</v>
      </c>
      <c r="AH43" s="98" t="s">
        <v>2</v>
      </c>
      <c r="AI43" s="98">
        <v>1</v>
      </c>
      <c r="AJ43" s="98">
        <v>202223</v>
      </c>
      <c r="AK43" s="207">
        <v>208000</v>
      </c>
      <c r="AM43" s="211" t="s">
        <v>3067</v>
      </c>
      <c r="AN43" s="211" t="s">
        <v>3100</v>
      </c>
      <c r="AO43" s="211" t="str">
        <f>IF(Details!$G$3=2,ValData!AM43,ValData!AN43)</f>
        <v>zero?</v>
      </c>
    </row>
    <row r="44" spans="30:41" x14ac:dyDescent="0.35">
      <c r="AD44" s="98" t="str">
        <f t="shared" si="13"/>
        <v>546_2_202223</v>
      </c>
      <c r="AE44" s="98" t="s">
        <v>1</v>
      </c>
      <c r="AF44" s="98">
        <v>546</v>
      </c>
      <c r="AG44" s="98">
        <v>2</v>
      </c>
      <c r="AH44" s="98" t="s">
        <v>2</v>
      </c>
      <c r="AI44" s="98">
        <v>1</v>
      </c>
      <c r="AJ44" s="98">
        <v>202223</v>
      </c>
      <c r="AK44" s="207">
        <v>89000</v>
      </c>
      <c r="AM44" s="211" t="s">
        <v>1756</v>
      </c>
      <c r="AN44" s="211" t="s">
        <v>1757</v>
      </c>
      <c r="AO44" s="211" t="str">
        <f>IF(Details!$G$3=2,ValData!AM44,ValData!AN44)</f>
        <v>Totals</v>
      </c>
    </row>
    <row r="45" spans="30:41" x14ac:dyDescent="0.35">
      <c r="AD45" s="98" t="str">
        <f t="shared" si="13"/>
        <v>548_2_202223</v>
      </c>
      <c r="AE45" s="98" t="s">
        <v>1</v>
      </c>
      <c r="AF45" s="98">
        <v>548</v>
      </c>
      <c r="AG45" s="98">
        <v>2</v>
      </c>
      <c r="AH45" s="98" t="s">
        <v>2</v>
      </c>
      <c r="AI45" s="98">
        <v>1</v>
      </c>
      <c r="AJ45" s="98">
        <v>202223</v>
      </c>
      <c r="AK45" s="207">
        <v>6000</v>
      </c>
      <c r="AM45" s="215" t="s">
        <v>3142</v>
      </c>
      <c r="AN45" s="211" t="s">
        <v>3143</v>
      </c>
      <c r="AO45" s="211" t="str">
        <f>IF(Details!$G$3=2,ValData!AM45,ValData!AN45)</f>
        <v>Any totals not = zero in column "V" will be flagged in 'auto' column and highlighted in red.</v>
      </c>
    </row>
    <row r="46" spans="30:41" x14ac:dyDescent="0.35">
      <c r="AD46" s="98" t="str">
        <f t="shared" si="13"/>
        <v>550_2_202223</v>
      </c>
      <c r="AE46" s="98" t="s">
        <v>1</v>
      </c>
      <c r="AF46" s="98">
        <v>550</v>
      </c>
      <c r="AG46" s="98">
        <v>2</v>
      </c>
      <c r="AH46" s="98" t="s">
        <v>2</v>
      </c>
      <c r="AI46" s="98">
        <v>1</v>
      </c>
      <c r="AJ46" s="98">
        <v>202223</v>
      </c>
      <c r="AK46" s="207">
        <v>0</v>
      </c>
      <c r="AM46" s="215" t="s">
        <v>3137</v>
      </c>
      <c r="AN46" s="211" t="s">
        <v>3135</v>
      </c>
      <c r="AO46" s="211" t="str">
        <f>IF(Details!$G$3=2,ValData!AM46,ValData!AN46)</f>
        <v>Arithmetic Checks</v>
      </c>
    </row>
    <row r="47" spans="30:41" x14ac:dyDescent="0.35">
      <c r="AD47" s="98" t="str">
        <f t="shared" si="13"/>
        <v>552_2_202223</v>
      </c>
      <c r="AE47" s="98" t="s">
        <v>1</v>
      </c>
      <c r="AF47" s="98">
        <v>552</v>
      </c>
      <c r="AG47" s="98">
        <v>2</v>
      </c>
      <c r="AH47" s="98" t="s">
        <v>2</v>
      </c>
      <c r="AI47" s="98">
        <v>1</v>
      </c>
      <c r="AJ47" s="98">
        <v>202223</v>
      </c>
      <c r="AK47" s="207">
        <v>400000</v>
      </c>
      <c r="AM47" s="215" t="s">
        <v>3066</v>
      </c>
      <c r="AN47" s="211" t="s">
        <v>3136</v>
      </c>
      <c r="AO47" s="211" t="str">
        <f>IF(Details!$G$3=2,ValData!AM47,ValData!AN47)</f>
        <v>YOY Figures</v>
      </c>
    </row>
    <row r="48" spans="30:41" x14ac:dyDescent="0.35">
      <c r="AD48" s="98" t="str">
        <f t="shared" si="13"/>
        <v>512_3_202223</v>
      </c>
      <c r="AE48" s="98" t="s">
        <v>1</v>
      </c>
      <c r="AF48" s="98">
        <v>512</v>
      </c>
      <c r="AG48" s="98">
        <v>3</v>
      </c>
      <c r="AH48" s="98" t="s">
        <v>3</v>
      </c>
      <c r="AI48" s="98">
        <v>1</v>
      </c>
      <c r="AJ48" s="98">
        <v>202223</v>
      </c>
      <c r="AK48" s="207">
        <v>25492959</v>
      </c>
      <c r="AM48" s="98" t="s">
        <v>3080</v>
      </c>
      <c r="AN48" s="98" t="s">
        <v>3122</v>
      </c>
      <c r="AO48" s="211" t="str">
        <f>IF(Details!$G$3=2,ValData!AM48,ValData!AN48)</f>
        <v>Please follow the instructions below when completing this page:</v>
      </c>
    </row>
    <row r="49" spans="30:37" x14ac:dyDescent="0.35">
      <c r="AD49" s="98" t="str">
        <f t="shared" si="13"/>
        <v>514_3_202223</v>
      </c>
      <c r="AE49" s="98" t="s">
        <v>1</v>
      </c>
      <c r="AF49" s="98">
        <v>514</v>
      </c>
      <c r="AG49" s="98">
        <v>3</v>
      </c>
      <c r="AH49" s="98" t="s">
        <v>3</v>
      </c>
      <c r="AI49" s="98">
        <v>1</v>
      </c>
      <c r="AJ49" s="98">
        <v>202223</v>
      </c>
      <c r="AK49" s="207">
        <v>45519091</v>
      </c>
    </row>
    <row r="50" spans="30:37" x14ac:dyDescent="0.35">
      <c r="AD50" s="98" t="str">
        <f t="shared" si="13"/>
        <v>516_3_202223</v>
      </c>
      <c r="AE50" s="98" t="s">
        <v>1</v>
      </c>
      <c r="AF50" s="98">
        <v>516</v>
      </c>
      <c r="AG50" s="98">
        <v>3</v>
      </c>
      <c r="AH50" s="98" t="s">
        <v>3</v>
      </c>
      <c r="AI50" s="98">
        <v>1</v>
      </c>
      <c r="AJ50" s="98">
        <v>202223</v>
      </c>
      <c r="AK50" s="207">
        <v>43306020</v>
      </c>
    </row>
    <row r="51" spans="30:37" x14ac:dyDescent="0.35">
      <c r="AD51" s="98" t="str">
        <f t="shared" si="13"/>
        <v>518_3_202223</v>
      </c>
      <c r="AE51" s="98" t="s">
        <v>1</v>
      </c>
      <c r="AF51" s="98">
        <v>518</v>
      </c>
      <c r="AG51" s="98">
        <v>3</v>
      </c>
      <c r="AH51" s="98" t="s">
        <v>3</v>
      </c>
      <c r="AI51" s="98">
        <v>1</v>
      </c>
      <c r="AJ51" s="98">
        <v>202223</v>
      </c>
      <c r="AK51" s="207">
        <v>34450608</v>
      </c>
    </row>
    <row r="52" spans="30:37" x14ac:dyDescent="0.35">
      <c r="AD52" s="98" t="str">
        <f t="shared" si="13"/>
        <v>520_3_202223</v>
      </c>
      <c r="AE52" s="98" t="s">
        <v>1</v>
      </c>
      <c r="AF52" s="98">
        <v>520</v>
      </c>
      <c r="AG52" s="98">
        <v>3</v>
      </c>
      <c r="AH52" s="98" t="s">
        <v>3</v>
      </c>
      <c r="AI52" s="98">
        <v>1</v>
      </c>
      <c r="AJ52" s="98">
        <v>202223</v>
      </c>
      <c r="AK52" s="207">
        <v>55649575</v>
      </c>
    </row>
    <row r="53" spans="30:37" x14ac:dyDescent="0.35">
      <c r="AD53" s="98" t="str">
        <f t="shared" si="13"/>
        <v>522_3_202223</v>
      </c>
      <c r="AE53" s="98" t="s">
        <v>1</v>
      </c>
      <c r="AF53" s="98">
        <v>522</v>
      </c>
      <c r="AG53" s="98">
        <v>3</v>
      </c>
      <c r="AH53" s="98" t="s">
        <v>3</v>
      </c>
      <c r="AI53" s="98">
        <v>1</v>
      </c>
      <c r="AJ53" s="98">
        <v>202223</v>
      </c>
      <c r="AK53" s="207">
        <v>47833954</v>
      </c>
    </row>
    <row r="54" spans="30:37" x14ac:dyDescent="0.35">
      <c r="AD54" s="98" t="str">
        <f t="shared" si="13"/>
        <v>524_3_202223</v>
      </c>
      <c r="AE54" s="98" t="s">
        <v>1</v>
      </c>
      <c r="AF54" s="98">
        <v>524</v>
      </c>
      <c r="AG54" s="98">
        <v>3</v>
      </c>
      <c r="AH54" s="98" t="s">
        <v>3</v>
      </c>
      <c r="AI54" s="98">
        <v>1</v>
      </c>
      <c r="AJ54" s="98">
        <v>202223</v>
      </c>
      <c r="AK54" s="207">
        <v>48746506</v>
      </c>
    </row>
    <row r="55" spans="30:37" x14ac:dyDescent="0.35">
      <c r="AD55" s="98" t="str">
        <f t="shared" si="13"/>
        <v>526_3_202223</v>
      </c>
      <c r="AE55" s="98" t="s">
        <v>1</v>
      </c>
      <c r="AF55" s="98">
        <v>526</v>
      </c>
      <c r="AG55" s="98">
        <v>3</v>
      </c>
      <c r="AH55" s="98" t="s">
        <v>3</v>
      </c>
      <c r="AI55" s="98">
        <v>1</v>
      </c>
      <c r="AJ55" s="98">
        <v>202223</v>
      </c>
      <c r="AK55" s="207">
        <v>27082335</v>
      </c>
    </row>
    <row r="56" spans="30:37" x14ac:dyDescent="0.35">
      <c r="AD56" s="98" t="str">
        <f t="shared" si="13"/>
        <v>528_3_202223</v>
      </c>
      <c r="AE56" s="98" t="s">
        <v>1</v>
      </c>
      <c r="AF56" s="98">
        <v>528</v>
      </c>
      <c r="AG56" s="98">
        <v>3</v>
      </c>
      <c r="AH56" s="98" t="s">
        <v>3</v>
      </c>
      <c r="AI56" s="98">
        <v>1</v>
      </c>
      <c r="AJ56" s="98">
        <v>202223</v>
      </c>
      <c r="AK56" s="207">
        <v>45870451</v>
      </c>
    </row>
    <row r="57" spans="30:37" x14ac:dyDescent="0.35">
      <c r="AD57" s="98" t="str">
        <f t="shared" si="13"/>
        <v>530_3_202223</v>
      </c>
      <c r="AE57" s="98" t="s">
        <v>1</v>
      </c>
      <c r="AF57" s="98">
        <v>530</v>
      </c>
      <c r="AG57" s="98">
        <v>3</v>
      </c>
      <c r="AH57" s="98" t="s">
        <v>3</v>
      </c>
      <c r="AI57" s="98">
        <v>1</v>
      </c>
      <c r="AJ57" s="98">
        <v>202223</v>
      </c>
      <c r="AK57" s="207">
        <v>68222607</v>
      </c>
    </row>
    <row r="58" spans="30:37" x14ac:dyDescent="0.35">
      <c r="AD58" s="98" t="str">
        <f t="shared" si="13"/>
        <v>532_3_202223</v>
      </c>
      <c r="AE58" s="98" t="s">
        <v>1</v>
      </c>
      <c r="AF58" s="98">
        <v>532</v>
      </c>
      <c r="AG58" s="98">
        <v>3</v>
      </c>
      <c r="AH58" s="98" t="s">
        <v>3</v>
      </c>
      <c r="AI58" s="98">
        <v>1</v>
      </c>
      <c r="AJ58" s="98">
        <v>202223</v>
      </c>
      <c r="AK58" s="207">
        <v>89167095</v>
      </c>
    </row>
    <row r="59" spans="30:37" x14ac:dyDescent="0.35">
      <c r="AD59" s="98" t="str">
        <f t="shared" si="13"/>
        <v>534_3_202223</v>
      </c>
      <c r="AE59" s="98" t="s">
        <v>1</v>
      </c>
      <c r="AF59" s="98">
        <v>534</v>
      </c>
      <c r="AG59" s="98">
        <v>3</v>
      </c>
      <c r="AH59" s="98" t="s">
        <v>3</v>
      </c>
      <c r="AI59" s="98">
        <v>1</v>
      </c>
      <c r="AJ59" s="98">
        <v>202223</v>
      </c>
      <c r="AK59" s="207">
        <v>51920793</v>
      </c>
    </row>
    <row r="60" spans="30:37" x14ac:dyDescent="0.35">
      <c r="AD60" s="98" t="str">
        <f t="shared" si="13"/>
        <v>536_3_202223</v>
      </c>
      <c r="AE60" s="98" t="s">
        <v>1</v>
      </c>
      <c r="AF60" s="98">
        <v>536</v>
      </c>
      <c r="AG60" s="98">
        <v>3</v>
      </c>
      <c r="AH60" s="98" t="s">
        <v>3</v>
      </c>
      <c r="AI60" s="98">
        <v>1</v>
      </c>
      <c r="AJ60" s="98">
        <v>202223</v>
      </c>
      <c r="AK60" s="207">
        <v>52772627</v>
      </c>
    </row>
    <row r="61" spans="30:37" x14ac:dyDescent="0.35">
      <c r="AD61" s="98" t="str">
        <f t="shared" si="13"/>
        <v>538_3_202223</v>
      </c>
      <c r="AE61" s="98" t="s">
        <v>1</v>
      </c>
      <c r="AF61" s="98">
        <v>538</v>
      </c>
      <c r="AG61" s="98">
        <v>3</v>
      </c>
      <c r="AH61" s="98" t="s">
        <v>3</v>
      </c>
      <c r="AI61" s="98">
        <v>1</v>
      </c>
      <c r="AJ61" s="98">
        <v>202223</v>
      </c>
      <c r="AK61" s="207">
        <v>47950479</v>
      </c>
    </row>
    <row r="62" spans="30:37" x14ac:dyDescent="0.35">
      <c r="AD62" s="98" t="str">
        <f t="shared" si="13"/>
        <v>540_3_202223</v>
      </c>
      <c r="AE62" s="98" t="s">
        <v>1</v>
      </c>
      <c r="AF62" s="98">
        <v>540</v>
      </c>
      <c r="AG62" s="98">
        <v>3</v>
      </c>
      <c r="AH62" s="98" t="s">
        <v>3</v>
      </c>
      <c r="AI62" s="98">
        <v>1</v>
      </c>
      <c r="AJ62" s="98">
        <v>202223</v>
      </c>
      <c r="AK62" s="207">
        <v>85618680</v>
      </c>
    </row>
    <row r="63" spans="30:37" x14ac:dyDescent="0.35">
      <c r="AD63" s="98" t="str">
        <f t="shared" si="13"/>
        <v>542_3_202223</v>
      </c>
      <c r="AE63" s="98" t="s">
        <v>1</v>
      </c>
      <c r="AF63" s="98">
        <v>542</v>
      </c>
      <c r="AG63" s="98">
        <v>3</v>
      </c>
      <c r="AH63" s="98" t="s">
        <v>3</v>
      </c>
      <c r="AI63" s="98">
        <v>1</v>
      </c>
      <c r="AJ63" s="98">
        <v>202223</v>
      </c>
      <c r="AK63" s="207">
        <v>21226200</v>
      </c>
    </row>
    <row r="64" spans="30:37" x14ac:dyDescent="0.35">
      <c r="AD64" s="98" t="str">
        <f t="shared" si="13"/>
        <v>544_3_202223</v>
      </c>
      <c r="AE64" s="98" t="s">
        <v>1</v>
      </c>
      <c r="AF64" s="98">
        <v>544</v>
      </c>
      <c r="AG64" s="98">
        <v>3</v>
      </c>
      <c r="AH64" s="98" t="s">
        <v>3</v>
      </c>
      <c r="AI64" s="98">
        <v>1</v>
      </c>
      <c r="AJ64" s="98">
        <v>202223</v>
      </c>
      <c r="AK64" s="207">
        <v>64316583</v>
      </c>
    </row>
    <row r="65" spans="30:37" x14ac:dyDescent="0.35">
      <c r="AD65" s="98" t="str">
        <f t="shared" si="13"/>
        <v>545_3_202223</v>
      </c>
      <c r="AE65" s="98" t="s">
        <v>1</v>
      </c>
      <c r="AF65" s="98">
        <v>545</v>
      </c>
      <c r="AG65" s="98">
        <v>3</v>
      </c>
      <c r="AH65" s="98" t="s">
        <v>3</v>
      </c>
      <c r="AI65" s="98">
        <v>1</v>
      </c>
      <c r="AJ65" s="98">
        <v>202223</v>
      </c>
      <c r="AK65" s="207">
        <v>25180442</v>
      </c>
    </row>
    <row r="66" spans="30:37" x14ac:dyDescent="0.35">
      <c r="AD66" s="98" t="str">
        <f t="shared" si="13"/>
        <v>546_3_202223</v>
      </c>
      <c r="AE66" s="98" t="s">
        <v>1</v>
      </c>
      <c r="AF66" s="98">
        <v>546</v>
      </c>
      <c r="AG66" s="98">
        <v>3</v>
      </c>
      <c r="AH66" s="98" t="s">
        <v>3</v>
      </c>
      <c r="AI66" s="98">
        <v>1</v>
      </c>
      <c r="AJ66" s="98">
        <v>202223</v>
      </c>
      <c r="AK66" s="207">
        <v>33648777</v>
      </c>
    </row>
    <row r="67" spans="30:37" x14ac:dyDescent="0.35">
      <c r="AD67" s="98" t="str">
        <f t="shared" si="13"/>
        <v>548_3_202223</v>
      </c>
      <c r="AE67" s="98" t="s">
        <v>1</v>
      </c>
      <c r="AF67" s="98">
        <v>548</v>
      </c>
      <c r="AG67" s="98">
        <v>3</v>
      </c>
      <c r="AH67" s="98" t="s">
        <v>3</v>
      </c>
      <c r="AI67" s="98">
        <v>1</v>
      </c>
      <c r="AJ67" s="98">
        <v>202223</v>
      </c>
      <c r="AK67" s="207">
        <v>34753304</v>
      </c>
    </row>
    <row r="68" spans="30:37" x14ac:dyDescent="0.35">
      <c r="AD68" s="98" t="str">
        <f t="shared" ref="AD68:AD131" si="14">AF68&amp;"_"&amp;AG68&amp;"_"&amp;AJ68</f>
        <v>550_3_202223</v>
      </c>
      <c r="AE68" s="98" t="s">
        <v>1</v>
      </c>
      <c r="AF68" s="98">
        <v>550</v>
      </c>
      <c r="AG68" s="98">
        <v>3</v>
      </c>
      <c r="AH68" s="98" t="s">
        <v>3</v>
      </c>
      <c r="AI68" s="98">
        <v>1</v>
      </c>
      <c r="AJ68" s="98">
        <v>202223</v>
      </c>
      <c r="AK68" s="207">
        <v>53954390</v>
      </c>
    </row>
    <row r="69" spans="30:37" x14ac:dyDescent="0.35">
      <c r="AD69" s="98" t="str">
        <f t="shared" si="14"/>
        <v>552_3_202223</v>
      </c>
      <c r="AE69" s="98" t="s">
        <v>1</v>
      </c>
      <c r="AF69" s="98">
        <v>552</v>
      </c>
      <c r="AG69" s="98">
        <v>3</v>
      </c>
      <c r="AH69" s="98" t="s">
        <v>3</v>
      </c>
      <c r="AI69" s="98">
        <v>1</v>
      </c>
      <c r="AJ69" s="98">
        <v>202223</v>
      </c>
      <c r="AK69" s="207">
        <v>131181524</v>
      </c>
    </row>
    <row r="70" spans="30:37" x14ac:dyDescent="0.35">
      <c r="AD70" s="98" t="str">
        <f t="shared" si="14"/>
        <v>512_4_202223</v>
      </c>
      <c r="AE70" s="98" t="s">
        <v>1</v>
      </c>
      <c r="AF70" s="98">
        <v>512</v>
      </c>
      <c r="AG70" s="98">
        <v>4</v>
      </c>
      <c r="AH70" s="98" t="s">
        <v>4</v>
      </c>
      <c r="AI70" s="98">
        <v>1</v>
      </c>
      <c r="AJ70" s="98">
        <v>202223</v>
      </c>
      <c r="AK70" s="207">
        <v>89058293</v>
      </c>
    </row>
    <row r="71" spans="30:37" x14ac:dyDescent="0.35">
      <c r="AD71" s="98" t="str">
        <f t="shared" si="14"/>
        <v>514_4_202223</v>
      </c>
      <c r="AE71" s="98" t="s">
        <v>1</v>
      </c>
      <c r="AF71" s="98">
        <v>514</v>
      </c>
      <c r="AG71" s="98">
        <v>4</v>
      </c>
      <c r="AH71" s="98" t="s">
        <v>4</v>
      </c>
      <c r="AI71" s="98">
        <v>1</v>
      </c>
      <c r="AJ71" s="98">
        <v>202223</v>
      </c>
      <c r="AK71" s="207">
        <v>167691306</v>
      </c>
    </row>
    <row r="72" spans="30:37" x14ac:dyDescent="0.35">
      <c r="AD72" s="98" t="str">
        <f t="shared" si="14"/>
        <v>516_4_202223</v>
      </c>
      <c r="AE72" s="98" t="s">
        <v>1</v>
      </c>
      <c r="AF72" s="98">
        <v>516</v>
      </c>
      <c r="AG72" s="98">
        <v>4</v>
      </c>
      <c r="AH72" s="98" t="s">
        <v>4</v>
      </c>
      <c r="AI72" s="98">
        <v>1</v>
      </c>
      <c r="AJ72" s="98">
        <v>202223</v>
      </c>
      <c r="AK72" s="207">
        <v>140005084</v>
      </c>
    </row>
    <row r="73" spans="30:37" x14ac:dyDescent="0.35">
      <c r="AD73" s="98" t="str">
        <f t="shared" si="14"/>
        <v>518_4_202223</v>
      </c>
      <c r="AE73" s="98" t="s">
        <v>1</v>
      </c>
      <c r="AF73" s="98">
        <v>518</v>
      </c>
      <c r="AG73" s="98">
        <v>4</v>
      </c>
      <c r="AH73" s="98" t="s">
        <v>4</v>
      </c>
      <c r="AI73" s="98">
        <v>1</v>
      </c>
      <c r="AJ73" s="98">
        <v>202223</v>
      </c>
      <c r="AK73" s="207">
        <v>139189610</v>
      </c>
    </row>
    <row r="74" spans="30:37" x14ac:dyDescent="0.35">
      <c r="AD74" s="98" t="str">
        <f t="shared" si="14"/>
        <v>520_4_202223</v>
      </c>
      <c r="AE74" s="98" t="s">
        <v>1</v>
      </c>
      <c r="AF74" s="98">
        <v>520</v>
      </c>
      <c r="AG74" s="98">
        <v>4</v>
      </c>
      <c r="AH74" s="98" t="s">
        <v>4</v>
      </c>
      <c r="AI74" s="98">
        <v>1</v>
      </c>
      <c r="AJ74" s="98">
        <v>202223</v>
      </c>
      <c r="AK74" s="207">
        <v>176528928</v>
      </c>
    </row>
    <row r="75" spans="30:37" x14ac:dyDescent="0.35">
      <c r="AD75" s="98" t="str">
        <f t="shared" si="14"/>
        <v>522_4_202223</v>
      </c>
      <c r="AE75" s="98" t="s">
        <v>1</v>
      </c>
      <c r="AF75" s="98">
        <v>522</v>
      </c>
      <c r="AG75" s="98">
        <v>4</v>
      </c>
      <c r="AH75" s="98" t="s">
        <v>4</v>
      </c>
      <c r="AI75" s="98">
        <v>1</v>
      </c>
      <c r="AJ75" s="98">
        <v>202223</v>
      </c>
      <c r="AK75" s="207">
        <v>159229828</v>
      </c>
    </row>
    <row r="76" spans="30:37" x14ac:dyDescent="0.35">
      <c r="AD76" s="98" t="str">
        <f t="shared" si="14"/>
        <v>524_4_202223</v>
      </c>
      <c r="AE76" s="98" t="s">
        <v>1</v>
      </c>
      <c r="AF76" s="98">
        <v>524</v>
      </c>
      <c r="AG76" s="98">
        <v>4</v>
      </c>
      <c r="AH76" s="98" t="s">
        <v>4</v>
      </c>
      <c r="AI76" s="98">
        <v>1</v>
      </c>
      <c r="AJ76" s="98">
        <v>202223</v>
      </c>
      <c r="AK76" s="207">
        <v>161514501</v>
      </c>
    </row>
    <row r="77" spans="30:37" x14ac:dyDescent="0.35">
      <c r="AD77" s="98" t="str">
        <f t="shared" si="14"/>
        <v>526_4_202223</v>
      </c>
      <c r="AE77" s="98" t="s">
        <v>1</v>
      </c>
      <c r="AF77" s="98">
        <v>526</v>
      </c>
      <c r="AG77" s="98">
        <v>4</v>
      </c>
      <c r="AH77" s="98" t="s">
        <v>4</v>
      </c>
      <c r="AI77" s="98">
        <v>1</v>
      </c>
      <c r="AJ77" s="98">
        <v>202223</v>
      </c>
      <c r="AK77" s="207">
        <v>92338741</v>
      </c>
    </row>
    <row r="78" spans="30:37" x14ac:dyDescent="0.35">
      <c r="AD78" s="98" t="str">
        <f t="shared" si="14"/>
        <v>528_4_202223</v>
      </c>
      <c r="AE78" s="98" t="s">
        <v>1</v>
      </c>
      <c r="AF78" s="98">
        <v>528</v>
      </c>
      <c r="AG78" s="98">
        <v>4</v>
      </c>
      <c r="AH78" s="98" t="s">
        <v>4</v>
      </c>
      <c r="AI78" s="98">
        <v>1</v>
      </c>
      <c r="AJ78" s="98">
        <v>202223</v>
      </c>
      <c r="AK78" s="207">
        <v>150386718</v>
      </c>
    </row>
    <row r="79" spans="30:37" x14ac:dyDescent="0.35">
      <c r="AD79" s="98" t="str">
        <f t="shared" si="14"/>
        <v>530_4_202223</v>
      </c>
      <c r="AE79" s="98" t="s">
        <v>1</v>
      </c>
      <c r="AF79" s="98">
        <v>530</v>
      </c>
      <c r="AG79" s="98">
        <v>4</v>
      </c>
      <c r="AH79" s="98" t="s">
        <v>4</v>
      </c>
      <c r="AI79" s="98">
        <v>1</v>
      </c>
      <c r="AJ79" s="98">
        <v>202223</v>
      </c>
      <c r="AK79" s="207">
        <v>243380252</v>
      </c>
    </row>
    <row r="80" spans="30:37" x14ac:dyDescent="0.35">
      <c r="AD80" s="98" t="str">
        <f t="shared" si="14"/>
        <v>532_4_202223</v>
      </c>
      <c r="AE80" s="98" t="s">
        <v>1</v>
      </c>
      <c r="AF80" s="98">
        <v>532</v>
      </c>
      <c r="AG80" s="98">
        <v>4</v>
      </c>
      <c r="AH80" s="98" t="s">
        <v>4</v>
      </c>
      <c r="AI80" s="98">
        <v>1</v>
      </c>
      <c r="AJ80" s="98">
        <v>202223</v>
      </c>
      <c r="AK80" s="207">
        <v>297425081</v>
      </c>
    </row>
    <row r="81" spans="30:37" x14ac:dyDescent="0.35">
      <c r="AD81" s="98" t="str">
        <f t="shared" si="14"/>
        <v>534_4_202223</v>
      </c>
      <c r="AE81" s="98" t="s">
        <v>1</v>
      </c>
      <c r="AF81" s="98">
        <v>534</v>
      </c>
      <c r="AG81" s="98">
        <v>4</v>
      </c>
      <c r="AH81" s="98" t="s">
        <v>4</v>
      </c>
      <c r="AI81" s="98">
        <v>1</v>
      </c>
      <c r="AJ81" s="98">
        <v>202223</v>
      </c>
      <c r="AK81" s="207">
        <v>206151784</v>
      </c>
    </row>
    <row r="82" spans="30:37" x14ac:dyDescent="0.35">
      <c r="AD82" s="98" t="str">
        <f t="shared" si="14"/>
        <v>536_4_202223</v>
      </c>
      <c r="AE82" s="98" t="s">
        <v>1</v>
      </c>
      <c r="AF82" s="98">
        <v>536</v>
      </c>
      <c r="AG82" s="98">
        <v>4</v>
      </c>
      <c r="AH82" s="98" t="s">
        <v>4</v>
      </c>
      <c r="AI82" s="98">
        <v>1</v>
      </c>
      <c r="AJ82" s="98">
        <v>202223</v>
      </c>
      <c r="AK82" s="207">
        <v>179595330</v>
      </c>
    </row>
    <row r="83" spans="30:37" x14ac:dyDescent="0.35">
      <c r="AD83" s="98" t="str">
        <f t="shared" si="14"/>
        <v>538_4_202223</v>
      </c>
      <c r="AE83" s="98" t="s">
        <v>1</v>
      </c>
      <c r="AF83" s="98">
        <v>538</v>
      </c>
      <c r="AG83" s="98">
        <v>4</v>
      </c>
      <c r="AH83" s="98" t="s">
        <v>4</v>
      </c>
      <c r="AI83" s="98">
        <v>1</v>
      </c>
      <c r="AJ83" s="98">
        <v>202223</v>
      </c>
      <c r="AK83" s="207">
        <v>138064649</v>
      </c>
    </row>
    <row r="84" spans="30:37" x14ac:dyDescent="0.35">
      <c r="AD84" s="98" t="str">
        <f t="shared" si="14"/>
        <v>540_4_202223</v>
      </c>
      <c r="AE84" s="98" t="s">
        <v>1</v>
      </c>
      <c r="AF84" s="98">
        <v>540</v>
      </c>
      <c r="AG84" s="98">
        <v>4</v>
      </c>
      <c r="AH84" s="98" t="s">
        <v>4</v>
      </c>
      <c r="AI84" s="98">
        <v>1</v>
      </c>
      <c r="AJ84" s="98">
        <v>202223</v>
      </c>
      <c r="AK84" s="207">
        <v>355822023</v>
      </c>
    </row>
    <row r="85" spans="30:37" x14ac:dyDescent="0.35">
      <c r="AD85" s="98" t="str">
        <f t="shared" si="14"/>
        <v>542_4_202223</v>
      </c>
      <c r="AE85" s="98" t="s">
        <v>1</v>
      </c>
      <c r="AF85" s="98">
        <v>542</v>
      </c>
      <c r="AG85" s="98">
        <v>4</v>
      </c>
      <c r="AH85" s="98" t="s">
        <v>4</v>
      </c>
      <c r="AI85" s="98">
        <v>1</v>
      </c>
      <c r="AJ85" s="98">
        <v>202223</v>
      </c>
      <c r="AK85" s="207">
        <v>89391118</v>
      </c>
    </row>
    <row r="86" spans="30:37" x14ac:dyDescent="0.35">
      <c r="AD86" s="98" t="str">
        <f t="shared" si="14"/>
        <v>544_4_202223</v>
      </c>
      <c r="AE86" s="98" t="s">
        <v>1</v>
      </c>
      <c r="AF86" s="98">
        <v>544</v>
      </c>
      <c r="AG86" s="98">
        <v>4</v>
      </c>
      <c r="AH86" s="98" t="s">
        <v>4</v>
      </c>
      <c r="AI86" s="98">
        <v>1</v>
      </c>
      <c r="AJ86" s="98">
        <v>202223</v>
      </c>
      <c r="AK86" s="207">
        <v>253141988</v>
      </c>
    </row>
    <row r="87" spans="30:37" x14ac:dyDescent="0.35">
      <c r="AD87" s="98" t="str">
        <f t="shared" si="14"/>
        <v>545_4_202223</v>
      </c>
      <c r="AE87" s="98" t="s">
        <v>1</v>
      </c>
      <c r="AF87" s="98">
        <v>545</v>
      </c>
      <c r="AG87" s="98">
        <v>4</v>
      </c>
      <c r="AH87" s="98" t="s">
        <v>4</v>
      </c>
      <c r="AI87" s="98">
        <v>1</v>
      </c>
      <c r="AJ87" s="98">
        <v>202223</v>
      </c>
      <c r="AK87" s="207">
        <v>105616281</v>
      </c>
    </row>
    <row r="88" spans="30:37" x14ac:dyDescent="0.35">
      <c r="AD88" s="98" t="str">
        <f t="shared" si="14"/>
        <v>546_4_202223</v>
      </c>
      <c r="AE88" s="98" t="s">
        <v>1</v>
      </c>
      <c r="AF88" s="98">
        <v>546</v>
      </c>
      <c r="AG88" s="98">
        <v>4</v>
      </c>
      <c r="AH88" s="98" t="s">
        <v>4</v>
      </c>
      <c r="AI88" s="98">
        <v>1</v>
      </c>
      <c r="AJ88" s="98">
        <v>202223</v>
      </c>
      <c r="AK88" s="207">
        <v>126471159</v>
      </c>
    </row>
    <row r="89" spans="30:37" x14ac:dyDescent="0.35">
      <c r="AD89" s="98" t="str">
        <f t="shared" si="14"/>
        <v>548_4_202223</v>
      </c>
      <c r="AE89" s="98" t="s">
        <v>1</v>
      </c>
      <c r="AF89" s="98">
        <v>548</v>
      </c>
      <c r="AG89" s="98">
        <v>4</v>
      </c>
      <c r="AH89" s="98" t="s">
        <v>4</v>
      </c>
      <c r="AI89" s="98">
        <v>1</v>
      </c>
      <c r="AJ89" s="98">
        <v>202223</v>
      </c>
      <c r="AK89" s="207">
        <v>77524232</v>
      </c>
    </row>
    <row r="90" spans="30:37" x14ac:dyDescent="0.35">
      <c r="AD90" s="98" t="str">
        <f t="shared" si="14"/>
        <v>550_4_202223</v>
      </c>
      <c r="AE90" s="98" t="s">
        <v>1</v>
      </c>
      <c r="AF90" s="98">
        <v>550</v>
      </c>
      <c r="AG90" s="98">
        <v>4</v>
      </c>
      <c r="AH90" s="98" t="s">
        <v>4</v>
      </c>
      <c r="AI90" s="98">
        <v>1</v>
      </c>
      <c r="AJ90" s="98">
        <v>202223</v>
      </c>
      <c r="AK90" s="207">
        <v>211657841</v>
      </c>
    </row>
    <row r="91" spans="30:37" x14ac:dyDescent="0.35">
      <c r="AD91" s="98" t="str">
        <f t="shared" si="14"/>
        <v>552_4_202223</v>
      </c>
      <c r="AE91" s="98" t="s">
        <v>1</v>
      </c>
      <c r="AF91" s="98">
        <v>552</v>
      </c>
      <c r="AG91" s="98">
        <v>4</v>
      </c>
      <c r="AH91" s="98" t="s">
        <v>4</v>
      </c>
      <c r="AI91" s="98">
        <v>1</v>
      </c>
      <c r="AJ91" s="98">
        <v>202223</v>
      </c>
      <c r="AK91" s="207">
        <v>413544080</v>
      </c>
    </row>
    <row r="92" spans="30:37" x14ac:dyDescent="0.35">
      <c r="AD92" s="98" t="str">
        <f t="shared" si="14"/>
        <v>512_5_202223</v>
      </c>
      <c r="AE92" s="98" t="s">
        <v>1</v>
      </c>
      <c r="AF92" s="98">
        <v>512</v>
      </c>
      <c r="AG92" s="98">
        <v>5</v>
      </c>
      <c r="AH92" s="98" t="s">
        <v>2949</v>
      </c>
      <c r="AI92" s="98">
        <v>1</v>
      </c>
      <c r="AJ92" s="98">
        <v>202223</v>
      </c>
      <c r="AK92" s="207">
        <v>45538489</v>
      </c>
    </row>
    <row r="93" spans="30:37" x14ac:dyDescent="0.35">
      <c r="AD93" s="98" t="str">
        <f t="shared" si="14"/>
        <v>514_5_202223</v>
      </c>
      <c r="AE93" s="98" t="s">
        <v>1</v>
      </c>
      <c r="AF93" s="98">
        <v>514</v>
      </c>
      <c r="AG93" s="98">
        <v>5</v>
      </c>
      <c r="AH93" s="98" t="s">
        <v>2949</v>
      </c>
      <c r="AI93" s="98">
        <v>1</v>
      </c>
      <c r="AJ93" s="98">
        <v>202223</v>
      </c>
      <c r="AK93" s="207">
        <v>84676743</v>
      </c>
    </row>
    <row r="94" spans="30:37" x14ac:dyDescent="0.35">
      <c r="AD94" s="98" t="str">
        <f t="shared" si="14"/>
        <v>516_5_202223</v>
      </c>
      <c r="AE94" s="98" t="s">
        <v>1</v>
      </c>
      <c r="AF94" s="98">
        <v>516</v>
      </c>
      <c r="AG94" s="98">
        <v>5</v>
      </c>
      <c r="AH94" s="98" t="s">
        <v>2949</v>
      </c>
      <c r="AI94" s="98">
        <v>1</v>
      </c>
      <c r="AJ94" s="98">
        <v>202223</v>
      </c>
      <c r="AK94" s="207">
        <v>75834414</v>
      </c>
    </row>
    <row r="95" spans="30:37" x14ac:dyDescent="0.35">
      <c r="AD95" s="98" t="str">
        <f t="shared" si="14"/>
        <v>518_5_202223</v>
      </c>
      <c r="AE95" s="98" t="s">
        <v>1</v>
      </c>
      <c r="AF95" s="98">
        <v>518</v>
      </c>
      <c r="AG95" s="98">
        <v>5</v>
      </c>
      <c r="AH95" s="98" t="s">
        <v>2949</v>
      </c>
      <c r="AI95" s="98">
        <v>1</v>
      </c>
      <c r="AJ95" s="98">
        <v>202223</v>
      </c>
      <c r="AK95" s="207">
        <v>62452346</v>
      </c>
    </row>
    <row r="96" spans="30:37" x14ac:dyDescent="0.35">
      <c r="AD96" s="98" t="str">
        <f t="shared" si="14"/>
        <v>520_5_202223</v>
      </c>
      <c r="AE96" s="98" t="s">
        <v>1</v>
      </c>
      <c r="AF96" s="98">
        <v>520</v>
      </c>
      <c r="AG96" s="98">
        <v>5</v>
      </c>
      <c r="AH96" s="98" t="s">
        <v>2949</v>
      </c>
      <c r="AI96" s="98">
        <v>1</v>
      </c>
      <c r="AJ96" s="98">
        <v>202223</v>
      </c>
      <c r="AK96" s="207">
        <v>97699681</v>
      </c>
    </row>
    <row r="97" spans="30:37" x14ac:dyDescent="0.35">
      <c r="AD97" s="98" t="str">
        <f t="shared" si="14"/>
        <v>522_5_202223</v>
      </c>
      <c r="AE97" s="98" t="s">
        <v>1</v>
      </c>
      <c r="AF97" s="98">
        <v>522</v>
      </c>
      <c r="AG97" s="98">
        <v>5</v>
      </c>
      <c r="AH97" s="98" t="s">
        <v>2949</v>
      </c>
      <c r="AI97" s="98">
        <v>1</v>
      </c>
      <c r="AJ97" s="98">
        <v>202223</v>
      </c>
      <c r="AK97" s="207">
        <v>76447123</v>
      </c>
    </row>
    <row r="98" spans="30:37" x14ac:dyDescent="0.35">
      <c r="AD98" s="98" t="str">
        <f t="shared" si="14"/>
        <v>524_5_202223</v>
      </c>
      <c r="AE98" s="98" t="s">
        <v>1</v>
      </c>
      <c r="AF98" s="98">
        <v>524</v>
      </c>
      <c r="AG98" s="98">
        <v>5</v>
      </c>
      <c r="AH98" s="98" t="s">
        <v>2949</v>
      </c>
      <c r="AI98" s="98">
        <v>1</v>
      </c>
      <c r="AJ98" s="98">
        <v>202223</v>
      </c>
      <c r="AK98" s="207">
        <v>96085024</v>
      </c>
    </row>
    <row r="99" spans="30:37" x14ac:dyDescent="0.35">
      <c r="AD99" s="98" t="str">
        <f t="shared" si="14"/>
        <v>526_5_202223</v>
      </c>
      <c r="AE99" s="98" t="s">
        <v>1</v>
      </c>
      <c r="AF99" s="98">
        <v>526</v>
      </c>
      <c r="AG99" s="98">
        <v>5</v>
      </c>
      <c r="AH99" s="98" t="s">
        <v>2949</v>
      </c>
      <c r="AI99" s="98">
        <v>1</v>
      </c>
      <c r="AJ99" s="98">
        <v>202223</v>
      </c>
      <c r="AK99" s="207">
        <v>47681356</v>
      </c>
    </row>
    <row r="100" spans="30:37" x14ac:dyDescent="0.35">
      <c r="AD100" s="98" t="str">
        <f t="shared" si="14"/>
        <v>528_5_202223</v>
      </c>
      <c r="AE100" s="98" t="s">
        <v>1</v>
      </c>
      <c r="AF100" s="98">
        <v>528</v>
      </c>
      <c r="AG100" s="98">
        <v>5</v>
      </c>
      <c r="AH100" s="98" t="s">
        <v>2949</v>
      </c>
      <c r="AI100" s="98">
        <v>1</v>
      </c>
      <c r="AJ100" s="98">
        <v>202223</v>
      </c>
      <c r="AK100" s="207">
        <v>77625675</v>
      </c>
    </row>
    <row r="101" spans="30:37" x14ac:dyDescent="0.35">
      <c r="AD101" s="98" t="str">
        <f t="shared" si="14"/>
        <v>530_5_202223</v>
      </c>
      <c r="AE101" s="98" t="s">
        <v>1</v>
      </c>
      <c r="AF101" s="98">
        <v>530</v>
      </c>
      <c r="AG101" s="98">
        <v>5</v>
      </c>
      <c r="AH101" s="98" t="s">
        <v>2949</v>
      </c>
      <c r="AI101" s="98">
        <v>1</v>
      </c>
      <c r="AJ101" s="98">
        <v>202223</v>
      </c>
      <c r="AK101" s="207">
        <v>111283001.44320738</v>
      </c>
    </row>
    <row r="102" spans="30:37" x14ac:dyDescent="0.35">
      <c r="AD102" s="98" t="str">
        <f t="shared" si="14"/>
        <v>532_5_202223</v>
      </c>
      <c r="AE102" s="98" t="s">
        <v>1</v>
      </c>
      <c r="AF102" s="98">
        <v>532</v>
      </c>
      <c r="AG102" s="98">
        <v>5</v>
      </c>
      <c r="AH102" s="98" t="s">
        <v>2949</v>
      </c>
      <c r="AI102" s="98">
        <v>1</v>
      </c>
      <c r="AJ102" s="98">
        <v>202223</v>
      </c>
      <c r="AK102" s="207">
        <v>137839275</v>
      </c>
    </row>
    <row r="103" spans="30:37" x14ac:dyDescent="0.35">
      <c r="AD103" s="98" t="str">
        <f t="shared" si="14"/>
        <v>534_5_202223</v>
      </c>
      <c r="AE103" s="98" t="s">
        <v>1</v>
      </c>
      <c r="AF103" s="98">
        <v>534</v>
      </c>
      <c r="AG103" s="98">
        <v>5</v>
      </c>
      <c r="AH103" s="98" t="s">
        <v>2949</v>
      </c>
      <c r="AI103" s="98">
        <v>1</v>
      </c>
      <c r="AJ103" s="98">
        <v>202223</v>
      </c>
      <c r="AK103" s="207">
        <v>82740172</v>
      </c>
    </row>
    <row r="104" spans="30:37" x14ac:dyDescent="0.35">
      <c r="AD104" s="98" t="str">
        <f t="shared" si="14"/>
        <v>536_5_202223</v>
      </c>
      <c r="AE104" s="98" t="s">
        <v>1</v>
      </c>
      <c r="AF104" s="98">
        <v>536</v>
      </c>
      <c r="AG104" s="98">
        <v>5</v>
      </c>
      <c r="AH104" s="98" t="s">
        <v>2949</v>
      </c>
      <c r="AI104" s="98">
        <v>1</v>
      </c>
      <c r="AJ104" s="98">
        <v>202223</v>
      </c>
      <c r="AK104" s="207">
        <v>89994543</v>
      </c>
    </row>
    <row r="105" spans="30:37" x14ac:dyDescent="0.35">
      <c r="AD105" s="98" t="str">
        <f t="shared" si="14"/>
        <v>538_5_202223</v>
      </c>
      <c r="AE105" s="98" t="s">
        <v>1</v>
      </c>
      <c r="AF105" s="98">
        <v>538</v>
      </c>
      <c r="AG105" s="98">
        <v>5</v>
      </c>
      <c r="AH105" s="98" t="s">
        <v>2949</v>
      </c>
      <c r="AI105" s="98">
        <v>1</v>
      </c>
      <c r="AJ105" s="98">
        <v>202223</v>
      </c>
      <c r="AK105" s="207">
        <v>89812653</v>
      </c>
    </row>
    <row r="106" spans="30:37" x14ac:dyDescent="0.35">
      <c r="AD106" s="98" t="str">
        <f t="shared" si="14"/>
        <v>540_5_202223</v>
      </c>
      <c r="AE106" s="98" t="s">
        <v>1</v>
      </c>
      <c r="AF106" s="98">
        <v>540</v>
      </c>
      <c r="AG106" s="98">
        <v>5</v>
      </c>
      <c r="AH106" s="98" t="s">
        <v>2949</v>
      </c>
      <c r="AI106" s="98">
        <v>1</v>
      </c>
      <c r="AJ106" s="98">
        <v>202223</v>
      </c>
      <c r="AK106" s="207">
        <v>123095595</v>
      </c>
    </row>
    <row r="107" spans="30:37" x14ac:dyDescent="0.35">
      <c r="AD107" s="98" t="str">
        <f t="shared" si="14"/>
        <v>542_5_202223</v>
      </c>
      <c r="AE107" s="98" t="s">
        <v>1</v>
      </c>
      <c r="AF107" s="98">
        <v>542</v>
      </c>
      <c r="AG107" s="98">
        <v>5</v>
      </c>
      <c r="AH107" s="98" t="s">
        <v>2949</v>
      </c>
      <c r="AI107" s="98">
        <v>1</v>
      </c>
      <c r="AJ107" s="98">
        <v>202223</v>
      </c>
      <c r="AK107" s="207">
        <v>32486577</v>
      </c>
    </row>
    <row r="108" spans="30:37" x14ac:dyDescent="0.35">
      <c r="AD108" s="98" t="str">
        <f t="shared" si="14"/>
        <v>544_5_202223</v>
      </c>
      <c r="AE108" s="98" t="s">
        <v>1</v>
      </c>
      <c r="AF108" s="98">
        <v>544</v>
      </c>
      <c r="AG108" s="98">
        <v>5</v>
      </c>
      <c r="AH108" s="98" t="s">
        <v>2949</v>
      </c>
      <c r="AI108" s="98">
        <v>1</v>
      </c>
      <c r="AJ108" s="98">
        <v>202223</v>
      </c>
      <c r="AK108" s="207">
        <v>77497652</v>
      </c>
    </row>
    <row r="109" spans="30:37" x14ac:dyDescent="0.35">
      <c r="AD109" s="98" t="str">
        <f t="shared" si="14"/>
        <v>545_5_202223</v>
      </c>
      <c r="AE109" s="98" t="s">
        <v>1</v>
      </c>
      <c r="AF109" s="98">
        <v>545</v>
      </c>
      <c r="AG109" s="98">
        <v>5</v>
      </c>
      <c r="AH109" s="98" t="s">
        <v>2949</v>
      </c>
      <c r="AI109" s="98">
        <v>1</v>
      </c>
      <c r="AJ109" s="98">
        <v>202223</v>
      </c>
      <c r="AK109" s="207">
        <v>37470973</v>
      </c>
    </row>
    <row r="110" spans="30:37" x14ac:dyDescent="0.35">
      <c r="AD110" s="98" t="str">
        <f t="shared" si="14"/>
        <v>546_5_202223</v>
      </c>
      <c r="AE110" s="98" t="s">
        <v>1</v>
      </c>
      <c r="AF110" s="98">
        <v>546</v>
      </c>
      <c r="AG110" s="98">
        <v>5</v>
      </c>
      <c r="AH110" s="98" t="s">
        <v>2949</v>
      </c>
      <c r="AI110" s="98">
        <v>1</v>
      </c>
      <c r="AJ110" s="98">
        <v>202223</v>
      </c>
      <c r="AK110" s="207">
        <v>51183136</v>
      </c>
    </row>
    <row r="111" spans="30:37" x14ac:dyDescent="0.35">
      <c r="AD111" s="98" t="str">
        <f t="shared" si="14"/>
        <v>548_5_202223</v>
      </c>
      <c r="AE111" s="98" t="s">
        <v>1</v>
      </c>
      <c r="AF111" s="98">
        <v>548</v>
      </c>
      <c r="AG111" s="98">
        <v>5</v>
      </c>
      <c r="AH111" s="98" t="s">
        <v>2949</v>
      </c>
      <c r="AI111" s="98">
        <v>1</v>
      </c>
      <c r="AJ111" s="98">
        <v>202223</v>
      </c>
      <c r="AK111" s="207">
        <v>73117669</v>
      </c>
    </row>
    <row r="112" spans="30:37" x14ac:dyDescent="0.35">
      <c r="AD112" s="98" t="str">
        <f t="shared" si="14"/>
        <v>550_5_202223</v>
      </c>
      <c r="AE112" s="98" t="s">
        <v>1</v>
      </c>
      <c r="AF112" s="98">
        <v>550</v>
      </c>
      <c r="AG112" s="98">
        <v>5</v>
      </c>
      <c r="AH112" s="98" t="s">
        <v>2949</v>
      </c>
      <c r="AI112" s="98">
        <v>1</v>
      </c>
      <c r="AJ112" s="98">
        <v>202223</v>
      </c>
      <c r="AK112" s="207">
        <v>77867045.160000026</v>
      </c>
    </row>
    <row r="113" spans="30:37" x14ac:dyDescent="0.35">
      <c r="AD113" s="98" t="str">
        <f t="shared" si="14"/>
        <v>552_5_202223</v>
      </c>
      <c r="AE113" s="98" t="s">
        <v>1</v>
      </c>
      <c r="AF113" s="98">
        <v>552</v>
      </c>
      <c r="AG113" s="98">
        <v>5</v>
      </c>
      <c r="AH113" s="98" t="s">
        <v>2949</v>
      </c>
      <c r="AI113" s="98">
        <v>1</v>
      </c>
      <c r="AJ113" s="98">
        <v>202223</v>
      </c>
      <c r="AK113" s="207">
        <v>199515482</v>
      </c>
    </row>
    <row r="114" spans="30:37" x14ac:dyDescent="0.35">
      <c r="AD114" s="98" t="str">
        <f t="shared" si="14"/>
        <v>512_6_202223</v>
      </c>
      <c r="AE114" s="98" t="s">
        <v>1</v>
      </c>
      <c r="AF114" s="98">
        <v>512</v>
      </c>
      <c r="AG114" s="98">
        <v>6</v>
      </c>
      <c r="AH114" s="98" t="s">
        <v>2962</v>
      </c>
      <c r="AI114" s="98">
        <v>1</v>
      </c>
      <c r="AJ114" s="98">
        <v>202223</v>
      </c>
      <c r="AK114" s="207">
        <v>32392.14</v>
      </c>
    </row>
    <row r="115" spans="30:37" x14ac:dyDescent="0.35">
      <c r="AD115" s="98" t="str">
        <f t="shared" si="14"/>
        <v>514_6_202223</v>
      </c>
      <c r="AE115" s="98" t="s">
        <v>1</v>
      </c>
      <c r="AF115" s="98">
        <v>514</v>
      </c>
      <c r="AG115" s="98">
        <v>6</v>
      </c>
      <c r="AH115" s="98" t="s">
        <v>2962</v>
      </c>
      <c r="AI115" s="98">
        <v>1</v>
      </c>
      <c r="AJ115" s="98">
        <v>202223</v>
      </c>
      <c r="AK115" s="207">
        <v>54256.78</v>
      </c>
    </row>
    <row r="116" spans="30:37" x14ac:dyDescent="0.35">
      <c r="AD116" s="98" t="str">
        <f t="shared" si="14"/>
        <v>516_6_202223</v>
      </c>
      <c r="AE116" s="98" t="s">
        <v>1</v>
      </c>
      <c r="AF116" s="98">
        <v>516</v>
      </c>
      <c r="AG116" s="98">
        <v>6</v>
      </c>
      <c r="AH116" s="98" t="s">
        <v>2962</v>
      </c>
      <c r="AI116" s="98">
        <v>1</v>
      </c>
      <c r="AJ116" s="98">
        <v>202223</v>
      </c>
      <c r="AK116" s="207">
        <v>52062.22</v>
      </c>
    </row>
    <row r="117" spans="30:37" x14ac:dyDescent="0.35">
      <c r="AD117" s="98" t="str">
        <f t="shared" si="14"/>
        <v>518_6_202223</v>
      </c>
      <c r="AE117" s="98" t="s">
        <v>1</v>
      </c>
      <c r="AF117" s="98">
        <v>518</v>
      </c>
      <c r="AG117" s="98">
        <v>6</v>
      </c>
      <c r="AH117" s="98" t="s">
        <v>2962</v>
      </c>
      <c r="AI117" s="98">
        <v>1</v>
      </c>
      <c r="AJ117" s="98">
        <v>202223</v>
      </c>
      <c r="AK117" s="207">
        <v>41219.08</v>
      </c>
    </row>
    <row r="118" spans="30:37" x14ac:dyDescent="0.35">
      <c r="AD118" s="98" t="str">
        <f t="shared" si="14"/>
        <v>520_6_202223</v>
      </c>
      <c r="AE118" s="98" t="s">
        <v>1</v>
      </c>
      <c r="AF118" s="98">
        <v>520</v>
      </c>
      <c r="AG118" s="98">
        <v>6</v>
      </c>
      <c r="AH118" s="98" t="s">
        <v>2962</v>
      </c>
      <c r="AI118" s="98">
        <v>1</v>
      </c>
      <c r="AJ118" s="98">
        <v>202223</v>
      </c>
      <c r="AK118" s="207">
        <v>66186.8</v>
      </c>
    </row>
    <row r="119" spans="30:37" x14ac:dyDescent="0.35">
      <c r="AD119" s="98" t="str">
        <f t="shared" si="14"/>
        <v>522_6_202223</v>
      </c>
      <c r="AE119" s="98" t="s">
        <v>1</v>
      </c>
      <c r="AF119" s="98">
        <v>522</v>
      </c>
      <c r="AG119" s="98">
        <v>6</v>
      </c>
      <c r="AH119" s="98" t="s">
        <v>2962</v>
      </c>
      <c r="AI119" s="98">
        <v>1</v>
      </c>
      <c r="AJ119" s="98">
        <v>202223</v>
      </c>
      <c r="AK119" s="207">
        <v>54814.67</v>
      </c>
    </row>
    <row r="120" spans="30:37" x14ac:dyDescent="0.35">
      <c r="AD120" s="98" t="str">
        <f t="shared" si="14"/>
        <v>524_6_202223</v>
      </c>
      <c r="AE120" s="98" t="s">
        <v>1</v>
      </c>
      <c r="AF120" s="98">
        <v>524</v>
      </c>
      <c r="AG120" s="98">
        <v>6</v>
      </c>
      <c r="AH120" s="98" t="s">
        <v>2962</v>
      </c>
      <c r="AI120" s="98">
        <v>1</v>
      </c>
      <c r="AJ120" s="98">
        <v>202223</v>
      </c>
      <c r="AK120" s="207">
        <v>63841.59</v>
      </c>
    </row>
    <row r="121" spans="30:37" x14ac:dyDescent="0.35">
      <c r="AD121" s="98" t="str">
        <f t="shared" si="14"/>
        <v>526_6_202223</v>
      </c>
      <c r="AE121" s="98" t="s">
        <v>1</v>
      </c>
      <c r="AF121" s="98">
        <v>526</v>
      </c>
      <c r="AG121" s="98">
        <v>6</v>
      </c>
      <c r="AH121" s="98" t="s">
        <v>2962</v>
      </c>
      <c r="AI121" s="98">
        <v>1</v>
      </c>
      <c r="AJ121" s="98">
        <v>202223</v>
      </c>
      <c r="AK121" s="207">
        <v>32885.21</v>
      </c>
    </row>
    <row r="122" spans="30:37" x14ac:dyDescent="0.35">
      <c r="AD122" s="98" t="str">
        <f t="shared" si="14"/>
        <v>528_6_202223</v>
      </c>
      <c r="AE122" s="98" t="s">
        <v>1</v>
      </c>
      <c r="AF122" s="98">
        <v>528</v>
      </c>
      <c r="AG122" s="98">
        <v>6</v>
      </c>
      <c r="AH122" s="98" t="s">
        <v>2962</v>
      </c>
      <c r="AI122" s="98">
        <v>1</v>
      </c>
      <c r="AJ122" s="98">
        <v>202223</v>
      </c>
      <c r="AK122" s="207">
        <v>61307.319999999992</v>
      </c>
    </row>
    <row r="123" spans="30:37" x14ac:dyDescent="0.35">
      <c r="AD123" s="98" t="str">
        <f t="shared" si="14"/>
        <v>530_6_202223</v>
      </c>
      <c r="AE123" s="98" t="s">
        <v>1</v>
      </c>
      <c r="AF123" s="98">
        <v>530</v>
      </c>
      <c r="AG123" s="98">
        <v>6</v>
      </c>
      <c r="AH123" s="98" t="s">
        <v>2962</v>
      </c>
      <c r="AI123" s="98">
        <v>1</v>
      </c>
      <c r="AJ123" s="98">
        <v>202223</v>
      </c>
      <c r="AK123" s="207">
        <v>76613.919999999998</v>
      </c>
    </row>
    <row r="124" spans="30:37" x14ac:dyDescent="0.35">
      <c r="AD124" s="98" t="str">
        <f t="shared" si="14"/>
        <v>532_6_202223</v>
      </c>
      <c r="AE124" s="98" t="s">
        <v>1</v>
      </c>
      <c r="AF124" s="98">
        <v>532</v>
      </c>
      <c r="AG124" s="98">
        <v>6</v>
      </c>
      <c r="AH124" s="98" t="s">
        <v>2962</v>
      </c>
      <c r="AI124" s="98">
        <v>1</v>
      </c>
      <c r="AJ124" s="98">
        <v>202223</v>
      </c>
      <c r="AK124" s="207">
        <v>96491.25</v>
      </c>
    </row>
    <row r="125" spans="30:37" x14ac:dyDescent="0.35">
      <c r="AD125" s="98" t="str">
        <f t="shared" si="14"/>
        <v>534_6_202223</v>
      </c>
      <c r="AE125" s="98" t="s">
        <v>1</v>
      </c>
      <c r="AF125" s="98">
        <v>534</v>
      </c>
      <c r="AG125" s="98">
        <v>6</v>
      </c>
      <c r="AH125" s="98" t="s">
        <v>2962</v>
      </c>
      <c r="AI125" s="98">
        <v>1</v>
      </c>
      <c r="AJ125" s="98">
        <v>202223</v>
      </c>
      <c r="AK125" s="207">
        <v>49634.540000000008</v>
      </c>
    </row>
    <row r="126" spans="30:37" x14ac:dyDescent="0.35">
      <c r="AD126" s="98" t="str">
        <f t="shared" si="14"/>
        <v>536_6_202223</v>
      </c>
      <c r="AE126" s="98" t="s">
        <v>1</v>
      </c>
      <c r="AF126" s="98">
        <v>536</v>
      </c>
      <c r="AG126" s="98">
        <v>6</v>
      </c>
      <c r="AH126" s="98" t="s">
        <v>2962</v>
      </c>
      <c r="AI126" s="98">
        <v>1</v>
      </c>
      <c r="AJ126" s="98">
        <v>202223</v>
      </c>
      <c r="AK126" s="207">
        <v>55967.7</v>
      </c>
    </row>
    <row r="127" spans="30:37" x14ac:dyDescent="0.35">
      <c r="AD127" s="98" t="str">
        <f t="shared" si="14"/>
        <v>538_6_202223</v>
      </c>
      <c r="AE127" s="98" t="s">
        <v>1</v>
      </c>
      <c r="AF127" s="98">
        <v>538</v>
      </c>
      <c r="AG127" s="98">
        <v>6</v>
      </c>
      <c r="AH127" s="98" t="s">
        <v>2962</v>
      </c>
      <c r="AI127" s="98">
        <v>1</v>
      </c>
      <c r="AJ127" s="98">
        <v>202223</v>
      </c>
      <c r="AK127" s="207">
        <v>63578.39</v>
      </c>
    </row>
    <row r="128" spans="30:37" x14ac:dyDescent="0.35">
      <c r="AD128" s="98" t="str">
        <f t="shared" si="14"/>
        <v>540_6_202223</v>
      </c>
      <c r="AE128" s="98" t="s">
        <v>1</v>
      </c>
      <c r="AF128" s="98">
        <v>540</v>
      </c>
      <c r="AG128" s="98">
        <v>6</v>
      </c>
      <c r="AH128" s="98" t="s">
        <v>2962</v>
      </c>
      <c r="AI128" s="98">
        <v>1</v>
      </c>
      <c r="AJ128" s="98">
        <v>202223</v>
      </c>
      <c r="AK128" s="207">
        <v>79904.37</v>
      </c>
    </row>
    <row r="129" spans="30:37" x14ac:dyDescent="0.35">
      <c r="AD129" s="98" t="str">
        <f t="shared" si="14"/>
        <v>542_6_202223</v>
      </c>
      <c r="AE129" s="98" t="s">
        <v>1</v>
      </c>
      <c r="AF129" s="98">
        <v>542</v>
      </c>
      <c r="AG129" s="98">
        <v>6</v>
      </c>
      <c r="AH129" s="98" t="s">
        <v>2962</v>
      </c>
      <c r="AI129" s="98">
        <v>1</v>
      </c>
      <c r="AJ129" s="98">
        <v>202223</v>
      </c>
      <c r="AK129" s="207">
        <v>19361.919999999998</v>
      </c>
    </row>
    <row r="130" spans="30:37" x14ac:dyDescent="0.35">
      <c r="AD130" s="98" t="str">
        <f t="shared" si="14"/>
        <v>544_6_202223</v>
      </c>
      <c r="AE130" s="98" t="s">
        <v>1</v>
      </c>
      <c r="AF130" s="98">
        <v>544</v>
      </c>
      <c r="AG130" s="98">
        <v>6</v>
      </c>
      <c r="AH130" s="98" t="s">
        <v>2962</v>
      </c>
      <c r="AI130" s="98">
        <v>1</v>
      </c>
      <c r="AJ130" s="98">
        <v>202223</v>
      </c>
      <c r="AK130" s="207">
        <v>62628.42</v>
      </c>
    </row>
    <row r="131" spans="30:37" x14ac:dyDescent="0.35">
      <c r="AD131" s="98" t="str">
        <f t="shared" si="14"/>
        <v>545_6_202223</v>
      </c>
      <c r="AE131" s="98" t="s">
        <v>1</v>
      </c>
      <c r="AF131" s="98">
        <v>545</v>
      </c>
      <c r="AG131" s="98">
        <v>6</v>
      </c>
      <c r="AH131" s="98" t="s">
        <v>2962</v>
      </c>
      <c r="AI131" s="98">
        <v>1</v>
      </c>
      <c r="AJ131" s="98">
        <v>202223</v>
      </c>
      <c r="AK131" s="207">
        <v>21975.63</v>
      </c>
    </row>
    <row r="132" spans="30:37" x14ac:dyDescent="0.35">
      <c r="AD132" s="98" t="str">
        <f t="shared" ref="AD132:AD195" si="15">AF132&amp;"_"&amp;AG132&amp;"_"&amp;AJ132</f>
        <v>546_6_202223</v>
      </c>
      <c r="AE132" s="98" t="s">
        <v>1</v>
      </c>
      <c r="AF132" s="98">
        <v>546</v>
      </c>
      <c r="AG132" s="98">
        <v>6</v>
      </c>
      <c r="AH132" s="98" t="s">
        <v>2962</v>
      </c>
      <c r="AI132" s="98">
        <v>1</v>
      </c>
      <c r="AJ132" s="98">
        <v>202223</v>
      </c>
      <c r="AK132" s="207">
        <v>34843.880000000005</v>
      </c>
    </row>
    <row r="133" spans="30:37" x14ac:dyDescent="0.35">
      <c r="AD133" s="98" t="str">
        <f t="shared" si="15"/>
        <v>548_6_202223</v>
      </c>
      <c r="AE133" s="98" t="s">
        <v>1</v>
      </c>
      <c r="AF133" s="98">
        <v>548</v>
      </c>
      <c r="AG133" s="98">
        <v>6</v>
      </c>
      <c r="AH133" s="98" t="s">
        <v>2962</v>
      </c>
      <c r="AI133" s="98">
        <v>1</v>
      </c>
      <c r="AJ133" s="98">
        <v>202223</v>
      </c>
      <c r="AK133" s="207">
        <v>47851.31</v>
      </c>
    </row>
    <row r="134" spans="30:37" x14ac:dyDescent="0.35">
      <c r="AD134" s="98" t="str">
        <f t="shared" si="15"/>
        <v>550_6_202223</v>
      </c>
      <c r="AE134" s="98" t="s">
        <v>1</v>
      </c>
      <c r="AF134" s="98">
        <v>550</v>
      </c>
      <c r="AG134" s="98">
        <v>6</v>
      </c>
      <c r="AH134" s="98" t="s">
        <v>2962</v>
      </c>
      <c r="AI134" s="98">
        <v>1</v>
      </c>
      <c r="AJ134" s="98">
        <v>202223</v>
      </c>
      <c r="AK134" s="207">
        <v>61838.14</v>
      </c>
    </row>
    <row r="135" spans="30:37" x14ac:dyDescent="0.35">
      <c r="AD135" s="98" t="str">
        <f t="shared" si="15"/>
        <v>552_6_202223</v>
      </c>
      <c r="AE135" s="98" t="s">
        <v>1</v>
      </c>
      <c r="AF135" s="98">
        <v>552</v>
      </c>
      <c r="AG135" s="98">
        <v>6</v>
      </c>
      <c r="AH135" s="98" t="s">
        <v>2962</v>
      </c>
      <c r="AI135" s="98">
        <v>1</v>
      </c>
      <c r="AJ135" s="98">
        <v>202223</v>
      </c>
      <c r="AK135" s="207">
        <v>151328.60999999999</v>
      </c>
    </row>
    <row r="136" spans="30:37" x14ac:dyDescent="0.35">
      <c r="AD136" s="98" t="str">
        <f t="shared" si="15"/>
        <v>512_7_202223</v>
      </c>
      <c r="AE136" s="98" t="s">
        <v>1</v>
      </c>
      <c r="AF136" s="98">
        <v>512</v>
      </c>
      <c r="AG136" s="98">
        <v>7</v>
      </c>
      <c r="AH136" s="98" t="s">
        <v>2963</v>
      </c>
      <c r="AI136" s="98">
        <v>1</v>
      </c>
      <c r="AJ136" s="98">
        <v>202223</v>
      </c>
      <c r="AK136" s="98">
        <v>0.98499999999999999</v>
      </c>
    </row>
    <row r="137" spans="30:37" x14ac:dyDescent="0.35">
      <c r="AD137" s="98" t="str">
        <f t="shared" si="15"/>
        <v>514_7_202223</v>
      </c>
      <c r="AE137" s="98" t="s">
        <v>1</v>
      </c>
      <c r="AF137" s="98">
        <v>514</v>
      </c>
      <c r="AG137" s="98">
        <v>7</v>
      </c>
      <c r="AH137" s="98" t="s">
        <v>2963</v>
      </c>
      <c r="AI137" s="98">
        <v>1</v>
      </c>
      <c r="AJ137" s="98">
        <v>202223</v>
      </c>
      <c r="AK137" s="98">
        <v>0.99</v>
      </c>
    </row>
    <row r="138" spans="30:37" x14ac:dyDescent="0.35">
      <c r="AD138" s="98" t="str">
        <f t="shared" si="15"/>
        <v>516_7_202223</v>
      </c>
      <c r="AE138" s="98" t="s">
        <v>1</v>
      </c>
      <c r="AF138" s="98">
        <v>516</v>
      </c>
      <c r="AG138" s="98">
        <v>7</v>
      </c>
      <c r="AH138" s="98" t="s">
        <v>2963</v>
      </c>
      <c r="AI138" s="98">
        <v>1</v>
      </c>
      <c r="AJ138" s="98">
        <v>202223</v>
      </c>
      <c r="AK138" s="98">
        <v>0.98</v>
      </c>
    </row>
    <row r="139" spans="30:37" x14ac:dyDescent="0.35">
      <c r="AD139" s="98" t="str">
        <f t="shared" si="15"/>
        <v>518_7_202223</v>
      </c>
      <c r="AE139" s="98" t="s">
        <v>1</v>
      </c>
      <c r="AF139" s="98">
        <v>518</v>
      </c>
      <c r="AG139" s="98">
        <v>7</v>
      </c>
      <c r="AH139" s="98" t="s">
        <v>2963</v>
      </c>
      <c r="AI139" s="98">
        <v>1</v>
      </c>
      <c r="AJ139" s="98">
        <v>202223</v>
      </c>
      <c r="AK139" s="98">
        <v>0.98599999999999999</v>
      </c>
    </row>
    <row r="140" spans="30:37" x14ac:dyDescent="0.35">
      <c r="AD140" s="98" t="str">
        <f t="shared" si="15"/>
        <v>520_7_202223</v>
      </c>
      <c r="AE140" s="98" t="s">
        <v>1</v>
      </c>
      <c r="AF140" s="98">
        <v>520</v>
      </c>
      <c r="AG140" s="98">
        <v>7</v>
      </c>
      <c r="AH140" s="98" t="s">
        <v>2963</v>
      </c>
      <c r="AI140" s="98">
        <v>1</v>
      </c>
      <c r="AJ140" s="98">
        <v>202223</v>
      </c>
      <c r="AK140" s="98">
        <v>0.98499999999999999</v>
      </c>
    </row>
    <row r="141" spans="30:37" x14ac:dyDescent="0.35">
      <c r="AD141" s="98" t="str">
        <f t="shared" si="15"/>
        <v>522_7_202223</v>
      </c>
      <c r="AE141" s="98" t="s">
        <v>1</v>
      </c>
      <c r="AF141" s="98">
        <v>522</v>
      </c>
      <c r="AG141" s="98">
        <v>7</v>
      </c>
      <c r="AH141" s="98" t="s">
        <v>2963</v>
      </c>
      <c r="AI141" s="98">
        <v>1</v>
      </c>
      <c r="AJ141" s="98">
        <v>202223</v>
      </c>
      <c r="AK141" s="98">
        <v>0.97900000000000009</v>
      </c>
    </row>
    <row r="142" spans="30:37" x14ac:dyDescent="0.35">
      <c r="AD142" s="98" t="str">
        <f t="shared" si="15"/>
        <v>524_7_202223</v>
      </c>
      <c r="AE142" s="98" t="s">
        <v>1</v>
      </c>
      <c r="AF142" s="98">
        <v>524</v>
      </c>
      <c r="AG142" s="98">
        <v>7</v>
      </c>
      <c r="AH142" s="98" t="s">
        <v>2963</v>
      </c>
      <c r="AI142" s="98">
        <v>1</v>
      </c>
      <c r="AJ142" s="98">
        <v>202223</v>
      </c>
      <c r="AK142" s="98">
        <v>0.98499999999999999</v>
      </c>
    </row>
    <row r="143" spans="30:37" x14ac:dyDescent="0.35">
      <c r="AD143" s="98" t="str">
        <f t="shared" si="15"/>
        <v>526_7_202223</v>
      </c>
      <c r="AE143" s="98" t="s">
        <v>1</v>
      </c>
      <c r="AF143" s="98">
        <v>526</v>
      </c>
      <c r="AG143" s="98">
        <v>7</v>
      </c>
      <c r="AH143" s="98" t="s">
        <v>2963</v>
      </c>
      <c r="AI143" s="98">
        <v>1</v>
      </c>
      <c r="AJ143" s="98">
        <v>202223</v>
      </c>
      <c r="AK143" s="98">
        <v>0.97499999999999998</v>
      </c>
    </row>
    <row r="144" spans="30:37" x14ac:dyDescent="0.35">
      <c r="AD144" s="98" t="str">
        <f t="shared" si="15"/>
        <v>528_7_202223</v>
      </c>
      <c r="AE144" s="98" t="s">
        <v>1</v>
      </c>
      <c r="AF144" s="98">
        <v>528</v>
      </c>
      <c r="AG144" s="98">
        <v>7</v>
      </c>
      <c r="AH144" s="98" t="s">
        <v>2963</v>
      </c>
      <c r="AI144" s="98">
        <v>1</v>
      </c>
      <c r="AJ144" s="98">
        <v>202223</v>
      </c>
      <c r="AK144" s="98">
        <v>0.98</v>
      </c>
    </row>
    <row r="145" spans="30:37" x14ac:dyDescent="0.35">
      <c r="AD145" s="98" t="str">
        <f t="shared" si="15"/>
        <v>530_7_202223</v>
      </c>
      <c r="AE145" s="98" t="s">
        <v>1</v>
      </c>
      <c r="AF145" s="98">
        <v>530</v>
      </c>
      <c r="AG145" s="98">
        <v>7</v>
      </c>
      <c r="AH145" s="98" t="s">
        <v>2963</v>
      </c>
      <c r="AI145" s="98">
        <v>1</v>
      </c>
      <c r="AJ145" s="98">
        <v>202223</v>
      </c>
      <c r="AK145" s="98">
        <v>0.97499999999999998</v>
      </c>
    </row>
    <row r="146" spans="30:37" x14ac:dyDescent="0.35">
      <c r="AD146" s="98" t="str">
        <f t="shared" si="15"/>
        <v>532_7_202223</v>
      </c>
      <c r="AE146" s="98" t="s">
        <v>1</v>
      </c>
      <c r="AF146" s="98">
        <v>532</v>
      </c>
      <c r="AG146" s="98">
        <v>7</v>
      </c>
      <c r="AH146" s="98" t="s">
        <v>2963</v>
      </c>
      <c r="AI146" s="98">
        <v>1</v>
      </c>
      <c r="AJ146" s="98">
        <v>202223</v>
      </c>
      <c r="AK146" s="98">
        <v>0.96499999999999997</v>
      </c>
    </row>
    <row r="147" spans="30:37" x14ac:dyDescent="0.35">
      <c r="AD147" s="98" t="str">
        <f t="shared" si="15"/>
        <v>534_7_202223</v>
      </c>
      <c r="AE147" s="98" t="s">
        <v>1</v>
      </c>
      <c r="AF147" s="98">
        <v>534</v>
      </c>
      <c r="AG147" s="98">
        <v>7</v>
      </c>
      <c r="AH147" s="98" t="s">
        <v>2963</v>
      </c>
      <c r="AI147" s="98">
        <v>1</v>
      </c>
      <c r="AJ147" s="98">
        <v>202223</v>
      </c>
      <c r="AK147" s="98">
        <v>0.97499999999999998</v>
      </c>
    </row>
    <row r="148" spans="30:37" x14ac:dyDescent="0.35">
      <c r="AD148" s="98" t="str">
        <f t="shared" si="15"/>
        <v>536_7_202223</v>
      </c>
      <c r="AE148" s="98" t="s">
        <v>1</v>
      </c>
      <c r="AF148" s="98">
        <v>536</v>
      </c>
      <c r="AG148" s="98">
        <v>7</v>
      </c>
      <c r="AH148" s="98" t="s">
        <v>2963</v>
      </c>
      <c r="AI148" s="98">
        <v>1</v>
      </c>
      <c r="AJ148" s="98">
        <v>202223</v>
      </c>
      <c r="AK148" s="98">
        <v>0.97499999999999998</v>
      </c>
    </row>
    <row r="149" spans="30:37" x14ac:dyDescent="0.35">
      <c r="AD149" s="98" t="str">
        <f t="shared" si="15"/>
        <v>538_7_202223</v>
      </c>
      <c r="AE149" s="98" t="s">
        <v>1</v>
      </c>
      <c r="AF149" s="98">
        <v>538</v>
      </c>
      <c r="AG149" s="98">
        <v>7</v>
      </c>
      <c r="AH149" s="98" t="s">
        <v>2963</v>
      </c>
      <c r="AI149" s="98">
        <v>1</v>
      </c>
      <c r="AJ149" s="98">
        <v>202223</v>
      </c>
      <c r="AK149" s="98">
        <v>0.97099999999999997</v>
      </c>
    </row>
    <row r="150" spans="30:37" x14ac:dyDescent="0.35">
      <c r="AD150" s="98" t="str">
        <f t="shared" si="15"/>
        <v>540_7_202223</v>
      </c>
      <c r="AE150" s="98" t="s">
        <v>1</v>
      </c>
      <c r="AF150" s="98">
        <v>540</v>
      </c>
      <c r="AG150" s="98">
        <v>7</v>
      </c>
      <c r="AH150" s="98" t="s">
        <v>2963</v>
      </c>
      <c r="AI150" s="98">
        <v>1</v>
      </c>
      <c r="AJ150" s="98">
        <v>202223</v>
      </c>
      <c r="AK150" s="98">
        <v>0.97250000000000003</v>
      </c>
    </row>
    <row r="151" spans="30:37" x14ac:dyDescent="0.35">
      <c r="AD151" s="98" t="str">
        <f t="shared" si="15"/>
        <v>542_7_202223</v>
      </c>
      <c r="AE151" s="98" t="s">
        <v>1</v>
      </c>
      <c r="AF151" s="98">
        <v>542</v>
      </c>
      <c r="AG151" s="98">
        <v>7</v>
      </c>
      <c r="AH151" s="98" t="s">
        <v>2963</v>
      </c>
      <c r="AI151" s="98">
        <v>1</v>
      </c>
      <c r="AJ151" s="98">
        <v>202223</v>
      </c>
      <c r="AK151" s="98">
        <v>0.96</v>
      </c>
    </row>
    <row r="152" spans="30:37" x14ac:dyDescent="0.35">
      <c r="AD152" s="98" t="str">
        <f t="shared" si="15"/>
        <v>544_7_202223</v>
      </c>
      <c r="AE152" s="98" t="s">
        <v>1</v>
      </c>
      <c r="AF152" s="98">
        <v>544</v>
      </c>
      <c r="AG152" s="98">
        <v>7</v>
      </c>
      <c r="AH152" s="98" t="s">
        <v>2963</v>
      </c>
      <c r="AI152" s="98">
        <v>1</v>
      </c>
      <c r="AJ152" s="98">
        <v>202223</v>
      </c>
      <c r="AK152" s="98">
        <v>0.97499999999999998</v>
      </c>
    </row>
    <row r="153" spans="30:37" x14ac:dyDescent="0.35">
      <c r="AD153" s="98" t="str">
        <f t="shared" si="15"/>
        <v>545_7_202223</v>
      </c>
      <c r="AE153" s="98" t="s">
        <v>1</v>
      </c>
      <c r="AF153" s="98">
        <v>545</v>
      </c>
      <c r="AG153" s="98">
        <v>7</v>
      </c>
      <c r="AH153" s="98" t="s">
        <v>2963</v>
      </c>
      <c r="AI153" s="98">
        <v>1</v>
      </c>
      <c r="AJ153" s="98">
        <v>202223</v>
      </c>
      <c r="AK153" s="98">
        <v>0.95</v>
      </c>
    </row>
    <row r="154" spans="30:37" x14ac:dyDescent="0.35">
      <c r="AD154" s="98" t="str">
        <f t="shared" si="15"/>
        <v>546_7_202223</v>
      </c>
      <c r="AE154" s="98" t="s">
        <v>1</v>
      </c>
      <c r="AF154" s="98">
        <v>546</v>
      </c>
      <c r="AG154" s="98">
        <v>7</v>
      </c>
      <c r="AH154" s="98" t="s">
        <v>2963</v>
      </c>
      <c r="AI154" s="98">
        <v>1</v>
      </c>
      <c r="AJ154" s="98">
        <v>202223</v>
      </c>
      <c r="AK154" s="98">
        <v>0.98</v>
      </c>
    </row>
    <row r="155" spans="30:37" x14ac:dyDescent="0.35">
      <c r="AD155" s="98" t="str">
        <f t="shared" si="15"/>
        <v>548_7_202223</v>
      </c>
      <c r="AE155" s="98" t="s">
        <v>1</v>
      </c>
      <c r="AF155" s="98">
        <v>548</v>
      </c>
      <c r="AG155" s="98">
        <v>7</v>
      </c>
      <c r="AH155" s="98" t="s">
        <v>2963</v>
      </c>
      <c r="AI155" s="98">
        <v>1</v>
      </c>
      <c r="AJ155" s="98">
        <v>202223</v>
      </c>
      <c r="AK155" s="98">
        <v>0.99</v>
      </c>
    </row>
    <row r="156" spans="30:37" x14ac:dyDescent="0.35">
      <c r="AD156" s="98" t="str">
        <f t="shared" si="15"/>
        <v>550_7_202223</v>
      </c>
      <c r="AE156" s="98" t="s">
        <v>1</v>
      </c>
      <c r="AF156" s="98">
        <v>550</v>
      </c>
      <c r="AG156" s="98">
        <v>7</v>
      </c>
      <c r="AH156" s="98" t="s">
        <v>2963</v>
      </c>
      <c r="AI156" s="98">
        <v>1</v>
      </c>
      <c r="AJ156" s="98">
        <v>202223</v>
      </c>
      <c r="AK156" s="98">
        <v>0.9840000000000001</v>
      </c>
    </row>
    <row r="157" spans="30:37" x14ac:dyDescent="0.35">
      <c r="AD157" s="98" t="str">
        <f t="shared" si="15"/>
        <v>552_7_202223</v>
      </c>
      <c r="AE157" s="98" t="s">
        <v>1</v>
      </c>
      <c r="AF157" s="98">
        <v>552</v>
      </c>
      <c r="AG157" s="98">
        <v>7</v>
      </c>
      <c r="AH157" s="98" t="s">
        <v>2963</v>
      </c>
      <c r="AI157" s="98">
        <v>1</v>
      </c>
      <c r="AJ157" s="98">
        <v>202223</v>
      </c>
      <c r="AK157" s="98">
        <v>0.98499999999999999</v>
      </c>
    </row>
    <row r="158" spans="30:37" x14ac:dyDescent="0.35">
      <c r="AD158" s="98" t="str">
        <f t="shared" si="15"/>
        <v>512_8_202223</v>
      </c>
      <c r="AE158" s="98" t="s">
        <v>1</v>
      </c>
      <c r="AF158" s="98">
        <v>512</v>
      </c>
      <c r="AG158" s="98">
        <v>8</v>
      </c>
      <c r="AH158" s="98" t="s">
        <v>2964</v>
      </c>
      <c r="AI158" s="98">
        <v>1</v>
      </c>
      <c r="AJ158" s="98">
        <v>202223</v>
      </c>
      <c r="AK158" s="207">
        <v>135.74</v>
      </c>
    </row>
    <row r="159" spans="30:37" x14ac:dyDescent="0.35">
      <c r="AD159" s="98" t="str">
        <f t="shared" si="15"/>
        <v>514_8_202223</v>
      </c>
      <c r="AE159" s="98" t="s">
        <v>1</v>
      </c>
      <c r="AF159" s="98">
        <v>514</v>
      </c>
      <c r="AG159" s="98">
        <v>8</v>
      </c>
      <c r="AH159" s="98" t="s">
        <v>2964</v>
      </c>
      <c r="AI159" s="98">
        <v>1</v>
      </c>
      <c r="AJ159" s="98">
        <v>202223</v>
      </c>
      <c r="AK159" s="207">
        <v>0.89</v>
      </c>
    </row>
    <row r="160" spans="30:37" x14ac:dyDescent="0.35">
      <c r="AD160" s="98" t="str">
        <f t="shared" si="15"/>
        <v>516_8_202223</v>
      </c>
      <c r="AE160" s="98" t="s">
        <v>1</v>
      </c>
      <c r="AF160" s="98">
        <v>516</v>
      </c>
      <c r="AG160" s="98">
        <v>8</v>
      </c>
      <c r="AH160" s="98" t="s">
        <v>2964</v>
      </c>
      <c r="AI160" s="98">
        <v>1</v>
      </c>
      <c r="AJ160" s="98">
        <v>202223</v>
      </c>
      <c r="AK160" s="207">
        <v>0</v>
      </c>
    </row>
    <row r="161" spans="30:37" x14ac:dyDescent="0.35">
      <c r="AD161" s="98" t="str">
        <f t="shared" si="15"/>
        <v>518_8_202223</v>
      </c>
      <c r="AE161" s="98" t="s">
        <v>1</v>
      </c>
      <c r="AF161" s="98">
        <v>518</v>
      </c>
      <c r="AG161" s="98">
        <v>8</v>
      </c>
      <c r="AH161" s="98" t="s">
        <v>2964</v>
      </c>
      <c r="AI161" s="98">
        <v>1</v>
      </c>
      <c r="AJ161" s="98">
        <v>202223</v>
      </c>
      <c r="AK161" s="207">
        <v>0</v>
      </c>
    </row>
    <row r="162" spans="30:37" x14ac:dyDescent="0.35">
      <c r="AD162" s="98" t="str">
        <f t="shared" si="15"/>
        <v>520_8_202223</v>
      </c>
      <c r="AE162" s="98" t="s">
        <v>1</v>
      </c>
      <c r="AF162" s="98">
        <v>520</v>
      </c>
      <c r="AG162" s="98">
        <v>8</v>
      </c>
      <c r="AH162" s="98" t="s">
        <v>2964</v>
      </c>
      <c r="AI162" s="98">
        <v>1</v>
      </c>
      <c r="AJ162" s="98">
        <v>202223</v>
      </c>
      <c r="AK162" s="207">
        <v>0</v>
      </c>
    </row>
    <row r="163" spans="30:37" x14ac:dyDescent="0.35">
      <c r="AD163" s="98" t="str">
        <f t="shared" si="15"/>
        <v>522_8_202223</v>
      </c>
      <c r="AE163" s="98" t="s">
        <v>1</v>
      </c>
      <c r="AF163" s="98">
        <v>522</v>
      </c>
      <c r="AG163" s="98">
        <v>8</v>
      </c>
      <c r="AH163" s="98" t="s">
        <v>2964</v>
      </c>
      <c r="AI163" s="98">
        <v>1</v>
      </c>
      <c r="AJ163" s="98">
        <v>202223</v>
      </c>
      <c r="AK163" s="207">
        <v>1.45</v>
      </c>
    </row>
    <row r="164" spans="30:37" x14ac:dyDescent="0.35">
      <c r="AD164" s="98" t="str">
        <f t="shared" si="15"/>
        <v>524_8_202223</v>
      </c>
      <c r="AE164" s="98" t="s">
        <v>1</v>
      </c>
      <c r="AF164" s="98">
        <v>524</v>
      </c>
      <c r="AG164" s="98">
        <v>8</v>
      </c>
      <c r="AH164" s="98" t="s">
        <v>2964</v>
      </c>
      <c r="AI164" s="98">
        <v>1</v>
      </c>
      <c r="AJ164" s="98">
        <v>202223</v>
      </c>
      <c r="AK164" s="207">
        <v>188.22</v>
      </c>
    </row>
    <row r="165" spans="30:37" x14ac:dyDescent="0.35">
      <c r="AD165" s="98" t="str">
        <f t="shared" si="15"/>
        <v>526_8_202223</v>
      </c>
      <c r="AE165" s="98" t="s">
        <v>1</v>
      </c>
      <c r="AF165" s="98">
        <v>526</v>
      </c>
      <c r="AG165" s="98">
        <v>8</v>
      </c>
      <c r="AH165" s="98" t="s">
        <v>2964</v>
      </c>
      <c r="AI165" s="98">
        <v>1</v>
      </c>
      <c r="AJ165" s="98">
        <v>202223</v>
      </c>
      <c r="AK165" s="207">
        <v>0</v>
      </c>
    </row>
    <row r="166" spans="30:37" x14ac:dyDescent="0.35">
      <c r="AD166" s="98" t="str">
        <f t="shared" si="15"/>
        <v>528_8_202223</v>
      </c>
      <c r="AE166" s="98" t="s">
        <v>1</v>
      </c>
      <c r="AF166" s="98">
        <v>528</v>
      </c>
      <c r="AG166" s="98">
        <v>8</v>
      </c>
      <c r="AH166" s="98" t="s">
        <v>2964</v>
      </c>
      <c r="AI166" s="98">
        <v>1</v>
      </c>
      <c r="AJ166" s="98">
        <v>202223</v>
      </c>
      <c r="AK166" s="207">
        <v>166.21</v>
      </c>
    </row>
    <row r="167" spans="30:37" x14ac:dyDescent="0.35">
      <c r="AD167" s="98" t="str">
        <f t="shared" si="15"/>
        <v>530_8_202223</v>
      </c>
      <c r="AE167" s="98" t="s">
        <v>1</v>
      </c>
      <c r="AF167" s="98">
        <v>530</v>
      </c>
      <c r="AG167" s="98">
        <v>8</v>
      </c>
      <c r="AH167" s="98" t="s">
        <v>2964</v>
      </c>
      <c r="AI167" s="98">
        <v>1</v>
      </c>
      <c r="AJ167" s="98">
        <v>202223</v>
      </c>
      <c r="AK167" s="207">
        <v>0</v>
      </c>
    </row>
    <row r="168" spans="30:37" x14ac:dyDescent="0.35">
      <c r="AD168" s="98" t="str">
        <f t="shared" si="15"/>
        <v>532_8_202223</v>
      </c>
      <c r="AE168" s="98" t="s">
        <v>1</v>
      </c>
      <c r="AF168" s="98">
        <v>532</v>
      </c>
      <c r="AG168" s="98">
        <v>8</v>
      </c>
      <c r="AH168" s="98" t="s">
        <v>2964</v>
      </c>
      <c r="AI168" s="98">
        <v>1</v>
      </c>
      <c r="AJ168" s="98">
        <v>202223</v>
      </c>
      <c r="AK168" s="207">
        <v>0</v>
      </c>
    </row>
    <row r="169" spans="30:37" x14ac:dyDescent="0.35">
      <c r="AD169" s="98" t="str">
        <f t="shared" si="15"/>
        <v>534_8_202223</v>
      </c>
      <c r="AE169" s="98" t="s">
        <v>1</v>
      </c>
      <c r="AF169" s="98">
        <v>534</v>
      </c>
      <c r="AG169" s="98">
        <v>8</v>
      </c>
      <c r="AH169" s="98" t="s">
        <v>2964</v>
      </c>
      <c r="AI169" s="98">
        <v>1</v>
      </c>
      <c r="AJ169" s="98">
        <v>202223</v>
      </c>
      <c r="AK169" s="207">
        <v>0</v>
      </c>
    </row>
    <row r="170" spans="30:37" x14ac:dyDescent="0.35">
      <c r="AD170" s="98" t="str">
        <f t="shared" si="15"/>
        <v>536_8_202223</v>
      </c>
      <c r="AE170" s="98" t="s">
        <v>1</v>
      </c>
      <c r="AF170" s="98">
        <v>536</v>
      </c>
      <c r="AG170" s="98">
        <v>8</v>
      </c>
      <c r="AH170" s="98" t="s">
        <v>2964</v>
      </c>
      <c r="AI170" s="98">
        <v>1</v>
      </c>
      <c r="AJ170" s="98">
        <v>202223</v>
      </c>
      <c r="AK170" s="207">
        <v>0</v>
      </c>
    </row>
    <row r="171" spans="30:37" x14ac:dyDescent="0.35">
      <c r="AD171" s="98" t="str">
        <f t="shared" si="15"/>
        <v>538_8_202223</v>
      </c>
      <c r="AE171" s="98" t="s">
        <v>1</v>
      </c>
      <c r="AF171" s="98">
        <v>538</v>
      </c>
      <c r="AG171" s="98">
        <v>8</v>
      </c>
      <c r="AH171" s="98" t="s">
        <v>2964</v>
      </c>
      <c r="AI171" s="98">
        <v>1</v>
      </c>
      <c r="AJ171" s="98">
        <v>202223</v>
      </c>
      <c r="AK171" s="207">
        <v>243</v>
      </c>
    </row>
    <row r="172" spans="30:37" x14ac:dyDescent="0.35">
      <c r="AD172" s="98" t="str">
        <f t="shared" si="15"/>
        <v>540_8_202223</v>
      </c>
      <c r="AE172" s="98" t="s">
        <v>1</v>
      </c>
      <c r="AF172" s="98">
        <v>540</v>
      </c>
      <c r="AG172" s="98">
        <v>8</v>
      </c>
      <c r="AH172" s="98" t="s">
        <v>2964</v>
      </c>
      <c r="AI172" s="98">
        <v>1</v>
      </c>
      <c r="AJ172" s="98">
        <v>202223</v>
      </c>
      <c r="AK172" s="207">
        <v>0</v>
      </c>
    </row>
    <row r="173" spans="30:37" x14ac:dyDescent="0.35">
      <c r="AD173" s="98" t="str">
        <f t="shared" si="15"/>
        <v>542_8_202223</v>
      </c>
      <c r="AE173" s="98" t="s">
        <v>1</v>
      </c>
      <c r="AF173" s="98">
        <v>542</v>
      </c>
      <c r="AG173" s="98">
        <v>8</v>
      </c>
      <c r="AH173" s="98" t="s">
        <v>2964</v>
      </c>
      <c r="AI173" s="98">
        <v>1</v>
      </c>
      <c r="AJ173" s="98">
        <v>202223</v>
      </c>
      <c r="AK173" s="207">
        <v>0</v>
      </c>
    </row>
    <row r="174" spans="30:37" x14ac:dyDescent="0.35">
      <c r="AD174" s="98" t="str">
        <f t="shared" si="15"/>
        <v>544_8_202223</v>
      </c>
      <c r="AE174" s="98" t="s">
        <v>1</v>
      </c>
      <c r="AF174" s="98">
        <v>544</v>
      </c>
      <c r="AG174" s="98">
        <v>8</v>
      </c>
      <c r="AH174" s="98" t="s">
        <v>2964</v>
      </c>
      <c r="AI174" s="98">
        <v>1</v>
      </c>
      <c r="AJ174" s="98">
        <v>202223</v>
      </c>
      <c r="AK174" s="207">
        <v>0</v>
      </c>
    </row>
    <row r="175" spans="30:37" x14ac:dyDescent="0.35">
      <c r="AD175" s="98" t="str">
        <f t="shared" si="15"/>
        <v>545_8_202223</v>
      </c>
      <c r="AE175" s="98" t="s">
        <v>1</v>
      </c>
      <c r="AF175" s="98">
        <v>545</v>
      </c>
      <c r="AG175" s="98">
        <v>8</v>
      </c>
      <c r="AH175" s="98" t="s">
        <v>2964</v>
      </c>
      <c r="AI175" s="98">
        <v>1</v>
      </c>
      <c r="AJ175" s="98">
        <v>202223</v>
      </c>
      <c r="AK175" s="207">
        <v>0</v>
      </c>
    </row>
    <row r="176" spans="30:37" x14ac:dyDescent="0.35">
      <c r="AD176" s="98" t="str">
        <f t="shared" si="15"/>
        <v>546_8_202223</v>
      </c>
      <c r="AE176" s="98" t="s">
        <v>1</v>
      </c>
      <c r="AF176" s="98">
        <v>546</v>
      </c>
      <c r="AG176" s="98">
        <v>8</v>
      </c>
      <c r="AH176" s="98" t="s">
        <v>2964</v>
      </c>
      <c r="AI176" s="98">
        <v>1</v>
      </c>
      <c r="AJ176" s="98">
        <v>202223</v>
      </c>
      <c r="AK176" s="207">
        <v>0</v>
      </c>
    </row>
    <row r="177" spans="30:37" x14ac:dyDescent="0.35">
      <c r="AD177" s="98" t="str">
        <f t="shared" si="15"/>
        <v>548_8_202223</v>
      </c>
      <c r="AE177" s="98" t="s">
        <v>1</v>
      </c>
      <c r="AF177" s="98">
        <v>548</v>
      </c>
      <c r="AG177" s="98">
        <v>8</v>
      </c>
      <c r="AH177" s="98" t="s">
        <v>2964</v>
      </c>
      <c r="AI177" s="98">
        <v>1</v>
      </c>
      <c r="AJ177" s="98">
        <v>202223</v>
      </c>
      <c r="AK177" s="207">
        <v>0</v>
      </c>
    </row>
    <row r="178" spans="30:37" x14ac:dyDescent="0.35">
      <c r="AD178" s="98" t="str">
        <f t="shared" si="15"/>
        <v>550_8_202223</v>
      </c>
      <c r="AE178" s="98" t="s">
        <v>1</v>
      </c>
      <c r="AF178" s="98">
        <v>550</v>
      </c>
      <c r="AG178" s="98">
        <v>8</v>
      </c>
      <c r="AH178" s="98" t="s">
        <v>2964</v>
      </c>
      <c r="AI178" s="98">
        <v>1</v>
      </c>
      <c r="AJ178" s="98">
        <v>202223</v>
      </c>
      <c r="AK178" s="207">
        <v>0</v>
      </c>
    </row>
    <row r="179" spans="30:37" x14ac:dyDescent="0.35">
      <c r="AD179" s="98" t="str">
        <f t="shared" si="15"/>
        <v>552_8_202223</v>
      </c>
      <c r="AE179" s="98" t="s">
        <v>1</v>
      </c>
      <c r="AF179" s="98">
        <v>552</v>
      </c>
      <c r="AG179" s="98">
        <v>8</v>
      </c>
      <c r="AH179" s="98" t="s">
        <v>2964</v>
      </c>
      <c r="AI179" s="98">
        <v>1</v>
      </c>
      <c r="AJ179" s="98">
        <v>202223</v>
      </c>
      <c r="AK179" s="207">
        <v>48.55</v>
      </c>
    </row>
    <row r="180" spans="30:37" x14ac:dyDescent="0.35">
      <c r="AD180" s="98" t="str">
        <f t="shared" si="15"/>
        <v>512_9_202223</v>
      </c>
      <c r="AE180" s="98" t="s">
        <v>1</v>
      </c>
      <c r="AF180" s="98">
        <v>512</v>
      </c>
      <c r="AG180" s="98">
        <v>9</v>
      </c>
      <c r="AH180" s="98" t="s">
        <v>2951</v>
      </c>
      <c r="AI180" s="98">
        <v>1</v>
      </c>
      <c r="AJ180" s="98">
        <v>202223</v>
      </c>
      <c r="AK180" s="207">
        <v>32041.997900000002</v>
      </c>
    </row>
    <row r="181" spans="30:37" x14ac:dyDescent="0.35">
      <c r="AD181" s="98" t="str">
        <f t="shared" si="15"/>
        <v>514_9_202223</v>
      </c>
      <c r="AE181" s="98" t="s">
        <v>1</v>
      </c>
      <c r="AF181" s="98">
        <v>514</v>
      </c>
      <c r="AG181" s="98">
        <v>9</v>
      </c>
      <c r="AH181" s="98" t="s">
        <v>2951</v>
      </c>
      <c r="AI181" s="98">
        <v>1</v>
      </c>
      <c r="AJ181" s="98">
        <v>202223</v>
      </c>
      <c r="AK181" s="207">
        <v>53715.102200000001</v>
      </c>
    </row>
    <row r="182" spans="30:37" x14ac:dyDescent="0.35">
      <c r="AD182" s="98" t="str">
        <f t="shared" si="15"/>
        <v>516_9_202223</v>
      </c>
      <c r="AE182" s="98" t="s">
        <v>1</v>
      </c>
      <c r="AF182" s="98">
        <v>516</v>
      </c>
      <c r="AG182" s="98">
        <v>9</v>
      </c>
      <c r="AH182" s="98" t="s">
        <v>2951</v>
      </c>
      <c r="AI182" s="98">
        <v>1</v>
      </c>
      <c r="AJ182" s="98">
        <v>202223</v>
      </c>
      <c r="AK182" s="207">
        <v>51020.975599999998</v>
      </c>
    </row>
    <row r="183" spans="30:37" x14ac:dyDescent="0.35">
      <c r="AD183" s="98" t="str">
        <f t="shared" si="15"/>
        <v>518_9_202223</v>
      </c>
      <c r="AE183" s="98" t="s">
        <v>1</v>
      </c>
      <c r="AF183" s="98">
        <v>518</v>
      </c>
      <c r="AG183" s="98">
        <v>9</v>
      </c>
      <c r="AH183" s="98" t="s">
        <v>2951</v>
      </c>
      <c r="AI183" s="98">
        <v>1</v>
      </c>
      <c r="AJ183" s="98">
        <v>202223</v>
      </c>
      <c r="AK183" s="207">
        <v>40642.012880000002</v>
      </c>
    </row>
    <row r="184" spans="30:37" x14ac:dyDescent="0.35">
      <c r="AD184" s="98" t="str">
        <f t="shared" si="15"/>
        <v>520_9_202223</v>
      </c>
      <c r="AE184" s="98" t="s">
        <v>1</v>
      </c>
      <c r="AF184" s="98">
        <v>520</v>
      </c>
      <c r="AG184" s="98">
        <v>9</v>
      </c>
      <c r="AH184" s="98" t="s">
        <v>2951</v>
      </c>
      <c r="AI184" s="98">
        <v>1</v>
      </c>
      <c r="AJ184" s="98">
        <v>202223</v>
      </c>
      <c r="AK184" s="207">
        <v>65193.998</v>
      </c>
    </row>
    <row r="185" spans="30:37" x14ac:dyDescent="0.35">
      <c r="AD185" s="98" t="str">
        <f t="shared" si="15"/>
        <v>522_9_202223</v>
      </c>
      <c r="AE185" s="98" t="s">
        <v>1</v>
      </c>
      <c r="AF185" s="98">
        <v>522</v>
      </c>
      <c r="AG185" s="98">
        <v>9</v>
      </c>
      <c r="AH185" s="98" t="s">
        <v>2951</v>
      </c>
      <c r="AI185" s="98">
        <v>1</v>
      </c>
      <c r="AJ185" s="98">
        <v>202223</v>
      </c>
      <c r="AK185" s="207">
        <v>53665.011930000001</v>
      </c>
    </row>
    <row r="186" spans="30:37" x14ac:dyDescent="0.35">
      <c r="AD186" s="98" t="str">
        <f t="shared" si="15"/>
        <v>524_9_202223</v>
      </c>
      <c r="AE186" s="98" t="s">
        <v>1</v>
      </c>
      <c r="AF186" s="98">
        <v>524</v>
      </c>
      <c r="AG186" s="98">
        <v>9</v>
      </c>
      <c r="AH186" s="98" t="s">
        <v>2951</v>
      </c>
      <c r="AI186" s="98">
        <v>1</v>
      </c>
      <c r="AJ186" s="98">
        <v>202223</v>
      </c>
      <c r="AK186" s="207">
        <v>63072.186149999994</v>
      </c>
    </row>
    <row r="187" spans="30:37" x14ac:dyDescent="0.35">
      <c r="AD187" s="98" t="str">
        <f t="shared" si="15"/>
        <v>526_9_202223</v>
      </c>
      <c r="AE187" s="98" t="s">
        <v>1</v>
      </c>
      <c r="AF187" s="98">
        <v>526</v>
      </c>
      <c r="AG187" s="98">
        <v>9</v>
      </c>
      <c r="AH187" s="98" t="s">
        <v>2951</v>
      </c>
      <c r="AI187" s="98">
        <v>1</v>
      </c>
      <c r="AJ187" s="98">
        <v>202223</v>
      </c>
      <c r="AK187" s="207">
        <v>32063.079749999997</v>
      </c>
    </row>
    <row r="188" spans="30:37" x14ac:dyDescent="0.35">
      <c r="AD188" s="98" t="str">
        <f t="shared" si="15"/>
        <v>528_9_202223</v>
      </c>
      <c r="AE188" s="98" t="s">
        <v>1</v>
      </c>
      <c r="AF188" s="98">
        <v>528</v>
      </c>
      <c r="AG188" s="98">
        <v>9</v>
      </c>
      <c r="AH188" s="98" t="s">
        <v>2951</v>
      </c>
      <c r="AI188" s="98">
        <v>1</v>
      </c>
      <c r="AJ188" s="98">
        <v>202223</v>
      </c>
      <c r="AK188" s="207">
        <v>60247.383599999994</v>
      </c>
    </row>
    <row r="189" spans="30:37" x14ac:dyDescent="0.35">
      <c r="AD189" s="98" t="str">
        <f t="shared" si="15"/>
        <v>530_9_202223</v>
      </c>
      <c r="AE189" s="98" t="s">
        <v>1</v>
      </c>
      <c r="AF189" s="98">
        <v>530</v>
      </c>
      <c r="AG189" s="98">
        <v>9</v>
      </c>
      <c r="AH189" s="98" t="s">
        <v>2951</v>
      </c>
      <c r="AI189" s="98">
        <v>1</v>
      </c>
      <c r="AJ189" s="98">
        <v>202223</v>
      </c>
      <c r="AK189" s="207">
        <v>74698.572</v>
      </c>
    </row>
    <row r="190" spans="30:37" x14ac:dyDescent="0.35">
      <c r="AD190" s="98" t="str">
        <f t="shared" si="15"/>
        <v>532_9_202223</v>
      </c>
      <c r="AE190" s="98" t="s">
        <v>1</v>
      </c>
      <c r="AF190" s="98">
        <v>532</v>
      </c>
      <c r="AG190" s="98">
        <v>9</v>
      </c>
      <c r="AH190" s="98" t="s">
        <v>2951</v>
      </c>
      <c r="AI190" s="98">
        <v>1</v>
      </c>
      <c r="AJ190" s="98">
        <v>202223</v>
      </c>
      <c r="AK190" s="207">
        <v>93114.056249999994</v>
      </c>
    </row>
    <row r="191" spans="30:37" x14ac:dyDescent="0.35">
      <c r="AD191" s="98" t="str">
        <f t="shared" si="15"/>
        <v>534_9_202223</v>
      </c>
      <c r="AE191" s="98" t="s">
        <v>1</v>
      </c>
      <c r="AF191" s="98">
        <v>534</v>
      </c>
      <c r="AG191" s="98">
        <v>9</v>
      </c>
      <c r="AH191" s="98" t="s">
        <v>2951</v>
      </c>
      <c r="AI191" s="98">
        <v>1</v>
      </c>
      <c r="AJ191" s="98">
        <v>202223</v>
      </c>
      <c r="AK191" s="207">
        <v>48393.676500000009</v>
      </c>
    </row>
    <row r="192" spans="30:37" x14ac:dyDescent="0.35">
      <c r="AD192" s="98" t="str">
        <f t="shared" si="15"/>
        <v>536_9_202223</v>
      </c>
      <c r="AE192" s="98" t="s">
        <v>1</v>
      </c>
      <c r="AF192" s="98">
        <v>536</v>
      </c>
      <c r="AG192" s="98">
        <v>9</v>
      </c>
      <c r="AH192" s="98" t="s">
        <v>2951</v>
      </c>
      <c r="AI192" s="98">
        <v>1</v>
      </c>
      <c r="AJ192" s="98">
        <v>202223</v>
      </c>
      <c r="AK192" s="207">
        <v>54568.507499999992</v>
      </c>
    </row>
    <row r="193" spans="30:37" x14ac:dyDescent="0.35">
      <c r="AD193" s="98" t="str">
        <f t="shared" si="15"/>
        <v>538_9_202223</v>
      </c>
      <c r="AE193" s="98" t="s">
        <v>1</v>
      </c>
      <c r="AF193" s="98">
        <v>538</v>
      </c>
      <c r="AG193" s="98">
        <v>9</v>
      </c>
      <c r="AH193" s="98" t="s">
        <v>2951</v>
      </c>
      <c r="AI193" s="98">
        <v>1</v>
      </c>
      <c r="AJ193" s="98">
        <v>202223</v>
      </c>
      <c r="AK193" s="207">
        <v>61977.616689999995</v>
      </c>
    </row>
    <row r="194" spans="30:37" x14ac:dyDescent="0.35">
      <c r="AD194" s="98" t="str">
        <f t="shared" si="15"/>
        <v>540_9_202223</v>
      </c>
      <c r="AE194" s="98" t="s">
        <v>1</v>
      </c>
      <c r="AF194" s="98">
        <v>540</v>
      </c>
      <c r="AG194" s="98">
        <v>9</v>
      </c>
      <c r="AH194" s="98" t="s">
        <v>2951</v>
      </c>
      <c r="AI194" s="98">
        <v>1</v>
      </c>
      <c r="AJ194" s="98">
        <v>202223</v>
      </c>
      <c r="AK194" s="207">
        <v>77706.999824999992</v>
      </c>
    </row>
    <row r="195" spans="30:37" x14ac:dyDescent="0.35">
      <c r="AD195" s="98" t="str">
        <f t="shared" si="15"/>
        <v>542_9_202223</v>
      </c>
      <c r="AE195" s="98" t="s">
        <v>1</v>
      </c>
      <c r="AF195" s="98">
        <v>542</v>
      </c>
      <c r="AG195" s="98">
        <v>9</v>
      </c>
      <c r="AH195" s="98" t="s">
        <v>2951</v>
      </c>
      <c r="AI195" s="98">
        <v>1</v>
      </c>
      <c r="AJ195" s="98">
        <v>202223</v>
      </c>
      <c r="AK195" s="207">
        <v>18587.443199999998</v>
      </c>
    </row>
    <row r="196" spans="30:37" x14ac:dyDescent="0.35">
      <c r="AD196" s="98" t="str">
        <f t="shared" ref="AD196:AD259" si="16">AF196&amp;"_"&amp;AG196&amp;"_"&amp;AJ196</f>
        <v>544_9_202223</v>
      </c>
      <c r="AE196" s="98" t="s">
        <v>1</v>
      </c>
      <c r="AF196" s="98">
        <v>544</v>
      </c>
      <c r="AG196" s="98">
        <v>9</v>
      </c>
      <c r="AH196" s="98" t="s">
        <v>2951</v>
      </c>
      <c r="AI196" s="98">
        <v>1</v>
      </c>
      <c r="AJ196" s="98">
        <v>202223</v>
      </c>
      <c r="AK196" s="207">
        <v>61062.709499999997</v>
      </c>
    </row>
    <row r="197" spans="30:37" x14ac:dyDescent="0.35">
      <c r="AD197" s="98" t="str">
        <f t="shared" si="16"/>
        <v>545_9_202223</v>
      </c>
      <c r="AE197" s="98" t="s">
        <v>1</v>
      </c>
      <c r="AF197" s="98">
        <v>545</v>
      </c>
      <c r="AG197" s="98">
        <v>9</v>
      </c>
      <c r="AH197" s="98" t="s">
        <v>2951</v>
      </c>
      <c r="AI197" s="98">
        <v>1</v>
      </c>
      <c r="AJ197" s="98">
        <v>202223</v>
      </c>
      <c r="AK197" s="207">
        <v>20876.8485</v>
      </c>
    </row>
    <row r="198" spans="30:37" x14ac:dyDescent="0.35">
      <c r="AD198" s="98" t="str">
        <f t="shared" si="16"/>
        <v>546_9_202223</v>
      </c>
      <c r="AE198" s="98" t="s">
        <v>1</v>
      </c>
      <c r="AF198" s="98">
        <v>546</v>
      </c>
      <c r="AG198" s="98">
        <v>9</v>
      </c>
      <c r="AH198" s="98" t="s">
        <v>2951</v>
      </c>
      <c r="AI198" s="98">
        <v>1</v>
      </c>
      <c r="AJ198" s="98">
        <v>202223</v>
      </c>
      <c r="AK198" s="207">
        <v>34147.002400000005</v>
      </c>
    </row>
    <row r="199" spans="30:37" x14ac:dyDescent="0.35">
      <c r="AD199" s="98" t="str">
        <f t="shared" si="16"/>
        <v>548_9_202223</v>
      </c>
      <c r="AE199" s="98" t="s">
        <v>1</v>
      </c>
      <c r="AF199" s="98">
        <v>548</v>
      </c>
      <c r="AG199" s="98">
        <v>9</v>
      </c>
      <c r="AH199" s="98" t="s">
        <v>2951</v>
      </c>
      <c r="AI199" s="98">
        <v>1</v>
      </c>
      <c r="AJ199" s="98">
        <v>202223</v>
      </c>
      <c r="AK199" s="207">
        <v>47372.796899999994</v>
      </c>
    </row>
    <row r="200" spans="30:37" x14ac:dyDescent="0.35">
      <c r="AD200" s="98" t="str">
        <f t="shared" si="16"/>
        <v>550_9_202223</v>
      </c>
      <c r="AE200" s="98" t="s">
        <v>1</v>
      </c>
      <c r="AF200" s="98">
        <v>550</v>
      </c>
      <c r="AG200" s="98">
        <v>9</v>
      </c>
      <c r="AH200" s="98" t="s">
        <v>2951</v>
      </c>
      <c r="AI200" s="98">
        <v>1</v>
      </c>
      <c r="AJ200" s="98">
        <v>202223</v>
      </c>
      <c r="AK200" s="207">
        <v>60848.729760000002</v>
      </c>
    </row>
    <row r="201" spans="30:37" x14ac:dyDescent="0.35">
      <c r="AD201" s="98" t="str">
        <f t="shared" si="16"/>
        <v>552_9_202223</v>
      </c>
      <c r="AE201" s="98" t="s">
        <v>1</v>
      </c>
      <c r="AF201" s="98">
        <v>552</v>
      </c>
      <c r="AG201" s="98">
        <v>9</v>
      </c>
      <c r="AH201" s="98" t="s">
        <v>2951</v>
      </c>
      <c r="AI201" s="98">
        <v>1</v>
      </c>
      <c r="AJ201" s="98">
        <v>202223</v>
      </c>
      <c r="AK201" s="207">
        <v>149107.23084999996</v>
      </c>
    </row>
    <row r="202" spans="30:37" x14ac:dyDescent="0.35">
      <c r="AD202" s="98" t="str">
        <f t="shared" si="16"/>
        <v>512_10_202223</v>
      </c>
      <c r="AE202" s="98" t="s">
        <v>1</v>
      </c>
      <c r="AF202" s="98">
        <v>512</v>
      </c>
      <c r="AG202" s="98">
        <v>10</v>
      </c>
      <c r="AH202" s="98" t="s">
        <v>2955</v>
      </c>
      <c r="AI202" s="98">
        <v>1</v>
      </c>
      <c r="AJ202" s="98">
        <v>202223</v>
      </c>
      <c r="AK202" s="207">
        <v>1421.21</v>
      </c>
    </row>
    <row r="203" spans="30:37" x14ac:dyDescent="0.35">
      <c r="AD203" s="98" t="str">
        <f t="shared" si="16"/>
        <v>514_10_202223</v>
      </c>
      <c r="AE203" s="98" t="s">
        <v>1</v>
      </c>
      <c r="AF203" s="98">
        <v>514</v>
      </c>
      <c r="AG203" s="98">
        <v>10</v>
      </c>
      <c r="AH203" s="98" t="s">
        <v>2955</v>
      </c>
      <c r="AI203" s="98">
        <v>1</v>
      </c>
      <c r="AJ203" s="98">
        <v>202223</v>
      </c>
      <c r="AK203" s="207">
        <v>1576.4</v>
      </c>
    </row>
    <row r="204" spans="30:37" x14ac:dyDescent="0.35">
      <c r="AD204" s="98" t="str">
        <f t="shared" si="16"/>
        <v>516_10_202223</v>
      </c>
      <c r="AE204" s="98" t="s">
        <v>1</v>
      </c>
      <c r="AF204" s="98">
        <v>516</v>
      </c>
      <c r="AG204" s="98">
        <v>10</v>
      </c>
      <c r="AH204" s="98" t="s">
        <v>2955</v>
      </c>
      <c r="AI204" s="98">
        <v>1</v>
      </c>
      <c r="AJ204" s="98">
        <v>202223</v>
      </c>
      <c r="AK204" s="207">
        <v>1486.34</v>
      </c>
    </row>
    <row r="205" spans="30:37" x14ac:dyDescent="0.35">
      <c r="AD205" s="98" t="str">
        <f t="shared" si="16"/>
        <v>518_10_202223</v>
      </c>
      <c r="AE205" s="98" t="s">
        <v>1</v>
      </c>
      <c r="AF205" s="98">
        <v>518</v>
      </c>
      <c r="AG205" s="98">
        <v>10</v>
      </c>
      <c r="AH205" s="98" t="s">
        <v>2955</v>
      </c>
      <c r="AI205" s="98">
        <v>1</v>
      </c>
      <c r="AJ205" s="98">
        <v>202223</v>
      </c>
      <c r="AK205" s="207">
        <v>1536.65</v>
      </c>
    </row>
    <row r="206" spans="30:37" x14ac:dyDescent="0.35">
      <c r="AD206" s="98" t="str">
        <f t="shared" si="16"/>
        <v>520_10_202223</v>
      </c>
      <c r="AE206" s="98" t="s">
        <v>1</v>
      </c>
      <c r="AF206" s="98">
        <v>520</v>
      </c>
      <c r="AG206" s="98">
        <v>10</v>
      </c>
      <c r="AH206" s="98" t="s">
        <v>2955</v>
      </c>
      <c r="AI206" s="98">
        <v>1</v>
      </c>
      <c r="AJ206" s="98">
        <v>202223</v>
      </c>
      <c r="AK206" s="207">
        <v>1498.6</v>
      </c>
    </row>
    <row r="207" spans="30:37" x14ac:dyDescent="0.35">
      <c r="AD207" s="98" t="str">
        <f t="shared" si="16"/>
        <v>522_10_202223</v>
      </c>
      <c r="AE207" s="98" t="s">
        <v>1</v>
      </c>
      <c r="AF207" s="98">
        <v>522</v>
      </c>
      <c r="AG207" s="98">
        <v>10</v>
      </c>
      <c r="AH207" s="98" t="s">
        <v>2955</v>
      </c>
      <c r="AI207" s="98">
        <v>1</v>
      </c>
      <c r="AJ207" s="98">
        <v>202223</v>
      </c>
      <c r="AK207" s="207">
        <v>1424.52</v>
      </c>
    </row>
    <row r="208" spans="30:37" x14ac:dyDescent="0.35">
      <c r="AD208" s="98" t="str">
        <f t="shared" si="16"/>
        <v>524_10_202223</v>
      </c>
      <c r="AE208" s="98" t="s">
        <v>1</v>
      </c>
      <c r="AF208" s="98">
        <v>524</v>
      </c>
      <c r="AG208" s="98">
        <v>10</v>
      </c>
      <c r="AH208" s="98" t="s">
        <v>2955</v>
      </c>
      <c r="AI208" s="98">
        <v>1</v>
      </c>
      <c r="AJ208" s="98">
        <v>202223</v>
      </c>
      <c r="AK208" s="207">
        <v>1523.41</v>
      </c>
    </row>
    <row r="209" spans="30:37" x14ac:dyDescent="0.35">
      <c r="AD209" s="98" t="str">
        <f t="shared" si="16"/>
        <v>526_10_202223</v>
      </c>
      <c r="AE209" s="98" t="s">
        <v>1</v>
      </c>
      <c r="AF209" s="98">
        <v>526</v>
      </c>
      <c r="AG209" s="98">
        <v>10</v>
      </c>
      <c r="AH209" s="98" t="s">
        <v>2955</v>
      </c>
      <c r="AI209" s="98">
        <v>1</v>
      </c>
      <c r="AJ209" s="98">
        <v>202223</v>
      </c>
      <c r="AK209" s="207">
        <v>1487.11</v>
      </c>
    </row>
    <row r="210" spans="30:37" x14ac:dyDescent="0.35">
      <c r="AD210" s="98" t="str">
        <f t="shared" si="16"/>
        <v>528_10_202223</v>
      </c>
      <c r="AE210" s="98" t="s">
        <v>1</v>
      </c>
      <c r="AF210" s="98">
        <v>528</v>
      </c>
      <c r="AG210" s="98">
        <v>10</v>
      </c>
      <c r="AH210" s="98" t="s">
        <v>2955</v>
      </c>
      <c r="AI210" s="98">
        <v>1</v>
      </c>
      <c r="AJ210" s="98">
        <v>202223</v>
      </c>
      <c r="AK210" s="207">
        <v>1288.45</v>
      </c>
    </row>
    <row r="211" spans="30:37" x14ac:dyDescent="0.35">
      <c r="AD211" s="98" t="str">
        <f t="shared" si="16"/>
        <v>530_10_202223</v>
      </c>
      <c r="AE211" s="98" t="s">
        <v>1</v>
      </c>
      <c r="AF211" s="98">
        <v>530</v>
      </c>
      <c r="AG211" s="98">
        <v>10</v>
      </c>
      <c r="AH211" s="98" t="s">
        <v>2955</v>
      </c>
      <c r="AI211" s="98">
        <v>1</v>
      </c>
      <c r="AJ211" s="98">
        <v>202223</v>
      </c>
      <c r="AK211" s="207">
        <v>1489.76</v>
      </c>
    </row>
    <row r="212" spans="30:37" x14ac:dyDescent="0.35">
      <c r="AD212" s="98" t="str">
        <f t="shared" si="16"/>
        <v>532_10_202223</v>
      </c>
      <c r="AE212" s="98" t="s">
        <v>1</v>
      </c>
      <c r="AF212" s="98">
        <v>532</v>
      </c>
      <c r="AG212" s="98">
        <v>10</v>
      </c>
      <c r="AH212" s="98" t="s">
        <v>2955</v>
      </c>
      <c r="AI212" s="98">
        <v>1</v>
      </c>
      <c r="AJ212" s="98">
        <v>202223</v>
      </c>
      <c r="AK212" s="207">
        <v>1480.33</v>
      </c>
    </row>
    <row r="213" spans="30:37" x14ac:dyDescent="0.35">
      <c r="AD213" s="98" t="str">
        <f t="shared" si="16"/>
        <v>534_10_202223</v>
      </c>
      <c r="AE213" s="98" t="s">
        <v>1</v>
      </c>
      <c r="AF213" s="98">
        <v>534</v>
      </c>
      <c r="AG213" s="98">
        <v>10</v>
      </c>
      <c r="AH213" s="98" t="s">
        <v>2955</v>
      </c>
      <c r="AI213" s="98">
        <v>1</v>
      </c>
      <c r="AJ213" s="98">
        <v>202223</v>
      </c>
      <c r="AK213" s="207">
        <v>1709.73</v>
      </c>
    </row>
    <row r="214" spans="30:37" x14ac:dyDescent="0.35">
      <c r="AD214" s="98" t="str">
        <f t="shared" si="16"/>
        <v>536_10_202223</v>
      </c>
      <c r="AE214" s="98" t="s">
        <v>1</v>
      </c>
      <c r="AF214" s="98">
        <v>536</v>
      </c>
      <c r="AG214" s="98">
        <v>10</v>
      </c>
      <c r="AH214" s="98" t="s">
        <v>2955</v>
      </c>
      <c r="AI214" s="98">
        <v>1</v>
      </c>
      <c r="AJ214" s="98">
        <v>202223</v>
      </c>
      <c r="AK214" s="207">
        <v>1649.2</v>
      </c>
    </row>
    <row r="215" spans="30:37" x14ac:dyDescent="0.35">
      <c r="AD215" s="98" t="str">
        <f t="shared" si="16"/>
        <v>538_10_202223</v>
      </c>
      <c r="AE215" s="98" t="s">
        <v>1</v>
      </c>
      <c r="AF215" s="98">
        <v>538</v>
      </c>
      <c r="AG215" s="98">
        <v>10</v>
      </c>
      <c r="AH215" s="98" t="s">
        <v>2955</v>
      </c>
      <c r="AI215" s="98">
        <v>1</v>
      </c>
      <c r="AJ215" s="98">
        <v>202223</v>
      </c>
      <c r="AK215" s="207">
        <v>1449.11</v>
      </c>
    </row>
    <row r="216" spans="30:37" x14ac:dyDescent="0.35">
      <c r="AD216" s="98" t="str">
        <f t="shared" si="16"/>
        <v>540_10_202223</v>
      </c>
      <c r="AE216" s="98" t="s">
        <v>1</v>
      </c>
      <c r="AF216" s="98">
        <v>540</v>
      </c>
      <c r="AG216" s="98">
        <v>10</v>
      </c>
      <c r="AH216" s="98" t="s">
        <v>2955</v>
      </c>
      <c r="AI216" s="98">
        <v>1</v>
      </c>
      <c r="AJ216" s="98">
        <v>202223</v>
      </c>
      <c r="AK216" s="207">
        <v>1584.1</v>
      </c>
    </row>
    <row r="217" spans="30:37" x14ac:dyDescent="0.35">
      <c r="AD217" s="98" t="str">
        <f t="shared" si="16"/>
        <v>542_10_202223</v>
      </c>
      <c r="AE217" s="98" t="s">
        <v>1</v>
      </c>
      <c r="AF217" s="98">
        <v>542</v>
      </c>
      <c r="AG217" s="98">
        <v>10</v>
      </c>
      <c r="AH217" s="98" t="s">
        <v>2955</v>
      </c>
      <c r="AI217" s="98">
        <v>1</v>
      </c>
      <c r="AJ217" s="98">
        <v>202223</v>
      </c>
      <c r="AK217" s="207">
        <v>1747.77</v>
      </c>
    </row>
    <row r="218" spans="30:37" x14ac:dyDescent="0.35">
      <c r="AD218" s="98" t="str">
        <f t="shared" si="16"/>
        <v>544_10_202223</v>
      </c>
      <c r="AE218" s="98" t="s">
        <v>1</v>
      </c>
      <c r="AF218" s="98">
        <v>544</v>
      </c>
      <c r="AG218" s="98">
        <v>10</v>
      </c>
      <c r="AH218" s="98" t="s">
        <v>2955</v>
      </c>
      <c r="AI218" s="98">
        <v>1</v>
      </c>
      <c r="AJ218" s="98">
        <v>202223</v>
      </c>
      <c r="AK218" s="207">
        <v>1269.1500000000001</v>
      </c>
    </row>
    <row r="219" spans="30:37" x14ac:dyDescent="0.35">
      <c r="AD219" s="98" t="str">
        <f t="shared" si="16"/>
        <v>545_10_202223</v>
      </c>
      <c r="AE219" s="98" t="s">
        <v>1</v>
      </c>
      <c r="AF219" s="98">
        <v>545</v>
      </c>
      <c r="AG219" s="98">
        <v>10</v>
      </c>
      <c r="AH219" s="98" t="s">
        <v>2955</v>
      </c>
      <c r="AI219" s="98">
        <v>1</v>
      </c>
      <c r="AJ219" s="98">
        <v>202223</v>
      </c>
      <c r="AK219" s="207">
        <v>1794.86</v>
      </c>
    </row>
    <row r="220" spans="30:37" x14ac:dyDescent="0.35">
      <c r="AD220" s="98" t="str">
        <f t="shared" si="16"/>
        <v>546_10_202223</v>
      </c>
      <c r="AE220" s="98" t="s">
        <v>1</v>
      </c>
      <c r="AF220" s="98">
        <v>546</v>
      </c>
      <c r="AG220" s="98">
        <v>10</v>
      </c>
      <c r="AH220" s="98" t="s">
        <v>2955</v>
      </c>
      <c r="AI220" s="98">
        <v>1</v>
      </c>
      <c r="AJ220" s="98">
        <v>202223</v>
      </c>
      <c r="AK220" s="207">
        <v>1498.91</v>
      </c>
    </row>
    <row r="221" spans="30:37" x14ac:dyDescent="0.35">
      <c r="AD221" s="98" t="str">
        <f t="shared" si="16"/>
        <v>548_10_202223</v>
      </c>
      <c r="AE221" s="98" t="s">
        <v>1</v>
      </c>
      <c r="AF221" s="98">
        <v>548</v>
      </c>
      <c r="AG221" s="98">
        <v>10</v>
      </c>
      <c r="AH221" s="98" t="s">
        <v>2955</v>
      </c>
      <c r="AI221" s="98">
        <v>1</v>
      </c>
      <c r="AJ221" s="98">
        <v>202223</v>
      </c>
      <c r="AK221" s="207">
        <v>1543.45</v>
      </c>
    </row>
    <row r="222" spans="30:37" x14ac:dyDescent="0.35">
      <c r="AD222" s="98" t="str">
        <f t="shared" si="16"/>
        <v>550_10_202223</v>
      </c>
      <c r="AE222" s="98" t="s">
        <v>1</v>
      </c>
      <c r="AF222" s="98">
        <v>550</v>
      </c>
      <c r="AG222" s="98">
        <v>10</v>
      </c>
      <c r="AH222" s="98" t="s">
        <v>2955</v>
      </c>
      <c r="AI222" s="98">
        <v>1</v>
      </c>
      <c r="AJ222" s="98">
        <v>202223</v>
      </c>
      <c r="AK222" s="207">
        <v>1279.68</v>
      </c>
    </row>
    <row r="223" spans="30:37" x14ac:dyDescent="0.35">
      <c r="AD223" s="98" t="str">
        <f t="shared" si="16"/>
        <v>552_10_202223</v>
      </c>
      <c r="AE223" s="98" t="s">
        <v>1</v>
      </c>
      <c r="AF223" s="98">
        <v>552</v>
      </c>
      <c r="AG223" s="98">
        <v>10</v>
      </c>
      <c r="AH223" s="98" t="s">
        <v>2955</v>
      </c>
      <c r="AI223" s="98">
        <v>1</v>
      </c>
      <c r="AJ223" s="98">
        <v>202223</v>
      </c>
      <c r="AK223" s="207">
        <v>1338.07</v>
      </c>
    </row>
    <row r="224" spans="30:37" x14ac:dyDescent="0.35">
      <c r="AD224" s="98" t="str">
        <f t="shared" si="16"/>
        <v>512_11_202223</v>
      </c>
      <c r="AE224" s="98" t="s">
        <v>1</v>
      </c>
      <c r="AF224" s="98">
        <v>512</v>
      </c>
      <c r="AG224" s="98">
        <v>11</v>
      </c>
      <c r="AH224" s="98" t="s">
        <v>2957</v>
      </c>
      <c r="AI224" s="98">
        <v>1</v>
      </c>
      <c r="AJ224" s="98">
        <v>202223</v>
      </c>
      <c r="AK224" s="207">
        <v>316.8000332463663</v>
      </c>
    </row>
    <row r="225" spans="30:37" x14ac:dyDescent="0.35">
      <c r="AD225" s="98" t="str">
        <f t="shared" si="16"/>
        <v>514_11_202223</v>
      </c>
      <c r="AE225" s="98" t="s">
        <v>1</v>
      </c>
      <c r="AF225" s="98">
        <v>514</v>
      </c>
      <c r="AG225" s="98">
        <v>11</v>
      </c>
      <c r="AH225" s="98" t="s">
        <v>2957</v>
      </c>
      <c r="AI225" s="98">
        <v>1</v>
      </c>
      <c r="AJ225" s="98">
        <v>202223</v>
      </c>
      <c r="AK225" s="207">
        <v>316.7999929822343</v>
      </c>
    </row>
    <row r="226" spans="30:37" x14ac:dyDescent="0.35">
      <c r="AD226" s="98" t="str">
        <f t="shared" si="16"/>
        <v>516_11_202223</v>
      </c>
      <c r="AE226" s="98" t="s">
        <v>1</v>
      </c>
      <c r="AF226" s="98">
        <v>516</v>
      </c>
      <c r="AG226" s="98">
        <v>11</v>
      </c>
      <c r="AH226" s="98" t="s">
        <v>2957</v>
      </c>
      <c r="AI226" s="98">
        <v>1</v>
      </c>
      <c r="AJ226" s="98">
        <v>202223</v>
      </c>
      <c r="AK226" s="207">
        <v>316.80001822622933</v>
      </c>
    </row>
    <row r="227" spans="30:37" x14ac:dyDescent="0.35">
      <c r="AD227" s="98" t="str">
        <f t="shared" si="16"/>
        <v>518_11_202223</v>
      </c>
      <c r="AE227" s="98" t="s">
        <v>1</v>
      </c>
      <c r="AF227" s="98">
        <v>518</v>
      </c>
      <c r="AG227" s="98">
        <v>11</v>
      </c>
      <c r="AH227" s="98" t="s">
        <v>2957</v>
      </c>
      <c r="AI227" s="98">
        <v>1</v>
      </c>
      <c r="AJ227" s="98">
        <v>202223</v>
      </c>
      <c r="AK227" s="207">
        <v>316.79998325909685</v>
      </c>
    </row>
    <row r="228" spans="30:37" x14ac:dyDescent="0.35">
      <c r="AD228" s="98" t="str">
        <f t="shared" si="16"/>
        <v>520_11_202223</v>
      </c>
      <c r="AE228" s="98" t="s">
        <v>1</v>
      </c>
      <c r="AF228" s="98">
        <v>520</v>
      </c>
      <c r="AG228" s="98">
        <v>11</v>
      </c>
      <c r="AH228" s="98" t="s">
        <v>2957</v>
      </c>
      <c r="AI228" s="98">
        <v>1</v>
      </c>
      <c r="AJ228" s="98">
        <v>202223</v>
      </c>
      <c r="AK228" s="207">
        <v>316.80000665091899</v>
      </c>
    </row>
    <row r="229" spans="30:37" x14ac:dyDescent="0.35">
      <c r="AD229" s="98" t="str">
        <f t="shared" si="16"/>
        <v>522_11_202223</v>
      </c>
      <c r="AE229" s="98" t="s">
        <v>1</v>
      </c>
      <c r="AF229" s="98">
        <v>522</v>
      </c>
      <c r="AG229" s="98">
        <v>11</v>
      </c>
      <c r="AH229" s="98" t="s">
        <v>2957</v>
      </c>
      <c r="AI229" s="98">
        <v>1</v>
      </c>
      <c r="AJ229" s="98">
        <v>202223</v>
      </c>
      <c r="AK229" s="207">
        <v>316.7999854761236</v>
      </c>
    </row>
    <row r="230" spans="30:37" x14ac:dyDescent="0.35">
      <c r="AD230" s="98" t="str">
        <f t="shared" si="16"/>
        <v>524_11_202223</v>
      </c>
      <c r="AE230" s="98" t="s">
        <v>1</v>
      </c>
      <c r="AF230" s="98">
        <v>524</v>
      </c>
      <c r="AG230" s="98">
        <v>11</v>
      </c>
      <c r="AH230" s="98" t="s">
        <v>2957</v>
      </c>
      <c r="AI230" s="98">
        <v>1</v>
      </c>
      <c r="AJ230" s="98">
        <v>202223</v>
      </c>
      <c r="AK230" s="207">
        <v>290.160023254561</v>
      </c>
    </row>
    <row r="231" spans="30:37" x14ac:dyDescent="0.35">
      <c r="AD231" s="98" t="str">
        <f t="shared" si="16"/>
        <v>526_11_202223</v>
      </c>
      <c r="AE231" s="98" t="s">
        <v>1</v>
      </c>
      <c r="AF231" s="98">
        <v>526</v>
      </c>
      <c r="AG231" s="98">
        <v>11</v>
      </c>
      <c r="AH231" s="98" t="s">
        <v>2957</v>
      </c>
      <c r="AI231" s="98">
        <v>1</v>
      </c>
      <c r="AJ231" s="98">
        <v>202223</v>
      </c>
      <c r="AK231" s="207">
        <v>290.16000000000003</v>
      </c>
    </row>
    <row r="232" spans="30:37" x14ac:dyDescent="0.35">
      <c r="AD232" s="98" t="str">
        <f t="shared" si="16"/>
        <v>528_11_202223</v>
      </c>
      <c r="AE232" s="98" t="s">
        <v>1</v>
      </c>
      <c r="AF232" s="98">
        <v>528</v>
      </c>
      <c r="AG232" s="98">
        <v>11</v>
      </c>
      <c r="AH232" s="98" t="s">
        <v>2957</v>
      </c>
      <c r="AI232" s="98">
        <v>1</v>
      </c>
      <c r="AJ232" s="98">
        <v>202223</v>
      </c>
      <c r="AK232" s="207">
        <v>290.15998630021841</v>
      </c>
    </row>
    <row r="233" spans="30:37" x14ac:dyDescent="0.35">
      <c r="AD233" s="98" t="str">
        <f t="shared" si="16"/>
        <v>530_11_202223</v>
      </c>
      <c r="AE233" s="98" t="s">
        <v>1</v>
      </c>
      <c r="AF233" s="98">
        <v>530</v>
      </c>
      <c r="AG233" s="98">
        <v>11</v>
      </c>
      <c r="AH233" s="98" t="s">
        <v>2957</v>
      </c>
      <c r="AI233" s="98">
        <v>1</v>
      </c>
      <c r="AJ233" s="98">
        <v>202223</v>
      </c>
      <c r="AK233" s="207">
        <v>290.15999127801263</v>
      </c>
    </row>
    <row r="234" spans="30:37" x14ac:dyDescent="0.35">
      <c r="AD234" s="98" t="str">
        <f t="shared" si="16"/>
        <v>532_11_202223</v>
      </c>
      <c r="AE234" s="98" t="s">
        <v>1</v>
      </c>
      <c r="AF234" s="98">
        <v>532</v>
      </c>
      <c r="AG234" s="98">
        <v>11</v>
      </c>
      <c r="AH234" s="98" t="s">
        <v>2957</v>
      </c>
      <c r="AI234" s="98">
        <v>1</v>
      </c>
      <c r="AJ234" s="98">
        <v>202223</v>
      </c>
      <c r="AK234" s="207">
        <v>302.10982243618025</v>
      </c>
    </row>
    <row r="235" spans="30:37" x14ac:dyDescent="0.35">
      <c r="AD235" s="98" t="str">
        <f t="shared" si="16"/>
        <v>534_11_202223</v>
      </c>
      <c r="AE235" s="98" t="s">
        <v>1</v>
      </c>
      <c r="AF235" s="98">
        <v>534</v>
      </c>
      <c r="AG235" s="98">
        <v>11</v>
      </c>
      <c r="AH235" s="98" t="s">
        <v>2957</v>
      </c>
      <c r="AI235" s="98">
        <v>1</v>
      </c>
      <c r="AJ235" s="98">
        <v>202223</v>
      </c>
      <c r="AK235" s="207">
        <v>302.11002877617693</v>
      </c>
    </row>
    <row r="236" spans="30:37" x14ac:dyDescent="0.35">
      <c r="AD236" s="98" t="str">
        <f t="shared" si="16"/>
        <v>536_11_202223</v>
      </c>
      <c r="AE236" s="98" t="s">
        <v>1</v>
      </c>
      <c r="AF236" s="98">
        <v>536</v>
      </c>
      <c r="AG236" s="98">
        <v>11</v>
      </c>
      <c r="AH236" s="98" t="s">
        <v>2957</v>
      </c>
      <c r="AI236" s="98">
        <v>1</v>
      </c>
      <c r="AJ236" s="98">
        <v>202223</v>
      </c>
      <c r="AK236" s="207">
        <v>302.11002197558736</v>
      </c>
    </row>
    <row r="237" spans="30:37" x14ac:dyDescent="0.35">
      <c r="AD237" s="98" t="str">
        <f t="shared" si="16"/>
        <v>538_11_202223</v>
      </c>
      <c r="AE237" s="98" t="s">
        <v>1</v>
      </c>
      <c r="AF237" s="98">
        <v>538</v>
      </c>
      <c r="AG237" s="98">
        <v>11</v>
      </c>
      <c r="AH237" s="98" t="s">
        <v>2957</v>
      </c>
      <c r="AI237" s="98">
        <v>1</v>
      </c>
      <c r="AJ237" s="98">
        <v>202223</v>
      </c>
      <c r="AK237" s="207">
        <v>302.1118752218996</v>
      </c>
    </row>
    <row r="238" spans="30:37" x14ac:dyDescent="0.35">
      <c r="AD238" s="98" t="str">
        <f t="shared" si="16"/>
        <v>540_11_202223</v>
      </c>
      <c r="AE238" s="98" t="s">
        <v>1</v>
      </c>
      <c r="AF238" s="98">
        <v>540</v>
      </c>
      <c r="AG238" s="98">
        <v>11</v>
      </c>
      <c r="AH238" s="98" t="s">
        <v>2957</v>
      </c>
      <c r="AI238" s="98">
        <v>1</v>
      </c>
      <c r="AJ238" s="98">
        <v>202223</v>
      </c>
      <c r="AK238" s="207">
        <v>302.11000364020299</v>
      </c>
    </row>
    <row r="239" spans="30:37" x14ac:dyDescent="0.35">
      <c r="AD239" s="98" t="str">
        <f t="shared" si="16"/>
        <v>542_11_202223</v>
      </c>
      <c r="AE239" s="98" t="s">
        <v>1</v>
      </c>
      <c r="AF239" s="98">
        <v>542</v>
      </c>
      <c r="AG239" s="98">
        <v>11</v>
      </c>
      <c r="AH239" s="98" t="s">
        <v>2957</v>
      </c>
      <c r="AI239" s="98">
        <v>1</v>
      </c>
      <c r="AJ239" s="98">
        <v>202223</v>
      </c>
      <c r="AK239" s="207">
        <v>302.10992117517276</v>
      </c>
    </row>
    <row r="240" spans="30:37" x14ac:dyDescent="0.35">
      <c r="AD240" s="98" t="str">
        <f t="shared" si="16"/>
        <v>544_11_202223</v>
      </c>
      <c r="AE240" s="98" t="s">
        <v>1</v>
      </c>
      <c r="AF240" s="98">
        <v>544</v>
      </c>
      <c r="AG240" s="98">
        <v>11</v>
      </c>
      <c r="AH240" s="98" t="s">
        <v>2957</v>
      </c>
      <c r="AI240" s="98">
        <v>1</v>
      </c>
      <c r="AJ240" s="98">
        <v>202223</v>
      </c>
      <c r="AK240" s="207">
        <v>303.79999760737775</v>
      </c>
    </row>
    <row r="241" spans="30:37" x14ac:dyDescent="0.35">
      <c r="AD241" s="98" t="str">
        <f t="shared" si="16"/>
        <v>545_11_202223</v>
      </c>
      <c r="AE241" s="98" t="s">
        <v>1</v>
      </c>
      <c r="AF241" s="98">
        <v>545</v>
      </c>
      <c r="AG241" s="98">
        <v>11</v>
      </c>
      <c r="AH241" s="98" t="s">
        <v>2957</v>
      </c>
      <c r="AI241" s="98">
        <v>1</v>
      </c>
      <c r="AJ241" s="98">
        <v>202223</v>
      </c>
      <c r="AK241" s="207">
        <v>303.8001640908588</v>
      </c>
    </row>
    <row r="242" spans="30:37" x14ac:dyDescent="0.35">
      <c r="AD242" s="98" t="str">
        <f t="shared" si="16"/>
        <v>546_11_202223</v>
      </c>
      <c r="AE242" s="98" t="s">
        <v>1</v>
      </c>
      <c r="AF242" s="98">
        <v>546</v>
      </c>
      <c r="AG242" s="98">
        <v>11</v>
      </c>
      <c r="AH242" s="98" t="s">
        <v>2957</v>
      </c>
      <c r="AI242" s="98">
        <v>1</v>
      </c>
      <c r="AJ242" s="98">
        <v>202223</v>
      </c>
      <c r="AK242" s="207">
        <v>303.8</v>
      </c>
    </row>
    <row r="243" spans="30:37" x14ac:dyDescent="0.35">
      <c r="AD243" s="98" t="str">
        <f t="shared" si="16"/>
        <v>548_11_202223</v>
      </c>
      <c r="AE243" s="98" t="s">
        <v>1</v>
      </c>
      <c r="AF243" s="98">
        <v>548</v>
      </c>
      <c r="AG243" s="98">
        <v>11</v>
      </c>
      <c r="AH243" s="98" t="s">
        <v>2957</v>
      </c>
      <c r="AI243" s="98">
        <v>1</v>
      </c>
      <c r="AJ243" s="98">
        <v>202223</v>
      </c>
      <c r="AK243" s="207">
        <v>303.80002747948373</v>
      </c>
    </row>
    <row r="244" spans="30:37" x14ac:dyDescent="0.35">
      <c r="AD244" s="98" t="str">
        <f t="shared" si="16"/>
        <v>550_11_202223</v>
      </c>
      <c r="AE244" s="98" t="s">
        <v>1</v>
      </c>
      <c r="AF244" s="98">
        <v>550</v>
      </c>
      <c r="AG244" s="98">
        <v>11</v>
      </c>
      <c r="AH244" s="98" t="s">
        <v>2957</v>
      </c>
      <c r="AI244" s="98">
        <v>1</v>
      </c>
      <c r="AJ244" s="98">
        <v>202223</v>
      </c>
      <c r="AK244" s="207">
        <v>303.80000113251339</v>
      </c>
    </row>
    <row r="245" spans="30:37" x14ac:dyDescent="0.35">
      <c r="AD245" s="98" t="str">
        <f t="shared" si="16"/>
        <v>552_11_202223</v>
      </c>
      <c r="AE245" s="98" t="s">
        <v>1</v>
      </c>
      <c r="AF245" s="98">
        <v>552</v>
      </c>
      <c r="AG245" s="98">
        <v>11</v>
      </c>
      <c r="AH245" s="98" t="s">
        <v>2957</v>
      </c>
      <c r="AI245" s="98">
        <v>1</v>
      </c>
      <c r="AJ245" s="98">
        <v>202223</v>
      </c>
      <c r="AK245" s="207">
        <v>302.10953381138467</v>
      </c>
    </row>
    <row r="246" spans="30:37" x14ac:dyDescent="0.35">
      <c r="AD246" s="98" t="str">
        <f t="shared" si="16"/>
        <v>512_12_202223</v>
      </c>
      <c r="AE246" s="98" t="s">
        <v>1</v>
      </c>
      <c r="AF246" s="98">
        <v>512</v>
      </c>
      <c r="AG246" s="98">
        <v>12</v>
      </c>
      <c r="AH246" s="98" t="s">
        <v>2959</v>
      </c>
      <c r="AI246" s="98">
        <v>1</v>
      </c>
      <c r="AJ246" s="98">
        <v>202223</v>
      </c>
      <c r="AK246" s="207">
        <v>1738.0100332463662</v>
      </c>
    </row>
    <row r="247" spans="30:37" x14ac:dyDescent="0.35">
      <c r="AD247" s="98" t="str">
        <f t="shared" si="16"/>
        <v>514_12_202223</v>
      </c>
      <c r="AE247" s="98" t="s">
        <v>1</v>
      </c>
      <c r="AF247" s="98">
        <v>514</v>
      </c>
      <c r="AG247" s="98">
        <v>12</v>
      </c>
      <c r="AH247" s="98" t="s">
        <v>2959</v>
      </c>
      <c r="AI247" s="98">
        <v>1</v>
      </c>
      <c r="AJ247" s="98">
        <v>202223</v>
      </c>
      <c r="AK247" s="207">
        <v>1893.1999929822343</v>
      </c>
    </row>
    <row r="248" spans="30:37" x14ac:dyDescent="0.35">
      <c r="AD248" s="98" t="str">
        <f t="shared" si="16"/>
        <v>516_12_202223</v>
      </c>
      <c r="AE248" s="98" t="s">
        <v>1</v>
      </c>
      <c r="AF248" s="98">
        <v>516</v>
      </c>
      <c r="AG248" s="98">
        <v>12</v>
      </c>
      <c r="AH248" s="98" t="s">
        <v>2959</v>
      </c>
      <c r="AI248" s="98">
        <v>1</v>
      </c>
      <c r="AJ248" s="98">
        <v>202223</v>
      </c>
      <c r="AK248" s="207">
        <v>1803.1400182262291</v>
      </c>
    </row>
    <row r="249" spans="30:37" x14ac:dyDescent="0.35">
      <c r="AD249" s="98" t="str">
        <f t="shared" si="16"/>
        <v>518_12_202223</v>
      </c>
      <c r="AE249" s="98" t="s">
        <v>1</v>
      </c>
      <c r="AF249" s="98">
        <v>518</v>
      </c>
      <c r="AG249" s="98">
        <v>12</v>
      </c>
      <c r="AH249" s="98" t="s">
        <v>2959</v>
      </c>
      <c r="AI249" s="98">
        <v>1</v>
      </c>
      <c r="AJ249" s="98">
        <v>202223</v>
      </c>
      <c r="AK249" s="207">
        <v>1853.4499832590968</v>
      </c>
    </row>
    <row r="250" spans="30:37" x14ac:dyDescent="0.35">
      <c r="AD250" s="98" t="str">
        <f t="shared" si="16"/>
        <v>520_12_202223</v>
      </c>
      <c r="AE250" s="98" t="s">
        <v>1</v>
      </c>
      <c r="AF250" s="98">
        <v>520</v>
      </c>
      <c r="AG250" s="98">
        <v>12</v>
      </c>
      <c r="AH250" s="98" t="s">
        <v>2959</v>
      </c>
      <c r="AI250" s="98">
        <v>1</v>
      </c>
      <c r="AJ250" s="98">
        <v>202223</v>
      </c>
      <c r="AK250" s="207">
        <v>1815.4000066509188</v>
      </c>
    </row>
    <row r="251" spans="30:37" x14ac:dyDescent="0.35">
      <c r="AD251" s="98" t="str">
        <f t="shared" si="16"/>
        <v>522_12_202223</v>
      </c>
      <c r="AE251" s="98" t="s">
        <v>1</v>
      </c>
      <c r="AF251" s="98">
        <v>522</v>
      </c>
      <c r="AG251" s="98">
        <v>12</v>
      </c>
      <c r="AH251" s="98" t="s">
        <v>2959</v>
      </c>
      <c r="AI251" s="98">
        <v>1</v>
      </c>
      <c r="AJ251" s="98">
        <v>202223</v>
      </c>
      <c r="AK251" s="207">
        <v>1741.3199854761235</v>
      </c>
    </row>
    <row r="252" spans="30:37" x14ac:dyDescent="0.35">
      <c r="AD252" s="98" t="str">
        <f t="shared" si="16"/>
        <v>524_12_202223</v>
      </c>
      <c r="AE252" s="98" t="s">
        <v>1</v>
      </c>
      <c r="AF252" s="98">
        <v>524</v>
      </c>
      <c r="AG252" s="98">
        <v>12</v>
      </c>
      <c r="AH252" s="98" t="s">
        <v>2959</v>
      </c>
      <c r="AI252" s="98">
        <v>1</v>
      </c>
      <c r="AJ252" s="98">
        <v>202223</v>
      </c>
      <c r="AK252" s="207">
        <v>1813.570023254561</v>
      </c>
    </row>
    <row r="253" spans="30:37" x14ac:dyDescent="0.35">
      <c r="AD253" s="98" t="str">
        <f t="shared" si="16"/>
        <v>526_12_202223</v>
      </c>
      <c r="AE253" s="98" t="s">
        <v>1</v>
      </c>
      <c r="AF253" s="98">
        <v>526</v>
      </c>
      <c r="AG253" s="98">
        <v>12</v>
      </c>
      <c r="AH253" s="98" t="s">
        <v>2959</v>
      </c>
      <c r="AI253" s="98">
        <v>1</v>
      </c>
      <c r="AJ253" s="98">
        <v>202223</v>
      </c>
      <c r="AK253" s="207">
        <v>1777.27</v>
      </c>
    </row>
    <row r="254" spans="30:37" x14ac:dyDescent="0.35">
      <c r="AD254" s="98" t="str">
        <f t="shared" si="16"/>
        <v>528_12_202223</v>
      </c>
      <c r="AE254" s="98" t="s">
        <v>1</v>
      </c>
      <c r="AF254" s="98">
        <v>528</v>
      </c>
      <c r="AG254" s="98">
        <v>12</v>
      </c>
      <c r="AH254" s="98" t="s">
        <v>2959</v>
      </c>
      <c r="AI254" s="98">
        <v>1</v>
      </c>
      <c r="AJ254" s="98">
        <v>202223</v>
      </c>
      <c r="AK254" s="207">
        <v>1578.6099863002185</v>
      </c>
    </row>
    <row r="255" spans="30:37" x14ac:dyDescent="0.35">
      <c r="AD255" s="98" t="str">
        <f t="shared" si="16"/>
        <v>530_12_202223</v>
      </c>
      <c r="AE255" s="98" t="s">
        <v>1</v>
      </c>
      <c r="AF255" s="98">
        <v>530</v>
      </c>
      <c r="AG255" s="98">
        <v>12</v>
      </c>
      <c r="AH255" s="98" t="s">
        <v>2959</v>
      </c>
      <c r="AI255" s="98">
        <v>1</v>
      </c>
      <c r="AJ255" s="98">
        <v>202223</v>
      </c>
      <c r="AK255" s="207">
        <v>1779.9199912780127</v>
      </c>
    </row>
    <row r="256" spans="30:37" x14ac:dyDescent="0.35">
      <c r="AD256" s="98" t="str">
        <f t="shared" si="16"/>
        <v>532_12_202223</v>
      </c>
      <c r="AE256" s="98" t="s">
        <v>1</v>
      </c>
      <c r="AF256" s="98">
        <v>532</v>
      </c>
      <c r="AG256" s="98">
        <v>12</v>
      </c>
      <c r="AH256" s="98" t="s">
        <v>2959</v>
      </c>
      <c r="AI256" s="98">
        <v>1</v>
      </c>
      <c r="AJ256" s="98">
        <v>202223</v>
      </c>
      <c r="AK256" s="207">
        <v>1782.4398224361803</v>
      </c>
    </row>
    <row r="257" spans="30:37" x14ac:dyDescent="0.35">
      <c r="AD257" s="98" t="str">
        <f t="shared" si="16"/>
        <v>534_12_202223</v>
      </c>
      <c r="AE257" s="98" t="s">
        <v>1</v>
      </c>
      <c r="AF257" s="98">
        <v>534</v>
      </c>
      <c r="AG257" s="98">
        <v>12</v>
      </c>
      <c r="AH257" s="98" t="s">
        <v>2959</v>
      </c>
      <c r="AI257" s="98">
        <v>1</v>
      </c>
      <c r="AJ257" s="98">
        <v>202223</v>
      </c>
      <c r="AK257" s="207">
        <v>2011.840028776177</v>
      </c>
    </row>
    <row r="258" spans="30:37" x14ac:dyDescent="0.35">
      <c r="AD258" s="98" t="str">
        <f t="shared" si="16"/>
        <v>536_12_202223</v>
      </c>
      <c r="AE258" s="98" t="s">
        <v>1</v>
      </c>
      <c r="AF258" s="98">
        <v>536</v>
      </c>
      <c r="AG258" s="98">
        <v>12</v>
      </c>
      <c r="AH258" s="98" t="s">
        <v>2959</v>
      </c>
      <c r="AI258" s="98">
        <v>1</v>
      </c>
      <c r="AJ258" s="98">
        <v>202223</v>
      </c>
      <c r="AK258" s="207">
        <v>1951.3100219755875</v>
      </c>
    </row>
    <row r="259" spans="30:37" x14ac:dyDescent="0.35">
      <c r="AD259" s="98" t="str">
        <f t="shared" si="16"/>
        <v>538_12_202223</v>
      </c>
      <c r="AE259" s="98" t="s">
        <v>1</v>
      </c>
      <c r="AF259" s="98">
        <v>538</v>
      </c>
      <c r="AG259" s="98">
        <v>12</v>
      </c>
      <c r="AH259" s="98" t="s">
        <v>2959</v>
      </c>
      <c r="AI259" s="98">
        <v>1</v>
      </c>
      <c r="AJ259" s="98">
        <v>202223</v>
      </c>
      <c r="AK259" s="207">
        <v>1751.2218752218996</v>
      </c>
    </row>
    <row r="260" spans="30:37" x14ac:dyDescent="0.35">
      <c r="AD260" s="98" t="str">
        <f t="shared" ref="AD260:AD323" si="17">AF260&amp;"_"&amp;AG260&amp;"_"&amp;AJ260</f>
        <v>540_12_202223</v>
      </c>
      <c r="AE260" s="98" t="s">
        <v>1</v>
      </c>
      <c r="AF260" s="98">
        <v>540</v>
      </c>
      <c r="AG260" s="98">
        <v>12</v>
      </c>
      <c r="AH260" s="98" t="s">
        <v>2959</v>
      </c>
      <c r="AI260" s="98">
        <v>1</v>
      </c>
      <c r="AJ260" s="98">
        <v>202223</v>
      </c>
      <c r="AK260" s="207">
        <v>1886.210003640203</v>
      </c>
    </row>
    <row r="261" spans="30:37" x14ac:dyDescent="0.35">
      <c r="AD261" s="98" t="str">
        <f t="shared" si="17"/>
        <v>542_12_202223</v>
      </c>
      <c r="AE261" s="98" t="s">
        <v>1</v>
      </c>
      <c r="AF261" s="98">
        <v>542</v>
      </c>
      <c r="AG261" s="98">
        <v>12</v>
      </c>
      <c r="AH261" s="98" t="s">
        <v>2959</v>
      </c>
      <c r="AI261" s="98">
        <v>1</v>
      </c>
      <c r="AJ261" s="98">
        <v>202223</v>
      </c>
      <c r="AK261" s="207">
        <v>2049.879921175173</v>
      </c>
    </row>
    <row r="262" spans="30:37" x14ac:dyDescent="0.35">
      <c r="AD262" s="98" t="str">
        <f t="shared" si="17"/>
        <v>544_12_202223</v>
      </c>
      <c r="AE262" s="98" t="s">
        <v>1</v>
      </c>
      <c r="AF262" s="98">
        <v>544</v>
      </c>
      <c r="AG262" s="98">
        <v>12</v>
      </c>
      <c r="AH262" s="98" t="s">
        <v>2959</v>
      </c>
      <c r="AI262" s="98">
        <v>1</v>
      </c>
      <c r="AJ262" s="98">
        <v>202223</v>
      </c>
      <c r="AK262" s="207">
        <v>1572.9499976073778</v>
      </c>
    </row>
    <row r="263" spans="30:37" x14ac:dyDescent="0.35">
      <c r="AD263" s="98" t="str">
        <f t="shared" si="17"/>
        <v>545_12_202223</v>
      </c>
      <c r="AE263" s="98" t="s">
        <v>1</v>
      </c>
      <c r="AF263" s="98">
        <v>545</v>
      </c>
      <c r="AG263" s="98">
        <v>12</v>
      </c>
      <c r="AH263" s="98" t="s">
        <v>2959</v>
      </c>
      <c r="AI263" s="98">
        <v>1</v>
      </c>
      <c r="AJ263" s="98">
        <v>202223</v>
      </c>
      <c r="AK263" s="207">
        <v>2098.6601640908589</v>
      </c>
    </row>
    <row r="264" spans="30:37" x14ac:dyDescent="0.35">
      <c r="AD264" s="98" t="str">
        <f t="shared" si="17"/>
        <v>546_12_202223</v>
      </c>
      <c r="AE264" s="98" t="s">
        <v>1</v>
      </c>
      <c r="AF264" s="98">
        <v>546</v>
      </c>
      <c r="AG264" s="98">
        <v>12</v>
      </c>
      <c r="AH264" s="98" t="s">
        <v>2959</v>
      </c>
      <c r="AI264" s="98">
        <v>1</v>
      </c>
      <c r="AJ264" s="98">
        <v>202223</v>
      </c>
      <c r="AK264" s="207">
        <v>1802.71</v>
      </c>
    </row>
    <row r="265" spans="30:37" x14ac:dyDescent="0.35">
      <c r="AD265" s="98" t="str">
        <f t="shared" si="17"/>
        <v>548_12_202223</v>
      </c>
      <c r="AE265" s="98" t="s">
        <v>1</v>
      </c>
      <c r="AF265" s="98">
        <v>548</v>
      </c>
      <c r="AG265" s="98">
        <v>12</v>
      </c>
      <c r="AH265" s="98" t="s">
        <v>2959</v>
      </c>
      <c r="AI265" s="98">
        <v>1</v>
      </c>
      <c r="AJ265" s="98">
        <v>202223</v>
      </c>
      <c r="AK265" s="207">
        <v>1847.2500274794838</v>
      </c>
    </row>
    <row r="266" spans="30:37" x14ac:dyDescent="0.35">
      <c r="AD266" s="98" t="str">
        <f t="shared" si="17"/>
        <v>550_12_202223</v>
      </c>
      <c r="AE266" s="98" t="s">
        <v>1</v>
      </c>
      <c r="AF266" s="98">
        <v>550</v>
      </c>
      <c r="AG266" s="98">
        <v>12</v>
      </c>
      <c r="AH266" s="98" t="s">
        <v>2959</v>
      </c>
      <c r="AI266" s="98">
        <v>1</v>
      </c>
      <c r="AJ266" s="98">
        <v>202223</v>
      </c>
      <c r="AK266" s="207">
        <v>1583.4800011325135</v>
      </c>
    </row>
    <row r="267" spans="30:37" x14ac:dyDescent="0.35">
      <c r="AD267" s="98" t="str">
        <f t="shared" si="17"/>
        <v>552_12_202223</v>
      </c>
      <c r="AE267" s="98" t="s">
        <v>1</v>
      </c>
      <c r="AF267" s="98">
        <v>552</v>
      </c>
      <c r="AG267" s="98">
        <v>12</v>
      </c>
      <c r="AH267" s="98" t="s">
        <v>2959</v>
      </c>
      <c r="AI267" s="98">
        <v>1</v>
      </c>
      <c r="AJ267" s="98">
        <v>202223</v>
      </c>
      <c r="AK267" s="207">
        <v>1640.1795338113845</v>
      </c>
    </row>
    <row r="268" spans="30:37" x14ac:dyDescent="0.35">
      <c r="AD268" s="98" t="str">
        <f t="shared" si="17"/>
        <v>512_15_202223</v>
      </c>
      <c r="AE268" s="98" t="s">
        <v>1</v>
      </c>
      <c r="AF268" s="98">
        <v>512</v>
      </c>
      <c r="AG268" s="98">
        <v>15</v>
      </c>
      <c r="AH268" s="98" t="s">
        <v>163</v>
      </c>
      <c r="AI268" s="98">
        <v>1</v>
      </c>
      <c r="AJ268" s="98">
        <v>202223</v>
      </c>
      <c r="AK268" s="207">
        <v>1722341</v>
      </c>
    </row>
    <row r="269" spans="30:37" x14ac:dyDescent="0.35">
      <c r="AD269" s="98" t="str">
        <f t="shared" si="17"/>
        <v>514_15_202223</v>
      </c>
      <c r="AE269" s="98" t="s">
        <v>1</v>
      </c>
      <c r="AF269" s="98">
        <v>514</v>
      </c>
      <c r="AG269" s="98">
        <v>15</v>
      </c>
      <c r="AH269" s="98" t="s">
        <v>163</v>
      </c>
      <c r="AI269" s="98">
        <v>1</v>
      </c>
      <c r="AJ269" s="98">
        <v>202223</v>
      </c>
      <c r="AK269" s="207">
        <v>2654320</v>
      </c>
    </row>
    <row r="270" spans="30:37" x14ac:dyDescent="0.35">
      <c r="AD270" s="98" t="str">
        <f t="shared" si="17"/>
        <v>516_15_202223</v>
      </c>
      <c r="AE270" s="98" t="s">
        <v>1</v>
      </c>
      <c r="AF270" s="98">
        <v>516</v>
      </c>
      <c r="AG270" s="98">
        <v>15</v>
      </c>
      <c r="AH270" s="98" t="s">
        <v>163</v>
      </c>
      <c r="AI270" s="98">
        <v>1</v>
      </c>
      <c r="AJ270" s="98">
        <v>202223</v>
      </c>
      <c r="AK270" s="207">
        <v>2458592</v>
      </c>
    </row>
    <row r="271" spans="30:37" x14ac:dyDescent="0.35">
      <c r="AD271" s="98" t="str">
        <f t="shared" si="17"/>
        <v>518_15_202223</v>
      </c>
      <c r="AE271" s="98" t="s">
        <v>1</v>
      </c>
      <c r="AF271" s="98">
        <v>518</v>
      </c>
      <c r="AG271" s="98">
        <v>15</v>
      </c>
      <c r="AH271" s="98" t="s">
        <v>163</v>
      </c>
      <c r="AI271" s="98">
        <v>1</v>
      </c>
      <c r="AJ271" s="98">
        <v>202223</v>
      </c>
      <c r="AK271" s="207">
        <v>2336326</v>
      </c>
    </row>
    <row r="272" spans="30:37" x14ac:dyDescent="0.35">
      <c r="AD272" s="98" t="str">
        <f t="shared" si="17"/>
        <v>520_15_202223</v>
      </c>
      <c r="AE272" s="98" t="s">
        <v>1</v>
      </c>
      <c r="AF272" s="98">
        <v>520</v>
      </c>
      <c r="AG272" s="98">
        <v>15</v>
      </c>
      <c r="AH272" s="98" t="s">
        <v>163</v>
      </c>
      <c r="AI272" s="98">
        <v>1</v>
      </c>
      <c r="AJ272" s="98">
        <v>202223</v>
      </c>
      <c r="AK272" s="207">
        <v>3195763</v>
      </c>
    </row>
    <row r="273" spans="30:37" x14ac:dyDescent="0.35">
      <c r="AD273" s="98" t="str">
        <f t="shared" si="17"/>
        <v>522_15_202223</v>
      </c>
      <c r="AE273" s="98" t="s">
        <v>1</v>
      </c>
      <c r="AF273" s="98">
        <v>522</v>
      </c>
      <c r="AG273" s="98">
        <v>15</v>
      </c>
      <c r="AH273" s="98" t="s">
        <v>163</v>
      </c>
      <c r="AI273" s="98">
        <v>1</v>
      </c>
      <c r="AJ273" s="98">
        <v>202223</v>
      </c>
      <c r="AK273" s="207">
        <v>2832612</v>
      </c>
    </row>
    <row r="274" spans="30:37" x14ac:dyDescent="0.35">
      <c r="AD274" s="98" t="str">
        <f t="shared" si="17"/>
        <v>524_15_202223</v>
      </c>
      <c r="AE274" s="98" t="s">
        <v>1</v>
      </c>
      <c r="AF274" s="98">
        <v>524</v>
      </c>
      <c r="AG274" s="98">
        <v>15</v>
      </c>
      <c r="AH274" s="98" t="s">
        <v>163</v>
      </c>
      <c r="AI274" s="98">
        <v>1</v>
      </c>
      <c r="AJ274" s="98">
        <v>202223</v>
      </c>
      <c r="AK274" s="207">
        <v>4513031</v>
      </c>
    </row>
    <row r="275" spans="30:37" x14ac:dyDescent="0.35">
      <c r="AD275" s="98" t="str">
        <f t="shared" si="17"/>
        <v>526_15_202223</v>
      </c>
      <c r="AE275" s="98" t="s">
        <v>1</v>
      </c>
      <c r="AF275" s="98">
        <v>526</v>
      </c>
      <c r="AG275" s="98">
        <v>15</v>
      </c>
      <c r="AH275" s="98" t="s">
        <v>163</v>
      </c>
      <c r="AI275" s="98">
        <v>1</v>
      </c>
      <c r="AJ275" s="98">
        <v>202223</v>
      </c>
      <c r="AK275" s="207">
        <v>1257222</v>
      </c>
    </row>
    <row r="276" spans="30:37" x14ac:dyDescent="0.35">
      <c r="AD276" s="98" t="str">
        <f t="shared" si="17"/>
        <v>528_15_202223</v>
      </c>
      <c r="AE276" s="98" t="s">
        <v>1</v>
      </c>
      <c r="AF276" s="98">
        <v>528</v>
      </c>
      <c r="AG276" s="98">
        <v>15</v>
      </c>
      <c r="AH276" s="98" t="s">
        <v>163</v>
      </c>
      <c r="AI276" s="98">
        <v>1</v>
      </c>
      <c r="AJ276" s="98">
        <v>202223</v>
      </c>
      <c r="AK276" s="207">
        <v>2366455</v>
      </c>
    </row>
    <row r="277" spans="30:37" x14ac:dyDescent="0.35">
      <c r="AD277" s="98" t="str">
        <f t="shared" si="17"/>
        <v>530_15_202223</v>
      </c>
      <c r="AE277" s="98" t="s">
        <v>1</v>
      </c>
      <c r="AF277" s="98">
        <v>530</v>
      </c>
      <c r="AG277" s="98">
        <v>15</v>
      </c>
      <c r="AH277" s="98" t="s">
        <v>163</v>
      </c>
      <c r="AI277" s="98">
        <v>1</v>
      </c>
      <c r="AJ277" s="98">
        <v>202223</v>
      </c>
      <c r="AK277" s="207">
        <v>7000516.7700000005</v>
      </c>
    </row>
    <row r="278" spans="30:37" x14ac:dyDescent="0.35">
      <c r="AD278" s="98" t="str">
        <f t="shared" si="17"/>
        <v>532_15_202223</v>
      </c>
      <c r="AE278" s="98" t="s">
        <v>1</v>
      </c>
      <c r="AF278" s="98">
        <v>532</v>
      </c>
      <c r="AG278" s="98">
        <v>15</v>
      </c>
      <c r="AH278" s="98" t="s">
        <v>163</v>
      </c>
      <c r="AI278" s="98">
        <v>1</v>
      </c>
      <c r="AJ278" s="98">
        <v>202223</v>
      </c>
      <c r="AK278" s="207">
        <v>1697024</v>
      </c>
    </row>
    <row r="279" spans="30:37" x14ac:dyDescent="0.35">
      <c r="AD279" s="98" t="str">
        <f t="shared" si="17"/>
        <v>534_15_202223</v>
      </c>
      <c r="AE279" s="98" t="s">
        <v>1</v>
      </c>
      <c r="AF279" s="98">
        <v>534</v>
      </c>
      <c r="AG279" s="98">
        <v>15</v>
      </c>
      <c r="AH279" s="98" t="s">
        <v>163</v>
      </c>
      <c r="AI279" s="98">
        <v>1</v>
      </c>
      <c r="AJ279" s="98">
        <v>202223</v>
      </c>
      <c r="AK279" s="207">
        <v>2405588</v>
      </c>
    </row>
    <row r="280" spans="30:37" x14ac:dyDescent="0.35">
      <c r="AD280" s="98" t="str">
        <f t="shared" si="17"/>
        <v>536_15_202223</v>
      </c>
      <c r="AE280" s="98" t="s">
        <v>1</v>
      </c>
      <c r="AF280" s="98">
        <v>536</v>
      </c>
      <c r="AG280" s="98">
        <v>15</v>
      </c>
      <c r="AH280" s="98" t="s">
        <v>163</v>
      </c>
      <c r="AI280" s="98">
        <v>1</v>
      </c>
      <c r="AJ280" s="98">
        <v>202223</v>
      </c>
      <c r="AK280" s="207">
        <v>2848087</v>
      </c>
    </row>
    <row r="281" spans="30:37" x14ac:dyDescent="0.35">
      <c r="AD281" s="98" t="str">
        <f t="shared" si="17"/>
        <v>538_15_202223</v>
      </c>
      <c r="AE281" s="98" t="s">
        <v>1</v>
      </c>
      <c r="AF281" s="98">
        <v>538</v>
      </c>
      <c r="AG281" s="98">
        <v>15</v>
      </c>
      <c r="AH281" s="98" t="s">
        <v>163</v>
      </c>
      <c r="AI281" s="98">
        <v>1</v>
      </c>
      <c r="AJ281" s="98">
        <v>202223</v>
      </c>
      <c r="AK281" s="207">
        <v>3270081</v>
      </c>
    </row>
    <row r="282" spans="30:37" x14ac:dyDescent="0.35">
      <c r="AD282" s="98" t="str">
        <f t="shared" si="17"/>
        <v>540_15_202223</v>
      </c>
      <c r="AE282" s="98" t="s">
        <v>1</v>
      </c>
      <c r="AF282" s="98">
        <v>540</v>
      </c>
      <c r="AG282" s="98">
        <v>15</v>
      </c>
      <c r="AH282" s="98" t="s">
        <v>163</v>
      </c>
      <c r="AI282" s="98">
        <v>1</v>
      </c>
      <c r="AJ282" s="98">
        <v>202223</v>
      </c>
      <c r="AK282" s="207">
        <v>2375442</v>
      </c>
    </row>
    <row r="283" spans="30:37" x14ac:dyDescent="0.35">
      <c r="AD283" s="98" t="str">
        <f t="shared" si="17"/>
        <v>542_15_202223</v>
      </c>
      <c r="AE283" s="98" t="s">
        <v>1</v>
      </c>
      <c r="AF283" s="98">
        <v>542</v>
      </c>
      <c r="AG283" s="98">
        <v>15</v>
      </c>
      <c r="AH283" s="98" t="s">
        <v>163</v>
      </c>
      <c r="AI283" s="98">
        <v>1</v>
      </c>
      <c r="AJ283" s="98">
        <v>202223</v>
      </c>
      <c r="AK283" s="207">
        <v>27870</v>
      </c>
    </row>
    <row r="284" spans="30:37" x14ac:dyDescent="0.35">
      <c r="AD284" s="98" t="str">
        <f t="shared" si="17"/>
        <v>544_15_202223</v>
      </c>
      <c r="AE284" s="98" t="s">
        <v>1</v>
      </c>
      <c r="AF284" s="98">
        <v>544</v>
      </c>
      <c r="AG284" s="98">
        <v>15</v>
      </c>
      <c r="AH284" s="98" t="s">
        <v>163</v>
      </c>
      <c r="AI284" s="98">
        <v>1</v>
      </c>
      <c r="AJ284" s="98">
        <v>202223</v>
      </c>
      <c r="AK284" s="207">
        <v>928066</v>
      </c>
    </row>
    <row r="285" spans="30:37" x14ac:dyDescent="0.35">
      <c r="AD285" s="98" t="str">
        <f t="shared" si="17"/>
        <v>545_15_202223</v>
      </c>
      <c r="AE285" s="98" t="s">
        <v>1</v>
      </c>
      <c r="AF285" s="98">
        <v>545</v>
      </c>
      <c r="AG285" s="98">
        <v>15</v>
      </c>
      <c r="AH285" s="98" t="s">
        <v>163</v>
      </c>
      <c r="AI285" s="98">
        <v>1</v>
      </c>
      <c r="AJ285" s="98">
        <v>202223</v>
      </c>
      <c r="AK285" s="207">
        <v>555101</v>
      </c>
    </row>
    <row r="286" spans="30:37" x14ac:dyDescent="0.35">
      <c r="AD286" s="98" t="str">
        <f t="shared" si="17"/>
        <v>546_15_202223</v>
      </c>
      <c r="AE286" s="98" t="s">
        <v>1</v>
      </c>
      <c r="AF286" s="98">
        <v>546</v>
      </c>
      <c r="AG286" s="98">
        <v>15</v>
      </c>
      <c r="AH286" s="98" t="s">
        <v>163</v>
      </c>
      <c r="AI286" s="98">
        <v>1</v>
      </c>
      <c r="AJ286" s="98">
        <v>202223</v>
      </c>
      <c r="AK286" s="207">
        <v>1697987</v>
      </c>
    </row>
    <row r="287" spans="30:37" x14ac:dyDescent="0.35">
      <c r="AD287" s="98" t="str">
        <f t="shared" si="17"/>
        <v>548_15_202223</v>
      </c>
      <c r="AE287" s="98" t="s">
        <v>1</v>
      </c>
      <c r="AF287" s="98">
        <v>548</v>
      </c>
      <c r="AG287" s="98">
        <v>15</v>
      </c>
      <c r="AH287" s="98" t="s">
        <v>163</v>
      </c>
      <c r="AI287" s="98">
        <v>1</v>
      </c>
      <c r="AJ287" s="98">
        <v>202223</v>
      </c>
      <c r="AK287" s="207">
        <v>3157992</v>
      </c>
    </row>
    <row r="288" spans="30:37" x14ac:dyDescent="0.35">
      <c r="AD288" s="98" t="str">
        <f t="shared" si="17"/>
        <v>550_15_202223</v>
      </c>
      <c r="AE288" s="98" t="s">
        <v>1</v>
      </c>
      <c r="AF288" s="98">
        <v>550</v>
      </c>
      <c r="AG288" s="98">
        <v>15</v>
      </c>
      <c r="AH288" s="98" t="s">
        <v>163</v>
      </c>
      <c r="AI288" s="98">
        <v>1</v>
      </c>
      <c r="AJ288" s="98">
        <v>202223</v>
      </c>
      <c r="AK288" s="207">
        <v>466661.16</v>
      </c>
    </row>
    <row r="289" spans="30:37" x14ac:dyDescent="0.35">
      <c r="AD289" s="98" t="str">
        <f t="shared" si="17"/>
        <v>552_15_202223</v>
      </c>
      <c r="AE289" s="98" t="s">
        <v>1</v>
      </c>
      <c r="AF289" s="98">
        <v>552</v>
      </c>
      <c r="AG289" s="98">
        <v>15</v>
      </c>
      <c r="AH289" s="98" t="s">
        <v>163</v>
      </c>
      <c r="AI289" s="98">
        <v>1</v>
      </c>
      <c r="AJ289" s="98">
        <v>202223</v>
      </c>
      <c r="AK289" s="207">
        <v>495086</v>
      </c>
    </row>
    <row r="290" spans="30:37" x14ac:dyDescent="0.35">
      <c r="AD290" s="98" t="str">
        <f t="shared" si="17"/>
        <v>512_16_202223</v>
      </c>
      <c r="AE290" s="98" t="s">
        <v>1</v>
      </c>
      <c r="AF290" s="98">
        <v>512</v>
      </c>
      <c r="AG290" s="98">
        <v>16</v>
      </c>
      <c r="AH290" s="98" t="s">
        <v>3016</v>
      </c>
      <c r="AI290" s="98">
        <v>1</v>
      </c>
      <c r="AJ290" s="98">
        <v>202223</v>
      </c>
      <c r="AK290" s="207">
        <v>10150906</v>
      </c>
    </row>
    <row r="291" spans="30:37" x14ac:dyDescent="0.35">
      <c r="AD291" s="98" t="str">
        <f t="shared" si="17"/>
        <v>514_16_202223</v>
      </c>
      <c r="AE291" s="98" t="s">
        <v>1</v>
      </c>
      <c r="AF291" s="98">
        <v>514</v>
      </c>
      <c r="AG291" s="98">
        <v>16</v>
      </c>
      <c r="AH291" s="98" t="s">
        <v>3016</v>
      </c>
      <c r="AI291" s="98">
        <v>1</v>
      </c>
      <c r="AJ291" s="98">
        <v>202223</v>
      </c>
      <c r="AK291" s="207">
        <v>17016944</v>
      </c>
    </row>
    <row r="292" spans="30:37" x14ac:dyDescent="0.35">
      <c r="AD292" s="98" t="str">
        <f t="shared" si="17"/>
        <v>516_16_202223</v>
      </c>
      <c r="AE292" s="98" t="s">
        <v>1</v>
      </c>
      <c r="AF292" s="98">
        <v>516</v>
      </c>
      <c r="AG292" s="98">
        <v>16</v>
      </c>
      <c r="AH292" s="98" t="s">
        <v>3016</v>
      </c>
      <c r="AI292" s="98">
        <v>1</v>
      </c>
      <c r="AJ292" s="98">
        <v>202223</v>
      </c>
      <c r="AK292" s="207">
        <v>16163446</v>
      </c>
    </row>
    <row r="293" spans="30:37" x14ac:dyDescent="0.35">
      <c r="AD293" s="98" t="str">
        <f t="shared" si="17"/>
        <v>518_16_202223</v>
      </c>
      <c r="AE293" s="98" t="s">
        <v>1</v>
      </c>
      <c r="AF293" s="98">
        <v>518</v>
      </c>
      <c r="AG293" s="98">
        <v>16</v>
      </c>
      <c r="AH293" s="98" t="s">
        <v>3016</v>
      </c>
      <c r="AI293" s="98">
        <v>1</v>
      </c>
      <c r="AJ293" s="98">
        <v>202223</v>
      </c>
      <c r="AK293" s="207">
        <v>12875389</v>
      </c>
    </row>
    <row r="294" spans="30:37" x14ac:dyDescent="0.35">
      <c r="AD294" s="98" t="str">
        <f t="shared" si="17"/>
        <v>520_16_202223</v>
      </c>
      <c r="AE294" s="98" t="s">
        <v>1</v>
      </c>
      <c r="AF294" s="98">
        <v>520</v>
      </c>
      <c r="AG294" s="98">
        <v>16</v>
      </c>
      <c r="AH294" s="98" t="s">
        <v>3016</v>
      </c>
      <c r="AI294" s="98">
        <v>1</v>
      </c>
      <c r="AJ294" s="98">
        <v>202223</v>
      </c>
      <c r="AK294" s="207">
        <v>20653459</v>
      </c>
    </row>
    <row r="295" spans="30:37" x14ac:dyDescent="0.35">
      <c r="AD295" s="98" t="str">
        <f t="shared" si="17"/>
        <v>522_16_202223</v>
      </c>
      <c r="AE295" s="98" t="s">
        <v>1</v>
      </c>
      <c r="AF295" s="98">
        <v>522</v>
      </c>
      <c r="AG295" s="98">
        <v>16</v>
      </c>
      <c r="AH295" s="98" t="s">
        <v>3016</v>
      </c>
      <c r="AI295" s="98">
        <v>1</v>
      </c>
      <c r="AJ295" s="98">
        <v>202223</v>
      </c>
      <c r="AK295" s="207">
        <v>17001075</v>
      </c>
    </row>
    <row r="296" spans="30:37" x14ac:dyDescent="0.35">
      <c r="AD296" s="98" t="str">
        <f t="shared" si="17"/>
        <v>524_16_202223</v>
      </c>
      <c r="AE296" s="98" t="s">
        <v>1</v>
      </c>
      <c r="AF296" s="98">
        <v>524</v>
      </c>
      <c r="AG296" s="98">
        <v>16</v>
      </c>
      <c r="AH296" s="98" t="s">
        <v>3016</v>
      </c>
      <c r="AI296" s="98">
        <v>1</v>
      </c>
      <c r="AJ296" s="98">
        <v>202223</v>
      </c>
      <c r="AK296" s="207">
        <v>18301027</v>
      </c>
    </row>
    <row r="297" spans="30:37" x14ac:dyDescent="0.35">
      <c r="AD297" s="98" t="str">
        <f t="shared" si="17"/>
        <v>526_16_202223</v>
      </c>
      <c r="AE297" s="98" t="s">
        <v>1</v>
      </c>
      <c r="AF297" s="98">
        <v>526</v>
      </c>
      <c r="AG297" s="98">
        <v>16</v>
      </c>
      <c r="AH297" s="98" t="s">
        <v>3016</v>
      </c>
      <c r="AI297" s="98">
        <v>1</v>
      </c>
      <c r="AJ297" s="98">
        <v>202223</v>
      </c>
      <c r="AK297" s="207">
        <v>9379791</v>
      </c>
    </row>
    <row r="298" spans="30:37" x14ac:dyDescent="0.35">
      <c r="AD298" s="98" t="str">
        <f t="shared" si="17"/>
        <v>528_16_202223</v>
      </c>
      <c r="AE298" s="98" t="s">
        <v>1</v>
      </c>
      <c r="AF298" s="98">
        <v>528</v>
      </c>
      <c r="AG298" s="98">
        <v>16</v>
      </c>
      <c r="AH298" s="98" t="s">
        <v>3016</v>
      </c>
      <c r="AI298" s="98">
        <v>1</v>
      </c>
      <c r="AJ298" s="98">
        <v>202223</v>
      </c>
      <c r="AK298" s="207">
        <v>17481380</v>
      </c>
    </row>
    <row r="299" spans="30:37" x14ac:dyDescent="0.35">
      <c r="AD299" s="98" t="str">
        <f t="shared" si="17"/>
        <v>530_16_202223</v>
      </c>
      <c r="AE299" s="98" t="s">
        <v>1</v>
      </c>
      <c r="AF299" s="98">
        <v>530</v>
      </c>
      <c r="AG299" s="98">
        <v>16</v>
      </c>
      <c r="AH299" s="98" t="s">
        <v>3016</v>
      </c>
      <c r="AI299" s="98">
        <v>1</v>
      </c>
      <c r="AJ299" s="98">
        <v>202223</v>
      </c>
      <c r="AK299" s="207">
        <v>21674537</v>
      </c>
    </row>
    <row r="300" spans="30:37" x14ac:dyDescent="0.35">
      <c r="AD300" s="98" t="str">
        <f t="shared" si="17"/>
        <v>532_16_202223</v>
      </c>
      <c r="AE300" s="98" t="s">
        <v>1</v>
      </c>
      <c r="AF300" s="98">
        <v>532</v>
      </c>
      <c r="AG300" s="98">
        <v>16</v>
      </c>
      <c r="AH300" s="98" t="s">
        <v>3016</v>
      </c>
      <c r="AI300" s="98">
        <v>1</v>
      </c>
      <c r="AJ300" s="98">
        <v>202223</v>
      </c>
      <c r="AK300" s="207">
        <v>28130671</v>
      </c>
    </row>
    <row r="301" spans="30:37" x14ac:dyDescent="0.35">
      <c r="AD301" s="98" t="str">
        <f t="shared" si="17"/>
        <v>534_16_202223</v>
      </c>
      <c r="AE301" s="98" t="s">
        <v>1</v>
      </c>
      <c r="AF301" s="98">
        <v>534</v>
      </c>
      <c r="AG301" s="98">
        <v>16</v>
      </c>
      <c r="AH301" s="98" t="s">
        <v>3016</v>
      </c>
      <c r="AI301" s="98">
        <v>1</v>
      </c>
      <c r="AJ301" s="98">
        <v>202223</v>
      </c>
      <c r="AK301" s="207">
        <v>14620215</v>
      </c>
    </row>
    <row r="302" spans="30:37" x14ac:dyDescent="0.35">
      <c r="AD302" s="98" t="str">
        <f t="shared" si="17"/>
        <v>536_16_202223</v>
      </c>
      <c r="AE302" s="98" t="s">
        <v>1</v>
      </c>
      <c r="AF302" s="98">
        <v>536</v>
      </c>
      <c r="AG302" s="98">
        <v>16</v>
      </c>
      <c r="AH302" s="98" t="s">
        <v>3016</v>
      </c>
      <c r="AI302" s="98">
        <v>1</v>
      </c>
      <c r="AJ302" s="98">
        <v>202223</v>
      </c>
      <c r="AK302" s="207">
        <v>16485693</v>
      </c>
    </row>
    <row r="303" spans="30:37" x14ac:dyDescent="0.35">
      <c r="AD303" s="98" t="str">
        <f t="shared" si="17"/>
        <v>538_16_202223</v>
      </c>
      <c r="AE303" s="98" t="s">
        <v>1</v>
      </c>
      <c r="AF303" s="98">
        <v>538</v>
      </c>
      <c r="AG303" s="98">
        <v>16</v>
      </c>
      <c r="AH303" s="98" t="s">
        <v>3016</v>
      </c>
      <c r="AI303" s="98">
        <v>1</v>
      </c>
      <c r="AJ303" s="98">
        <v>202223</v>
      </c>
      <c r="AK303" s="207">
        <v>18724174</v>
      </c>
    </row>
    <row r="304" spans="30:37" x14ac:dyDescent="0.35">
      <c r="AD304" s="98" t="str">
        <f t="shared" si="17"/>
        <v>540_16_202223</v>
      </c>
      <c r="AE304" s="98" t="s">
        <v>1</v>
      </c>
      <c r="AF304" s="98">
        <v>540</v>
      </c>
      <c r="AG304" s="98">
        <v>16</v>
      </c>
      <c r="AH304" s="98" t="s">
        <v>3016</v>
      </c>
      <c r="AI304" s="98">
        <v>1</v>
      </c>
      <c r="AJ304" s="98">
        <v>202223</v>
      </c>
      <c r="AK304" s="207">
        <v>23476062</v>
      </c>
    </row>
    <row r="305" spans="30:37" x14ac:dyDescent="0.35">
      <c r="AD305" s="98" t="str">
        <f t="shared" si="17"/>
        <v>542_16_202223</v>
      </c>
      <c r="AE305" s="98" t="s">
        <v>1</v>
      </c>
      <c r="AF305" s="98">
        <v>542</v>
      </c>
      <c r="AG305" s="98">
        <v>16</v>
      </c>
      <c r="AH305" s="98" t="s">
        <v>3016</v>
      </c>
      <c r="AI305" s="98">
        <v>1</v>
      </c>
      <c r="AJ305" s="98">
        <v>202223</v>
      </c>
      <c r="AK305" s="207">
        <v>5615451</v>
      </c>
    </row>
    <row r="306" spans="30:37" x14ac:dyDescent="0.35">
      <c r="AD306" s="98" t="str">
        <f t="shared" si="17"/>
        <v>544_16_202223</v>
      </c>
      <c r="AE306" s="98" t="s">
        <v>1</v>
      </c>
      <c r="AF306" s="98">
        <v>544</v>
      </c>
      <c r="AG306" s="98">
        <v>16</v>
      </c>
      <c r="AH306" s="98" t="s">
        <v>3016</v>
      </c>
      <c r="AI306" s="98">
        <v>1</v>
      </c>
      <c r="AJ306" s="98">
        <v>202223</v>
      </c>
      <c r="AK306" s="207">
        <v>18550851</v>
      </c>
    </row>
    <row r="307" spans="30:37" x14ac:dyDescent="0.35">
      <c r="AD307" s="98" t="str">
        <f t="shared" si="17"/>
        <v>545_16_202223</v>
      </c>
      <c r="AE307" s="98" t="s">
        <v>1</v>
      </c>
      <c r="AF307" s="98">
        <v>545</v>
      </c>
      <c r="AG307" s="98">
        <v>16</v>
      </c>
      <c r="AH307" s="98" t="s">
        <v>3016</v>
      </c>
      <c r="AI307" s="98">
        <v>1</v>
      </c>
      <c r="AJ307" s="98">
        <v>202223</v>
      </c>
      <c r="AK307" s="207">
        <v>6342390</v>
      </c>
    </row>
    <row r="308" spans="30:37" x14ac:dyDescent="0.35">
      <c r="AD308" s="98" t="str">
        <f t="shared" si="17"/>
        <v>546_16_202223</v>
      </c>
      <c r="AE308" s="98" t="s">
        <v>1</v>
      </c>
      <c r="AF308" s="98">
        <v>546</v>
      </c>
      <c r="AG308" s="98">
        <v>16</v>
      </c>
      <c r="AH308" s="98" t="s">
        <v>3016</v>
      </c>
      <c r="AI308" s="98">
        <v>1</v>
      </c>
      <c r="AJ308" s="98">
        <v>202223</v>
      </c>
      <c r="AK308" s="207">
        <v>10373880</v>
      </c>
    </row>
    <row r="309" spans="30:37" x14ac:dyDescent="0.35">
      <c r="AD309" s="98" t="str">
        <f t="shared" si="17"/>
        <v>548_16_202223</v>
      </c>
      <c r="AE309" s="98" t="s">
        <v>1</v>
      </c>
      <c r="AF309" s="98">
        <v>548</v>
      </c>
      <c r="AG309" s="98">
        <v>16</v>
      </c>
      <c r="AH309" s="98" t="s">
        <v>3016</v>
      </c>
      <c r="AI309" s="98">
        <v>1</v>
      </c>
      <c r="AJ309" s="98">
        <v>202223</v>
      </c>
      <c r="AK309" s="207">
        <v>14391857</v>
      </c>
    </row>
    <row r="310" spans="30:37" x14ac:dyDescent="0.35">
      <c r="AD310" s="98" t="str">
        <f t="shared" si="17"/>
        <v>550_16_202223</v>
      </c>
      <c r="AE310" s="98" t="s">
        <v>1</v>
      </c>
      <c r="AF310" s="98">
        <v>550</v>
      </c>
      <c r="AG310" s="98">
        <v>16</v>
      </c>
      <c r="AH310" s="98" t="s">
        <v>3016</v>
      </c>
      <c r="AI310" s="98">
        <v>1</v>
      </c>
      <c r="AJ310" s="98">
        <v>202223</v>
      </c>
      <c r="AK310" s="207">
        <v>18485844.170000002</v>
      </c>
    </row>
    <row r="311" spans="30:37" x14ac:dyDescent="0.35">
      <c r="AD311" s="98" t="str">
        <f t="shared" si="17"/>
        <v>552_16_202223</v>
      </c>
      <c r="AE311" s="98" t="s">
        <v>1</v>
      </c>
      <c r="AF311" s="98">
        <v>552</v>
      </c>
      <c r="AG311" s="98">
        <v>16</v>
      </c>
      <c r="AH311" s="98" t="s">
        <v>3016</v>
      </c>
      <c r="AI311" s="98">
        <v>1</v>
      </c>
      <c r="AJ311" s="98">
        <v>202223</v>
      </c>
      <c r="AK311" s="207">
        <v>45046716</v>
      </c>
    </row>
    <row r="312" spans="30:37" x14ac:dyDescent="0.35">
      <c r="AD312" s="98" t="str">
        <f t="shared" si="17"/>
        <v>512_17_202223</v>
      </c>
      <c r="AE312" s="98" t="s">
        <v>1</v>
      </c>
      <c r="AF312" s="98">
        <v>512</v>
      </c>
      <c r="AG312" s="98">
        <v>17</v>
      </c>
      <c r="AH312" s="98" t="s">
        <v>3052</v>
      </c>
      <c r="AI312" s="98">
        <v>1</v>
      </c>
      <c r="AJ312" s="98">
        <v>202223</v>
      </c>
      <c r="AK312" s="207">
        <v>158294929</v>
      </c>
    </row>
    <row r="313" spans="30:37" x14ac:dyDescent="0.35">
      <c r="AD313" s="98" t="str">
        <f t="shared" si="17"/>
        <v>514_17_202223</v>
      </c>
      <c r="AE313" s="98" t="s">
        <v>1</v>
      </c>
      <c r="AF313" s="98">
        <v>514</v>
      </c>
      <c r="AG313" s="98">
        <v>17</v>
      </c>
      <c r="AH313" s="98" t="s">
        <v>3052</v>
      </c>
      <c r="AI313" s="98">
        <v>1</v>
      </c>
      <c r="AJ313" s="98">
        <v>202223</v>
      </c>
      <c r="AK313" s="207">
        <v>294737160</v>
      </c>
    </row>
    <row r="314" spans="30:37" x14ac:dyDescent="0.35">
      <c r="AD314" s="98" t="str">
        <f t="shared" si="17"/>
        <v>516_17_202223</v>
      </c>
      <c r="AE314" s="98" t="s">
        <v>1</v>
      </c>
      <c r="AF314" s="98">
        <v>516</v>
      </c>
      <c r="AG314" s="98">
        <v>17</v>
      </c>
      <c r="AH314" s="98" t="s">
        <v>3052</v>
      </c>
      <c r="AI314" s="98">
        <v>1</v>
      </c>
      <c r="AJ314" s="98">
        <v>202223</v>
      </c>
      <c r="AK314" s="207">
        <v>256463926</v>
      </c>
    </row>
    <row r="315" spans="30:37" x14ac:dyDescent="0.35">
      <c r="AD315" s="98" t="str">
        <f t="shared" si="17"/>
        <v>518_17_202223</v>
      </c>
      <c r="AE315" s="98" t="s">
        <v>1</v>
      </c>
      <c r="AF315" s="98">
        <v>518</v>
      </c>
      <c r="AG315" s="98">
        <v>17</v>
      </c>
      <c r="AH315" s="98" t="s">
        <v>3052</v>
      </c>
      <c r="AI315" s="98">
        <v>1</v>
      </c>
      <c r="AJ315" s="98">
        <v>202223</v>
      </c>
      <c r="AK315" s="207">
        <v>233696189</v>
      </c>
    </row>
    <row r="316" spans="30:37" x14ac:dyDescent="0.35">
      <c r="AD316" s="98" t="str">
        <f t="shared" si="17"/>
        <v>520_17_202223</v>
      </c>
      <c r="AE316" s="98" t="s">
        <v>1</v>
      </c>
      <c r="AF316" s="98">
        <v>520</v>
      </c>
      <c r="AG316" s="98">
        <v>17</v>
      </c>
      <c r="AH316" s="98" t="s">
        <v>3052</v>
      </c>
      <c r="AI316" s="98">
        <v>1</v>
      </c>
      <c r="AJ316" s="98">
        <v>202223</v>
      </c>
      <c r="AK316" s="207">
        <v>326649055</v>
      </c>
    </row>
    <row r="317" spans="30:37" x14ac:dyDescent="0.35">
      <c r="AD317" s="98" t="str">
        <f t="shared" si="17"/>
        <v>522_17_202223</v>
      </c>
      <c r="AE317" s="98" t="s">
        <v>1</v>
      </c>
      <c r="AF317" s="98">
        <v>522</v>
      </c>
      <c r="AG317" s="98">
        <v>17</v>
      </c>
      <c r="AH317" s="98" t="s">
        <v>3052</v>
      </c>
      <c r="AI317" s="98">
        <v>1</v>
      </c>
      <c r="AJ317" s="98">
        <v>202223</v>
      </c>
      <c r="AK317" s="207">
        <v>280418643</v>
      </c>
    </row>
    <row r="318" spans="30:37" x14ac:dyDescent="0.35">
      <c r="AD318" s="98" t="str">
        <f t="shared" si="17"/>
        <v>524_17_202223</v>
      </c>
      <c r="AE318" s="98" t="s">
        <v>1</v>
      </c>
      <c r="AF318" s="98">
        <v>524</v>
      </c>
      <c r="AG318" s="98">
        <v>17</v>
      </c>
      <c r="AH318" s="98" t="s">
        <v>3052</v>
      </c>
      <c r="AI318" s="98">
        <v>1</v>
      </c>
      <c r="AJ318" s="98">
        <v>202223</v>
      </c>
      <c r="AK318" s="207">
        <v>301699180</v>
      </c>
    </row>
    <row r="319" spans="30:37" x14ac:dyDescent="0.35">
      <c r="AD319" s="98" t="str">
        <f t="shared" si="17"/>
        <v>526_17_202223</v>
      </c>
      <c r="AE319" s="98" t="s">
        <v>1</v>
      </c>
      <c r="AF319" s="98">
        <v>526</v>
      </c>
      <c r="AG319" s="98">
        <v>17</v>
      </c>
      <c r="AH319" s="98" t="s">
        <v>3052</v>
      </c>
      <c r="AI319" s="98">
        <v>1</v>
      </c>
      <c r="AJ319" s="98">
        <v>202223</v>
      </c>
      <c r="AK319" s="207">
        <v>165624210</v>
      </c>
    </row>
    <row r="320" spans="30:37" x14ac:dyDescent="0.35">
      <c r="AD320" s="98" t="str">
        <f t="shared" si="17"/>
        <v>528_17_202223</v>
      </c>
      <c r="AE320" s="98" t="s">
        <v>1</v>
      </c>
      <c r="AF320" s="98">
        <v>528</v>
      </c>
      <c r="AG320" s="98">
        <v>17</v>
      </c>
      <c r="AH320" s="98" t="s">
        <v>3052</v>
      </c>
      <c r="AI320" s="98">
        <v>1</v>
      </c>
      <c r="AJ320" s="98">
        <v>202223</v>
      </c>
      <c r="AK320" s="207">
        <v>271226129</v>
      </c>
    </row>
    <row r="321" spans="30:37" x14ac:dyDescent="0.35">
      <c r="AD321" s="98" t="str">
        <f t="shared" si="17"/>
        <v>530_17_202223</v>
      </c>
      <c r="AE321" s="98" t="s">
        <v>1</v>
      </c>
      <c r="AF321" s="98">
        <v>530</v>
      </c>
      <c r="AG321" s="98">
        <v>17</v>
      </c>
      <c r="AH321" s="98" t="s">
        <v>3052</v>
      </c>
      <c r="AI321" s="98">
        <v>1</v>
      </c>
      <c r="AJ321" s="98">
        <v>202223</v>
      </c>
      <c r="AK321" s="207">
        <v>415596269.6732074</v>
      </c>
    </row>
    <row r="322" spans="30:37" x14ac:dyDescent="0.35">
      <c r="AD322" s="98" t="str">
        <f t="shared" si="17"/>
        <v>532_17_202223</v>
      </c>
      <c r="AE322" s="98" t="s">
        <v>1</v>
      </c>
      <c r="AF322" s="98">
        <v>532</v>
      </c>
      <c r="AG322" s="98">
        <v>17</v>
      </c>
      <c r="AH322" s="98" t="s">
        <v>3052</v>
      </c>
      <c r="AI322" s="98">
        <v>1</v>
      </c>
      <c r="AJ322" s="98">
        <v>202223</v>
      </c>
      <c r="AK322" s="207">
        <v>522316427</v>
      </c>
    </row>
    <row r="323" spans="30:37" x14ac:dyDescent="0.35">
      <c r="AD323" s="98" t="str">
        <f t="shared" si="17"/>
        <v>534_17_202223</v>
      </c>
      <c r="AE323" s="98" t="s">
        <v>1</v>
      </c>
      <c r="AF323" s="98">
        <v>534</v>
      </c>
      <c r="AG323" s="98">
        <v>17</v>
      </c>
      <c r="AH323" s="98" t="s">
        <v>3052</v>
      </c>
      <c r="AI323" s="98">
        <v>1</v>
      </c>
      <c r="AJ323" s="98">
        <v>202223</v>
      </c>
      <c r="AK323" s="207">
        <v>338020477</v>
      </c>
    </row>
    <row r="324" spans="30:37" x14ac:dyDescent="0.35">
      <c r="AD324" s="98" t="str">
        <f t="shared" ref="AD324:AD387" si="18">AF324&amp;"_"&amp;AG324&amp;"_"&amp;AJ324</f>
        <v>536_17_202223</v>
      </c>
      <c r="AE324" s="98" t="s">
        <v>1</v>
      </c>
      <c r="AF324" s="98">
        <v>536</v>
      </c>
      <c r="AG324" s="98">
        <v>17</v>
      </c>
      <c r="AH324" s="98" t="s">
        <v>3052</v>
      </c>
      <c r="AI324" s="98">
        <v>1</v>
      </c>
      <c r="AJ324" s="98">
        <v>202223</v>
      </c>
      <c r="AK324" s="207">
        <v>319210413</v>
      </c>
    </row>
    <row r="325" spans="30:37" x14ac:dyDescent="0.35">
      <c r="AD325" s="98" t="str">
        <f t="shared" si="18"/>
        <v>538_17_202223</v>
      </c>
      <c r="AE325" s="98" t="s">
        <v>1</v>
      </c>
      <c r="AF325" s="98">
        <v>538</v>
      </c>
      <c r="AG325" s="98">
        <v>17</v>
      </c>
      <c r="AH325" s="98" t="s">
        <v>3052</v>
      </c>
      <c r="AI325" s="98">
        <v>1</v>
      </c>
      <c r="AJ325" s="98">
        <v>202223</v>
      </c>
      <c r="AK325" s="207">
        <v>272267700</v>
      </c>
    </row>
    <row r="326" spans="30:37" x14ac:dyDescent="0.35">
      <c r="AD326" s="98" t="str">
        <f t="shared" si="18"/>
        <v>540_17_202223</v>
      </c>
      <c r="AE326" s="98" t="s">
        <v>1</v>
      </c>
      <c r="AF326" s="98">
        <v>540</v>
      </c>
      <c r="AG326" s="98">
        <v>17</v>
      </c>
      <c r="AH326" s="98" t="s">
        <v>3052</v>
      </c>
      <c r="AI326" s="98">
        <v>1</v>
      </c>
      <c r="AJ326" s="98">
        <v>202223</v>
      </c>
      <c r="AK326" s="207">
        <v>561735856</v>
      </c>
    </row>
    <row r="327" spans="30:37" x14ac:dyDescent="0.35">
      <c r="AD327" s="98" t="str">
        <f t="shared" si="18"/>
        <v>542_17_202223</v>
      </c>
      <c r="AE327" s="98" t="s">
        <v>1</v>
      </c>
      <c r="AF327" s="98">
        <v>542</v>
      </c>
      <c r="AG327" s="98">
        <v>17</v>
      </c>
      <c r="AH327" s="98" t="s">
        <v>3052</v>
      </c>
      <c r="AI327" s="98">
        <v>1</v>
      </c>
      <c r="AJ327" s="98">
        <v>202223</v>
      </c>
      <c r="AK327" s="207">
        <v>142982025</v>
      </c>
    </row>
    <row r="328" spans="30:37" x14ac:dyDescent="0.35">
      <c r="AD328" s="98" t="str">
        <f t="shared" si="18"/>
        <v>544_17_202223</v>
      </c>
      <c r="AE328" s="98" t="s">
        <v>1</v>
      </c>
      <c r="AF328" s="98">
        <v>544</v>
      </c>
      <c r="AG328" s="98">
        <v>17</v>
      </c>
      <c r="AH328" s="98" t="s">
        <v>3052</v>
      </c>
      <c r="AI328" s="98">
        <v>1</v>
      </c>
      <c r="AJ328" s="98">
        <v>202223</v>
      </c>
      <c r="AK328" s="207">
        <v>393840791</v>
      </c>
    </row>
    <row r="329" spans="30:37" x14ac:dyDescent="0.35">
      <c r="AD329" s="98" t="str">
        <f t="shared" si="18"/>
        <v>545_17_202223</v>
      </c>
      <c r="AE329" s="98" t="s">
        <v>1</v>
      </c>
      <c r="AF329" s="98">
        <v>545</v>
      </c>
      <c r="AG329" s="98">
        <v>17</v>
      </c>
      <c r="AH329" s="98" t="s">
        <v>3052</v>
      </c>
      <c r="AI329" s="98">
        <v>1</v>
      </c>
      <c r="AJ329" s="98">
        <v>202223</v>
      </c>
      <c r="AK329" s="207">
        <v>167504595</v>
      </c>
    </row>
    <row r="330" spans="30:37" x14ac:dyDescent="0.35">
      <c r="AD330" s="98" t="str">
        <f t="shared" si="18"/>
        <v>546_17_202223</v>
      </c>
      <c r="AE330" s="98" t="s">
        <v>1</v>
      </c>
      <c r="AF330" s="98">
        <v>546</v>
      </c>
      <c r="AG330" s="98">
        <v>17</v>
      </c>
      <c r="AH330" s="98" t="s">
        <v>3052</v>
      </c>
      <c r="AI330" s="98">
        <v>1</v>
      </c>
      <c r="AJ330" s="98">
        <v>202223</v>
      </c>
      <c r="AK330" s="207">
        <v>209516085</v>
      </c>
    </row>
    <row r="331" spans="30:37" x14ac:dyDescent="0.35">
      <c r="AD331" s="98" t="str">
        <f t="shared" si="18"/>
        <v>548_17_202223</v>
      </c>
      <c r="AE331" s="98" t="s">
        <v>1</v>
      </c>
      <c r="AF331" s="98">
        <v>548</v>
      </c>
      <c r="AG331" s="98">
        <v>17</v>
      </c>
      <c r="AH331" s="98" t="s">
        <v>3052</v>
      </c>
      <c r="AI331" s="98">
        <v>1</v>
      </c>
      <c r="AJ331" s="98">
        <v>202223</v>
      </c>
      <c r="AK331" s="207">
        <v>182231213</v>
      </c>
    </row>
    <row r="332" spans="30:37" x14ac:dyDescent="0.35">
      <c r="AD332" s="98" t="str">
        <f t="shared" si="18"/>
        <v>550_17_202223</v>
      </c>
      <c r="AE332" s="98" t="s">
        <v>1</v>
      </c>
      <c r="AF332" s="98">
        <v>550</v>
      </c>
      <c r="AG332" s="98">
        <v>17</v>
      </c>
      <c r="AH332" s="98" t="s">
        <v>3052</v>
      </c>
      <c r="AI332" s="98">
        <v>1</v>
      </c>
      <c r="AJ332" s="98">
        <v>202223</v>
      </c>
      <c r="AK332" s="207">
        <v>343012615</v>
      </c>
    </row>
    <row r="333" spans="30:37" x14ac:dyDescent="0.35">
      <c r="AD333" s="98" t="str">
        <f t="shared" si="18"/>
        <v>552_17_202223</v>
      </c>
      <c r="AE333" s="98" t="s">
        <v>1</v>
      </c>
      <c r="AF333" s="98">
        <v>552</v>
      </c>
      <c r="AG333" s="98">
        <v>17</v>
      </c>
      <c r="AH333" s="98" t="s">
        <v>3052</v>
      </c>
      <c r="AI333" s="98">
        <v>1</v>
      </c>
      <c r="AJ333" s="98">
        <v>202223</v>
      </c>
      <c r="AK333" s="207">
        <v>743346000</v>
      </c>
    </row>
    <row r="334" spans="30:37" x14ac:dyDescent="0.35">
      <c r="AD334" s="98" t="str">
        <f t="shared" si="18"/>
        <v>512_19_202223</v>
      </c>
      <c r="AE334" s="98" t="s">
        <v>1</v>
      </c>
      <c r="AF334" s="98">
        <v>512</v>
      </c>
      <c r="AG334" s="98">
        <v>19</v>
      </c>
      <c r="AH334" s="98" t="s">
        <v>3053</v>
      </c>
      <c r="AI334" s="98">
        <v>1</v>
      </c>
      <c r="AJ334" s="98">
        <v>202223</v>
      </c>
      <c r="AK334" s="207">
        <v>114551252</v>
      </c>
    </row>
    <row r="335" spans="30:37" x14ac:dyDescent="0.35">
      <c r="AD335" s="98" t="str">
        <f t="shared" si="18"/>
        <v>514_19_202223</v>
      </c>
      <c r="AE335" s="98" t="s">
        <v>1</v>
      </c>
      <c r="AF335" s="98">
        <v>514</v>
      </c>
      <c r="AG335" s="98">
        <v>19</v>
      </c>
      <c r="AH335" s="98" t="s">
        <v>3053</v>
      </c>
      <c r="AI335" s="98">
        <v>1</v>
      </c>
      <c r="AJ335" s="98">
        <v>202223</v>
      </c>
      <c r="AK335" s="207">
        <v>213210397</v>
      </c>
    </row>
    <row r="336" spans="30:37" x14ac:dyDescent="0.35">
      <c r="AD336" s="98" t="str">
        <f t="shared" si="18"/>
        <v>516_19_202223</v>
      </c>
      <c r="AE336" s="98" t="s">
        <v>1</v>
      </c>
      <c r="AF336" s="98">
        <v>516</v>
      </c>
      <c r="AG336" s="98">
        <v>19</v>
      </c>
      <c r="AH336" s="98" t="s">
        <v>3053</v>
      </c>
      <c r="AI336" s="98">
        <v>1</v>
      </c>
      <c r="AJ336" s="98">
        <v>202223</v>
      </c>
      <c r="AK336" s="207">
        <v>183311104</v>
      </c>
    </row>
    <row r="337" spans="30:37" x14ac:dyDescent="0.35">
      <c r="AD337" s="98" t="str">
        <f t="shared" si="18"/>
        <v>518_19_202223</v>
      </c>
      <c r="AE337" s="98" t="s">
        <v>1</v>
      </c>
      <c r="AF337" s="98">
        <v>518</v>
      </c>
      <c r="AG337" s="98">
        <v>19</v>
      </c>
      <c r="AH337" s="98" t="s">
        <v>3053</v>
      </c>
      <c r="AI337" s="98">
        <v>1</v>
      </c>
      <c r="AJ337" s="98">
        <v>202223</v>
      </c>
      <c r="AK337" s="207">
        <v>173640218</v>
      </c>
    </row>
    <row r="338" spans="30:37" x14ac:dyDescent="0.35">
      <c r="AD338" s="98" t="str">
        <f t="shared" si="18"/>
        <v>520_19_202223</v>
      </c>
      <c r="AE338" s="98" t="s">
        <v>1</v>
      </c>
      <c r="AF338" s="98">
        <v>520</v>
      </c>
      <c r="AG338" s="98">
        <v>19</v>
      </c>
      <c r="AH338" s="98" t="s">
        <v>3053</v>
      </c>
      <c r="AI338" s="98">
        <v>1</v>
      </c>
      <c r="AJ338" s="98">
        <v>202223</v>
      </c>
      <c r="AK338" s="207">
        <v>232178503</v>
      </c>
    </row>
    <row r="339" spans="30:37" x14ac:dyDescent="0.35">
      <c r="AD339" s="98" t="str">
        <f t="shared" si="18"/>
        <v>522_19_202223</v>
      </c>
      <c r="AE339" s="98" t="s">
        <v>1</v>
      </c>
      <c r="AF339" s="98">
        <v>522</v>
      </c>
      <c r="AG339" s="98">
        <v>19</v>
      </c>
      <c r="AH339" s="98" t="s">
        <v>3053</v>
      </c>
      <c r="AI339" s="98">
        <v>1</v>
      </c>
      <c r="AJ339" s="98">
        <v>202223</v>
      </c>
      <c r="AK339" s="207">
        <v>207063782</v>
      </c>
    </row>
    <row r="340" spans="30:37" x14ac:dyDescent="0.35">
      <c r="AD340" s="98" t="str">
        <f t="shared" si="18"/>
        <v>524_19_202223</v>
      </c>
      <c r="AE340" s="98" t="s">
        <v>1</v>
      </c>
      <c r="AF340" s="98">
        <v>524</v>
      </c>
      <c r="AG340" s="98">
        <v>19</v>
      </c>
      <c r="AH340" s="98" t="s">
        <v>3053</v>
      </c>
      <c r="AI340" s="98">
        <v>1</v>
      </c>
      <c r="AJ340" s="98">
        <v>202223</v>
      </c>
      <c r="AK340" s="207">
        <v>210261007</v>
      </c>
    </row>
    <row r="341" spans="30:37" x14ac:dyDescent="0.35">
      <c r="AD341" s="98" t="str">
        <f t="shared" si="18"/>
        <v>526_19_202223</v>
      </c>
      <c r="AE341" s="98" t="s">
        <v>1</v>
      </c>
      <c r="AF341" s="98">
        <v>526</v>
      </c>
      <c r="AG341" s="98">
        <v>19</v>
      </c>
      <c r="AH341" s="98" t="s">
        <v>3053</v>
      </c>
      <c r="AI341" s="98">
        <v>1</v>
      </c>
      <c r="AJ341" s="98">
        <v>202223</v>
      </c>
      <c r="AK341" s="207">
        <v>119421076</v>
      </c>
    </row>
    <row r="342" spans="30:37" x14ac:dyDescent="0.35">
      <c r="AD342" s="98" t="str">
        <f t="shared" si="18"/>
        <v>528_19_202223</v>
      </c>
      <c r="AE342" s="98" t="s">
        <v>1</v>
      </c>
      <c r="AF342" s="98">
        <v>528</v>
      </c>
      <c r="AG342" s="98">
        <v>19</v>
      </c>
      <c r="AH342" s="98" t="s">
        <v>3053</v>
      </c>
      <c r="AI342" s="98">
        <v>1</v>
      </c>
      <c r="AJ342" s="98">
        <v>202223</v>
      </c>
      <c r="AK342" s="207">
        <v>196257169</v>
      </c>
    </row>
    <row r="343" spans="30:37" x14ac:dyDescent="0.35">
      <c r="AD343" s="98" t="str">
        <f t="shared" si="18"/>
        <v>530_19_202223</v>
      </c>
      <c r="AE343" s="98" t="s">
        <v>1</v>
      </c>
      <c r="AF343" s="98">
        <v>530</v>
      </c>
      <c r="AG343" s="98">
        <v>19</v>
      </c>
      <c r="AH343" s="98" t="s">
        <v>3053</v>
      </c>
      <c r="AI343" s="98">
        <v>1</v>
      </c>
      <c r="AJ343" s="98">
        <v>202223</v>
      </c>
      <c r="AK343" s="207">
        <v>311602859</v>
      </c>
    </row>
    <row r="344" spans="30:37" x14ac:dyDescent="0.35">
      <c r="AD344" s="98" t="str">
        <f t="shared" si="18"/>
        <v>532_19_202223</v>
      </c>
      <c r="AE344" s="98" t="s">
        <v>1</v>
      </c>
      <c r="AF344" s="98">
        <v>532</v>
      </c>
      <c r="AG344" s="98">
        <v>19</v>
      </c>
      <c r="AH344" s="98" t="s">
        <v>3053</v>
      </c>
      <c r="AI344" s="98">
        <v>1</v>
      </c>
      <c r="AJ344" s="98">
        <v>202223</v>
      </c>
      <c r="AK344" s="207">
        <v>386592176</v>
      </c>
    </row>
    <row r="345" spans="30:37" x14ac:dyDescent="0.35">
      <c r="AD345" s="98" t="str">
        <f t="shared" si="18"/>
        <v>534_19_202223</v>
      </c>
      <c r="AE345" s="98" t="s">
        <v>1</v>
      </c>
      <c r="AF345" s="98">
        <v>534</v>
      </c>
      <c r="AG345" s="98">
        <v>19</v>
      </c>
      <c r="AH345" s="98" t="s">
        <v>3053</v>
      </c>
      <c r="AI345" s="98">
        <v>1</v>
      </c>
      <c r="AJ345" s="98">
        <v>202223</v>
      </c>
      <c r="AK345" s="207">
        <v>258072577</v>
      </c>
    </row>
    <row r="346" spans="30:37" x14ac:dyDescent="0.35">
      <c r="AD346" s="98" t="str">
        <f t="shared" si="18"/>
        <v>536_19_202223</v>
      </c>
      <c r="AE346" s="98" t="s">
        <v>1</v>
      </c>
      <c r="AF346" s="98">
        <v>536</v>
      </c>
      <c r="AG346" s="98">
        <v>19</v>
      </c>
      <c r="AH346" s="98" t="s">
        <v>3053</v>
      </c>
      <c r="AI346" s="98">
        <v>1</v>
      </c>
      <c r="AJ346" s="98">
        <v>202223</v>
      </c>
      <c r="AK346" s="207">
        <v>232367957</v>
      </c>
    </row>
    <row r="347" spans="30:37" x14ac:dyDescent="0.35">
      <c r="AD347" s="98" t="str">
        <f t="shared" si="18"/>
        <v>538_19_202223</v>
      </c>
      <c r="AE347" s="98" t="s">
        <v>1</v>
      </c>
      <c r="AF347" s="98">
        <v>538</v>
      </c>
      <c r="AG347" s="98">
        <v>19</v>
      </c>
      <c r="AH347" s="98" t="s">
        <v>3053</v>
      </c>
      <c r="AI347" s="98">
        <v>1</v>
      </c>
      <c r="AJ347" s="98">
        <v>202223</v>
      </c>
      <c r="AK347" s="207">
        <v>186015128</v>
      </c>
    </row>
    <row r="348" spans="30:37" x14ac:dyDescent="0.35">
      <c r="AD348" s="98" t="str">
        <f t="shared" si="18"/>
        <v>540_19_202223</v>
      </c>
      <c r="AE348" s="98" t="s">
        <v>1</v>
      </c>
      <c r="AF348" s="98">
        <v>540</v>
      </c>
      <c r="AG348" s="98">
        <v>19</v>
      </c>
      <c r="AH348" s="98" t="s">
        <v>3053</v>
      </c>
      <c r="AI348" s="98">
        <v>1</v>
      </c>
      <c r="AJ348" s="98">
        <v>202223</v>
      </c>
      <c r="AK348" s="207">
        <v>441440703</v>
      </c>
    </row>
    <row r="349" spans="30:37" x14ac:dyDescent="0.35">
      <c r="AD349" s="98" t="str">
        <f t="shared" si="18"/>
        <v>542_19_202223</v>
      </c>
      <c r="AE349" s="98" t="s">
        <v>1</v>
      </c>
      <c r="AF349" s="98">
        <v>542</v>
      </c>
      <c r="AG349" s="98">
        <v>19</v>
      </c>
      <c r="AH349" s="98" t="s">
        <v>3053</v>
      </c>
      <c r="AI349" s="98">
        <v>1</v>
      </c>
      <c r="AJ349" s="98">
        <v>202223</v>
      </c>
      <c r="AK349" s="207">
        <v>110617318</v>
      </c>
    </row>
    <row r="350" spans="30:37" x14ac:dyDescent="0.35">
      <c r="AD350" s="98" t="str">
        <f t="shared" si="18"/>
        <v>544_19_202223</v>
      </c>
      <c r="AE350" s="98" t="s">
        <v>1</v>
      </c>
      <c r="AF350" s="98">
        <v>544</v>
      </c>
      <c r="AG350" s="98">
        <v>19</v>
      </c>
      <c r="AH350" s="98" t="s">
        <v>3053</v>
      </c>
      <c r="AI350" s="98">
        <v>1</v>
      </c>
      <c r="AJ350" s="98">
        <v>202223</v>
      </c>
      <c r="AK350" s="207">
        <v>317458571</v>
      </c>
    </row>
    <row r="351" spans="30:37" x14ac:dyDescent="0.35">
      <c r="AD351" s="98" t="str">
        <f t="shared" si="18"/>
        <v>545_19_202223</v>
      </c>
      <c r="AE351" s="98" t="s">
        <v>1</v>
      </c>
      <c r="AF351" s="98">
        <v>545</v>
      </c>
      <c r="AG351" s="98">
        <v>19</v>
      </c>
      <c r="AH351" s="98" t="s">
        <v>3053</v>
      </c>
      <c r="AI351" s="98">
        <v>1</v>
      </c>
      <c r="AJ351" s="98">
        <v>202223</v>
      </c>
      <c r="AK351" s="207">
        <v>130796723</v>
      </c>
    </row>
    <row r="352" spans="30:37" x14ac:dyDescent="0.35">
      <c r="AD352" s="98" t="str">
        <f t="shared" si="18"/>
        <v>546_19_202223</v>
      </c>
      <c r="AE352" s="98" t="s">
        <v>1</v>
      </c>
      <c r="AF352" s="98">
        <v>546</v>
      </c>
      <c r="AG352" s="98">
        <v>19</v>
      </c>
      <c r="AH352" s="98" t="s">
        <v>3053</v>
      </c>
      <c r="AI352" s="98">
        <v>1</v>
      </c>
      <c r="AJ352" s="98">
        <v>202223</v>
      </c>
      <c r="AK352" s="207">
        <v>160119936</v>
      </c>
    </row>
    <row r="353" spans="30:37" x14ac:dyDescent="0.35">
      <c r="AD353" s="98" t="str">
        <f t="shared" si="18"/>
        <v>548_19_202223</v>
      </c>
      <c r="AE353" s="98" t="s">
        <v>1</v>
      </c>
      <c r="AF353" s="98">
        <v>548</v>
      </c>
      <c r="AG353" s="98">
        <v>19</v>
      </c>
      <c r="AH353" s="98" t="s">
        <v>3053</v>
      </c>
      <c r="AI353" s="98">
        <v>1</v>
      </c>
      <c r="AJ353" s="98">
        <v>202223</v>
      </c>
      <c r="AK353" s="207">
        <v>112277536</v>
      </c>
    </row>
    <row r="354" spans="30:37" x14ac:dyDescent="0.35">
      <c r="AD354" s="98" t="str">
        <f t="shared" si="18"/>
        <v>550_19_202223</v>
      </c>
      <c r="AE354" s="98" t="s">
        <v>1</v>
      </c>
      <c r="AF354" s="98">
        <v>550</v>
      </c>
      <c r="AG354" s="98">
        <v>19</v>
      </c>
      <c r="AH354" s="98" t="s">
        <v>3053</v>
      </c>
      <c r="AI354" s="98">
        <v>1</v>
      </c>
      <c r="AJ354" s="98">
        <v>202223</v>
      </c>
      <c r="AK354" s="207">
        <v>265612231</v>
      </c>
    </row>
    <row r="355" spans="30:37" x14ac:dyDescent="0.35">
      <c r="AD355" s="98" t="str">
        <f t="shared" si="18"/>
        <v>552_19_202223</v>
      </c>
      <c r="AE355" s="98" t="s">
        <v>1</v>
      </c>
      <c r="AF355" s="98">
        <v>552</v>
      </c>
      <c r="AG355" s="98">
        <v>19</v>
      </c>
      <c r="AH355" s="98" t="s">
        <v>3053</v>
      </c>
      <c r="AI355" s="98">
        <v>1</v>
      </c>
      <c r="AJ355" s="98">
        <v>202223</v>
      </c>
      <c r="AK355" s="207">
        <v>544725604</v>
      </c>
    </row>
    <row r="356" spans="30:37" x14ac:dyDescent="0.35">
      <c r="AD356" s="98" t="str">
        <f t="shared" si="18"/>
        <v>512_22_202223</v>
      </c>
      <c r="AE356" s="98" t="s">
        <v>1</v>
      </c>
      <c r="AF356" s="98">
        <v>512</v>
      </c>
      <c r="AG356" s="98">
        <v>22</v>
      </c>
      <c r="AH356" s="98" t="s">
        <v>2952</v>
      </c>
      <c r="AI356" s="98">
        <v>1</v>
      </c>
      <c r="AJ356" s="98">
        <v>202223</v>
      </c>
      <c r="AK356" s="207">
        <v>1367.4573905224242</v>
      </c>
    </row>
    <row r="357" spans="30:37" x14ac:dyDescent="0.35">
      <c r="AD357" s="98" t="str">
        <f t="shared" si="18"/>
        <v>514_22_202223</v>
      </c>
      <c r="AE357" s="98" t="s">
        <v>1</v>
      </c>
      <c r="AF357" s="98">
        <v>514</v>
      </c>
      <c r="AG357" s="98">
        <v>22</v>
      </c>
      <c r="AH357" s="98" t="s">
        <v>2952</v>
      </c>
      <c r="AI357" s="98">
        <v>1</v>
      </c>
      <c r="AJ357" s="98">
        <v>202223</v>
      </c>
      <c r="AK357" s="207">
        <v>1526.9852192160588</v>
      </c>
    </row>
    <row r="358" spans="30:37" x14ac:dyDescent="0.35">
      <c r="AD358" s="98" t="str">
        <f t="shared" si="18"/>
        <v>516_22_202223</v>
      </c>
      <c r="AE358" s="98" t="s">
        <v>1</v>
      </c>
      <c r="AF358" s="98">
        <v>516</v>
      </c>
      <c r="AG358" s="98">
        <v>22</v>
      </c>
      <c r="AH358" s="98" t="s">
        <v>2952</v>
      </c>
      <c r="AI358" s="98">
        <v>1</v>
      </c>
      <c r="AJ358" s="98">
        <v>202223</v>
      </c>
      <c r="AK358" s="207">
        <v>1438.1521327338946</v>
      </c>
    </row>
    <row r="359" spans="30:37" x14ac:dyDescent="0.35">
      <c r="AD359" s="98" t="str">
        <f t="shared" si="18"/>
        <v>518_22_202223</v>
      </c>
      <c r="AE359" s="98" t="s">
        <v>1</v>
      </c>
      <c r="AF359" s="98">
        <v>518</v>
      </c>
      <c r="AG359" s="98">
        <v>22</v>
      </c>
      <c r="AH359" s="98" t="s">
        <v>2952</v>
      </c>
      <c r="AI359" s="98">
        <v>1</v>
      </c>
      <c r="AJ359" s="98">
        <v>202223</v>
      </c>
      <c r="AK359" s="207">
        <v>1479.1645106149576</v>
      </c>
    </row>
    <row r="360" spans="30:37" x14ac:dyDescent="0.35">
      <c r="AD360" s="98" t="str">
        <f t="shared" si="18"/>
        <v>520_22_202223</v>
      </c>
      <c r="AE360" s="98" t="s">
        <v>1</v>
      </c>
      <c r="AF360" s="98">
        <v>520</v>
      </c>
      <c r="AG360" s="98">
        <v>22</v>
      </c>
      <c r="AH360" s="98" t="s">
        <v>2952</v>
      </c>
      <c r="AI360" s="98">
        <v>1</v>
      </c>
      <c r="AJ360" s="98">
        <v>202223</v>
      </c>
      <c r="AK360" s="207">
        <v>1449.5807175807809</v>
      </c>
    </row>
    <row r="361" spans="30:37" x14ac:dyDescent="0.35">
      <c r="AD361" s="98" t="str">
        <f t="shared" si="18"/>
        <v>522_22_202223</v>
      </c>
      <c r="AE361" s="98" t="s">
        <v>1</v>
      </c>
      <c r="AF361" s="98">
        <v>522</v>
      </c>
      <c r="AG361" s="98">
        <v>22</v>
      </c>
      <c r="AH361" s="98" t="s">
        <v>2952</v>
      </c>
      <c r="AI361" s="98">
        <v>1</v>
      </c>
      <c r="AJ361" s="98">
        <v>202223</v>
      </c>
      <c r="AK361" s="207">
        <v>1371.7367824411401</v>
      </c>
    </row>
    <row r="362" spans="30:37" x14ac:dyDescent="0.35">
      <c r="AD362" s="98" t="str">
        <f t="shared" si="18"/>
        <v>524_22_202223</v>
      </c>
      <c r="AE362" s="98" t="s">
        <v>1</v>
      </c>
      <c r="AF362" s="98">
        <v>524</v>
      </c>
      <c r="AG362" s="98">
        <v>22</v>
      </c>
      <c r="AH362" s="98" t="s">
        <v>2952</v>
      </c>
      <c r="AI362" s="98">
        <v>1</v>
      </c>
      <c r="AJ362" s="98">
        <v>202223</v>
      </c>
      <c r="AK362" s="207">
        <v>1451.8565740688457</v>
      </c>
    </row>
    <row r="363" spans="30:37" x14ac:dyDescent="0.35">
      <c r="AD363" s="98" t="str">
        <f t="shared" si="18"/>
        <v>526_22_202223</v>
      </c>
      <c r="AE363" s="98" t="s">
        <v>1</v>
      </c>
      <c r="AF363" s="98">
        <v>526</v>
      </c>
      <c r="AG363" s="98">
        <v>22</v>
      </c>
      <c r="AH363" s="98" t="s">
        <v>2952</v>
      </c>
      <c r="AI363" s="98">
        <v>1</v>
      </c>
      <c r="AJ363" s="98">
        <v>202223</v>
      </c>
      <c r="AK363" s="207">
        <v>1447.8991066671472</v>
      </c>
    </row>
    <row r="364" spans="30:37" x14ac:dyDescent="0.35">
      <c r="AD364" s="98" t="str">
        <f t="shared" si="18"/>
        <v>528_22_202223</v>
      </c>
      <c r="AE364" s="98" t="s">
        <v>1</v>
      </c>
      <c r="AF364" s="98">
        <v>528</v>
      </c>
      <c r="AG364" s="98">
        <v>22</v>
      </c>
      <c r="AH364" s="98" t="s">
        <v>2952</v>
      </c>
      <c r="AI364" s="98">
        <v>1</v>
      </c>
      <c r="AJ364" s="98">
        <v>202223</v>
      </c>
      <c r="AK364" s="207">
        <v>1249.1710328715421</v>
      </c>
    </row>
    <row r="365" spans="30:37" x14ac:dyDescent="0.35">
      <c r="AD365" s="98" t="str">
        <f t="shared" si="18"/>
        <v>530_22_202223</v>
      </c>
      <c r="AE365" s="98" t="s">
        <v>1</v>
      </c>
      <c r="AF365" s="98">
        <v>530</v>
      </c>
      <c r="AG365" s="98">
        <v>22</v>
      </c>
      <c r="AH365" s="98" t="s">
        <v>2952</v>
      </c>
      <c r="AI365" s="98">
        <v>1</v>
      </c>
      <c r="AJ365" s="98">
        <v>202223</v>
      </c>
      <c r="AK365" s="207">
        <v>1396.0431245288062</v>
      </c>
    </row>
    <row r="366" spans="30:37" x14ac:dyDescent="0.35">
      <c r="AD366" s="98" t="str">
        <f t="shared" si="18"/>
        <v>532_22_202223</v>
      </c>
      <c r="AE366" s="98" t="s">
        <v>1</v>
      </c>
      <c r="AF366" s="98">
        <v>532</v>
      </c>
      <c r="AG366" s="98">
        <v>22</v>
      </c>
      <c r="AH366" s="98" t="s">
        <v>2952</v>
      </c>
      <c r="AI366" s="98">
        <v>1</v>
      </c>
      <c r="AJ366" s="98">
        <v>202223</v>
      </c>
      <c r="AK366" s="207">
        <v>1462.1047817209928</v>
      </c>
    </row>
    <row r="367" spans="30:37" x14ac:dyDescent="0.35">
      <c r="AD367" s="98" t="str">
        <f t="shared" si="18"/>
        <v>534_22_202223</v>
      </c>
      <c r="AE367" s="98" t="s">
        <v>1</v>
      </c>
      <c r="AF367" s="98">
        <v>534</v>
      </c>
      <c r="AG367" s="98">
        <v>22</v>
      </c>
      <c r="AH367" s="98" t="s">
        <v>2952</v>
      </c>
      <c r="AI367" s="98">
        <v>1</v>
      </c>
      <c r="AJ367" s="98">
        <v>202223</v>
      </c>
      <c r="AK367" s="207">
        <v>1660.0212741089222</v>
      </c>
    </row>
    <row r="368" spans="30:37" x14ac:dyDescent="0.35">
      <c r="AD368" s="98" t="str">
        <f t="shared" si="18"/>
        <v>536_22_202223</v>
      </c>
      <c r="AE368" s="98" t="s">
        <v>1</v>
      </c>
      <c r="AF368" s="98">
        <v>536</v>
      </c>
      <c r="AG368" s="98">
        <v>22</v>
      </c>
      <c r="AH368" s="98" t="s">
        <v>2952</v>
      </c>
      <c r="AI368" s="98">
        <v>1</v>
      </c>
      <c r="AJ368" s="98">
        <v>202223</v>
      </c>
      <c r="AK368" s="207">
        <v>1597.0071303306215</v>
      </c>
    </row>
    <row r="369" spans="30:37" x14ac:dyDescent="0.35">
      <c r="AD369" s="98" t="str">
        <f t="shared" si="18"/>
        <v>538_22_202223</v>
      </c>
      <c r="AE369" s="98" t="s">
        <v>1</v>
      </c>
      <c r="AF369" s="98">
        <v>538</v>
      </c>
      <c r="AG369" s="98">
        <v>22</v>
      </c>
      <c r="AH369" s="98" t="s">
        <v>2952</v>
      </c>
      <c r="AI369" s="98">
        <v>1</v>
      </c>
      <c r="AJ369" s="98">
        <v>202223</v>
      </c>
      <c r="AK369" s="207">
        <v>1396.3477097629243</v>
      </c>
    </row>
    <row r="370" spans="30:37" x14ac:dyDescent="0.35">
      <c r="AD370" s="98" t="str">
        <f t="shared" si="18"/>
        <v>540_22_202223</v>
      </c>
      <c r="AE370" s="98" t="s">
        <v>1</v>
      </c>
      <c r="AF370" s="98">
        <v>540</v>
      </c>
      <c r="AG370" s="98">
        <v>22</v>
      </c>
      <c r="AH370" s="98" t="s">
        <v>2952</v>
      </c>
      <c r="AI370" s="98">
        <v>1</v>
      </c>
      <c r="AJ370" s="98">
        <v>202223</v>
      </c>
      <c r="AK370" s="207">
        <v>1553.5307848025323</v>
      </c>
    </row>
    <row r="371" spans="30:37" x14ac:dyDescent="0.35">
      <c r="AD371" s="98" t="str">
        <f t="shared" si="18"/>
        <v>542_22_202223</v>
      </c>
      <c r="AE371" s="98" t="s">
        <v>1</v>
      </c>
      <c r="AF371" s="98">
        <v>542</v>
      </c>
      <c r="AG371" s="98">
        <v>22</v>
      </c>
      <c r="AH371" s="98" t="s">
        <v>2952</v>
      </c>
      <c r="AI371" s="98">
        <v>1</v>
      </c>
      <c r="AJ371" s="98">
        <v>202223</v>
      </c>
      <c r="AK371" s="207">
        <v>1746.2706006635706</v>
      </c>
    </row>
    <row r="372" spans="30:37" x14ac:dyDescent="0.35">
      <c r="AD372" s="98" t="str">
        <f t="shared" si="18"/>
        <v>544_22_202223</v>
      </c>
      <c r="AE372" s="98" t="s">
        <v>1</v>
      </c>
      <c r="AF372" s="98">
        <v>544</v>
      </c>
      <c r="AG372" s="98">
        <v>22</v>
      </c>
      <c r="AH372" s="98" t="s">
        <v>2952</v>
      </c>
      <c r="AI372" s="98">
        <v>1</v>
      </c>
      <c r="AJ372" s="98">
        <v>202223</v>
      </c>
      <c r="AK372" s="207">
        <v>1253.9514277846613</v>
      </c>
    </row>
    <row r="373" spans="30:37" x14ac:dyDescent="0.35">
      <c r="AD373" s="98" t="str">
        <f t="shared" si="18"/>
        <v>545_22_202223</v>
      </c>
      <c r="AE373" s="98" t="s">
        <v>1</v>
      </c>
      <c r="AF373" s="98">
        <v>545</v>
      </c>
      <c r="AG373" s="98">
        <v>22</v>
      </c>
      <c r="AH373" s="98" t="s">
        <v>2952</v>
      </c>
      <c r="AI373" s="98">
        <v>1</v>
      </c>
      <c r="AJ373" s="98">
        <v>202223</v>
      </c>
      <c r="AK373" s="207">
        <v>1768.2706898366389</v>
      </c>
    </row>
    <row r="374" spans="30:37" x14ac:dyDescent="0.35">
      <c r="AD374" s="98" t="str">
        <f t="shared" si="18"/>
        <v>546_22_202223</v>
      </c>
      <c r="AE374" s="98" t="s">
        <v>1</v>
      </c>
      <c r="AF374" s="98">
        <v>546</v>
      </c>
      <c r="AG374" s="98">
        <v>22</v>
      </c>
      <c r="AH374" s="98" t="s">
        <v>2952</v>
      </c>
      <c r="AI374" s="98">
        <v>1</v>
      </c>
      <c r="AJ374" s="98">
        <v>202223</v>
      </c>
      <c r="AK374" s="207">
        <v>1449.1842003497209</v>
      </c>
    </row>
    <row r="375" spans="30:37" x14ac:dyDescent="0.35">
      <c r="AD375" s="98" t="str">
        <f t="shared" si="18"/>
        <v>548_22_202223</v>
      </c>
      <c r="AE375" s="98" t="s">
        <v>1</v>
      </c>
      <c r="AF375" s="98">
        <v>548</v>
      </c>
      <c r="AG375" s="98">
        <v>22</v>
      </c>
      <c r="AH375" s="98" t="s">
        <v>2952</v>
      </c>
      <c r="AI375" s="98">
        <v>1</v>
      </c>
      <c r="AJ375" s="98">
        <v>202223</v>
      </c>
      <c r="AK375" s="207">
        <v>1476.7874382207947</v>
      </c>
    </row>
    <row r="376" spans="30:37" x14ac:dyDescent="0.35">
      <c r="AD376" s="98" t="str">
        <f t="shared" si="18"/>
        <v>550_22_202223</v>
      </c>
      <c r="AE376" s="98" t="s">
        <v>1</v>
      </c>
      <c r="AF376" s="98">
        <v>550</v>
      </c>
      <c r="AG376" s="98">
        <v>22</v>
      </c>
      <c r="AH376" s="98" t="s">
        <v>2952</v>
      </c>
      <c r="AI376" s="98">
        <v>1</v>
      </c>
      <c r="AJ376" s="98">
        <v>202223</v>
      </c>
      <c r="AK376" s="207">
        <v>1272.0107986569217</v>
      </c>
    </row>
    <row r="377" spans="30:37" x14ac:dyDescent="0.35">
      <c r="AD377" s="98" t="str">
        <f t="shared" si="18"/>
        <v>552_22_202223</v>
      </c>
      <c r="AE377" s="98" t="s">
        <v>1</v>
      </c>
      <c r="AF377" s="98">
        <v>552</v>
      </c>
      <c r="AG377" s="98">
        <v>22</v>
      </c>
      <c r="AH377" s="98" t="s">
        <v>2952</v>
      </c>
      <c r="AI377" s="98">
        <v>1</v>
      </c>
      <c r="AJ377" s="98">
        <v>202223</v>
      </c>
      <c r="AK377" s="207">
        <v>1334.7496647139262</v>
      </c>
    </row>
    <row r="378" spans="30:37" x14ac:dyDescent="0.35">
      <c r="AD378" s="98" t="str">
        <f t="shared" si="18"/>
        <v>512_23_202223</v>
      </c>
      <c r="AE378" s="98" t="s">
        <v>1</v>
      </c>
      <c r="AF378" s="98">
        <v>512</v>
      </c>
      <c r="AG378" s="98">
        <v>23</v>
      </c>
      <c r="AH378" s="98" t="s">
        <v>3207</v>
      </c>
      <c r="AI378" s="98">
        <v>1</v>
      </c>
      <c r="AJ378" s="98">
        <v>202223</v>
      </c>
      <c r="AK378" s="207">
        <v>53.752609477575675</v>
      </c>
    </row>
    <row r="379" spans="30:37" x14ac:dyDescent="0.35">
      <c r="AD379" s="98" t="str">
        <f t="shared" si="18"/>
        <v>514_23_202223</v>
      </c>
      <c r="AE379" s="98" t="s">
        <v>1</v>
      </c>
      <c r="AF379" s="98">
        <v>514</v>
      </c>
      <c r="AG379" s="98">
        <v>23</v>
      </c>
      <c r="AH379" s="98" t="s">
        <v>3207</v>
      </c>
      <c r="AI379" s="98">
        <v>1</v>
      </c>
      <c r="AJ379" s="98">
        <v>202223</v>
      </c>
      <c r="AK379" s="207">
        <v>49.414780783941239</v>
      </c>
    </row>
    <row r="380" spans="30:37" x14ac:dyDescent="0.35">
      <c r="AD380" s="98" t="str">
        <f t="shared" si="18"/>
        <v>516_23_202223</v>
      </c>
      <c r="AE380" s="98" t="s">
        <v>1</v>
      </c>
      <c r="AF380" s="98">
        <v>516</v>
      </c>
      <c r="AG380" s="98">
        <v>23</v>
      </c>
      <c r="AH380" s="98" t="s">
        <v>3207</v>
      </c>
      <c r="AI380" s="98">
        <v>1</v>
      </c>
      <c r="AJ380" s="98">
        <v>202223</v>
      </c>
      <c r="AK380" s="207">
        <v>48.187867266105357</v>
      </c>
    </row>
    <row r="381" spans="30:37" x14ac:dyDescent="0.35">
      <c r="AD381" s="98" t="str">
        <f t="shared" si="18"/>
        <v>518_23_202223</v>
      </c>
      <c r="AE381" s="98" t="s">
        <v>1</v>
      </c>
      <c r="AF381" s="98">
        <v>518</v>
      </c>
      <c r="AG381" s="98">
        <v>23</v>
      </c>
      <c r="AH381" s="98" t="s">
        <v>3207</v>
      </c>
      <c r="AI381" s="98">
        <v>1</v>
      </c>
      <c r="AJ381" s="98">
        <v>202223</v>
      </c>
      <c r="AK381" s="207">
        <v>57.485489385042484</v>
      </c>
    </row>
    <row r="382" spans="30:37" x14ac:dyDescent="0.35">
      <c r="AD382" s="98" t="str">
        <f t="shared" si="18"/>
        <v>520_23_202223</v>
      </c>
      <c r="AE382" s="98" t="s">
        <v>1</v>
      </c>
      <c r="AF382" s="98">
        <v>520</v>
      </c>
      <c r="AG382" s="98">
        <v>23</v>
      </c>
      <c r="AH382" s="98" t="s">
        <v>3207</v>
      </c>
      <c r="AI382" s="98">
        <v>1</v>
      </c>
      <c r="AJ382" s="98">
        <v>202223</v>
      </c>
      <c r="AK382" s="207">
        <v>49.019282419219024</v>
      </c>
    </row>
    <row r="383" spans="30:37" x14ac:dyDescent="0.35">
      <c r="AD383" s="98" t="str">
        <f t="shared" si="18"/>
        <v>522_23_202223</v>
      </c>
      <c r="AE383" s="98" t="s">
        <v>1</v>
      </c>
      <c r="AF383" s="98">
        <v>522</v>
      </c>
      <c r="AG383" s="98">
        <v>23</v>
      </c>
      <c r="AH383" s="98" t="s">
        <v>3207</v>
      </c>
      <c r="AI383" s="98">
        <v>1</v>
      </c>
      <c r="AJ383" s="98">
        <v>202223</v>
      </c>
      <c r="AK383" s="207">
        <v>52.78321755885986</v>
      </c>
    </row>
    <row r="384" spans="30:37" x14ac:dyDescent="0.35">
      <c r="AD384" s="98" t="str">
        <f t="shared" si="18"/>
        <v>524_23_202223</v>
      </c>
      <c r="AE384" s="98" t="s">
        <v>1</v>
      </c>
      <c r="AF384" s="98">
        <v>524</v>
      </c>
      <c r="AG384" s="98">
        <v>23</v>
      </c>
      <c r="AH384" s="98" t="s">
        <v>3207</v>
      </c>
      <c r="AI384" s="98">
        <v>1</v>
      </c>
      <c r="AJ384" s="98">
        <v>202223</v>
      </c>
      <c r="AK384" s="207">
        <v>71.553425931154294</v>
      </c>
    </row>
    <row r="385" spans="30:37" x14ac:dyDescent="0.35">
      <c r="AD385" s="98" t="str">
        <f t="shared" si="18"/>
        <v>526_23_202223</v>
      </c>
      <c r="AE385" s="98" t="s">
        <v>1</v>
      </c>
      <c r="AF385" s="98">
        <v>526</v>
      </c>
      <c r="AG385" s="98">
        <v>23</v>
      </c>
      <c r="AH385" s="98" t="s">
        <v>3207</v>
      </c>
      <c r="AI385" s="98">
        <v>1</v>
      </c>
      <c r="AJ385" s="98">
        <v>202223</v>
      </c>
      <c r="AK385" s="207">
        <v>39.21089333285272</v>
      </c>
    </row>
    <row r="386" spans="30:37" x14ac:dyDescent="0.35">
      <c r="AD386" s="98" t="str">
        <f t="shared" si="18"/>
        <v>528_23_202223</v>
      </c>
      <c r="AE386" s="98" t="s">
        <v>1</v>
      </c>
      <c r="AF386" s="98">
        <v>528</v>
      </c>
      <c r="AG386" s="98">
        <v>23</v>
      </c>
      <c r="AH386" s="98" t="s">
        <v>3207</v>
      </c>
      <c r="AI386" s="98">
        <v>1</v>
      </c>
      <c r="AJ386" s="98">
        <v>202223</v>
      </c>
      <c r="AK386" s="207">
        <v>39.278967128458014</v>
      </c>
    </row>
    <row r="387" spans="30:37" x14ac:dyDescent="0.35">
      <c r="AD387" s="98" t="str">
        <f t="shared" si="18"/>
        <v>530_23_202223</v>
      </c>
      <c r="AE387" s="98" t="s">
        <v>1</v>
      </c>
      <c r="AF387" s="98">
        <v>530</v>
      </c>
      <c r="AG387" s="98">
        <v>23</v>
      </c>
      <c r="AH387" s="98" t="s">
        <v>3207</v>
      </c>
      <c r="AI387" s="98">
        <v>1</v>
      </c>
      <c r="AJ387" s="98">
        <v>202223</v>
      </c>
      <c r="AK387" s="207">
        <v>93.716875471193759</v>
      </c>
    </row>
    <row r="388" spans="30:37" x14ac:dyDescent="0.35">
      <c r="AD388" s="98" t="str">
        <f t="shared" ref="AD388:AD451" si="19">AF388&amp;"_"&amp;AG388&amp;"_"&amp;AJ388</f>
        <v>532_23_202223</v>
      </c>
      <c r="AE388" s="98" t="s">
        <v>1</v>
      </c>
      <c r="AF388" s="98">
        <v>532</v>
      </c>
      <c r="AG388" s="98">
        <v>23</v>
      </c>
      <c r="AH388" s="98" t="s">
        <v>3207</v>
      </c>
      <c r="AI388" s="98">
        <v>1</v>
      </c>
      <c r="AJ388" s="98">
        <v>202223</v>
      </c>
      <c r="AK388" s="207">
        <v>18.225218279007152</v>
      </c>
    </row>
    <row r="389" spans="30:37" x14ac:dyDescent="0.35">
      <c r="AD389" s="98" t="str">
        <f t="shared" si="19"/>
        <v>534_23_202223</v>
      </c>
      <c r="AE389" s="98" t="s">
        <v>1</v>
      </c>
      <c r="AF389" s="98">
        <v>534</v>
      </c>
      <c r="AG389" s="98">
        <v>23</v>
      </c>
      <c r="AH389" s="98" t="s">
        <v>3207</v>
      </c>
      <c r="AI389" s="98">
        <v>1</v>
      </c>
      <c r="AJ389" s="98">
        <v>202223</v>
      </c>
      <c r="AK389" s="207">
        <v>49.708725891077933</v>
      </c>
    </row>
    <row r="390" spans="30:37" x14ac:dyDescent="0.35">
      <c r="AD390" s="98" t="str">
        <f t="shared" si="19"/>
        <v>536_23_202223</v>
      </c>
      <c r="AE390" s="98" t="s">
        <v>1</v>
      </c>
      <c r="AF390" s="98">
        <v>536</v>
      </c>
      <c r="AG390" s="98">
        <v>23</v>
      </c>
      <c r="AH390" s="98" t="s">
        <v>3207</v>
      </c>
      <c r="AI390" s="98">
        <v>1</v>
      </c>
      <c r="AJ390" s="98">
        <v>202223</v>
      </c>
      <c r="AK390" s="207">
        <v>52.192869669378446</v>
      </c>
    </row>
    <row r="391" spans="30:37" x14ac:dyDescent="0.35">
      <c r="AD391" s="98" t="str">
        <f t="shared" si="19"/>
        <v>538_23_202223</v>
      </c>
      <c r="AE391" s="98" t="s">
        <v>1</v>
      </c>
      <c r="AF391" s="98">
        <v>538</v>
      </c>
      <c r="AG391" s="98">
        <v>23</v>
      </c>
      <c r="AH391" s="98" t="s">
        <v>3207</v>
      </c>
      <c r="AI391" s="98">
        <v>1</v>
      </c>
      <c r="AJ391" s="98">
        <v>202223</v>
      </c>
      <c r="AK391" s="207">
        <v>52.76229023707559</v>
      </c>
    </row>
    <row r="392" spans="30:37" x14ac:dyDescent="0.35">
      <c r="AD392" s="98" t="str">
        <f t="shared" si="19"/>
        <v>540_23_202223</v>
      </c>
      <c r="AE392" s="98" t="s">
        <v>1</v>
      </c>
      <c r="AF392" s="98">
        <v>540</v>
      </c>
      <c r="AG392" s="98">
        <v>23</v>
      </c>
      <c r="AH392" s="98" t="s">
        <v>3207</v>
      </c>
      <c r="AI392" s="98">
        <v>1</v>
      </c>
      <c r="AJ392" s="98">
        <v>202223</v>
      </c>
      <c r="AK392" s="207">
        <v>30.569215197467575</v>
      </c>
    </row>
    <row r="393" spans="30:37" x14ac:dyDescent="0.35">
      <c r="AD393" s="98" t="str">
        <f t="shared" si="19"/>
        <v>542_23_202223</v>
      </c>
      <c r="AE393" s="98" t="s">
        <v>1</v>
      </c>
      <c r="AF393" s="98">
        <v>542</v>
      </c>
      <c r="AG393" s="98">
        <v>23</v>
      </c>
      <c r="AH393" s="98" t="s">
        <v>3207</v>
      </c>
      <c r="AI393" s="98">
        <v>1</v>
      </c>
      <c r="AJ393" s="98">
        <v>202223</v>
      </c>
      <c r="AK393" s="207">
        <v>1.4993993364294451</v>
      </c>
    </row>
    <row r="394" spans="30:37" x14ac:dyDescent="0.35">
      <c r="AD394" s="98" t="str">
        <f t="shared" si="19"/>
        <v>544_23_202223</v>
      </c>
      <c r="AE394" s="98" t="s">
        <v>1</v>
      </c>
      <c r="AF394" s="98">
        <v>544</v>
      </c>
      <c r="AG394" s="98">
        <v>23</v>
      </c>
      <c r="AH394" s="98" t="s">
        <v>3207</v>
      </c>
      <c r="AI394" s="98">
        <v>1</v>
      </c>
      <c r="AJ394" s="98">
        <v>202223</v>
      </c>
      <c r="AK394" s="207">
        <v>15.198572215338725</v>
      </c>
    </row>
    <row r="395" spans="30:37" x14ac:dyDescent="0.35">
      <c r="AD395" s="98" t="str">
        <f t="shared" si="19"/>
        <v>545_23_202223</v>
      </c>
      <c r="AE395" s="98" t="s">
        <v>1</v>
      </c>
      <c r="AF395" s="98">
        <v>545</v>
      </c>
      <c r="AG395" s="98">
        <v>23</v>
      </c>
      <c r="AH395" s="98" t="s">
        <v>3207</v>
      </c>
      <c r="AI395" s="98">
        <v>1</v>
      </c>
      <c r="AJ395" s="98">
        <v>202223</v>
      </c>
      <c r="AK395" s="207">
        <v>26.589310163361102</v>
      </c>
    </row>
    <row r="396" spans="30:37" x14ac:dyDescent="0.35">
      <c r="AD396" s="98" t="str">
        <f t="shared" si="19"/>
        <v>546_23_202223</v>
      </c>
      <c r="AE396" s="98" t="s">
        <v>1</v>
      </c>
      <c r="AF396" s="98">
        <v>546</v>
      </c>
      <c r="AG396" s="98">
        <v>23</v>
      </c>
      <c r="AH396" s="98" t="s">
        <v>3207</v>
      </c>
      <c r="AI396" s="98">
        <v>1</v>
      </c>
      <c r="AJ396" s="98">
        <v>202223</v>
      </c>
      <c r="AK396" s="207">
        <v>49.725799650279107</v>
      </c>
    </row>
    <row r="397" spans="30:37" x14ac:dyDescent="0.35">
      <c r="AD397" s="98" t="str">
        <f t="shared" si="19"/>
        <v>548_23_202223</v>
      </c>
      <c r="AE397" s="98" t="s">
        <v>1</v>
      </c>
      <c r="AF397" s="98">
        <v>548</v>
      </c>
      <c r="AG397" s="98">
        <v>23</v>
      </c>
      <c r="AH397" s="98" t="s">
        <v>3207</v>
      </c>
      <c r="AI397" s="98">
        <v>1</v>
      </c>
      <c r="AJ397" s="98">
        <v>202223</v>
      </c>
      <c r="AK397" s="207">
        <v>66.662561779205404</v>
      </c>
    </row>
    <row r="398" spans="30:37" x14ac:dyDescent="0.35">
      <c r="AD398" s="98" t="str">
        <f t="shared" si="19"/>
        <v>550_23_202223</v>
      </c>
      <c r="AE398" s="98" t="s">
        <v>1</v>
      </c>
      <c r="AF398" s="98">
        <v>550</v>
      </c>
      <c r="AG398" s="98">
        <v>23</v>
      </c>
      <c r="AH398" s="98" t="s">
        <v>3207</v>
      </c>
      <c r="AI398" s="98">
        <v>1</v>
      </c>
      <c r="AJ398" s="98">
        <v>202223</v>
      </c>
      <c r="AK398" s="207">
        <v>7.6692013430782904</v>
      </c>
    </row>
    <row r="399" spans="30:37" x14ac:dyDescent="0.35">
      <c r="AD399" s="98" t="str">
        <f t="shared" si="19"/>
        <v>552_23_202223</v>
      </c>
      <c r="AE399" s="98" t="s">
        <v>1</v>
      </c>
      <c r="AF399" s="98">
        <v>552</v>
      </c>
      <c r="AG399" s="98">
        <v>23</v>
      </c>
      <c r="AH399" s="98" t="s">
        <v>3207</v>
      </c>
      <c r="AI399" s="98">
        <v>1</v>
      </c>
      <c r="AJ399" s="98">
        <v>202223</v>
      </c>
      <c r="AK399" s="207">
        <v>3.3203352860737545</v>
      </c>
    </row>
    <row r="400" spans="30:37" x14ac:dyDescent="0.35">
      <c r="AD400" s="98" t="str">
        <f t="shared" si="19"/>
        <v>512_1_202324</v>
      </c>
      <c r="AE400" s="98" t="s">
        <v>1</v>
      </c>
      <c r="AF400" s="98">
        <v>512</v>
      </c>
      <c r="AG400" s="98">
        <v>1</v>
      </c>
      <c r="AH400" s="98" t="s">
        <v>3050</v>
      </c>
      <c r="AI400" s="98">
        <v>1</v>
      </c>
      <c r="AJ400" s="98">
        <v>202324</v>
      </c>
      <c r="AK400" s="207">
        <v>172533662</v>
      </c>
    </row>
    <row r="401" spans="30:37" x14ac:dyDescent="0.35">
      <c r="AD401" s="98" t="str">
        <f t="shared" si="19"/>
        <v>514_1_202324</v>
      </c>
      <c r="AE401" s="98" t="s">
        <v>1</v>
      </c>
      <c r="AF401" s="98">
        <v>514</v>
      </c>
      <c r="AG401" s="98">
        <v>1</v>
      </c>
      <c r="AH401" s="98" t="s">
        <v>3050</v>
      </c>
      <c r="AI401" s="98">
        <v>1</v>
      </c>
      <c r="AJ401" s="98">
        <v>202324</v>
      </c>
      <c r="AK401" s="207">
        <v>320472930</v>
      </c>
    </row>
    <row r="402" spans="30:37" x14ac:dyDescent="0.35">
      <c r="AD402" s="98" t="str">
        <f t="shared" si="19"/>
        <v>516_1_202324</v>
      </c>
      <c r="AE402" s="98" t="s">
        <v>1</v>
      </c>
      <c r="AF402" s="98">
        <v>516</v>
      </c>
      <c r="AG402" s="98">
        <v>1</v>
      </c>
      <c r="AH402" s="98" t="s">
        <v>3050</v>
      </c>
      <c r="AI402" s="98">
        <v>1</v>
      </c>
      <c r="AJ402" s="98">
        <v>202324</v>
      </c>
      <c r="AK402" s="207">
        <v>282158768</v>
      </c>
    </row>
    <row r="403" spans="30:37" x14ac:dyDescent="0.35">
      <c r="AD403" s="98" t="str">
        <f t="shared" si="19"/>
        <v>518_1_202324</v>
      </c>
      <c r="AE403" s="98" t="s">
        <v>1</v>
      </c>
      <c r="AF403" s="98">
        <v>518</v>
      </c>
      <c r="AG403" s="98">
        <v>1</v>
      </c>
      <c r="AH403" s="98" t="s">
        <v>3050</v>
      </c>
      <c r="AI403" s="98">
        <v>1</v>
      </c>
      <c r="AJ403" s="98">
        <v>202324</v>
      </c>
      <c r="AK403" s="207">
        <v>253223213</v>
      </c>
    </row>
    <row r="404" spans="30:37" x14ac:dyDescent="0.35">
      <c r="AD404" s="98" t="str">
        <f t="shared" si="19"/>
        <v>520_1_202324</v>
      </c>
      <c r="AE404" s="98" t="s">
        <v>1</v>
      </c>
      <c r="AF404" s="98">
        <v>520</v>
      </c>
      <c r="AG404" s="98">
        <v>1</v>
      </c>
      <c r="AH404" s="98" t="s">
        <v>3050</v>
      </c>
      <c r="AI404" s="98">
        <v>1</v>
      </c>
      <c r="AJ404" s="98">
        <v>202324</v>
      </c>
      <c r="AK404" s="207">
        <v>355503640</v>
      </c>
    </row>
    <row r="405" spans="30:37" x14ac:dyDescent="0.35">
      <c r="AD405" s="98" t="str">
        <f t="shared" si="19"/>
        <v>522_1_202324</v>
      </c>
      <c r="AE405" s="98" t="s">
        <v>1</v>
      </c>
      <c r="AF405" s="98">
        <v>522</v>
      </c>
      <c r="AG405" s="98">
        <v>1</v>
      </c>
      <c r="AH405" s="98" t="s">
        <v>3050</v>
      </c>
      <c r="AI405" s="98">
        <v>1</v>
      </c>
      <c r="AJ405" s="98">
        <v>202324</v>
      </c>
      <c r="AK405" s="207">
        <v>305969222</v>
      </c>
    </row>
    <row r="406" spans="30:37" x14ac:dyDescent="0.35">
      <c r="AD406" s="98" t="str">
        <f t="shared" si="19"/>
        <v>524_1_202324</v>
      </c>
      <c r="AE406" s="98" t="s">
        <v>1</v>
      </c>
      <c r="AF406" s="98">
        <v>524</v>
      </c>
      <c r="AG406" s="98">
        <v>1</v>
      </c>
      <c r="AH406" s="98" t="s">
        <v>3050</v>
      </c>
      <c r="AI406" s="98">
        <v>1</v>
      </c>
      <c r="AJ406" s="98">
        <v>202324</v>
      </c>
      <c r="AK406" s="207">
        <v>331388630</v>
      </c>
    </row>
    <row r="407" spans="30:37" x14ac:dyDescent="0.35">
      <c r="AD407" s="98" t="str">
        <f t="shared" si="19"/>
        <v>526_1_202324</v>
      </c>
      <c r="AE407" s="98" t="s">
        <v>1</v>
      </c>
      <c r="AF407" s="98">
        <v>526</v>
      </c>
      <c r="AG407" s="98">
        <v>1</v>
      </c>
      <c r="AH407" s="98" t="s">
        <v>3050</v>
      </c>
      <c r="AI407" s="98">
        <v>1</v>
      </c>
      <c r="AJ407" s="98">
        <v>202324</v>
      </c>
      <c r="AK407" s="207">
        <v>181291606</v>
      </c>
    </row>
    <row r="408" spans="30:37" x14ac:dyDescent="0.35">
      <c r="AD408" s="98" t="str">
        <f t="shared" si="19"/>
        <v>528_1_202324</v>
      </c>
      <c r="AE408" s="98" t="s">
        <v>1</v>
      </c>
      <c r="AF408" s="98">
        <v>528</v>
      </c>
      <c r="AG408" s="98">
        <v>1</v>
      </c>
      <c r="AH408" s="98" t="s">
        <v>3050</v>
      </c>
      <c r="AI408" s="98">
        <v>1</v>
      </c>
      <c r="AJ408" s="98">
        <v>202324</v>
      </c>
      <c r="AK408" s="207">
        <v>295184092</v>
      </c>
    </row>
    <row r="409" spans="30:37" x14ac:dyDescent="0.35">
      <c r="AD409" s="98" t="str">
        <f t="shared" si="19"/>
        <v>530_1_202324</v>
      </c>
      <c r="AE409" s="98" t="s">
        <v>1</v>
      </c>
      <c r="AF409" s="98">
        <v>530</v>
      </c>
      <c r="AG409" s="98">
        <v>1</v>
      </c>
      <c r="AH409" s="98" t="s">
        <v>3050</v>
      </c>
      <c r="AI409" s="98">
        <v>1</v>
      </c>
      <c r="AJ409" s="98">
        <v>202324</v>
      </c>
      <c r="AK409" s="207">
        <v>457975563</v>
      </c>
    </row>
    <row r="410" spans="30:37" x14ac:dyDescent="0.35">
      <c r="AD410" s="98" t="str">
        <f t="shared" si="19"/>
        <v>532_1_202324</v>
      </c>
      <c r="AE410" s="98" t="s">
        <v>1</v>
      </c>
      <c r="AF410" s="98">
        <v>532</v>
      </c>
      <c r="AG410" s="98">
        <v>1</v>
      </c>
      <c r="AH410" s="98" t="s">
        <v>3050</v>
      </c>
      <c r="AI410" s="98">
        <v>1</v>
      </c>
      <c r="AJ410" s="98">
        <v>202324</v>
      </c>
      <c r="AK410" s="207">
        <v>561363989</v>
      </c>
    </row>
    <row r="411" spans="30:37" x14ac:dyDescent="0.35">
      <c r="AD411" s="98" t="str">
        <f t="shared" si="19"/>
        <v>534_1_202324</v>
      </c>
      <c r="AE411" s="98" t="s">
        <v>1</v>
      </c>
      <c r="AF411" s="98">
        <v>534</v>
      </c>
      <c r="AG411" s="98">
        <v>1</v>
      </c>
      <c r="AH411" s="98" t="s">
        <v>3050</v>
      </c>
      <c r="AI411" s="98">
        <v>1</v>
      </c>
      <c r="AJ411" s="98">
        <v>202324</v>
      </c>
      <c r="AK411" s="207">
        <v>363556418</v>
      </c>
    </row>
    <row r="412" spans="30:37" x14ac:dyDescent="0.35">
      <c r="AD412" s="98" t="str">
        <f t="shared" si="19"/>
        <v>536_1_202324</v>
      </c>
      <c r="AE412" s="98" t="s">
        <v>1</v>
      </c>
      <c r="AF412" s="98">
        <v>536</v>
      </c>
      <c r="AG412" s="98">
        <v>1</v>
      </c>
      <c r="AH412" s="98" t="s">
        <v>3050</v>
      </c>
      <c r="AI412" s="98">
        <v>1</v>
      </c>
      <c r="AJ412" s="98">
        <v>202324</v>
      </c>
      <c r="AK412" s="207">
        <v>344927764</v>
      </c>
    </row>
    <row r="413" spans="30:37" x14ac:dyDescent="0.35">
      <c r="AD413" s="98" t="str">
        <f t="shared" si="19"/>
        <v>538_1_202324</v>
      </c>
      <c r="AE413" s="98" t="s">
        <v>1</v>
      </c>
      <c r="AF413" s="98">
        <v>538</v>
      </c>
      <c r="AG413" s="98">
        <v>1</v>
      </c>
      <c r="AH413" s="98" t="s">
        <v>3050</v>
      </c>
      <c r="AI413" s="98">
        <v>1</v>
      </c>
      <c r="AJ413" s="98">
        <v>202324</v>
      </c>
      <c r="AK413" s="207">
        <v>297217214</v>
      </c>
    </row>
    <row r="414" spans="30:37" x14ac:dyDescent="0.35">
      <c r="AD414" s="98" t="str">
        <f t="shared" si="19"/>
        <v>540_1_202324</v>
      </c>
      <c r="AE414" s="98" t="s">
        <v>1</v>
      </c>
      <c r="AF414" s="98">
        <v>540</v>
      </c>
      <c r="AG414" s="98">
        <v>1</v>
      </c>
      <c r="AH414" s="98" t="s">
        <v>3050</v>
      </c>
      <c r="AI414" s="98">
        <v>1</v>
      </c>
      <c r="AJ414" s="98">
        <v>202324</v>
      </c>
      <c r="AK414" s="207">
        <v>599364851.60000002</v>
      </c>
    </row>
    <row r="415" spans="30:37" x14ac:dyDescent="0.35">
      <c r="AD415" s="98" t="str">
        <f t="shared" si="19"/>
        <v>542_1_202324</v>
      </c>
      <c r="AE415" s="98" t="s">
        <v>1</v>
      </c>
      <c r="AF415" s="98">
        <v>542</v>
      </c>
      <c r="AG415" s="98">
        <v>1</v>
      </c>
      <c r="AH415" s="98" t="s">
        <v>3050</v>
      </c>
      <c r="AI415" s="98">
        <v>1</v>
      </c>
      <c r="AJ415" s="98">
        <v>202324</v>
      </c>
      <c r="AK415" s="207">
        <v>152598831</v>
      </c>
    </row>
    <row r="416" spans="30:37" x14ac:dyDescent="0.35">
      <c r="AD416" s="98" t="str">
        <f t="shared" si="19"/>
        <v>544_1_202324</v>
      </c>
      <c r="AE416" s="98" t="s">
        <v>1</v>
      </c>
      <c r="AF416" s="98">
        <v>544</v>
      </c>
      <c r="AG416" s="98">
        <v>1</v>
      </c>
      <c r="AH416" s="98" t="s">
        <v>3050</v>
      </c>
      <c r="AI416" s="98">
        <v>1</v>
      </c>
      <c r="AJ416" s="98">
        <v>202324</v>
      </c>
      <c r="AK416" s="207">
        <v>423444795</v>
      </c>
    </row>
    <row r="417" spans="30:37" x14ac:dyDescent="0.35">
      <c r="AD417" s="98" t="str">
        <f t="shared" si="19"/>
        <v>545_1_202324</v>
      </c>
      <c r="AE417" s="98" t="s">
        <v>1</v>
      </c>
      <c r="AF417" s="98">
        <v>545</v>
      </c>
      <c r="AG417" s="98">
        <v>1</v>
      </c>
      <c r="AH417" s="98" t="s">
        <v>3050</v>
      </c>
      <c r="AI417" s="98">
        <v>1</v>
      </c>
      <c r="AJ417" s="98">
        <v>202324</v>
      </c>
      <c r="AK417" s="207">
        <v>178167276</v>
      </c>
    </row>
    <row r="418" spans="30:37" x14ac:dyDescent="0.35">
      <c r="AD418" s="98" t="str">
        <f t="shared" si="19"/>
        <v>546_1_202324</v>
      </c>
      <c r="AE418" s="98" t="s">
        <v>1</v>
      </c>
      <c r="AF418" s="98">
        <v>546</v>
      </c>
      <c r="AG418" s="98">
        <v>1</v>
      </c>
      <c r="AH418" s="98" t="s">
        <v>3050</v>
      </c>
      <c r="AI418" s="98">
        <v>1</v>
      </c>
      <c r="AJ418" s="98">
        <v>202324</v>
      </c>
      <c r="AK418" s="207">
        <v>224612828</v>
      </c>
    </row>
    <row r="419" spans="30:37" x14ac:dyDescent="0.35">
      <c r="AD419" s="98" t="str">
        <f t="shared" si="19"/>
        <v>548_1_202324</v>
      </c>
      <c r="AE419" s="98" t="s">
        <v>1</v>
      </c>
      <c r="AF419" s="98">
        <v>548</v>
      </c>
      <c r="AG419" s="98">
        <v>1</v>
      </c>
      <c r="AH419" s="98" t="s">
        <v>3050</v>
      </c>
      <c r="AI419" s="98">
        <v>1</v>
      </c>
      <c r="AJ419" s="98">
        <v>202324</v>
      </c>
      <c r="AK419" s="207">
        <v>200805852</v>
      </c>
    </row>
    <row r="420" spans="30:37" x14ac:dyDescent="0.35">
      <c r="AD420" s="98" t="str">
        <f t="shared" si="19"/>
        <v>550_1_202324</v>
      </c>
      <c r="AE420" s="98" t="s">
        <v>1</v>
      </c>
      <c r="AF420" s="98">
        <v>550</v>
      </c>
      <c r="AG420" s="98">
        <v>1</v>
      </c>
      <c r="AH420" s="98" t="s">
        <v>3050</v>
      </c>
      <c r="AI420" s="98">
        <v>1</v>
      </c>
      <c r="AJ420" s="98">
        <v>202324</v>
      </c>
      <c r="AK420" s="207">
        <v>374179429.52999997</v>
      </c>
    </row>
    <row r="421" spans="30:37" x14ac:dyDescent="0.35">
      <c r="AD421" s="98" t="str">
        <f t="shared" si="19"/>
        <v>552_1_202324</v>
      </c>
      <c r="AE421" s="98" t="s">
        <v>1</v>
      </c>
      <c r="AF421" s="98">
        <v>552</v>
      </c>
      <c r="AG421" s="98">
        <v>1</v>
      </c>
      <c r="AH421" s="98" t="s">
        <v>3050</v>
      </c>
      <c r="AI421" s="98">
        <v>1</v>
      </c>
      <c r="AJ421" s="98">
        <v>202324</v>
      </c>
      <c r="AK421" s="207">
        <v>802535709</v>
      </c>
    </row>
    <row r="422" spans="30:37" x14ac:dyDescent="0.35">
      <c r="AD422" s="98" t="str">
        <f t="shared" si="19"/>
        <v>512_2_202324</v>
      </c>
      <c r="AE422" s="98" t="s">
        <v>1</v>
      </c>
      <c r="AF422" s="98">
        <v>512</v>
      </c>
      <c r="AG422" s="98">
        <v>2</v>
      </c>
      <c r="AH422" s="98" t="s">
        <v>2</v>
      </c>
      <c r="AI422" s="98">
        <v>1</v>
      </c>
      <c r="AJ422" s="98">
        <v>202324</v>
      </c>
      <c r="AK422" s="207">
        <v>105000</v>
      </c>
    </row>
    <row r="423" spans="30:37" x14ac:dyDescent="0.35">
      <c r="AD423" s="98" t="str">
        <f t="shared" si="19"/>
        <v>514_2_202324</v>
      </c>
      <c r="AE423" s="98" t="s">
        <v>1</v>
      </c>
      <c r="AF423" s="98">
        <v>514</v>
      </c>
      <c r="AG423" s="98">
        <v>2</v>
      </c>
      <c r="AH423" s="98" t="s">
        <v>2</v>
      </c>
      <c r="AI423" s="98">
        <v>1</v>
      </c>
      <c r="AJ423" s="98">
        <v>202324</v>
      </c>
      <c r="AK423" s="207">
        <v>495660</v>
      </c>
    </row>
    <row r="424" spans="30:37" x14ac:dyDescent="0.35">
      <c r="AD424" s="98" t="str">
        <f t="shared" si="19"/>
        <v>516_2_202324</v>
      </c>
      <c r="AE424" s="98" t="s">
        <v>1</v>
      </c>
      <c r="AF424" s="98">
        <v>516</v>
      </c>
      <c r="AG424" s="98">
        <v>2</v>
      </c>
      <c r="AH424" s="98" t="s">
        <v>2</v>
      </c>
      <c r="AI424" s="98">
        <v>1</v>
      </c>
      <c r="AJ424" s="98">
        <v>202324</v>
      </c>
      <c r="AK424" s="207">
        <v>223000</v>
      </c>
    </row>
    <row r="425" spans="30:37" x14ac:dyDescent="0.35">
      <c r="AD425" s="98" t="str">
        <f t="shared" si="19"/>
        <v>518_2_202324</v>
      </c>
      <c r="AE425" s="98" t="s">
        <v>1</v>
      </c>
      <c r="AF425" s="98">
        <v>518</v>
      </c>
      <c r="AG425" s="98">
        <v>2</v>
      </c>
      <c r="AH425" s="98" t="s">
        <v>2</v>
      </c>
      <c r="AI425" s="98">
        <v>1</v>
      </c>
      <c r="AJ425" s="98">
        <v>202324</v>
      </c>
      <c r="AK425" s="207">
        <v>59600</v>
      </c>
    </row>
    <row r="426" spans="30:37" x14ac:dyDescent="0.35">
      <c r="AD426" s="98" t="str">
        <f t="shared" si="19"/>
        <v>520_2_202324</v>
      </c>
      <c r="AE426" s="98" t="s">
        <v>1</v>
      </c>
      <c r="AF426" s="98">
        <v>520</v>
      </c>
      <c r="AG426" s="98">
        <v>2</v>
      </c>
      <c r="AH426" s="98" t="s">
        <v>2</v>
      </c>
      <c r="AI426" s="98">
        <v>1</v>
      </c>
      <c r="AJ426" s="98">
        <v>202324</v>
      </c>
      <c r="AK426" s="207">
        <v>38590</v>
      </c>
    </row>
    <row r="427" spans="30:37" x14ac:dyDescent="0.35">
      <c r="AD427" s="98" t="str">
        <f t="shared" si="19"/>
        <v>522_2_202324</v>
      </c>
      <c r="AE427" s="98" t="s">
        <v>1</v>
      </c>
      <c r="AF427" s="98">
        <v>522</v>
      </c>
      <c r="AG427" s="98">
        <v>2</v>
      </c>
      <c r="AH427" s="98" t="s">
        <v>2</v>
      </c>
      <c r="AI427" s="98">
        <v>1</v>
      </c>
      <c r="AJ427" s="98">
        <v>202324</v>
      </c>
      <c r="AK427" s="207">
        <v>159650</v>
      </c>
    </row>
    <row r="428" spans="30:37" x14ac:dyDescent="0.35">
      <c r="AD428" s="98" t="str">
        <f t="shared" si="19"/>
        <v>524_2_202324</v>
      </c>
      <c r="AE428" s="98" t="s">
        <v>1</v>
      </c>
      <c r="AF428" s="98">
        <v>524</v>
      </c>
      <c r="AG428" s="98">
        <v>2</v>
      </c>
      <c r="AH428" s="98" t="s">
        <v>2</v>
      </c>
      <c r="AI428" s="98">
        <v>1</v>
      </c>
      <c r="AJ428" s="98">
        <v>202324</v>
      </c>
      <c r="AK428" s="207">
        <v>133820</v>
      </c>
    </row>
    <row r="429" spans="30:37" x14ac:dyDescent="0.35">
      <c r="AD429" s="98" t="str">
        <f t="shared" si="19"/>
        <v>526_2_202324</v>
      </c>
      <c r="AE429" s="98" t="s">
        <v>1</v>
      </c>
      <c r="AF429" s="98">
        <v>526</v>
      </c>
      <c r="AG429" s="98">
        <v>2</v>
      </c>
      <c r="AH429" s="98" t="s">
        <v>2</v>
      </c>
      <c r="AI429" s="98">
        <v>1</v>
      </c>
      <c r="AJ429" s="98">
        <v>202324</v>
      </c>
      <c r="AK429" s="207">
        <v>190000</v>
      </c>
    </row>
    <row r="430" spans="30:37" x14ac:dyDescent="0.35">
      <c r="AD430" s="98" t="str">
        <f t="shared" si="19"/>
        <v>528_2_202324</v>
      </c>
      <c r="AE430" s="98" t="s">
        <v>1</v>
      </c>
      <c r="AF430" s="98">
        <v>528</v>
      </c>
      <c r="AG430" s="98">
        <v>2</v>
      </c>
      <c r="AH430" s="98" t="s">
        <v>2</v>
      </c>
      <c r="AI430" s="98">
        <v>1</v>
      </c>
      <c r="AJ430" s="98">
        <v>202324</v>
      </c>
      <c r="AK430" s="207">
        <v>290260</v>
      </c>
    </row>
    <row r="431" spans="30:37" x14ac:dyDescent="0.35">
      <c r="AD431" s="98" t="str">
        <f t="shared" si="19"/>
        <v>530_2_202324</v>
      </c>
      <c r="AE431" s="98" t="s">
        <v>1</v>
      </c>
      <c r="AF431" s="98">
        <v>530</v>
      </c>
      <c r="AG431" s="98">
        <v>2</v>
      </c>
      <c r="AH431" s="98" t="s">
        <v>2</v>
      </c>
      <c r="AI431" s="98">
        <v>1</v>
      </c>
      <c r="AJ431" s="98">
        <v>202324</v>
      </c>
      <c r="AK431" s="207">
        <v>251028</v>
      </c>
    </row>
    <row r="432" spans="30:37" x14ac:dyDescent="0.35">
      <c r="AD432" s="98" t="str">
        <f t="shared" si="19"/>
        <v>532_2_202324</v>
      </c>
      <c r="AE432" s="98" t="s">
        <v>1</v>
      </c>
      <c r="AF432" s="98">
        <v>532</v>
      </c>
      <c r="AG432" s="98">
        <v>2</v>
      </c>
      <c r="AH432" s="98" t="s">
        <v>2</v>
      </c>
      <c r="AI432" s="98">
        <v>1</v>
      </c>
      <c r="AJ432" s="98">
        <v>202324</v>
      </c>
      <c r="AK432" s="207">
        <v>418000</v>
      </c>
    </row>
    <row r="433" spans="30:37" x14ac:dyDescent="0.35">
      <c r="AD433" s="98" t="str">
        <f t="shared" si="19"/>
        <v>534_2_202324</v>
      </c>
      <c r="AE433" s="98" t="s">
        <v>1</v>
      </c>
      <c r="AF433" s="98">
        <v>534</v>
      </c>
      <c r="AG433" s="98">
        <v>2</v>
      </c>
      <c r="AH433" s="98" t="s">
        <v>2</v>
      </c>
      <c r="AI433" s="98">
        <v>1</v>
      </c>
      <c r="AJ433" s="98">
        <v>202324</v>
      </c>
      <c r="AK433" s="207">
        <v>387000</v>
      </c>
    </row>
    <row r="434" spans="30:37" x14ac:dyDescent="0.35">
      <c r="AD434" s="98" t="str">
        <f t="shared" si="19"/>
        <v>536_2_202324</v>
      </c>
      <c r="AE434" s="98" t="s">
        <v>1</v>
      </c>
      <c r="AF434" s="98">
        <v>536</v>
      </c>
      <c r="AG434" s="98">
        <v>2</v>
      </c>
      <c r="AH434" s="98" t="s">
        <v>2</v>
      </c>
      <c r="AI434" s="98">
        <v>1</v>
      </c>
      <c r="AJ434" s="98">
        <v>202324</v>
      </c>
      <c r="AK434" s="207">
        <v>304000</v>
      </c>
    </row>
    <row r="435" spans="30:37" x14ac:dyDescent="0.35">
      <c r="AD435" s="98" t="str">
        <f t="shared" si="19"/>
        <v>538_2_202324</v>
      </c>
      <c r="AE435" s="98" t="s">
        <v>1</v>
      </c>
      <c r="AF435" s="98">
        <v>538</v>
      </c>
      <c r="AG435" s="98">
        <v>2</v>
      </c>
      <c r="AH435" s="98" t="s">
        <v>2</v>
      </c>
      <c r="AI435" s="98">
        <v>1</v>
      </c>
      <c r="AJ435" s="98">
        <v>202324</v>
      </c>
      <c r="AK435" s="207">
        <v>290000</v>
      </c>
    </row>
    <row r="436" spans="30:37" x14ac:dyDescent="0.35">
      <c r="AD436" s="98" t="str">
        <f t="shared" si="19"/>
        <v>540_2_202324</v>
      </c>
      <c r="AE436" s="98" t="s">
        <v>1</v>
      </c>
      <c r="AF436" s="98">
        <v>540</v>
      </c>
      <c r="AG436" s="98">
        <v>2</v>
      </c>
      <c r="AH436" s="98" t="s">
        <v>2</v>
      </c>
      <c r="AI436" s="98">
        <v>1</v>
      </c>
      <c r="AJ436" s="98">
        <v>202324</v>
      </c>
      <c r="AK436" s="207">
        <v>425000</v>
      </c>
    </row>
    <row r="437" spans="30:37" x14ac:dyDescent="0.35">
      <c r="AD437" s="98" t="str">
        <f t="shared" si="19"/>
        <v>542_2_202324</v>
      </c>
      <c r="AE437" s="98" t="s">
        <v>1</v>
      </c>
      <c r="AF437" s="98">
        <v>542</v>
      </c>
      <c r="AG437" s="98">
        <v>2</v>
      </c>
      <c r="AH437" s="98" t="s">
        <v>2</v>
      </c>
      <c r="AI437" s="98">
        <v>1</v>
      </c>
      <c r="AJ437" s="98">
        <v>202324</v>
      </c>
      <c r="AK437" s="207">
        <v>94000</v>
      </c>
    </row>
    <row r="438" spans="30:37" x14ac:dyDescent="0.35">
      <c r="AD438" s="98" t="str">
        <f t="shared" si="19"/>
        <v>544_2_202324</v>
      </c>
      <c r="AE438" s="98" t="s">
        <v>1</v>
      </c>
      <c r="AF438" s="98">
        <v>544</v>
      </c>
      <c r="AG438" s="98">
        <v>2</v>
      </c>
      <c r="AH438" s="98" t="s">
        <v>2</v>
      </c>
      <c r="AI438" s="98">
        <v>1</v>
      </c>
      <c r="AJ438" s="98">
        <v>202324</v>
      </c>
      <c r="AK438" s="207">
        <v>196735</v>
      </c>
    </row>
    <row r="439" spans="30:37" x14ac:dyDescent="0.35">
      <c r="AD439" s="98" t="str">
        <f t="shared" si="19"/>
        <v>545_2_202324</v>
      </c>
      <c r="AE439" s="98" t="s">
        <v>1</v>
      </c>
      <c r="AF439" s="98">
        <v>545</v>
      </c>
      <c r="AG439" s="98">
        <v>2</v>
      </c>
      <c r="AH439" s="98" t="s">
        <v>2</v>
      </c>
      <c r="AI439" s="98">
        <v>1</v>
      </c>
      <c r="AJ439" s="98">
        <v>202324</v>
      </c>
      <c r="AK439" s="207">
        <v>208000</v>
      </c>
    </row>
    <row r="440" spans="30:37" x14ac:dyDescent="0.35">
      <c r="AD440" s="98" t="str">
        <f t="shared" si="19"/>
        <v>546_2_202324</v>
      </c>
      <c r="AE440" s="98" t="s">
        <v>1</v>
      </c>
      <c r="AF440" s="98">
        <v>546</v>
      </c>
      <c r="AG440" s="98">
        <v>2</v>
      </c>
      <c r="AH440" s="98" t="s">
        <v>2</v>
      </c>
      <c r="AI440" s="98">
        <v>1</v>
      </c>
      <c r="AJ440" s="98">
        <v>202324</v>
      </c>
      <c r="AK440" s="207">
        <v>89000</v>
      </c>
    </row>
    <row r="441" spans="30:37" x14ac:dyDescent="0.35">
      <c r="AD441" s="98" t="str">
        <f t="shared" si="19"/>
        <v>548_2_202324</v>
      </c>
      <c r="AE441" s="98" t="s">
        <v>1</v>
      </c>
      <c r="AF441" s="98">
        <v>548</v>
      </c>
      <c r="AG441" s="98">
        <v>2</v>
      </c>
      <c r="AH441" s="98" t="s">
        <v>2</v>
      </c>
      <c r="AI441" s="98">
        <v>1</v>
      </c>
      <c r="AJ441" s="98">
        <v>202324</v>
      </c>
      <c r="AK441" s="207">
        <v>6000</v>
      </c>
    </row>
    <row r="442" spans="30:37" x14ac:dyDescent="0.35">
      <c r="AD442" s="98" t="str">
        <f t="shared" si="19"/>
        <v>550_2_202324</v>
      </c>
      <c r="AE442" s="98" t="s">
        <v>1</v>
      </c>
      <c r="AF442" s="98">
        <v>550</v>
      </c>
      <c r="AG442" s="98">
        <v>2</v>
      </c>
      <c r="AH442" s="98" t="s">
        <v>2</v>
      </c>
      <c r="AI442" s="98">
        <v>1</v>
      </c>
      <c r="AJ442" s="98">
        <v>202324</v>
      </c>
      <c r="AK442" s="207">
        <v>0</v>
      </c>
    </row>
    <row r="443" spans="30:37" x14ac:dyDescent="0.35">
      <c r="AD443" s="98" t="str">
        <f t="shared" si="19"/>
        <v>552_2_202324</v>
      </c>
      <c r="AE443" s="98" t="s">
        <v>1</v>
      </c>
      <c r="AF443" s="98">
        <v>552</v>
      </c>
      <c r="AG443" s="98">
        <v>2</v>
      </c>
      <c r="AH443" s="98" t="s">
        <v>2</v>
      </c>
      <c r="AI443" s="98">
        <v>1</v>
      </c>
      <c r="AJ443" s="98">
        <v>202324</v>
      </c>
      <c r="AK443" s="207">
        <v>400000</v>
      </c>
    </row>
    <row r="444" spans="30:37" x14ac:dyDescent="0.35">
      <c r="AD444" s="98" t="str">
        <f t="shared" si="19"/>
        <v>512_3_202324</v>
      </c>
      <c r="AE444" s="98" t="s">
        <v>1</v>
      </c>
      <c r="AF444" s="98">
        <v>512</v>
      </c>
      <c r="AG444" s="98">
        <v>3</v>
      </c>
      <c r="AH444" s="98" t="s">
        <v>3</v>
      </c>
      <c r="AI444" s="98">
        <v>1</v>
      </c>
      <c r="AJ444" s="98">
        <v>202324</v>
      </c>
      <c r="AK444" s="207">
        <v>22822905</v>
      </c>
    </row>
    <row r="445" spans="30:37" x14ac:dyDescent="0.35">
      <c r="AD445" s="98" t="str">
        <f t="shared" si="19"/>
        <v>514_3_202324</v>
      </c>
      <c r="AE445" s="98" t="s">
        <v>1</v>
      </c>
      <c r="AF445" s="98">
        <v>514</v>
      </c>
      <c r="AG445" s="98">
        <v>3</v>
      </c>
      <c r="AH445" s="98" t="s">
        <v>3</v>
      </c>
      <c r="AI445" s="98">
        <v>1</v>
      </c>
      <c r="AJ445" s="98">
        <v>202324</v>
      </c>
      <c r="AK445" s="207">
        <v>39171960</v>
      </c>
    </row>
    <row r="446" spans="30:37" x14ac:dyDescent="0.35">
      <c r="AD446" s="98" t="str">
        <f t="shared" si="19"/>
        <v>516_3_202324</v>
      </c>
      <c r="AE446" s="98" t="s">
        <v>1</v>
      </c>
      <c r="AF446" s="98">
        <v>516</v>
      </c>
      <c r="AG446" s="98">
        <v>3</v>
      </c>
      <c r="AH446" s="98" t="s">
        <v>3</v>
      </c>
      <c r="AI446" s="98">
        <v>1</v>
      </c>
      <c r="AJ446" s="98">
        <v>202324</v>
      </c>
      <c r="AK446" s="207">
        <v>38526953</v>
      </c>
    </row>
    <row r="447" spans="30:37" x14ac:dyDescent="0.35">
      <c r="AD447" s="98" t="str">
        <f t="shared" si="19"/>
        <v>518_3_202324</v>
      </c>
      <c r="AE447" s="98" t="s">
        <v>1</v>
      </c>
      <c r="AF447" s="98">
        <v>518</v>
      </c>
      <c r="AG447" s="98">
        <v>3</v>
      </c>
      <c r="AH447" s="98" t="s">
        <v>3</v>
      </c>
      <c r="AI447" s="98">
        <v>1</v>
      </c>
      <c r="AJ447" s="98">
        <v>202324</v>
      </c>
      <c r="AK447" s="207">
        <v>31436800</v>
      </c>
    </row>
    <row r="448" spans="30:37" x14ac:dyDescent="0.35">
      <c r="AD448" s="98" t="str">
        <f t="shared" si="19"/>
        <v>520_3_202324</v>
      </c>
      <c r="AE448" s="98" t="s">
        <v>1</v>
      </c>
      <c r="AF448" s="98">
        <v>520</v>
      </c>
      <c r="AG448" s="98">
        <v>3</v>
      </c>
      <c r="AH448" s="98" t="s">
        <v>3</v>
      </c>
      <c r="AI448" s="98">
        <v>1</v>
      </c>
      <c r="AJ448" s="98">
        <v>202324</v>
      </c>
      <c r="AK448" s="207">
        <v>50840308</v>
      </c>
    </row>
    <row r="449" spans="30:37" x14ac:dyDescent="0.35">
      <c r="AD449" s="98" t="str">
        <f t="shared" si="19"/>
        <v>522_3_202324</v>
      </c>
      <c r="AE449" s="98" t="s">
        <v>1</v>
      </c>
      <c r="AF449" s="98">
        <v>522</v>
      </c>
      <c r="AG449" s="98">
        <v>3</v>
      </c>
      <c r="AH449" s="98" t="s">
        <v>3</v>
      </c>
      <c r="AI449" s="98">
        <v>1</v>
      </c>
      <c r="AJ449" s="98">
        <v>202324</v>
      </c>
      <c r="AK449" s="207">
        <v>43935907</v>
      </c>
    </row>
    <row r="450" spans="30:37" x14ac:dyDescent="0.35">
      <c r="AD450" s="98" t="str">
        <f t="shared" si="19"/>
        <v>524_3_202324</v>
      </c>
      <c r="AE450" s="98" t="s">
        <v>1</v>
      </c>
      <c r="AF450" s="98">
        <v>524</v>
      </c>
      <c r="AG450" s="98">
        <v>3</v>
      </c>
      <c r="AH450" s="98" t="s">
        <v>3</v>
      </c>
      <c r="AI450" s="98">
        <v>1</v>
      </c>
      <c r="AJ450" s="98">
        <v>202324</v>
      </c>
      <c r="AK450" s="207">
        <v>44982761</v>
      </c>
    </row>
    <row r="451" spans="30:37" x14ac:dyDescent="0.35">
      <c r="AD451" s="98" t="str">
        <f t="shared" si="19"/>
        <v>526_3_202324</v>
      </c>
      <c r="AE451" s="98" t="s">
        <v>1</v>
      </c>
      <c r="AF451" s="98">
        <v>526</v>
      </c>
      <c r="AG451" s="98">
        <v>3</v>
      </c>
      <c r="AH451" s="98" t="s">
        <v>3</v>
      </c>
      <c r="AI451" s="98">
        <v>1</v>
      </c>
      <c r="AJ451" s="98">
        <v>202324</v>
      </c>
      <c r="AK451" s="207">
        <v>24614408</v>
      </c>
    </row>
    <row r="452" spans="30:37" x14ac:dyDescent="0.35">
      <c r="AD452" s="98" t="str">
        <f t="shared" ref="AD452:AD515" si="20">AF452&amp;"_"&amp;AG452&amp;"_"&amp;AJ452</f>
        <v>528_3_202324</v>
      </c>
      <c r="AE452" s="98" t="s">
        <v>1</v>
      </c>
      <c r="AF452" s="98">
        <v>528</v>
      </c>
      <c r="AG452" s="98">
        <v>3</v>
      </c>
      <c r="AH452" s="98" t="s">
        <v>3</v>
      </c>
      <c r="AI452" s="98">
        <v>1</v>
      </c>
      <c r="AJ452" s="98">
        <v>202324</v>
      </c>
      <c r="AK452" s="207">
        <v>40938040</v>
      </c>
    </row>
    <row r="453" spans="30:37" x14ac:dyDescent="0.35">
      <c r="AD453" s="98" t="str">
        <f t="shared" si="20"/>
        <v>530_3_202324</v>
      </c>
      <c r="AE453" s="98" t="s">
        <v>1</v>
      </c>
      <c r="AF453" s="98">
        <v>530</v>
      </c>
      <c r="AG453" s="98">
        <v>3</v>
      </c>
      <c r="AH453" s="98" t="s">
        <v>3</v>
      </c>
      <c r="AI453" s="98">
        <v>1</v>
      </c>
      <c r="AJ453" s="98">
        <v>202324</v>
      </c>
      <c r="AK453" s="207">
        <v>61980513</v>
      </c>
    </row>
    <row r="454" spans="30:37" x14ac:dyDescent="0.35">
      <c r="AD454" s="98" t="str">
        <f t="shared" si="20"/>
        <v>532_3_202324</v>
      </c>
      <c r="AE454" s="98" t="s">
        <v>1</v>
      </c>
      <c r="AF454" s="98">
        <v>532</v>
      </c>
      <c r="AG454" s="98">
        <v>3</v>
      </c>
      <c r="AH454" s="98" t="s">
        <v>3</v>
      </c>
      <c r="AI454" s="98">
        <v>1</v>
      </c>
      <c r="AJ454" s="98">
        <v>202324</v>
      </c>
      <c r="AK454" s="207">
        <v>79002459</v>
      </c>
    </row>
    <row r="455" spans="30:37" x14ac:dyDescent="0.35">
      <c r="AD455" s="98" t="str">
        <f t="shared" si="20"/>
        <v>534_3_202324</v>
      </c>
      <c r="AE455" s="98" t="s">
        <v>1</v>
      </c>
      <c r="AF455" s="98">
        <v>534</v>
      </c>
      <c r="AG455" s="98">
        <v>3</v>
      </c>
      <c r="AH455" s="98" t="s">
        <v>3</v>
      </c>
      <c r="AI455" s="98">
        <v>1</v>
      </c>
      <c r="AJ455" s="98">
        <v>202324</v>
      </c>
      <c r="AK455" s="207">
        <v>46747611</v>
      </c>
    </row>
    <row r="456" spans="30:37" x14ac:dyDescent="0.35">
      <c r="AD456" s="98" t="str">
        <f t="shared" si="20"/>
        <v>536_3_202324</v>
      </c>
      <c r="AE456" s="98" t="s">
        <v>1</v>
      </c>
      <c r="AF456" s="98">
        <v>536</v>
      </c>
      <c r="AG456" s="98">
        <v>3</v>
      </c>
      <c r="AH456" s="98" t="s">
        <v>3</v>
      </c>
      <c r="AI456" s="98">
        <v>1</v>
      </c>
      <c r="AJ456" s="98">
        <v>202324</v>
      </c>
      <c r="AK456" s="207">
        <v>47625526</v>
      </c>
    </row>
    <row r="457" spans="30:37" x14ac:dyDescent="0.35">
      <c r="AD457" s="98" t="str">
        <f t="shared" si="20"/>
        <v>538_3_202324</v>
      </c>
      <c r="AE457" s="98" t="s">
        <v>1</v>
      </c>
      <c r="AF457" s="98">
        <v>538</v>
      </c>
      <c r="AG457" s="98">
        <v>3</v>
      </c>
      <c r="AH457" s="98" t="s">
        <v>3</v>
      </c>
      <c r="AI457" s="98">
        <v>1</v>
      </c>
      <c r="AJ457" s="98">
        <v>202324</v>
      </c>
      <c r="AK457" s="207">
        <v>42784080</v>
      </c>
    </row>
    <row r="458" spans="30:37" x14ac:dyDescent="0.35">
      <c r="AD458" s="98" t="str">
        <f t="shared" si="20"/>
        <v>540_3_202324</v>
      </c>
      <c r="AE458" s="98" t="s">
        <v>1</v>
      </c>
      <c r="AF458" s="98">
        <v>540</v>
      </c>
      <c r="AG458" s="98">
        <v>3</v>
      </c>
      <c r="AH458" s="98" t="s">
        <v>3</v>
      </c>
      <c r="AI458" s="98">
        <v>1</v>
      </c>
      <c r="AJ458" s="98">
        <v>202324</v>
      </c>
      <c r="AK458" s="207">
        <v>77188813</v>
      </c>
    </row>
    <row r="459" spans="30:37" x14ac:dyDescent="0.35">
      <c r="AD459" s="98" t="str">
        <f t="shared" si="20"/>
        <v>542_3_202324</v>
      </c>
      <c r="AE459" s="98" t="s">
        <v>1</v>
      </c>
      <c r="AF459" s="98">
        <v>542</v>
      </c>
      <c r="AG459" s="98">
        <v>3</v>
      </c>
      <c r="AH459" s="98" t="s">
        <v>3</v>
      </c>
      <c r="AI459" s="98">
        <v>1</v>
      </c>
      <c r="AJ459" s="98">
        <v>202324</v>
      </c>
      <c r="AK459" s="207">
        <v>19023803</v>
      </c>
    </row>
    <row r="460" spans="30:37" x14ac:dyDescent="0.35">
      <c r="AD460" s="98" t="str">
        <f t="shared" si="20"/>
        <v>544_3_202324</v>
      </c>
      <c r="AE460" s="98" t="s">
        <v>1</v>
      </c>
      <c r="AF460" s="98">
        <v>544</v>
      </c>
      <c r="AG460" s="98">
        <v>3</v>
      </c>
      <c r="AH460" s="98" t="s">
        <v>3</v>
      </c>
      <c r="AI460" s="98">
        <v>1</v>
      </c>
      <c r="AJ460" s="98">
        <v>202324</v>
      </c>
      <c r="AK460" s="207">
        <v>57143168</v>
      </c>
    </row>
    <row r="461" spans="30:37" x14ac:dyDescent="0.35">
      <c r="AD461" s="98" t="str">
        <f t="shared" si="20"/>
        <v>545_3_202324</v>
      </c>
      <c r="AE461" s="98" t="s">
        <v>1</v>
      </c>
      <c r="AF461" s="98">
        <v>545</v>
      </c>
      <c r="AG461" s="98">
        <v>3</v>
      </c>
      <c r="AH461" s="98" t="s">
        <v>3</v>
      </c>
      <c r="AI461" s="98">
        <v>1</v>
      </c>
      <c r="AJ461" s="98">
        <v>202324</v>
      </c>
      <c r="AK461" s="207">
        <v>22038072</v>
      </c>
    </row>
    <row r="462" spans="30:37" x14ac:dyDescent="0.35">
      <c r="AD462" s="98" t="str">
        <f t="shared" si="20"/>
        <v>546_3_202324</v>
      </c>
      <c r="AE462" s="98" t="s">
        <v>1</v>
      </c>
      <c r="AF462" s="98">
        <v>546</v>
      </c>
      <c r="AG462" s="98">
        <v>3</v>
      </c>
      <c r="AH462" s="98" t="s">
        <v>3</v>
      </c>
      <c r="AI462" s="98">
        <v>1</v>
      </c>
      <c r="AJ462" s="98">
        <v>202324</v>
      </c>
      <c r="AK462" s="207">
        <v>29949553</v>
      </c>
    </row>
    <row r="463" spans="30:37" x14ac:dyDescent="0.35">
      <c r="AD463" s="98" t="str">
        <f t="shared" si="20"/>
        <v>548_3_202324</v>
      </c>
      <c r="AE463" s="98" t="s">
        <v>1</v>
      </c>
      <c r="AF463" s="98">
        <v>548</v>
      </c>
      <c r="AG463" s="98">
        <v>3</v>
      </c>
      <c r="AH463" s="98" t="s">
        <v>3</v>
      </c>
      <c r="AI463" s="98">
        <v>1</v>
      </c>
      <c r="AJ463" s="98">
        <v>202324</v>
      </c>
      <c r="AK463" s="207">
        <v>31223985</v>
      </c>
    </row>
    <row r="464" spans="30:37" x14ac:dyDescent="0.35">
      <c r="AD464" s="98" t="str">
        <f t="shared" si="20"/>
        <v>550_3_202324</v>
      </c>
      <c r="AE464" s="98" t="s">
        <v>1</v>
      </c>
      <c r="AF464" s="98">
        <v>550</v>
      </c>
      <c r="AG464" s="98">
        <v>3</v>
      </c>
      <c r="AH464" s="98" t="s">
        <v>3</v>
      </c>
      <c r="AI464" s="98">
        <v>1</v>
      </c>
      <c r="AJ464" s="98">
        <v>202324</v>
      </c>
      <c r="AK464" s="207">
        <v>50707452</v>
      </c>
    </row>
    <row r="465" spans="30:37" x14ac:dyDescent="0.35">
      <c r="AD465" s="98" t="str">
        <f t="shared" si="20"/>
        <v>552_3_202324</v>
      </c>
      <c r="AE465" s="98" t="s">
        <v>1</v>
      </c>
      <c r="AF465" s="98">
        <v>552</v>
      </c>
      <c r="AG465" s="98">
        <v>3</v>
      </c>
      <c r="AH465" s="98" t="s">
        <v>3</v>
      </c>
      <c r="AI465" s="98">
        <v>1</v>
      </c>
      <c r="AJ465" s="98">
        <v>202324</v>
      </c>
      <c r="AK465" s="207">
        <v>118292923</v>
      </c>
    </row>
    <row r="466" spans="30:37" x14ac:dyDescent="0.35">
      <c r="AD466" s="98" t="str">
        <f t="shared" si="20"/>
        <v>512_4_202324</v>
      </c>
      <c r="AE466" s="98" t="s">
        <v>1</v>
      </c>
      <c r="AF466" s="98">
        <v>512</v>
      </c>
      <c r="AG466" s="98">
        <v>4</v>
      </c>
      <c r="AH466" s="98" t="s">
        <v>4</v>
      </c>
      <c r="AI466" s="98">
        <v>1</v>
      </c>
      <c r="AJ466" s="98">
        <v>202324</v>
      </c>
      <c r="AK466" s="207">
        <v>100842008</v>
      </c>
    </row>
    <row r="467" spans="30:37" x14ac:dyDescent="0.35">
      <c r="AD467" s="98" t="str">
        <f t="shared" si="20"/>
        <v>514_4_202324</v>
      </c>
      <c r="AE467" s="98" t="s">
        <v>1</v>
      </c>
      <c r="AF467" s="98">
        <v>514</v>
      </c>
      <c r="AG467" s="98">
        <v>4</v>
      </c>
      <c r="AH467" s="98" t="s">
        <v>4</v>
      </c>
      <c r="AI467" s="98">
        <v>1</v>
      </c>
      <c r="AJ467" s="98">
        <v>202324</v>
      </c>
      <c r="AK467" s="207">
        <v>188864012</v>
      </c>
    </row>
    <row r="468" spans="30:37" x14ac:dyDescent="0.35">
      <c r="AD468" s="98" t="str">
        <f t="shared" si="20"/>
        <v>516_4_202324</v>
      </c>
      <c r="AE468" s="98" t="s">
        <v>1</v>
      </c>
      <c r="AF468" s="98">
        <v>516</v>
      </c>
      <c r="AG468" s="98">
        <v>4</v>
      </c>
      <c r="AH468" s="98" t="s">
        <v>4</v>
      </c>
      <c r="AI468" s="98">
        <v>1</v>
      </c>
      <c r="AJ468" s="98">
        <v>202324</v>
      </c>
      <c r="AK468" s="207">
        <v>160071207</v>
      </c>
    </row>
    <row r="469" spans="30:37" x14ac:dyDescent="0.35">
      <c r="AD469" s="98" t="str">
        <f t="shared" si="20"/>
        <v>518_4_202324</v>
      </c>
      <c r="AE469" s="98" t="s">
        <v>1</v>
      </c>
      <c r="AF469" s="98">
        <v>518</v>
      </c>
      <c r="AG469" s="98">
        <v>4</v>
      </c>
      <c r="AH469" s="98" t="s">
        <v>4</v>
      </c>
      <c r="AI469" s="98">
        <v>1</v>
      </c>
      <c r="AJ469" s="98">
        <v>202324</v>
      </c>
      <c r="AK469" s="207">
        <v>156586857</v>
      </c>
    </row>
    <row r="470" spans="30:37" x14ac:dyDescent="0.35">
      <c r="AD470" s="98" t="str">
        <f t="shared" si="20"/>
        <v>520_4_202324</v>
      </c>
      <c r="AE470" s="98" t="s">
        <v>1</v>
      </c>
      <c r="AF470" s="98">
        <v>520</v>
      </c>
      <c r="AG470" s="98">
        <v>4</v>
      </c>
      <c r="AH470" s="98" t="s">
        <v>4</v>
      </c>
      <c r="AI470" s="98">
        <v>1</v>
      </c>
      <c r="AJ470" s="98">
        <v>202324</v>
      </c>
      <c r="AK470" s="207">
        <v>201154481</v>
      </c>
    </row>
    <row r="471" spans="30:37" x14ac:dyDescent="0.35">
      <c r="AD471" s="98" t="str">
        <f t="shared" si="20"/>
        <v>522_4_202324</v>
      </c>
      <c r="AE471" s="98" t="s">
        <v>1</v>
      </c>
      <c r="AF471" s="98">
        <v>522</v>
      </c>
      <c r="AG471" s="98">
        <v>4</v>
      </c>
      <c r="AH471" s="98" t="s">
        <v>4</v>
      </c>
      <c r="AI471" s="98">
        <v>1</v>
      </c>
      <c r="AJ471" s="98">
        <v>202324</v>
      </c>
      <c r="AK471" s="207">
        <v>180900532</v>
      </c>
    </row>
    <row r="472" spans="30:37" x14ac:dyDescent="0.35">
      <c r="AD472" s="98" t="str">
        <f t="shared" si="20"/>
        <v>524_4_202324</v>
      </c>
      <c r="AE472" s="98" t="s">
        <v>1</v>
      </c>
      <c r="AF472" s="98">
        <v>524</v>
      </c>
      <c r="AG472" s="98">
        <v>4</v>
      </c>
      <c r="AH472" s="98" t="s">
        <v>4</v>
      </c>
      <c r="AI472" s="98">
        <v>1</v>
      </c>
      <c r="AJ472" s="98">
        <v>202324</v>
      </c>
      <c r="AK472" s="207">
        <v>183681843</v>
      </c>
    </row>
    <row r="473" spans="30:37" x14ac:dyDescent="0.35">
      <c r="AD473" s="98" t="str">
        <f t="shared" si="20"/>
        <v>526_4_202324</v>
      </c>
      <c r="AE473" s="98" t="s">
        <v>1</v>
      </c>
      <c r="AF473" s="98">
        <v>526</v>
      </c>
      <c r="AG473" s="98">
        <v>4</v>
      </c>
      <c r="AH473" s="98" t="s">
        <v>4</v>
      </c>
      <c r="AI473" s="98">
        <v>1</v>
      </c>
      <c r="AJ473" s="98">
        <v>202324</v>
      </c>
      <c r="AK473" s="207">
        <v>104583186</v>
      </c>
    </row>
    <row r="474" spans="30:37" x14ac:dyDescent="0.35">
      <c r="AD474" s="98" t="str">
        <f t="shared" si="20"/>
        <v>528_4_202324</v>
      </c>
      <c r="AE474" s="98" t="s">
        <v>1</v>
      </c>
      <c r="AF474" s="98">
        <v>528</v>
      </c>
      <c r="AG474" s="98">
        <v>4</v>
      </c>
      <c r="AH474" s="98" t="s">
        <v>4</v>
      </c>
      <c r="AI474" s="98">
        <v>1</v>
      </c>
      <c r="AJ474" s="98">
        <v>202324</v>
      </c>
      <c r="AK474" s="207">
        <v>171736993</v>
      </c>
    </row>
    <row r="475" spans="30:37" x14ac:dyDescent="0.35">
      <c r="AD475" s="98" t="str">
        <f t="shared" si="20"/>
        <v>530_4_202324</v>
      </c>
      <c r="AE475" s="98" t="s">
        <v>1</v>
      </c>
      <c r="AF475" s="98">
        <v>530</v>
      </c>
      <c r="AG475" s="98">
        <v>4</v>
      </c>
      <c r="AH475" s="98" t="s">
        <v>4</v>
      </c>
      <c r="AI475" s="98">
        <v>1</v>
      </c>
      <c r="AJ475" s="98">
        <v>202324</v>
      </c>
      <c r="AK475" s="207">
        <v>276429944</v>
      </c>
    </row>
    <row r="476" spans="30:37" x14ac:dyDescent="0.35">
      <c r="AD476" s="98" t="str">
        <f t="shared" si="20"/>
        <v>532_4_202324</v>
      </c>
      <c r="AE476" s="98" t="s">
        <v>1</v>
      </c>
      <c r="AF476" s="98">
        <v>532</v>
      </c>
      <c r="AG476" s="98">
        <v>4</v>
      </c>
      <c r="AH476" s="98" t="s">
        <v>4</v>
      </c>
      <c r="AI476" s="98">
        <v>1</v>
      </c>
      <c r="AJ476" s="98">
        <v>202324</v>
      </c>
      <c r="AK476" s="207">
        <v>339280016</v>
      </c>
    </row>
    <row r="477" spans="30:37" x14ac:dyDescent="0.35">
      <c r="AD477" s="98" t="str">
        <f t="shared" si="20"/>
        <v>534_4_202324</v>
      </c>
      <c r="AE477" s="98" t="s">
        <v>1</v>
      </c>
      <c r="AF477" s="98">
        <v>534</v>
      </c>
      <c r="AG477" s="98">
        <v>4</v>
      </c>
      <c r="AH477" s="98" t="s">
        <v>4</v>
      </c>
      <c r="AI477" s="98">
        <v>1</v>
      </c>
      <c r="AJ477" s="98">
        <v>202324</v>
      </c>
      <c r="AK477" s="207">
        <v>229948378</v>
      </c>
    </row>
    <row r="478" spans="30:37" x14ac:dyDescent="0.35">
      <c r="AD478" s="98" t="str">
        <f t="shared" si="20"/>
        <v>536_4_202324</v>
      </c>
      <c r="AE478" s="98" t="s">
        <v>1</v>
      </c>
      <c r="AF478" s="98">
        <v>536</v>
      </c>
      <c r="AG478" s="98">
        <v>4</v>
      </c>
      <c r="AH478" s="98" t="s">
        <v>4</v>
      </c>
      <c r="AI478" s="98">
        <v>1</v>
      </c>
      <c r="AJ478" s="98">
        <v>202324</v>
      </c>
      <c r="AK478" s="207">
        <v>202556406</v>
      </c>
    </row>
    <row r="479" spans="30:37" x14ac:dyDescent="0.35">
      <c r="AD479" s="98" t="str">
        <f t="shared" si="20"/>
        <v>538_4_202324</v>
      </c>
      <c r="AE479" s="98" t="s">
        <v>1</v>
      </c>
      <c r="AF479" s="98">
        <v>538</v>
      </c>
      <c r="AG479" s="98">
        <v>4</v>
      </c>
      <c r="AH479" s="98" t="s">
        <v>4</v>
      </c>
      <c r="AI479" s="98">
        <v>1</v>
      </c>
      <c r="AJ479" s="98">
        <v>202324</v>
      </c>
      <c r="AK479" s="207">
        <v>160012897</v>
      </c>
    </row>
    <row r="480" spans="30:37" x14ac:dyDescent="0.35">
      <c r="AD480" s="98" t="str">
        <f t="shared" si="20"/>
        <v>540_4_202324</v>
      </c>
      <c r="AE480" s="98" t="s">
        <v>1</v>
      </c>
      <c r="AF480" s="98">
        <v>540</v>
      </c>
      <c r="AG480" s="98">
        <v>4</v>
      </c>
      <c r="AH480" s="98" t="s">
        <v>4</v>
      </c>
      <c r="AI480" s="98">
        <v>1</v>
      </c>
      <c r="AJ480" s="98">
        <v>202324</v>
      </c>
      <c r="AK480" s="207">
        <v>394128477</v>
      </c>
    </row>
    <row r="481" spans="30:37" x14ac:dyDescent="0.35">
      <c r="AD481" s="98" t="str">
        <f t="shared" si="20"/>
        <v>542_4_202324</v>
      </c>
      <c r="AE481" s="98" t="s">
        <v>1</v>
      </c>
      <c r="AF481" s="98">
        <v>542</v>
      </c>
      <c r="AG481" s="98">
        <v>4</v>
      </c>
      <c r="AH481" s="98" t="s">
        <v>4</v>
      </c>
      <c r="AI481" s="98">
        <v>1</v>
      </c>
      <c r="AJ481" s="98">
        <v>202324</v>
      </c>
      <c r="AK481" s="207">
        <v>99590394</v>
      </c>
    </row>
    <row r="482" spans="30:37" x14ac:dyDescent="0.35">
      <c r="AD482" s="98" t="str">
        <f t="shared" si="20"/>
        <v>544_4_202324</v>
      </c>
      <c r="AE482" s="98" t="s">
        <v>1</v>
      </c>
      <c r="AF482" s="98">
        <v>544</v>
      </c>
      <c r="AG482" s="98">
        <v>4</v>
      </c>
      <c r="AH482" s="98" t="s">
        <v>4</v>
      </c>
      <c r="AI482" s="98">
        <v>1</v>
      </c>
      <c r="AJ482" s="98">
        <v>202324</v>
      </c>
      <c r="AK482" s="207">
        <v>282817119</v>
      </c>
    </row>
    <row r="483" spans="30:37" x14ac:dyDescent="0.35">
      <c r="AD483" s="98" t="str">
        <f t="shared" si="20"/>
        <v>545_4_202324</v>
      </c>
      <c r="AE483" s="98" t="s">
        <v>1</v>
      </c>
      <c r="AF483" s="98">
        <v>545</v>
      </c>
      <c r="AG483" s="98">
        <v>4</v>
      </c>
      <c r="AH483" s="98" t="s">
        <v>4</v>
      </c>
      <c r="AI483" s="98">
        <v>1</v>
      </c>
      <c r="AJ483" s="98">
        <v>202324</v>
      </c>
      <c r="AK483" s="207">
        <v>117692418</v>
      </c>
    </row>
    <row r="484" spans="30:37" x14ac:dyDescent="0.35">
      <c r="AD484" s="98" t="str">
        <f t="shared" si="20"/>
        <v>546_4_202324</v>
      </c>
      <c r="AE484" s="98" t="s">
        <v>1</v>
      </c>
      <c r="AF484" s="98">
        <v>546</v>
      </c>
      <c r="AG484" s="98">
        <v>4</v>
      </c>
      <c r="AH484" s="98" t="s">
        <v>4</v>
      </c>
      <c r="AI484" s="98">
        <v>1</v>
      </c>
      <c r="AJ484" s="98">
        <v>202324</v>
      </c>
      <c r="AK484" s="207">
        <v>142455875</v>
      </c>
    </row>
    <row r="485" spans="30:37" x14ac:dyDescent="0.35">
      <c r="AD485" s="98" t="str">
        <f t="shared" si="20"/>
        <v>548_4_202324</v>
      </c>
      <c r="AE485" s="98" t="s">
        <v>1</v>
      </c>
      <c r="AF485" s="98">
        <v>548</v>
      </c>
      <c r="AG485" s="98">
        <v>4</v>
      </c>
      <c r="AH485" s="98" t="s">
        <v>4</v>
      </c>
      <c r="AI485" s="98">
        <v>1</v>
      </c>
      <c r="AJ485" s="98">
        <v>202324</v>
      </c>
      <c r="AK485" s="207">
        <v>91450520</v>
      </c>
    </row>
    <row r="486" spans="30:37" x14ac:dyDescent="0.35">
      <c r="AD486" s="98" t="str">
        <f t="shared" si="20"/>
        <v>550_4_202324</v>
      </c>
      <c r="AE486" s="98" t="s">
        <v>1</v>
      </c>
      <c r="AF486" s="98">
        <v>550</v>
      </c>
      <c r="AG486" s="98">
        <v>4</v>
      </c>
      <c r="AH486" s="98" t="s">
        <v>4</v>
      </c>
      <c r="AI486" s="98">
        <v>1</v>
      </c>
      <c r="AJ486" s="98">
        <v>202324</v>
      </c>
      <c r="AK486" s="207">
        <v>238815012</v>
      </c>
    </row>
    <row r="487" spans="30:37" x14ac:dyDescent="0.35">
      <c r="AD487" s="98" t="str">
        <f t="shared" si="20"/>
        <v>552_4_202324</v>
      </c>
      <c r="AE487" s="98" t="s">
        <v>1</v>
      </c>
      <c r="AF487" s="98">
        <v>552</v>
      </c>
      <c r="AG487" s="98">
        <v>4</v>
      </c>
      <c r="AH487" s="98" t="s">
        <v>4</v>
      </c>
      <c r="AI487" s="98">
        <v>1</v>
      </c>
      <c r="AJ487" s="98">
        <v>202324</v>
      </c>
      <c r="AK487" s="207">
        <v>475312093</v>
      </c>
    </row>
    <row r="488" spans="30:37" x14ac:dyDescent="0.35">
      <c r="AD488" s="98" t="str">
        <f t="shared" si="20"/>
        <v>512_5_202324</v>
      </c>
      <c r="AE488" s="98" t="s">
        <v>1</v>
      </c>
      <c r="AF488" s="98">
        <v>512</v>
      </c>
      <c r="AG488" s="98">
        <v>5</v>
      </c>
      <c r="AH488" s="98" t="s">
        <v>2949</v>
      </c>
      <c r="AI488" s="98">
        <v>1</v>
      </c>
      <c r="AJ488" s="98">
        <v>202324</v>
      </c>
      <c r="AK488" s="207">
        <v>48973749</v>
      </c>
    </row>
    <row r="489" spans="30:37" x14ac:dyDescent="0.35">
      <c r="AD489" s="98" t="str">
        <f t="shared" si="20"/>
        <v>514_5_202324</v>
      </c>
      <c r="AE489" s="98" t="s">
        <v>1</v>
      </c>
      <c r="AF489" s="98">
        <v>514</v>
      </c>
      <c r="AG489" s="98">
        <v>5</v>
      </c>
      <c r="AH489" s="98" t="s">
        <v>2949</v>
      </c>
      <c r="AI489" s="98">
        <v>1</v>
      </c>
      <c r="AJ489" s="98">
        <v>202324</v>
      </c>
      <c r="AK489" s="207">
        <v>92932618</v>
      </c>
    </row>
    <row r="490" spans="30:37" x14ac:dyDescent="0.35">
      <c r="AD490" s="98" t="str">
        <f t="shared" si="20"/>
        <v>516_5_202324</v>
      </c>
      <c r="AE490" s="98" t="s">
        <v>1</v>
      </c>
      <c r="AF490" s="98">
        <v>516</v>
      </c>
      <c r="AG490" s="98">
        <v>5</v>
      </c>
      <c r="AH490" s="98" t="s">
        <v>2949</v>
      </c>
      <c r="AI490" s="98">
        <v>1</v>
      </c>
      <c r="AJ490" s="98">
        <v>202324</v>
      </c>
      <c r="AK490" s="207">
        <v>83783608</v>
      </c>
    </row>
    <row r="491" spans="30:37" x14ac:dyDescent="0.35">
      <c r="AD491" s="98" t="str">
        <f t="shared" si="20"/>
        <v>518_5_202324</v>
      </c>
      <c r="AE491" s="98" t="s">
        <v>1</v>
      </c>
      <c r="AF491" s="98">
        <v>518</v>
      </c>
      <c r="AG491" s="98">
        <v>5</v>
      </c>
      <c r="AH491" s="98" t="s">
        <v>2949</v>
      </c>
      <c r="AI491" s="98">
        <v>1</v>
      </c>
      <c r="AJ491" s="98">
        <v>202324</v>
      </c>
      <c r="AK491" s="207">
        <v>65259156</v>
      </c>
    </row>
    <row r="492" spans="30:37" x14ac:dyDescent="0.35">
      <c r="AD492" s="98" t="str">
        <f t="shared" si="20"/>
        <v>520_5_202324</v>
      </c>
      <c r="AE492" s="98" t="s">
        <v>1</v>
      </c>
      <c r="AF492" s="98">
        <v>520</v>
      </c>
      <c r="AG492" s="98">
        <v>5</v>
      </c>
      <c r="AH492" s="98" t="s">
        <v>2949</v>
      </c>
      <c r="AI492" s="98">
        <v>1</v>
      </c>
      <c r="AJ492" s="98">
        <v>202324</v>
      </c>
      <c r="AK492" s="207">
        <v>103547441</v>
      </c>
    </row>
    <row r="493" spans="30:37" x14ac:dyDescent="0.35">
      <c r="AD493" s="98" t="str">
        <f t="shared" si="20"/>
        <v>522_5_202324</v>
      </c>
      <c r="AE493" s="98" t="s">
        <v>1</v>
      </c>
      <c r="AF493" s="98">
        <v>522</v>
      </c>
      <c r="AG493" s="98">
        <v>5</v>
      </c>
      <c r="AH493" s="98" t="s">
        <v>2949</v>
      </c>
      <c r="AI493" s="98">
        <v>1</v>
      </c>
      <c r="AJ493" s="98">
        <v>202324</v>
      </c>
      <c r="AK493" s="207">
        <v>81292433</v>
      </c>
    </row>
    <row r="494" spans="30:37" x14ac:dyDescent="0.35">
      <c r="AD494" s="98" t="str">
        <f t="shared" si="20"/>
        <v>524_5_202324</v>
      </c>
      <c r="AE494" s="98" t="s">
        <v>1</v>
      </c>
      <c r="AF494" s="98">
        <v>524</v>
      </c>
      <c r="AG494" s="98">
        <v>5</v>
      </c>
      <c r="AH494" s="98" t="s">
        <v>2949</v>
      </c>
      <c r="AI494" s="98">
        <v>1</v>
      </c>
      <c r="AJ494" s="98">
        <v>202324</v>
      </c>
      <c r="AK494" s="207">
        <v>102857846</v>
      </c>
    </row>
    <row r="495" spans="30:37" x14ac:dyDescent="0.35">
      <c r="AD495" s="98" t="str">
        <f t="shared" si="20"/>
        <v>526_5_202324</v>
      </c>
      <c r="AE495" s="98" t="s">
        <v>1</v>
      </c>
      <c r="AF495" s="98">
        <v>526</v>
      </c>
      <c r="AG495" s="98">
        <v>5</v>
      </c>
      <c r="AH495" s="98" t="s">
        <v>2949</v>
      </c>
      <c r="AI495" s="98">
        <v>1</v>
      </c>
      <c r="AJ495" s="98">
        <v>202324</v>
      </c>
      <c r="AK495" s="207">
        <v>52284012</v>
      </c>
    </row>
    <row r="496" spans="30:37" x14ac:dyDescent="0.35">
      <c r="AD496" s="98" t="str">
        <f t="shared" si="20"/>
        <v>528_5_202324</v>
      </c>
      <c r="AE496" s="98" t="s">
        <v>1</v>
      </c>
      <c r="AF496" s="98">
        <v>528</v>
      </c>
      <c r="AG496" s="98">
        <v>5</v>
      </c>
      <c r="AH496" s="98" t="s">
        <v>2949</v>
      </c>
      <c r="AI496" s="98">
        <v>1</v>
      </c>
      <c r="AJ496" s="98">
        <v>202324</v>
      </c>
      <c r="AK496" s="207">
        <v>82799319</v>
      </c>
    </row>
    <row r="497" spans="30:37" x14ac:dyDescent="0.35">
      <c r="AD497" s="98" t="str">
        <f t="shared" si="20"/>
        <v>530_5_202324</v>
      </c>
      <c r="AE497" s="98" t="s">
        <v>1</v>
      </c>
      <c r="AF497" s="98">
        <v>530</v>
      </c>
      <c r="AG497" s="98">
        <v>5</v>
      </c>
      <c r="AH497" s="98" t="s">
        <v>2949</v>
      </c>
      <c r="AI497" s="98">
        <v>1</v>
      </c>
      <c r="AJ497" s="98">
        <v>202324</v>
      </c>
      <c r="AK497" s="207">
        <v>119816134</v>
      </c>
    </row>
    <row r="498" spans="30:37" x14ac:dyDescent="0.35">
      <c r="AD498" s="98" t="str">
        <f t="shared" si="20"/>
        <v>532_5_202324</v>
      </c>
      <c r="AE498" s="98" t="s">
        <v>1</v>
      </c>
      <c r="AF498" s="98">
        <v>532</v>
      </c>
      <c r="AG498" s="98">
        <v>5</v>
      </c>
      <c r="AH498" s="98" t="s">
        <v>2949</v>
      </c>
      <c r="AI498" s="98">
        <v>1</v>
      </c>
      <c r="AJ498" s="98">
        <v>202324</v>
      </c>
      <c r="AK498" s="207">
        <v>143499514</v>
      </c>
    </row>
    <row r="499" spans="30:37" x14ac:dyDescent="0.35">
      <c r="AD499" s="98" t="str">
        <f t="shared" si="20"/>
        <v>534_5_202324</v>
      </c>
      <c r="AE499" s="98" t="s">
        <v>1</v>
      </c>
      <c r="AF499" s="98">
        <v>534</v>
      </c>
      <c r="AG499" s="98">
        <v>5</v>
      </c>
      <c r="AH499" s="98" t="s">
        <v>2949</v>
      </c>
      <c r="AI499" s="98">
        <v>1</v>
      </c>
      <c r="AJ499" s="98">
        <v>202324</v>
      </c>
      <c r="AK499" s="207">
        <v>87247429</v>
      </c>
    </row>
    <row r="500" spans="30:37" x14ac:dyDescent="0.35">
      <c r="AD500" s="98" t="str">
        <f t="shared" si="20"/>
        <v>536_5_202324</v>
      </c>
      <c r="AE500" s="98" t="s">
        <v>1</v>
      </c>
      <c r="AF500" s="98">
        <v>536</v>
      </c>
      <c r="AG500" s="98">
        <v>5</v>
      </c>
      <c r="AH500" s="98" t="s">
        <v>2949</v>
      </c>
      <c r="AI500" s="98">
        <v>1</v>
      </c>
      <c r="AJ500" s="98">
        <v>202324</v>
      </c>
      <c r="AK500" s="207">
        <v>95049832</v>
      </c>
    </row>
    <row r="501" spans="30:37" x14ac:dyDescent="0.35">
      <c r="AD501" s="98" t="str">
        <f t="shared" si="20"/>
        <v>538_5_202324</v>
      </c>
      <c r="AE501" s="98" t="s">
        <v>1</v>
      </c>
      <c r="AF501" s="98">
        <v>538</v>
      </c>
      <c r="AG501" s="98">
        <v>5</v>
      </c>
      <c r="AH501" s="98" t="s">
        <v>2949</v>
      </c>
      <c r="AI501" s="98">
        <v>1</v>
      </c>
      <c r="AJ501" s="98">
        <v>202324</v>
      </c>
      <c r="AK501" s="207">
        <v>94710237</v>
      </c>
    </row>
    <row r="502" spans="30:37" x14ac:dyDescent="0.35">
      <c r="AD502" s="98" t="str">
        <f t="shared" si="20"/>
        <v>540_5_202324</v>
      </c>
      <c r="AE502" s="98" t="s">
        <v>1</v>
      </c>
      <c r="AF502" s="98">
        <v>540</v>
      </c>
      <c r="AG502" s="98">
        <v>5</v>
      </c>
      <c r="AH502" s="98" t="s">
        <v>2949</v>
      </c>
      <c r="AI502" s="98">
        <v>1</v>
      </c>
      <c r="AJ502" s="98">
        <v>202324</v>
      </c>
      <c r="AK502" s="207">
        <v>128472561.60000002</v>
      </c>
    </row>
    <row r="503" spans="30:37" x14ac:dyDescent="0.35">
      <c r="AD503" s="98" t="str">
        <f t="shared" si="20"/>
        <v>542_5_202324</v>
      </c>
      <c r="AE503" s="98" t="s">
        <v>1</v>
      </c>
      <c r="AF503" s="98">
        <v>542</v>
      </c>
      <c r="AG503" s="98">
        <v>5</v>
      </c>
      <c r="AH503" s="98" t="s">
        <v>2949</v>
      </c>
      <c r="AI503" s="98">
        <v>1</v>
      </c>
      <c r="AJ503" s="98">
        <v>202324</v>
      </c>
      <c r="AK503" s="207">
        <v>34078634</v>
      </c>
    </row>
    <row r="504" spans="30:37" x14ac:dyDescent="0.35">
      <c r="AD504" s="98" t="str">
        <f t="shared" si="20"/>
        <v>544_5_202324</v>
      </c>
      <c r="AE504" s="98" t="s">
        <v>1</v>
      </c>
      <c r="AF504" s="98">
        <v>544</v>
      </c>
      <c r="AG504" s="98">
        <v>5</v>
      </c>
      <c r="AH504" s="98" t="s">
        <v>2949</v>
      </c>
      <c r="AI504" s="98">
        <v>1</v>
      </c>
      <c r="AJ504" s="98">
        <v>202324</v>
      </c>
      <c r="AK504" s="207">
        <v>83681243</v>
      </c>
    </row>
    <row r="505" spans="30:37" x14ac:dyDescent="0.35">
      <c r="AD505" s="98" t="str">
        <f t="shared" si="20"/>
        <v>545_5_202324</v>
      </c>
      <c r="AE505" s="98" t="s">
        <v>1</v>
      </c>
      <c r="AF505" s="98">
        <v>545</v>
      </c>
      <c r="AG505" s="98">
        <v>5</v>
      </c>
      <c r="AH505" s="98" t="s">
        <v>2949</v>
      </c>
      <c r="AI505" s="98">
        <v>1</v>
      </c>
      <c r="AJ505" s="98">
        <v>202324</v>
      </c>
      <c r="AK505" s="207">
        <v>38644786</v>
      </c>
    </row>
    <row r="506" spans="30:37" x14ac:dyDescent="0.35">
      <c r="AD506" s="98" t="str">
        <f t="shared" si="20"/>
        <v>546_5_202324</v>
      </c>
      <c r="AE506" s="98" t="s">
        <v>1</v>
      </c>
      <c r="AF506" s="98">
        <v>546</v>
      </c>
      <c r="AG506" s="98">
        <v>5</v>
      </c>
      <c r="AH506" s="98" t="s">
        <v>2949</v>
      </c>
      <c r="AI506" s="98">
        <v>1</v>
      </c>
      <c r="AJ506" s="98">
        <v>202324</v>
      </c>
      <c r="AK506" s="207">
        <v>52296400</v>
      </c>
    </row>
    <row r="507" spans="30:37" x14ac:dyDescent="0.35">
      <c r="AD507" s="98" t="str">
        <f t="shared" si="20"/>
        <v>548_5_202324</v>
      </c>
      <c r="AE507" s="98" t="s">
        <v>1</v>
      </c>
      <c r="AF507" s="98">
        <v>548</v>
      </c>
      <c r="AG507" s="98">
        <v>5</v>
      </c>
      <c r="AH507" s="98" t="s">
        <v>2949</v>
      </c>
      <c r="AI507" s="98">
        <v>1</v>
      </c>
      <c r="AJ507" s="98">
        <v>202324</v>
      </c>
      <c r="AK507" s="207">
        <v>78137347</v>
      </c>
    </row>
    <row r="508" spans="30:37" x14ac:dyDescent="0.35">
      <c r="AD508" s="98" t="str">
        <f t="shared" si="20"/>
        <v>550_5_202324</v>
      </c>
      <c r="AE508" s="98" t="s">
        <v>1</v>
      </c>
      <c r="AF508" s="98">
        <v>550</v>
      </c>
      <c r="AG508" s="98">
        <v>5</v>
      </c>
      <c r="AH508" s="98" t="s">
        <v>2949</v>
      </c>
      <c r="AI508" s="98">
        <v>1</v>
      </c>
      <c r="AJ508" s="98">
        <v>202324</v>
      </c>
      <c r="AK508" s="207">
        <v>84656965.530000001</v>
      </c>
    </row>
    <row r="509" spans="30:37" x14ac:dyDescent="0.35">
      <c r="AD509" s="98" t="str">
        <f t="shared" si="20"/>
        <v>552_5_202324</v>
      </c>
      <c r="AE509" s="98" t="s">
        <v>1</v>
      </c>
      <c r="AF509" s="98">
        <v>552</v>
      </c>
      <c r="AG509" s="98">
        <v>5</v>
      </c>
      <c r="AH509" s="98" t="s">
        <v>2949</v>
      </c>
      <c r="AI509" s="98">
        <v>1</v>
      </c>
      <c r="AJ509" s="98">
        <v>202324</v>
      </c>
      <c r="AK509" s="207">
        <v>209330693</v>
      </c>
    </row>
    <row r="510" spans="30:37" x14ac:dyDescent="0.35">
      <c r="AD510" s="98" t="str">
        <f t="shared" si="20"/>
        <v>512_6_202324</v>
      </c>
      <c r="AE510" s="98" t="s">
        <v>1</v>
      </c>
      <c r="AF510" s="98">
        <v>512</v>
      </c>
      <c r="AG510" s="98">
        <v>6</v>
      </c>
      <c r="AH510" s="98" t="s">
        <v>2962</v>
      </c>
      <c r="AI510" s="98">
        <v>1</v>
      </c>
      <c r="AJ510" s="98">
        <v>202324</v>
      </c>
      <c r="AK510" s="207">
        <v>33178.33</v>
      </c>
    </row>
    <row r="511" spans="30:37" x14ac:dyDescent="0.35">
      <c r="AD511" s="98" t="str">
        <f t="shared" si="20"/>
        <v>514_6_202324</v>
      </c>
      <c r="AE511" s="98" t="s">
        <v>1</v>
      </c>
      <c r="AF511" s="98">
        <v>514</v>
      </c>
      <c r="AG511" s="98">
        <v>6</v>
      </c>
      <c r="AH511" s="98" t="s">
        <v>2962</v>
      </c>
      <c r="AI511" s="98">
        <v>1</v>
      </c>
      <c r="AJ511" s="98">
        <v>202324</v>
      </c>
      <c r="AK511" s="207">
        <v>56750.270000000004</v>
      </c>
    </row>
    <row r="512" spans="30:37" x14ac:dyDescent="0.35">
      <c r="AD512" s="98" t="str">
        <f t="shared" si="20"/>
        <v>516_6_202324</v>
      </c>
      <c r="AE512" s="98" t="s">
        <v>1</v>
      </c>
      <c r="AF512" s="98">
        <v>516</v>
      </c>
      <c r="AG512" s="98">
        <v>6</v>
      </c>
      <c r="AH512" s="98" t="s">
        <v>2962</v>
      </c>
      <c r="AI512" s="98">
        <v>1</v>
      </c>
      <c r="AJ512" s="98">
        <v>202324</v>
      </c>
      <c r="AK512" s="207">
        <v>52426.57</v>
      </c>
    </row>
    <row r="513" spans="30:37" x14ac:dyDescent="0.35">
      <c r="AD513" s="98" t="str">
        <f t="shared" si="20"/>
        <v>518_6_202324</v>
      </c>
      <c r="AE513" s="98" t="s">
        <v>1</v>
      </c>
      <c r="AF513" s="98">
        <v>518</v>
      </c>
      <c r="AG513" s="98">
        <v>6</v>
      </c>
      <c r="AH513" s="98" t="s">
        <v>2962</v>
      </c>
      <c r="AI513" s="98">
        <v>1</v>
      </c>
      <c r="AJ513" s="98">
        <v>202324</v>
      </c>
      <c r="AK513" s="207">
        <v>41502.219999999994</v>
      </c>
    </row>
    <row r="514" spans="30:37" x14ac:dyDescent="0.35">
      <c r="AD514" s="98" t="str">
        <f t="shared" si="20"/>
        <v>520_6_202324</v>
      </c>
      <c r="AE514" s="98" t="s">
        <v>1</v>
      </c>
      <c r="AF514" s="98">
        <v>520</v>
      </c>
      <c r="AG514" s="98">
        <v>6</v>
      </c>
      <c r="AH514" s="98" t="s">
        <v>2962</v>
      </c>
      <c r="AI514" s="98">
        <v>1</v>
      </c>
      <c r="AJ514" s="98">
        <v>202324</v>
      </c>
      <c r="AK514" s="207">
        <v>66614.37</v>
      </c>
    </row>
    <row r="515" spans="30:37" x14ac:dyDescent="0.35">
      <c r="AD515" s="98" t="str">
        <f t="shared" si="20"/>
        <v>522_6_202324</v>
      </c>
      <c r="AE515" s="98" t="s">
        <v>1</v>
      </c>
      <c r="AF515" s="98">
        <v>522</v>
      </c>
      <c r="AG515" s="98">
        <v>6</v>
      </c>
      <c r="AH515" s="98" t="s">
        <v>2962</v>
      </c>
      <c r="AI515" s="98">
        <v>1</v>
      </c>
      <c r="AJ515" s="98">
        <v>202324</v>
      </c>
      <c r="AK515" s="207">
        <v>54934.69</v>
      </c>
    </row>
    <row r="516" spans="30:37" x14ac:dyDescent="0.35">
      <c r="AD516" s="98" t="str">
        <f t="shared" ref="AD516:AD579" si="21">AF516&amp;"_"&amp;AG516&amp;"_"&amp;AJ516</f>
        <v>524_6_202324</v>
      </c>
      <c r="AE516" s="98" t="s">
        <v>1</v>
      </c>
      <c r="AF516" s="98">
        <v>524</v>
      </c>
      <c r="AG516" s="98">
        <v>6</v>
      </c>
      <c r="AH516" s="98" t="s">
        <v>2962</v>
      </c>
      <c r="AI516" s="98">
        <v>1</v>
      </c>
      <c r="AJ516" s="98">
        <v>202324</v>
      </c>
      <c r="AK516" s="207">
        <v>65045.869999999995</v>
      </c>
    </row>
    <row r="517" spans="30:37" x14ac:dyDescent="0.35">
      <c r="AD517" s="98" t="str">
        <f t="shared" si="21"/>
        <v>526_6_202324</v>
      </c>
      <c r="AE517" s="98" t="s">
        <v>1</v>
      </c>
      <c r="AF517" s="98">
        <v>526</v>
      </c>
      <c r="AG517" s="98">
        <v>6</v>
      </c>
      <c r="AH517" s="98" t="s">
        <v>2962</v>
      </c>
      <c r="AI517" s="98">
        <v>1</v>
      </c>
      <c r="AJ517" s="98">
        <v>202324</v>
      </c>
      <c r="AK517" s="207">
        <v>33182.769999999997</v>
      </c>
    </row>
    <row r="518" spans="30:37" x14ac:dyDescent="0.35">
      <c r="AD518" s="98" t="str">
        <f t="shared" si="21"/>
        <v>528_6_202324</v>
      </c>
      <c r="AE518" s="98" t="s">
        <v>1</v>
      </c>
      <c r="AF518" s="98">
        <v>528</v>
      </c>
      <c r="AG518" s="98">
        <v>6</v>
      </c>
      <c r="AH518" s="98" t="s">
        <v>2962</v>
      </c>
      <c r="AI518" s="98">
        <v>1</v>
      </c>
      <c r="AJ518" s="98">
        <v>202324</v>
      </c>
      <c r="AK518" s="207">
        <v>60935.149999999994</v>
      </c>
    </row>
    <row r="519" spans="30:37" x14ac:dyDescent="0.35">
      <c r="AD519" s="98" t="str">
        <f t="shared" si="21"/>
        <v>530_6_202324</v>
      </c>
      <c r="AE519" s="98" t="s">
        <v>1</v>
      </c>
      <c r="AF519" s="98">
        <v>530</v>
      </c>
      <c r="AG519" s="98">
        <v>6</v>
      </c>
      <c r="AH519" s="98" t="s">
        <v>2962</v>
      </c>
      <c r="AI519" s="98">
        <v>1</v>
      </c>
      <c r="AJ519" s="98">
        <v>202324</v>
      </c>
      <c r="AK519" s="207">
        <v>76996.87</v>
      </c>
    </row>
    <row r="520" spans="30:37" x14ac:dyDescent="0.35">
      <c r="AD520" s="98" t="str">
        <f t="shared" si="21"/>
        <v>532_6_202324</v>
      </c>
      <c r="AE520" s="98" t="s">
        <v>1</v>
      </c>
      <c r="AF520" s="98">
        <v>532</v>
      </c>
      <c r="AG520" s="98">
        <v>6</v>
      </c>
      <c r="AH520" s="98" t="s">
        <v>2962</v>
      </c>
      <c r="AI520" s="98">
        <v>1</v>
      </c>
      <c r="AJ520" s="98">
        <v>202324</v>
      </c>
      <c r="AK520" s="207">
        <v>96777.09</v>
      </c>
    </row>
    <row r="521" spans="30:37" x14ac:dyDescent="0.35">
      <c r="AD521" s="98" t="str">
        <f t="shared" si="21"/>
        <v>534_6_202324</v>
      </c>
      <c r="AE521" s="98" t="s">
        <v>1</v>
      </c>
      <c r="AF521" s="98">
        <v>534</v>
      </c>
      <c r="AG521" s="98">
        <v>6</v>
      </c>
      <c r="AH521" s="98" t="s">
        <v>2962</v>
      </c>
      <c r="AI521" s="98">
        <v>1</v>
      </c>
      <c r="AJ521" s="98">
        <v>202324</v>
      </c>
      <c r="AK521" s="207">
        <v>49804.179999999993</v>
      </c>
    </row>
    <row r="522" spans="30:37" x14ac:dyDescent="0.35">
      <c r="AD522" s="98" t="str">
        <f t="shared" si="21"/>
        <v>536_6_202324</v>
      </c>
      <c r="AE522" s="98" t="s">
        <v>1</v>
      </c>
      <c r="AF522" s="98">
        <v>536</v>
      </c>
      <c r="AG522" s="98">
        <v>6</v>
      </c>
      <c r="AH522" s="98" t="s">
        <v>2962</v>
      </c>
      <c r="AI522" s="98">
        <v>1</v>
      </c>
      <c r="AJ522" s="98">
        <v>202324</v>
      </c>
      <c r="AK522" s="207">
        <v>56418.28</v>
      </c>
    </row>
    <row r="523" spans="30:37" x14ac:dyDescent="0.35">
      <c r="AD523" s="98" t="str">
        <f t="shared" si="21"/>
        <v>538_6_202324</v>
      </c>
      <c r="AE523" s="98" t="s">
        <v>1</v>
      </c>
      <c r="AF523" s="98">
        <v>538</v>
      </c>
      <c r="AG523" s="98">
        <v>6</v>
      </c>
      <c r="AH523" s="98" t="s">
        <v>2962</v>
      </c>
      <c r="AI523" s="98">
        <v>1</v>
      </c>
      <c r="AJ523" s="98">
        <v>202324</v>
      </c>
      <c r="AK523" s="207">
        <v>63948.92</v>
      </c>
    </row>
    <row r="524" spans="30:37" x14ac:dyDescent="0.35">
      <c r="AD524" s="98" t="str">
        <f t="shared" si="21"/>
        <v>540_6_202324</v>
      </c>
      <c r="AE524" s="98" t="s">
        <v>1</v>
      </c>
      <c r="AF524" s="98">
        <v>540</v>
      </c>
      <c r="AG524" s="98">
        <v>6</v>
      </c>
      <c r="AH524" s="98" t="s">
        <v>2962</v>
      </c>
      <c r="AI524" s="98">
        <v>1</v>
      </c>
      <c r="AJ524" s="98">
        <v>202324</v>
      </c>
      <c r="AK524" s="207">
        <v>80182.87000000001</v>
      </c>
    </row>
    <row r="525" spans="30:37" x14ac:dyDescent="0.35">
      <c r="AD525" s="98" t="str">
        <f t="shared" si="21"/>
        <v>542_6_202324</v>
      </c>
      <c r="AE525" s="98" t="s">
        <v>1</v>
      </c>
      <c r="AF525" s="98">
        <v>542</v>
      </c>
      <c r="AG525" s="98">
        <v>6</v>
      </c>
      <c r="AH525" s="98" t="s">
        <v>2962</v>
      </c>
      <c r="AI525" s="98">
        <v>1</v>
      </c>
      <c r="AJ525" s="98">
        <v>202324</v>
      </c>
      <c r="AK525" s="207">
        <v>19393.519999999997</v>
      </c>
    </row>
    <row r="526" spans="30:37" x14ac:dyDescent="0.35">
      <c r="AD526" s="98" t="str">
        <f t="shared" si="21"/>
        <v>544_6_202324</v>
      </c>
      <c r="AE526" s="98" t="s">
        <v>1</v>
      </c>
      <c r="AF526" s="98">
        <v>544</v>
      </c>
      <c r="AG526" s="98">
        <v>6</v>
      </c>
      <c r="AH526" s="98" t="s">
        <v>2962</v>
      </c>
      <c r="AI526" s="98">
        <v>1</v>
      </c>
      <c r="AJ526" s="98">
        <v>202324</v>
      </c>
      <c r="AK526" s="207">
        <v>62702.7</v>
      </c>
    </row>
    <row r="527" spans="30:37" x14ac:dyDescent="0.35">
      <c r="AD527" s="98" t="str">
        <f t="shared" si="21"/>
        <v>545_6_202324</v>
      </c>
      <c r="AE527" s="98" t="s">
        <v>1</v>
      </c>
      <c r="AF527" s="98">
        <v>545</v>
      </c>
      <c r="AG527" s="98">
        <v>6</v>
      </c>
      <c r="AH527" s="98" t="s">
        <v>2962</v>
      </c>
      <c r="AI527" s="98">
        <v>1</v>
      </c>
      <c r="AJ527" s="98">
        <v>202324</v>
      </c>
      <c r="AK527" s="207">
        <v>21901.780000000002</v>
      </c>
    </row>
    <row r="528" spans="30:37" x14ac:dyDescent="0.35">
      <c r="AD528" s="98" t="str">
        <f t="shared" si="21"/>
        <v>546_6_202324</v>
      </c>
      <c r="AE528" s="98" t="s">
        <v>1</v>
      </c>
      <c r="AF528" s="98">
        <v>546</v>
      </c>
      <c r="AG528" s="98">
        <v>6</v>
      </c>
      <c r="AH528" s="98" t="s">
        <v>2962</v>
      </c>
      <c r="AI528" s="98">
        <v>1</v>
      </c>
      <c r="AJ528" s="98">
        <v>202324</v>
      </c>
      <c r="AK528" s="207">
        <v>34945.920000000006</v>
      </c>
    </row>
    <row r="529" spans="30:37" x14ac:dyDescent="0.35">
      <c r="AD529" s="98" t="str">
        <f t="shared" si="21"/>
        <v>548_6_202324</v>
      </c>
      <c r="AE529" s="98" t="s">
        <v>1</v>
      </c>
      <c r="AF529" s="98">
        <v>548</v>
      </c>
      <c r="AG529" s="98">
        <v>6</v>
      </c>
      <c r="AH529" s="98" t="s">
        <v>2962</v>
      </c>
      <c r="AI529" s="98">
        <v>1</v>
      </c>
      <c r="AJ529" s="98">
        <v>202324</v>
      </c>
      <c r="AK529" s="207">
        <v>48260.7</v>
      </c>
    </row>
    <row r="530" spans="30:37" x14ac:dyDescent="0.35">
      <c r="AD530" s="98" t="str">
        <f t="shared" si="21"/>
        <v>550_6_202324</v>
      </c>
      <c r="AE530" s="98" t="s">
        <v>1</v>
      </c>
      <c r="AF530" s="98">
        <v>550</v>
      </c>
      <c r="AG530" s="98">
        <v>6</v>
      </c>
      <c r="AH530" s="98" t="s">
        <v>2962</v>
      </c>
      <c r="AI530" s="98">
        <v>1</v>
      </c>
      <c r="AJ530" s="98">
        <v>202324</v>
      </c>
      <c r="AK530" s="207">
        <v>62219.92</v>
      </c>
    </row>
    <row r="531" spans="30:37" x14ac:dyDescent="0.35">
      <c r="AD531" s="98" t="str">
        <f t="shared" si="21"/>
        <v>552_6_202324</v>
      </c>
      <c r="AE531" s="98" t="s">
        <v>1</v>
      </c>
      <c r="AF531" s="98">
        <v>552</v>
      </c>
      <c r="AG531" s="98">
        <v>6</v>
      </c>
      <c r="AH531" s="98" t="s">
        <v>2962</v>
      </c>
      <c r="AI531" s="98">
        <v>1</v>
      </c>
      <c r="AJ531" s="98">
        <v>202324</v>
      </c>
      <c r="AK531" s="207">
        <v>152724.01999999999</v>
      </c>
    </row>
    <row r="532" spans="30:37" x14ac:dyDescent="0.35">
      <c r="AD532" s="98" t="str">
        <f t="shared" si="21"/>
        <v>512_7_202324</v>
      </c>
      <c r="AE532" s="98" t="s">
        <v>1</v>
      </c>
      <c r="AF532" s="98">
        <v>512</v>
      </c>
      <c r="AG532" s="98">
        <v>7</v>
      </c>
      <c r="AH532" s="98" t="s">
        <v>2963</v>
      </c>
      <c r="AI532" s="98">
        <v>1</v>
      </c>
      <c r="AJ532" s="98">
        <v>202324</v>
      </c>
      <c r="AK532" s="207">
        <v>0.98499999999999999</v>
      </c>
    </row>
    <row r="533" spans="30:37" x14ac:dyDescent="0.35">
      <c r="AD533" s="98" t="str">
        <f t="shared" si="21"/>
        <v>514_7_202324</v>
      </c>
      <c r="AE533" s="98" t="s">
        <v>1</v>
      </c>
      <c r="AF533" s="98">
        <v>514</v>
      </c>
      <c r="AG533" s="98">
        <v>7</v>
      </c>
      <c r="AH533" s="98" t="s">
        <v>2963</v>
      </c>
      <c r="AI533" s="98">
        <v>1</v>
      </c>
      <c r="AJ533" s="98">
        <v>202324</v>
      </c>
      <c r="AK533" s="207">
        <v>0.99</v>
      </c>
    </row>
    <row r="534" spans="30:37" x14ac:dyDescent="0.35">
      <c r="AD534" s="98" t="str">
        <f t="shared" si="21"/>
        <v>516_7_202324</v>
      </c>
      <c r="AE534" s="98" t="s">
        <v>1</v>
      </c>
      <c r="AF534" s="98">
        <v>516</v>
      </c>
      <c r="AG534" s="98">
        <v>7</v>
      </c>
      <c r="AH534" s="98" t="s">
        <v>2963</v>
      </c>
      <c r="AI534" s="98">
        <v>1</v>
      </c>
      <c r="AJ534" s="98">
        <v>202324</v>
      </c>
      <c r="AK534" s="207">
        <v>0.98</v>
      </c>
    </row>
    <row r="535" spans="30:37" x14ac:dyDescent="0.35">
      <c r="AD535" s="98" t="str">
        <f t="shared" si="21"/>
        <v>518_7_202324</v>
      </c>
      <c r="AE535" s="98" t="s">
        <v>1</v>
      </c>
      <c r="AF535" s="98">
        <v>518</v>
      </c>
      <c r="AG535" s="98">
        <v>7</v>
      </c>
      <c r="AH535" s="98" t="s">
        <v>2963</v>
      </c>
      <c r="AI535" s="98">
        <v>1</v>
      </c>
      <c r="AJ535" s="98">
        <v>202324</v>
      </c>
      <c r="AK535" s="207">
        <v>0.98599999999999999</v>
      </c>
    </row>
    <row r="536" spans="30:37" x14ac:dyDescent="0.35">
      <c r="AD536" s="98" t="str">
        <f t="shared" si="21"/>
        <v>520_7_202324</v>
      </c>
      <c r="AE536" s="98" t="s">
        <v>1</v>
      </c>
      <c r="AF536" s="98">
        <v>520</v>
      </c>
      <c r="AG536" s="98">
        <v>7</v>
      </c>
      <c r="AH536" s="98" t="s">
        <v>2963</v>
      </c>
      <c r="AI536" s="98">
        <v>1</v>
      </c>
      <c r="AJ536" s="98">
        <v>202324</v>
      </c>
      <c r="AK536" s="207">
        <v>0.98799999999999999</v>
      </c>
    </row>
    <row r="537" spans="30:37" x14ac:dyDescent="0.35">
      <c r="AD537" s="98" t="str">
        <f t="shared" si="21"/>
        <v>522_7_202324</v>
      </c>
      <c r="AE537" s="98" t="s">
        <v>1</v>
      </c>
      <c r="AF537" s="98">
        <v>522</v>
      </c>
      <c r="AG537" s="98">
        <v>7</v>
      </c>
      <c r="AH537" s="98" t="s">
        <v>2963</v>
      </c>
      <c r="AI537" s="98">
        <v>1</v>
      </c>
      <c r="AJ537" s="98">
        <v>202324</v>
      </c>
      <c r="AK537" s="207">
        <v>0.98</v>
      </c>
    </row>
    <row r="538" spans="30:37" x14ac:dyDescent="0.35">
      <c r="AD538" s="98" t="str">
        <f t="shared" si="21"/>
        <v>524_7_202324</v>
      </c>
      <c r="AE538" s="98" t="s">
        <v>1</v>
      </c>
      <c r="AF538" s="98">
        <v>524</v>
      </c>
      <c r="AG538" s="98">
        <v>7</v>
      </c>
      <c r="AH538" s="98" t="s">
        <v>2963</v>
      </c>
      <c r="AI538" s="98">
        <v>1</v>
      </c>
      <c r="AJ538" s="98">
        <v>202324</v>
      </c>
      <c r="AK538" s="207">
        <v>0.98499999999999999</v>
      </c>
    </row>
    <row r="539" spans="30:37" x14ac:dyDescent="0.35">
      <c r="AD539" s="98" t="str">
        <f t="shared" si="21"/>
        <v>526_7_202324</v>
      </c>
      <c r="AE539" s="98" t="s">
        <v>1</v>
      </c>
      <c r="AF539" s="98">
        <v>526</v>
      </c>
      <c r="AG539" s="98">
        <v>7</v>
      </c>
      <c r="AH539" s="98" t="s">
        <v>2963</v>
      </c>
      <c r="AI539" s="98">
        <v>1</v>
      </c>
      <c r="AJ539" s="98">
        <v>202324</v>
      </c>
      <c r="AK539" s="207">
        <v>0.98750000000000004</v>
      </c>
    </row>
    <row r="540" spans="30:37" x14ac:dyDescent="0.35">
      <c r="AD540" s="98" t="str">
        <f t="shared" si="21"/>
        <v>528_7_202324</v>
      </c>
      <c r="AE540" s="98" t="s">
        <v>1</v>
      </c>
      <c r="AF540" s="98">
        <v>528</v>
      </c>
      <c r="AG540" s="98">
        <v>7</v>
      </c>
      <c r="AH540" s="98" t="s">
        <v>2963</v>
      </c>
      <c r="AI540" s="98">
        <v>1</v>
      </c>
      <c r="AJ540" s="98">
        <v>202324</v>
      </c>
      <c r="AK540" s="207">
        <v>0.98</v>
      </c>
    </row>
    <row r="541" spans="30:37" x14ac:dyDescent="0.35">
      <c r="AD541" s="98" t="str">
        <f t="shared" si="21"/>
        <v>530_7_202324</v>
      </c>
      <c r="AE541" s="98" t="s">
        <v>1</v>
      </c>
      <c r="AF541" s="98">
        <v>530</v>
      </c>
      <c r="AG541" s="98">
        <v>7</v>
      </c>
      <c r="AH541" s="98" t="s">
        <v>2963</v>
      </c>
      <c r="AI541" s="98">
        <v>1</v>
      </c>
      <c r="AJ541" s="98">
        <v>202324</v>
      </c>
      <c r="AK541" s="207">
        <v>0.97499999999999998</v>
      </c>
    </row>
    <row r="542" spans="30:37" x14ac:dyDescent="0.35">
      <c r="AD542" s="98" t="str">
        <f t="shared" si="21"/>
        <v>532_7_202324</v>
      </c>
      <c r="AE542" s="98" t="s">
        <v>1</v>
      </c>
      <c r="AF542" s="98">
        <v>532</v>
      </c>
      <c r="AG542" s="98">
        <v>7</v>
      </c>
      <c r="AH542" s="98" t="s">
        <v>2963</v>
      </c>
      <c r="AI542" s="98">
        <v>1</v>
      </c>
      <c r="AJ542" s="98">
        <v>202324</v>
      </c>
      <c r="AK542" s="207">
        <v>0.94499999999999995</v>
      </c>
    </row>
    <row r="543" spans="30:37" x14ac:dyDescent="0.35">
      <c r="AD543" s="98" t="str">
        <f t="shared" si="21"/>
        <v>534_7_202324</v>
      </c>
      <c r="AE543" s="98" t="s">
        <v>1</v>
      </c>
      <c r="AF543" s="98">
        <v>534</v>
      </c>
      <c r="AG543" s="98">
        <v>7</v>
      </c>
      <c r="AH543" s="98" t="s">
        <v>2963</v>
      </c>
      <c r="AI543" s="98">
        <v>1</v>
      </c>
      <c r="AJ543" s="98">
        <v>202324</v>
      </c>
      <c r="AK543" s="207">
        <v>0.98</v>
      </c>
    </row>
    <row r="544" spans="30:37" x14ac:dyDescent="0.35">
      <c r="AD544" s="98" t="str">
        <f t="shared" si="21"/>
        <v>536_7_202324</v>
      </c>
      <c r="AE544" s="98" t="s">
        <v>1</v>
      </c>
      <c r="AF544" s="98">
        <v>536</v>
      </c>
      <c r="AG544" s="98">
        <v>7</v>
      </c>
      <c r="AH544" s="98" t="s">
        <v>2963</v>
      </c>
      <c r="AI544" s="98">
        <v>1</v>
      </c>
      <c r="AJ544" s="98">
        <v>202324</v>
      </c>
      <c r="AK544" s="207">
        <v>0.97499999999999998</v>
      </c>
    </row>
    <row r="545" spans="30:37" x14ac:dyDescent="0.35">
      <c r="AD545" s="98" t="str">
        <f t="shared" si="21"/>
        <v>538_7_202324</v>
      </c>
      <c r="AE545" s="98" t="s">
        <v>1</v>
      </c>
      <c r="AF545" s="98">
        <v>538</v>
      </c>
      <c r="AG545" s="98">
        <v>7</v>
      </c>
      <c r="AH545" s="98" t="s">
        <v>2963</v>
      </c>
      <c r="AI545" s="98">
        <v>1</v>
      </c>
      <c r="AJ545" s="98">
        <v>202324</v>
      </c>
      <c r="AK545" s="207">
        <v>0.97099999999999997</v>
      </c>
    </row>
    <row r="546" spans="30:37" x14ac:dyDescent="0.35">
      <c r="AD546" s="98" t="str">
        <f t="shared" si="21"/>
        <v>540_7_202324</v>
      </c>
      <c r="AE546" s="98" t="s">
        <v>1</v>
      </c>
      <c r="AF546" s="98">
        <v>540</v>
      </c>
      <c r="AG546" s="98">
        <v>7</v>
      </c>
      <c r="AH546" s="98" t="s">
        <v>2963</v>
      </c>
      <c r="AI546" s="98">
        <v>1</v>
      </c>
      <c r="AJ546" s="98">
        <v>202324</v>
      </c>
      <c r="AK546" s="207">
        <v>0.97250000000000003</v>
      </c>
    </row>
    <row r="547" spans="30:37" x14ac:dyDescent="0.35">
      <c r="AD547" s="98" t="str">
        <f t="shared" si="21"/>
        <v>542_7_202324</v>
      </c>
      <c r="AE547" s="98" t="s">
        <v>1</v>
      </c>
      <c r="AF547" s="98">
        <v>542</v>
      </c>
      <c r="AG547" s="98">
        <v>7</v>
      </c>
      <c r="AH547" s="98" t="s">
        <v>2963</v>
      </c>
      <c r="AI547" s="98">
        <v>1</v>
      </c>
      <c r="AJ547" s="98">
        <v>202324</v>
      </c>
      <c r="AK547" s="207">
        <v>0.96</v>
      </c>
    </row>
    <row r="548" spans="30:37" x14ac:dyDescent="0.35">
      <c r="AD548" s="98" t="str">
        <f t="shared" si="21"/>
        <v>544_7_202324</v>
      </c>
      <c r="AE548" s="98" t="s">
        <v>1</v>
      </c>
      <c r="AF548" s="98">
        <v>544</v>
      </c>
      <c r="AG548" s="98">
        <v>7</v>
      </c>
      <c r="AH548" s="98" t="s">
        <v>2963</v>
      </c>
      <c r="AI548" s="98">
        <v>1</v>
      </c>
      <c r="AJ548" s="98">
        <v>202324</v>
      </c>
      <c r="AK548" s="207">
        <v>0.97499999999999998</v>
      </c>
    </row>
    <row r="549" spans="30:37" x14ac:dyDescent="0.35">
      <c r="AD549" s="98" t="str">
        <f t="shared" si="21"/>
        <v>545_7_202324</v>
      </c>
      <c r="AE549" s="98" t="s">
        <v>1</v>
      </c>
      <c r="AF549" s="98">
        <v>545</v>
      </c>
      <c r="AG549" s="98">
        <v>7</v>
      </c>
      <c r="AH549" s="98" t="s">
        <v>2963</v>
      </c>
      <c r="AI549" s="98">
        <v>1</v>
      </c>
      <c r="AJ549" s="98">
        <v>202324</v>
      </c>
      <c r="AK549" s="207">
        <v>0.95</v>
      </c>
    </row>
    <row r="550" spans="30:37" x14ac:dyDescent="0.35">
      <c r="AD550" s="98" t="str">
        <f t="shared" si="21"/>
        <v>546_7_202324</v>
      </c>
      <c r="AE550" s="98" t="s">
        <v>1</v>
      </c>
      <c r="AF550" s="98">
        <v>546</v>
      </c>
      <c r="AG550" s="98">
        <v>7</v>
      </c>
      <c r="AH550" s="98" t="s">
        <v>2963</v>
      </c>
      <c r="AI550" s="98">
        <v>1</v>
      </c>
      <c r="AJ550" s="98">
        <v>202324</v>
      </c>
      <c r="AK550" s="207">
        <v>0.98</v>
      </c>
    </row>
    <row r="551" spans="30:37" x14ac:dyDescent="0.35">
      <c r="AD551" s="98" t="str">
        <f t="shared" si="21"/>
        <v>548_7_202324</v>
      </c>
      <c r="AE551" s="98" t="s">
        <v>1</v>
      </c>
      <c r="AF551" s="98">
        <v>548</v>
      </c>
      <c r="AG551" s="98">
        <v>7</v>
      </c>
      <c r="AH551" s="98" t="s">
        <v>2963</v>
      </c>
      <c r="AI551" s="98">
        <v>1</v>
      </c>
      <c r="AJ551" s="98">
        <v>202324</v>
      </c>
      <c r="AK551" s="207">
        <v>0.99</v>
      </c>
    </row>
    <row r="552" spans="30:37" x14ac:dyDescent="0.35">
      <c r="AD552" s="98" t="str">
        <f t="shared" si="21"/>
        <v>550_7_202324</v>
      </c>
      <c r="AE552" s="98" t="s">
        <v>1</v>
      </c>
      <c r="AF552" s="98">
        <v>550</v>
      </c>
      <c r="AG552" s="98">
        <v>7</v>
      </c>
      <c r="AH552" s="98" t="s">
        <v>2963</v>
      </c>
      <c r="AI552" s="98">
        <v>1</v>
      </c>
      <c r="AJ552" s="98">
        <v>202324</v>
      </c>
      <c r="AK552" s="207">
        <v>0.98</v>
      </c>
    </row>
    <row r="553" spans="30:37" x14ac:dyDescent="0.35">
      <c r="AD553" s="98" t="str">
        <f t="shared" si="21"/>
        <v>552_7_202324</v>
      </c>
      <c r="AE553" s="98" t="s">
        <v>1</v>
      </c>
      <c r="AF553" s="98">
        <v>552</v>
      </c>
      <c r="AG553" s="98">
        <v>7</v>
      </c>
      <c r="AH553" s="98" t="s">
        <v>2963</v>
      </c>
      <c r="AI553" s="98">
        <v>1</v>
      </c>
      <c r="AJ553" s="98">
        <v>202324</v>
      </c>
      <c r="AK553" s="207">
        <v>0.98499999999999999</v>
      </c>
    </row>
    <row r="554" spans="30:37" x14ac:dyDescent="0.35">
      <c r="AD554" s="98" t="str">
        <f t="shared" si="21"/>
        <v>512_8_202324</v>
      </c>
      <c r="AE554" s="98" t="s">
        <v>1</v>
      </c>
      <c r="AF554" s="98">
        <v>512</v>
      </c>
      <c r="AG554" s="98">
        <v>8</v>
      </c>
      <c r="AH554" s="98" t="s">
        <v>2964</v>
      </c>
      <c r="AI554" s="98">
        <v>1</v>
      </c>
      <c r="AJ554" s="98">
        <v>202324</v>
      </c>
      <c r="AK554" s="207">
        <v>138.9</v>
      </c>
    </row>
    <row r="555" spans="30:37" x14ac:dyDescent="0.35">
      <c r="AD555" s="98" t="str">
        <f t="shared" si="21"/>
        <v>514_8_202324</v>
      </c>
      <c r="AE555" s="98" t="s">
        <v>1</v>
      </c>
      <c r="AF555" s="98">
        <v>514</v>
      </c>
      <c r="AG555" s="98">
        <v>8</v>
      </c>
      <c r="AH555" s="98" t="s">
        <v>2964</v>
      </c>
      <c r="AI555" s="98">
        <v>1</v>
      </c>
      <c r="AJ555" s="98">
        <v>202324</v>
      </c>
      <c r="AK555" s="207">
        <v>0</v>
      </c>
    </row>
    <row r="556" spans="30:37" x14ac:dyDescent="0.35">
      <c r="AD556" s="98" t="str">
        <f t="shared" si="21"/>
        <v>516_8_202324</v>
      </c>
      <c r="AE556" s="98" t="s">
        <v>1</v>
      </c>
      <c r="AF556" s="98">
        <v>516</v>
      </c>
      <c r="AG556" s="98">
        <v>8</v>
      </c>
      <c r="AH556" s="98" t="s">
        <v>2964</v>
      </c>
      <c r="AI556" s="98">
        <v>1</v>
      </c>
      <c r="AJ556" s="98">
        <v>202324</v>
      </c>
      <c r="AK556" s="207">
        <v>0</v>
      </c>
    </row>
    <row r="557" spans="30:37" x14ac:dyDescent="0.35">
      <c r="AD557" s="98" t="str">
        <f t="shared" si="21"/>
        <v>518_8_202324</v>
      </c>
      <c r="AE557" s="98" t="s">
        <v>1</v>
      </c>
      <c r="AF557" s="98">
        <v>518</v>
      </c>
      <c r="AG557" s="98">
        <v>8</v>
      </c>
      <c r="AH557" s="98" t="s">
        <v>2964</v>
      </c>
      <c r="AI557" s="98">
        <v>1</v>
      </c>
      <c r="AJ557" s="98">
        <v>202324</v>
      </c>
      <c r="AK557" s="207">
        <v>0</v>
      </c>
    </row>
    <row r="558" spans="30:37" x14ac:dyDescent="0.35">
      <c r="AD558" s="98" t="str">
        <f t="shared" si="21"/>
        <v>520_8_202324</v>
      </c>
      <c r="AE558" s="98" t="s">
        <v>1</v>
      </c>
      <c r="AF558" s="98">
        <v>520</v>
      </c>
      <c r="AG558" s="98">
        <v>8</v>
      </c>
      <c r="AH558" s="98" t="s">
        <v>2964</v>
      </c>
      <c r="AI558" s="98">
        <v>1</v>
      </c>
      <c r="AJ558" s="98">
        <v>202324</v>
      </c>
      <c r="AK558" s="207">
        <v>0</v>
      </c>
    </row>
    <row r="559" spans="30:37" x14ac:dyDescent="0.35">
      <c r="AD559" s="98" t="str">
        <f t="shared" si="21"/>
        <v>522_8_202324</v>
      </c>
      <c r="AE559" s="98" t="s">
        <v>1</v>
      </c>
      <c r="AF559" s="98">
        <v>522</v>
      </c>
      <c r="AG559" s="98">
        <v>8</v>
      </c>
      <c r="AH559" s="98" t="s">
        <v>2964</v>
      </c>
      <c r="AI559" s="98">
        <v>1</v>
      </c>
      <c r="AJ559" s="98">
        <v>202324</v>
      </c>
      <c r="AK559" s="207">
        <v>0</v>
      </c>
    </row>
    <row r="560" spans="30:37" x14ac:dyDescent="0.35">
      <c r="AD560" s="98" t="str">
        <f t="shared" si="21"/>
        <v>524_8_202324</v>
      </c>
      <c r="AE560" s="98" t="s">
        <v>1</v>
      </c>
      <c r="AF560" s="98">
        <v>524</v>
      </c>
      <c r="AG560" s="98">
        <v>8</v>
      </c>
      <c r="AH560" s="98" t="s">
        <v>2964</v>
      </c>
      <c r="AI560" s="98">
        <v>1</v>
      </c>
      <c r="AJ560" s="98">
        <v>202324</v>
      </c>
      <c r="AK560" s="207">
        <v>186.33</v>
      </c>
    </row>
    <row r="561" spans="30:37" x14ac:dyDescent="0.35">
      <c r="AD561" s="98" t="str">
        <f t="shared" si="21"/>
        <v>526_8_202324</v>
      </c>
      <c r="AE561" s="98" t="s">
        <v>1</v>
      </c>
      <c r="AF561" s="98">
        <v>526</v>
      </c>
      <c r="AG561" s="98">
        <v>8</v>
      </c>
      <c r="AH561" s="98" t="s">
        <v>2964</v>
      </c>
      <c r="AI561" s="98">
        <v>1</v>
      </c>
      <c r="AJ561" s="98">
        <v>202324</v>
      </c>
      <c r="AK561" s="207">
        <v>0</v>
      </c>
    </row>
    <row r="562" spans="30:37" x14ac:dyDescent="0.35">
      <c r="AD562" s="98" t="str">
        <f t="shared" si="21"/>
        <v>528_8_202324</v>
      </c>
      <c r="AE562" s="98" t="s">
        <v>1</v>
      </c>
      <c r="AF562" s="98">
        <v>528</v>
      </c>
      <c r="AG562" s="98">
        <v>8</v>
      </c>
      <c r="AH562" s="98" t="s">
        <v>2964</v>
      </c>
      <c r="AI562" s="98">
        <v>1</v>
      </c>
      <c r="AJ562" s="98">
        <v>202324</v>
      </c>
      <c r="AK562" s="207">
        <v>134.74</v>
      </c>
    </row>
    <row r="563" spans="30:37" x14ac:dyDescent="0.35">
      <c r="AD563" s="98" t="str">
        <f t="shared" si="21"/>
        <v>530_8_202324</v>
      </c>
      <c r="AE563" s="98" t="s">
        <v>1</v>
      </c>
      <c r="AF563" s="98">
        <v>530</v>
      </c>
      <c r="AG563" s="98">
        <v>8</v>
      </c>
      <c r="AH563" s="98" t="s">
        <v>2964</v>
      </c>
      <c r="AI563" s="98">
        <v>1</v>
      </c>
      <c r="AJ563" s="98">
        <v>202324</v>
      </c>
      <c r="AK563" s="207">
        <v>0</v>
      </c>
    </row>
    <row r="564" spans="30:37" x14ac:dyDescent="0.35">
      <c r="AD564" s="98" t="str">
        <f t="shared" si="21"/>
        <v>532_8_202324</v>
      </c>
      <c r="AE564" s="98" t="s">
        <v>1</v>
      </c>
      <c r="AF564" s="98">
        <v>532</v>
      </c>
      <c r="AG564" s="98">
        <v>8</v>
      </c>
      <c r="AH564" s="98" t="s">
        <v>2964</v>
      </c>
      <c r="AI564" s="98">
        <v>1</v>
      </c>
      <c r="AJ564" s="98">
        <v>202324</v>
      </c>
      <c r="AK564" s="207">
        <v>0</v>
      </c>
    </row>
    <row r="565" spans="30:37" x14ac:dyDescent="0.35">
      <c r="AD565" s="98" t="str">
        <f t="shared" si="21"/>
        <v>534_8_202324</v>
      </c>
      <c r="AE565" s="98" t="s">
        <v>1</v>
      </c>
      <c r="AF565" s="98">
        <v>534</v>
      </c>
      <c r="AG565" s="98">
        <v>8</v>
      </c>
      <c r="AH565" s="98" t="s">
        <v>2964</v>
      </c>
      <c r="AI565" s="98">
        <v>1</v>
      </c>
      <c r="AJ565" s="98">
        <v>202324</v>
      </c>
      <c r="AK565" s="207">
        <v>0</v>
      </c>
    </row>
    <row r="566" spans="30:37" x14ac:dyDescent="0.35">
      <c r="AD566" s="98" t="str">
        <f t="shared" si="21"/>
        <v>536_8_202324</v>
      </c>
      <c r="AE566" s="98" t="s">
        <v>1</v>
      </c>
      <c r="AF566" s="98">
        <v>536</v>
      </c>
      <c r="AG566" s="98">
        <v>8</v>
      </c>
      <c r="AH566" s="98" t="s">
        <v>2964</v>
      </c>
      <c r="AI566" s="98">
        <v>1</v>
      </c>
      <c r="AJ566" s="98">
        <v>202324</v>
      </c>
      <c r="AK566" s="207">
        <v>0</v>
      </c>
    </row>
    <row r="567" spans="30:37" x14ac:dyDescent="0.35">
      <c r="AD567" s="98" t="str">
        <f t="shared" si="21"/>
        <v>538_8_202324</v>
      </c>
      <c r="AE567" s="98" t="s">
        <v>1</v>
      </c>
      <c r="AF567" s="98">
        <v>538</v>
      </c>
      <c r="AG567" s="98">
        <v>8</v>
      </c>
      <c r="AH567" s="98" t="s">
        <v>2964</v>
      </c>
      <c r="AI567" s="98">
        <v>1</v>
      </c>
      <c r="AJ567" s="98">
        <v>202324</v>
      </c>
      <c r="AK567" s="207">
        <v>239.55</v>
      </c>
    </row>
    <row r="568" spans="30:37" x14ac:dyDescent="0.35">
      <c r="AD568" s="98" t="str">
        <f t="shared" si="21"/>
        <v>540_8_202324</v>
      </c>
      <c r="AE568" s="98" t="s">
        <v>1</v>
      </c>
      <c r="AF568" s="98">
        <v>540</v>
      </c>
      <c r="AG568" s="98">
        <v>8</v>
      </c>
      <c r="AH568" s="98" t="s">
        <v>2964</v>
      </c>
      <c r="AI568" s="98">
        <v>1</v>
      </c>
      <c r="AJ568" s="98">
        <v>202324</v>
      </c>
      <c r="AK568" s="207">
        <v>0</v>
      </c>
    </row>
    <row r="569" spans="30:37" x14ac:dyDescent="0.35">
      <c r="AD569" s="98" t="str">
        <f t="shared" si="21"/>
        <v>542_8_202324</v>
      </c>
      <c r="AE569" s="98" t="s">
        <v>1</v>
      </c>
      <c r="AF569" s="98">
        <v>542</v>
      </c>
      <c r="AG569" s="98">
        <v>8</v>
      </c>
      <c r="AH569" s="98" t="s">
        <v>2964</v>
      </c>
      <c r="AI569" s="98">
        <v>1</v>
      </c>
      <c r="AJ569" s="98">
        <v>202324</v>
      </c>
      <c r="AK569" s="207">
        <v>0</v>
      </c>
    </row>
    <row r="570" spans="30:37" x14ac:dyDescent="0.35">
      <c r="AD570" s="98" t="str">
        <f t="shared" si="21"/>
        <v>544_8_202324</v>
      </c>
      <c r="AE570" s="98" t="s">
        <v>1</v>
      </c>
      <c r="AF570" s="98">
        <v>544</v>
      </c>
      <c r="AG570" s="98">
        <v>8</v>
      </c>
      <c r="AH570" s="98" t="s">
        <v>2964</v>
      </c>
      <c r="AI570" s="98">
        <v>1</v>
      </c>
      <c r="AJ570" s="98">
        <v>202324</v>
      </c>
      <c r="AK570" s="207">
        <v>0</v>
      </c>
    </row>
    <row r="571" spans="30:37" x14ac:dyDescent="0.35">
      <c r="AD571" s="98" t="str">
        <f t="shared" si="21"/>
        <v>545_8_202324</v>
      </c>
      <c r="AE571" s="98" t="s">
        <v>1</v>
      </c>
      <c r="AF571" s="98">
        <v>545</v>
      </c>
      <c r="AG571" s="98">
        <v>8</v>
      </c>
      <c r="AH571" s="98" t="s">
        <v>2964</v>
      </c>
      <c r="AI571" s="98">
        <v>1</v>
      </c>
      <c r="AJ571" s="98">
        <v>202324</v>
      </c>
      <c r="AK571" s="207">
        <v>0</v>
      </c>
    </row>
    <row r="572" spans="30:37" x14ac:dyDescent="0.35">
      <c r="AD572" s="98" t="str">
        <f t="shared" si="21"/>
        <v>546_8_202324</v>
      </c>
      <c r="AE572" s="98" t="s">
        <v>1</v>
      </c>
      <c r="AF572" s="98">
        <v>546</v>
      </c>
      <c r="AG572" s="98">
        <v>8</v>
      </c>
      <c r="AH572" s="98" t="s">
        <v>2964</v>
      </c>
      <c r="AI572" s="98">
        <v>1</v>
      </c>
      <c r="AJ572" s="98">
        <v>202324</v>
      </c>
      <c r="AK572" s="207">
        <v>0</v>
      </c>
    </row>
    <row r="573" spans="30:37" x14ac:dyDescent="0.35">
      <c r="AD573" s="98" t="str">
        <f t="shared" si="21"/>
        <v>548_8_202324</v>
      </c>
      <c r="AE573" s="98" t="s">
        <v>1</v>
      </c>
      <c r="AF573" s="98">
        <v>548</v>
      </c>
      <c r="AG573" s="98">
        <v>8</v>
      </c>
      <c r="AH573" s="98" t="s">
        <v>2964</v>
      </c>
      <c r="AI573" s="98">
        <v>1</v>
      </c>
      <c r="AJ573" s="98">
        <v>202324</v>
      </c>
      <c r="AK573" s="207">
        <v>0</v>
      </c>
    </row>
    <row r="574" spans="30:37" x14ac:dyDescent="0.35">
      <c r="AD574" s="98" t="str">
        <f t="shared" si="21"/>
        <v>550_8_202324</v>
      </c>
      <c r="AE574" s="98" t="s">
        <v>1</v>
      </c>
      <c r="AF574" s="98">
        <v>550</v>
      </c>
      <c r="AG574" s="98">
        <v>8</v>
      </c>
      <c r="AH574" s="98" t="s">
        <v>2964</v>
      </c>
      <c r="AI574" s="98">
        <v>1</v>
      </c>
      <c r="AJ574" s="98">
        <v>202324</v>
      </c>
      <c r="AK574" s="207">
        <v>0</v>
      </c>
    </row>
    <row r="575" spans="30:37" x14ac:dyDescent="0.35">
      <c r="AD575" s="98" t="str">
        <f t="shared" si="21"/>
        <v>552_8_202324</v>
      </c>
      <c r="AE575" s="98" t="s">
        <v>1</v>
      </c>
      <c r="AF575" s="98">
        <v>552</v>
      </c>
      <c r="AG575" s="98">
        <v>8</v>
      </c>
      <c r="AH575" s="98" t="s">
        <v>2964</v>
      </c>
      <c r="AI575" s="98">
        <v>1</v>
      </c>
      <c r="AJ575" s="98">
        <v>202324</v>
      </c>
      <c r="AK575" s="207">
        <v>48.55</v>
      </c>
    </row>
    <row r="576" spans="30:37" x14ac:dyDescent="0.35">
      <c r="AD576" s="98" t="str">
        <f t="shared" si="21"/>
        <v>512_9_202324</v>
      </c>
      <c r="AE576" s="98" t="s">
        <v>1</v>
      </c>
      <c r="AF576" s="98">
        <v>512</v>
      </c>
      <c r="AG576" s="98">
        <v>9</v>
      </c>
      <c r="AH576" s="98" t="s">
        <v>2951</v>
      </c>
      <c r="AI576" s="98">
        <v>1</v>
      </c>
      <c r="AJ576" s="98">
        <v>202324</v>
      </c>
      <c r="AK576" s="207">
        <v>32819.555050000003</v>
      </c>
    </row>
    <row r="577" spans="30:37" x14ac:dyDescent="0.35">
      <c r="AD577" s="98" t="str">
        <f t="shared" si="21"/>
        <v>514_9_202324</v>
      </c>
      <c r="AE577" s="98" t="s">
        <v>1</v>
      </c>
      <c r="AF577" s="98">
        <v>514</v>
      </c>
      <c r="AG577" s="98">
        <v>9</v>
      </c>
      <c r="AH577" s="98" t="s">
        <v>2951</v>
      </c>
      <c r="AI577" s="98">
        <v>1</v>
      </c>
      <c r="AJ577" s="98">
        <v>202324</v>
      </c>
      <c r="AK577" s="207">
        <v>56182.767300000007</v>
      </c>
    </row>
    <row r="578" spans="30:37" x14ac:dyDescent="0.35">
      <c r="AD578" s="98" t="str">
        <f t="shared" si="21"/>
        <v>516_9_202324</v>
      </c>
      <c r="AE578" s="98" t="s">
        <v>1</v>
      </c>
      <c r="AF578" s="98">
        <v>516</v>
      </c>
      <c r="AG578" s="98">
        <v>9</v>
      </c>
      <c r="AH578" s="98" t="s">
        <v>2951</v>
      </c>
      <c r="AI578" s="98">
        <v>1</v>
      </c>
      <c r="AJ578" s="98">
        <v>202324</v>
      </c>
      <c r="AK578" s="207">
        <v>51378.0386</v>
      </c>
    </row>
    <row r="579" spans="30:37" x14ac:dyDescent="0.35">
      <c r="AD579" s="98" t="str">
        <f t="shared" si="21"/>
        <v>518_9_202324</v>
      </c>
      <c r="AE579" s="98" t="s">
        <v>1</v>
      </c>
      <c r="AF579" s="98">
        <v>518</v>
      </c>
      <c r="AG579" s="98">
        <v>9</v>
      </c>
      <c r="AH579" s="98" t="s">
        <v>2951</v>
      </c>
      <c r="AI579" s="98">
        <v>1</v>
      </c>
      <c r="AJ579" s="98">
        <v>202324</v>
      </c>
      <c r="AK579" s="207">
        <v>40921.188919999993</v>
      </c>
    </row>
    <row r="580" spans="30:37" x14ac:dyDescent="0.35">
      <c r="AD580" s="98" t="str">
        <f t="shared" ref="AD580:AD643" si="22">AF580&amp;"_"&amp;AG580&amp;"_"&amp;AJ580</f>
        <v>520_9_202324</v>
      </c>
      <c r="AE580" s="98" t="s">
        <v>1</v>
      </c>
      <c r="AF580" s="98">
        <v>520</v>
      </c>
      <c r="AG580" s="98">
        <v>9</v>
      </c>
      <c r="AH580" s="98" t="s">
        <v>2951</v>
      </c>
      <c r="AI580" s="98">
        <v>1</v>
      </c>
      <c r="AJ580" s="98">
        <v>202324</v>
      </c>
      <c r="AK580" s="207">
        <v>65814.997559999989</v>
      </c>
    </row>
    <row r="581" spans="30:37" x14ac:dyDescent="0.35">
      <c r="AD581" s="98" t="str">
        <f t="shared" si="22"/>
        <v>522_9_202324</v>
      </c>
      <c r="AE581" s="98" t="s">
        <v>1</v>
      </c>
      <c r="AF581" s="98">
        <v>522</v>
      </c>
      <c r="AG581" s="98">
        <v>9</v>
      </c>
      <c r="AH581" s="98" t="s">
        <v>2951</v>
      </c>
      <c r="AI581" s="98">
        <v>1</v>
      </c>
      <c r="AJ581" s="98">
        <v>202324</v>
      </c>
      <c r="AK581" s="207">
        <v>53835.996200000001</v>
      </c>
    </row>
    <row r="582" spans="30:37" x14ac:dyDescent="0.35">
      <c r="AD582" s="98" t="str">
        <f t="shared" si="22"/>
        <v>524_9_202324</v>
      </c>
      <c r="AE582" s="98" t="s">
        <v>1</v>
      </c>
      <c r="AF582" s="98">
        <v>524</v>
      </c>
      <c r="AG582" s="98">
        <v>9</v>
      </c>
      <c r="AH582" s="98" t="s">
        <v>2951</v>
      </c>
      <c r="AI582" s="98">
        <v>1</v>
      </c>
      <c r="AJ582" s="98">
        <v>202324</v>
      </c>
      <c r="AK582" s="207">
        <v>64256.511949999993</v>
      </c>
    </row>
    <row r="583" spans="30:37" x14ac:dyDescent="0.35">
      <c r="AD583" s="98" t="str">
        <f t="shared" si="22"/>
        <v>526_9_202324</v>
      </c>
      <c r="AE583" s="98" t="s">
        <v>1</v>
      </c>
      <c r="AF583" s="98">
        <v>526</v>
      </c>
      <c r="AG583" s="98">
        <v>9</v>
      </c>
      <c r="AH583" s="98" t="s">
        <v>2951</v>
      </c>
      <c r="AI583" s="98">
        <v>1</v>
      </c>
      <c r="AJ583" s="98">
        <v>202324</v>
      </c>
      <c r="AK583" s="207">
        <v>32767.985374999997</v>
      </c>
    </row>
    <row r="584" spans="30:37" x14ac:dyDescent="0.35">
      <c r="AD584" s="98" t="str">
        <f t="shared" si="22"/>
        <v>528_9_202324</v>
      </c>
      <c r="AE584" s="98" t="s">
        <v>1</v>
      </c>
      <c r="AF584" s="98">
        <v>528</v>
      </c>
      <c r="AG584" s="98">
        <v>9</v>
      </c>
      <c r="AH584" s="98" t="s">
        <v>2951</v>
      </c>
      <c r="AI584" s="98">
        <v>1</v>
      </c>
      <c r="AJ584" s="98">
        <v>202324</v>
      </c>
      <c r="AK584" s="207">
        <v>59851.186999999991</v>
      </c>
    </row>
    <row r="585" spans="30:37" x14ac:dyDescent="0.35">
      <c r="AD585" s="98" t="str">
        <f t="shared" si="22"/>
        <v>530_9_202324</v>
      </c>
      <c r="AE585" s="98" t="s">
        <v>1</v>
      </c>
      <c r="AF585" s="98">
        <v>530</v>
      </c>
      <c r="AG585" s="98">
        <v>9</v>
      </c>
      <c r="AH585" s="98" t="s">
        <v>2951</v>
      </c>
      <c r="AI585" s="98">
        <v>1</v>
      </c>
      <c r="AJ585" s="98">
        <v>202324</v>
      </c>
      <c r="AK585" s="207">
        <v>75071.948249999987</v>
      </c>
    </row>
    <row r="586" spans="30:37" x14ac:dyDescent="0.35">
      <c r="AD586" s="98" t="str">
        <f t="shared" si="22"/>
        <v>532_9_202324</v>
      </c>
      <c r="AE586" s="98" t="s">
        <v>1</v>
      </c>
      <c r="AF586" s="98">
        <v>532</v>
      </c>
      <c r="AG586" s="98">
        <v>9</v>
      </c>
      <c r="AH586" s="98" t="s">
        <v>2951</v>
      </c>
      <c r="AI586" s="98">
        <v>1</v>
      </c>
      <c r="AJ586" s="98">
        <v>202324</v>
      </c>
      <c r="AK586" s="207">
        <v>91454.350049999994</v>
      </c>
    </row>
    <row r="587" spans="30:37" x14ac:dyDescent="0.35">
      <c r="AD587" s="98" t="str">
        <f t="shared" si="22"/>
        <v>534_9_202324</v>
      </c>
      <c r="AE587" s="98" t="s">
        <v>1</v>
      </c>
      <c r="AF587" s="98">
        <v>534</v>
      </c>
      <c r="AG587" s="98">
        <v>9</v>
      </c>
      <c r="AH587" s="98" t="s">
        <v>2951</v>
      </c>
      <c r="AI587" s="98">
        <v>1</v>
      </c>
      <c r="AJ587" s="98">
        <v>202324</v>
      </c>
      <c r="AK587" s="207">
        <v>48808.096399999995</v>
      </c>
    </row>
    <row r="588" spans="30:37" x14ac:dyDescent="0.35">
      <c r="AD588" s="98" t="str">
        <f t="shared" si="22"/>
        <v>536_9_202324</v>
      </c>
      <c r="AE588" s="98" t="s">
        <v>1</v>
      </c>
      <c r="AF588" s="98">
        <v>536</v>
      </c>
      <c r="AG588" s="98">
        <v>9</v>
      </c>
      <c r="AH588" s="98" t="s">
        <v>2951</v>
      </c>
      <c r="AI588" s="98">
        <v>1</v>
      </c>
      <c r="AJ588" s="98">
        <v>202324</v>
      </c>
      <c r="AK588" s="207">
        <v>55007.822999999997</v>
      </c>
    </row>
    <row r="589" spans="30:37" x14ac:dyDescent="0.35">
      <c r="AD589" s="98" t="str">
        <f t="shared" si="22"/>
        <v>538_9_202324</v>
      </c>
      <c r="AE589" s="98" t="s">
        <v>1</v>
      </c>
      <c r="AF589" s="98">
        <v>538</v>
      </c>
      <c r="AG589" s="98">
        <v>9</v>
      </c>
      <c r="AH589" s="98" t="s">
        <v>2951</v>
      </c>
      <c r="AI589" s="98">
        <v>1</v>
      </c>
      <c r="AJ589" s="98">
        <v>202324</v>
      </c>
      <c r="AK589" s="207">
        <v>62333.95132</v>
      </c>
    </row>
    <row r="590" spans="30:37" x14ac:dyDescent="0.35">
      <c r="AD590" s="98" t="str">
        <f t="shared" si="22"/>
        <v>540_9_202324</v>
      </c>
      <c r="AE590" s="98" t="s">
        <v>1</v>
      </c>
      <c r="AF590" s="98">
        <v>540</v>
      </c>
      <c r="AG590" s="98">
        <v>9</v>
      </c>
      <c r="AH590" s="98" t="s">
        <v>2951</v>
      </c>
      <c r="AI590" s="98">
        <v>1</v>
      </c>
      <c r="AJ590" s="98">
        <v>202324</v>
      </c>
      <c r="AK590" s="207">
        <v>77977.841075000018</v>
      </c>
    </row>
    <row r="591" spans="30:37" x14ac:dyDescent="0.35">
      <c r="AD591" s="98" t="str">
        <f t="shared" si="22"/>
        <v>542_9_202324</v>
      </c>
      <c r="AE591" s="98" t="s">
        <v>1</v>
      </c>
      <c r="AF591" s="98">
        <v>542</v>
      </c>
      <c r="AG591" s="98">
        <v>9</v>
      </c>
      <c r="AH591" s="98" t="s">
        <v>2951</v>
      </c>
      <c r="AI591" s="98">
        <v>1</v>
      </c>
      <c r="AJ591" s="98">
        <v>202324</v>
      </c>
      <c r="AK591" s="207">
        <v>18617.779199999997</v>
      </c>
    </row>
    <row r="592" spans="30:37" x14ac:dyDescent="0.35">
      <c r="AD592" s="98" t="str">
        <f t="shared" si="22"/>
        <v>544_9_202324</v>
      </c>
      <c r="AE592" s="98" t="s">
        <v>1</v>
      </c>
      <c r="AF592" s="98">
        <v>544</v>
      </c>
      <c r="AG592" s="98">
        <v>9</v>
      </c>
      <c r="AH592" s="98" t="s">
        <v>2951</v>
      </c>
      <c r="AI592" s="98">
        <v>1</v>
      </c>
      <c r="AJ592" s="98">
        <v>202324</v>
      </c>
      <c r="AK592" s="207">
        <v>61135.132499999992</v>
      </c>
    </row>
    <row r="593" spans="30:37" x14ac:dyDescent="0.35">
      <c r="AD593" s="98" t="str">
        <f t="shared" si="22"/>
        <v>545_9_202324</v>
      </c>
      <c r="AE593" s="98" t="s">
        <v>1</v>
      </c>
      <c r="AF593" s="98">
        <v>545</v>
      </c>
      <c r="AG593" s="98">
        <v>9</v>
      </c>
      <c r="AH593" s="98" t="s">
        <v>2951</v>
      </c>
      <c r="AI593" s="98">
        <v>1</v>
      </c>
      <c r="AJ593" s="98">
        <v>202324</v>
      </c>
      <c r="AK593" s="207">
        <v>20806.691000000003</v>
      </c>
    </row>
    <row r="594" spans="30:37" x14ac:dyDescent="0.35">
      <c r="AD594" s="98" t="str">
        <f t="shared" si="22"/>
        <v>546_9_202324</v>
      </c>
      <c r="AE594" s="98" t="s">
        <v>1</v>
      </c>
      <c r="AF594" s="98">
        <v>546</v>
      </c>
      <c r="AG594" s="98">
        <v>9</v>
      </c>
      <c r="AH594" s="98" t="s">
        <v>2951</v>
      </c>
      <c r="AI594" s="98">
        <v>1</v>
      </c>
      <c r="AJ594" s="98">
        <v>202324</v>
      </c>
      <c r="AK594" s="207">
        <v>34247.001600000003</v>
      </c>
    </row>
    <row r="595" spans="30:37" x14ac:dyDescent="0.35">
      <c r="AD595" s="98" t="str">
        <f t="shared" si="22"/>
        <v>548_9_202324</v>
      </c>
      <c r="AE595" s="98" t="s">
        <v>1</v>
      </c>
      <c r="AF595" s="98">
        <v>548</v>
      </c>
      <c r="AG595" s="98">
        <v>9</v>
      </c>
      <c r="AH595" s="98" t="s">
        <v>2951</v>
      </c>
      <c r="AI595" s="98">
        <v>1</v>
      </c>
      <c r="AJ595" s="98">
        <v>202324</v>
      </c>
      <c r="AK595" s="207">
        <v>47778.092999999993</v>
      </c>
    </row>
    <row r="596" spans="30:37" x14ac:dyDescent="0.35">
      <c r="AD596" s="98" t="str">
        <f t="shared" si="22"/>
        <v>550_9_202324</v>
      </c>
      <c r="AE596" s="98" t="s">
        <v>1</v>
      </c>
      <c r="AF596" s="98">
        <v>550</v>
      </c>
      <c r="AG596" s="98">
        <v>9</v>
      </c>
      <c r="AH596" s="98" t="s">
        <v>2951</v>
      </c>
      <c r="AI596" s="98">
        <v>1</v>
      </c>
      <c r="AJ596" s="98">
        <v>202324</v>
      </c>
      <c r="AK596" s="207">
        <v>60975.5216</v>
      </c>
    </row>
    <row r="597" spans="30:37" x14ac:dyDescent="0.35">
      <c r="AD597" s="98" t="str">
        <f t="shared" si="22"/>
        <v>552_9_202324</v>
      </c>
      <c r="AE597" s="98" t="s">
        <v>1</v>
      </c>
      <c r="AF597" s="98">
        <v>552</v>
      </c>
      <c r="AG597" s="98">
        <v>9</v>
      </c>
      <c r="AH597" s="98" t="s">
        <v>2951</v>
      </c>
      <c r="AI597" s="98">
        <v>1</v>
      </c>
      <c r="AJ597" s="98">
        <v>202324</v>
      </c>
      <c r="AK597" s="207">
        <v>150481.70969999998</v>
      </c>
    </row>
    <row r="598" spans="30:37" x14ac:dyDescent="0.35">
      <c r="AD598" s="98" t="str">
        <f t="shared" si="22"/>
        <v>512_10_202324</v>
      </c>
      <c r="AE598" s="98" t="s">
        <v>1</v>
      </c>
      <c r="AF598" s="98">
        <v>512</v>
      </c>
      <c r="AG598" s="98">
        <v>10</v>
      </c>
      <c r="AH598" s="98" t="s">
        <v>2955</v>
      </c>
      <c r="AI598" s="98">
        <v>1</v>
      </c>
      <c r="AJ598" s="98">
        <v>202324</v>
      </c>
      <c r="AK598" s="207">
        <v>1492.21</v>
      </c>
    </row>
    <row r="599" spans="30:37" x14ac:dyDescent="0.35">
      <c r="AD599" s="98" t="str">
        <f t="shared" si="22"/>
        <v>514_10_202324</v>
      </c>
      <c r="AE599" s="98" t="s">
        <v>1</v>
      </c>
      <c r="AF599" s="98">
        <v>514</v>
      </c>
      <c r="AG599" s="98">
        <v>10</v>
      </c>
      <c r="AH599" s="98" t="s">
        <v>2955</v>
      </c>
      <c r="AI599" s="98">
        <v>1</v>
      </c>
      <c r="AJ599" s="98">
        <v>202324</v>
      </c>
      <c r="AK599" s="207">
        <v>1654.11</v>
      </c>
    </row>
    <row r="600" spans="30:37" x14ac:dyDescent="0.35">
      <c r="AD600" s="98" t="str">
        <f t="shared" si="22"/>
        <v>516_10_202324</v>
      </c>
      <c r="AE600" s="98" t="s">
        <v>1</v>
      </c>
      <c r="AF600" s="98">
        <v>516</v>
      </c>
      <c r="AG600" s="98">
        <v>10</v>
      </c>
      <c r="AH600" s="98" t="s">
        <v>2955</v>
      </c>
      <c r="AI600" s="98">
        <v>1</v>
      </c>
      <c r="AJ600" s="98">
        <v>202324</v>
      </c>
      <c r="AK600" s="207">
        <v>1630.73</v>
      </c>
    </row>
    <row r="601" spans="30:37" x14ac:dyDescent="0.35">
      <c r="AD601" s="98" t="str">
        <f t="shared" si="22"/>
        <v>518_10_202324</v>
      </c>
      <c r="AE601" s="98" t="s">
        <v>1</v>
      </c>
      <c r="AF601" s="98">
        <v>518</v>
      </c>
      <c r="AG601" s="98">
        <v>10</v>
      </c>
      <c r="AH601" s="98" t="s">
        <v>2955</v>
      </c>
      <c r="AI601" s="98">
        <v>1</v>
      </c>
      <c r="AJ601" s="98">
        <v>202324</v>
      </c>
      <c r="AK601" s="207">
        <v>1594.75</v>
      </c>
    </row>
    <row r="602" spans="30:37" x14ac:dyDescent="0.35">
      <c r="AD602" s="98" t="str">
        <f t="shared" si="22"/>
        <v>520_10_202324</v>
      </c>
      <c r="AE602" s="98" t="s">
        <v>1</v>
      </c>
      <c r="AF602" s="98">
        <v>520</v>
      </c>
      <c r="AG602" s="98">
        <v>10</v>
      </c>
      <c r="AH602" s="98" t="s">
        <v>2955</v>
      </c>
      <c r="AI602" s="98">
        <v>1</v>
      </c>
      <c r="AJ602" s="98">
        <v>202324</v>
      </c>
      <c r="AK602" s="207">
        <v>1573.31</v>
      </c>
    </row>
    <row r="603" spans="30:37" x14ac:dyDescent="0.35">
      <c r="AD603" s="98" t="str">
        <f t="shared" si="22"/>
        <v>522_10_202324</v>
      </c>
      <c r="AE603" s="98" t="s">
        <v>1</v>
      </c>
      <c r="AF603" s="98">
        <v>522</v>
      </c>
      <c r="AG603" s="98">
        <v>10</v>
      </c>
      <c r="AH603" s="98" t="s">
        <v>2955</v>
      </c>
      <c r="AI603" s="98">
        <v>1</v>
      </c>
      <c r="AJ603" s="98">
        <v>202324</v>
      </c>
      <c r="AK603" s="207">
        <v>1510</v>
      </c>
    </row>
    <row r="604" spans="30:37" x14ac:dyDescent="0.35">
      <c r="AD604" s="98" t="str">
        <f t="shared" si="22"/>
        <v>524_10_202324</v>
      </c>
      <c r="AE604" s="98" t="s">
        <v>1</v>
      </c>
      <c r="AF604" s="98">
        <v>524</v>
      </c>
      <c r="AG604" s="98">
        <v>10</v>
      </c>
      <c r="AH604" s="98" t="s">
        <v>2955</v>
      </c>
      <c r="AI604" s="98">
        <v>1</v>
      </c>
      <c r="AJ604" s="98">
        <v>202324</v>
      </c>
      <c r="AK604" s="207">
        <v>1600.74</v>
      </c>
    </row>
    <row r="605" spans="30:37" x14ac:dyDescent="0.35">
      <c r="AD605" s="98" t="str">
        <f t="shared" si="22"/>
        <v>526_10_202324</v>
      </c>
      <c r="AE605" s="98" t="s">
        <v>1</v>
      </c>
      <c r="AF605" s="98">
        <v>526</v>
      </c>
      <c r="AG605" s="98">
        <v>10</v>
      </c>
      <c r="AH605" s="98" t="s">
        <v>2955</v>
      </c>
      <c r="AI605" s="98">
        <v>1</v>
      </c>
      <c r="AJ605" s="98">
        <v>202324</v>
      </c>
      <c r="AK605" s="207">
        <v>1595.58</v>
      </c>
    </row>
    <row r="606" spans="30:37" x14ac:dyDescent="0.35">
      <c r="AD606" s="98" t="str">
        <f t="shared" si="22"/>
        <v>528_10_202324</v>
      </c>
      <c r="AE606" s="98" t="s">
        <v>1</v>
      </c>
      <c r="AF606" s="98">
        <v>528</v>
      </c>
      <c r="AG606" s="98">
        <v>10</v>
      </c>
      <c r="AH606" s="98" t="s">
        <v>2955</v>
      </c>
      <c r="AI606" s="98">
        <v>1</v>
      </c>
      <c r="AJ606" s="98">
        <v>202324</v>
      </c>
      <c r="AK606" s="207">
        <v>1383.42</v>
      </c>
    </row>
    <row r="607" spans="30:37" x14ac:dyDescent="0.35">
      <c r="AD607" s="98" t="str">
        <f t="shared" si="22"/>
        <v>530_10_202324</v>
      </c>
      <c r="AE607" s="98" t="s">
        <v>1</v>
      </c>
      <c r="AF607" s="98">
        <v>530</v>
      </c>
      <c r="AG607" s="98">
        <v>10</v>
      </c>
      <c r="AH607" s="98" t="s">
        <v>2955</v>
      </c>
      <c r="AI607" s="98">
        <v>1</v>
      </c>
      <c r="AJ607" s="98">
        <v>202324</v>
      </c>
      <c r="AK607" s="207">
        <v>1596.0173779025379</v>
      </c>
    </row>
    <row r="608" spans="30:37" x14ac:dyDescent="0.35">
      <c r="AD608" s="98" t="str">
        <f t="shared" si="22"/>
        <v>532_10_202324</v>
      </c>
      <c r="AE608" s="98" t="s">
        <v>1</v>
      </c>
      <c r="AF608" s="98">
        <v>532</v>
      </c>
      <c r="AG608" s="98">
        <v>10</v>
      </c>
      <c r="AH608" s="98" t="s">
        <v>2955</v>
      </c>
      <c r="AI608" s="98">
        <v>1</v>
      </c>
      <c r="AJ608" s="98">
        <v>202324</v>
      </c>
      <c r="AK608" s="207">
        <v>1569.08</v>
      </c>
    </row>
    <row r="609" spans="30:37" x14ac:dyDescent="0.35">
      <c r="AD609" s="98" t="str">
        <f t="shared" si="22"/>
        <v>534_10_202324</v>
      </c>
      <c r="AE609" s="98" t="s">
        <v>1</v>
      </c>
      <c r="AF609" s="98">
        <v>534</v>
      </c>
      <c r="AG609" s="98">
        <v>10</v>
      </c>
      <c r="AH609" s="98" t="s">
        <v>2955</v>
      </c>
      <c r="AI609" s="98">
        <v>1</v>
      </c>
      <c r="AJ609" s="98">
        <v>202324</v>
      </c>
      <c r="AK609" s="207">
        <v>1787.56</v>
      </c>
    </row>
    <row r="610" spans="30:37" x14ac:dyDescent="0.35">
      <c r="AD610" s="98" t="str">
        <f t="shared" si="22"/>
        <v>536_10_202324</v>
      </c>
      <c r="AE610" s="98" t="s">
        <v>1</v>
      </c>
      <c r="AF610" s="98">
        <v>536</v>
      </c>
      <c r="AG610" s="98">
        <v>10</v>
      </c>
      <c r="AH610" s="98" t="s">
        <v>2955</v>
      </c>
      <c r="AI610" s="98">
        <v>1</v>
      </c>
      <c r="AJ610" s="98">
        <v>202324</v>
      </c>
      <c r="AK610" s="207">
        <v>1727.93</v>
      </c>
    </row>
    <row r="611" spans="30:37" x14ac:dyDescent="0.35">
      <c r="AD611" s="98" t="str">
        <f t="shared" si="22"/>
        <v>538_10_202324</v>
      </c>
      <c r="AE611" s="98" t="s">
        <v>1</v>
      </c>
      <c r="AF611" s="98">
        <v>538</v>
      </c>
      <c r="AG611" s="98">
        <v>10</v>
      </c>
      <c r="AH611" s="98" t="s">
        <v>2955</v>
      </c>
      <c r="AI611" s="98">
        <v>1</v>
      </c>
      <c r="AJ611" s="98">
        <v>202324</v>
      </c>
      <c r="AK611" s="207">
        <v>1519.4</v>
      </c>
    </row>
    <row r="612" spans="30:37" x14ac:dyDescent="0.35">
      <c r="AD612" s="98" t="str">
        <f t="shared" si="22"/>
        <v>540_10_202324</v>
      </c>
      <c r="AE612" s="98" t="s">
        <v>1</v>
      </c>
      <c r="AF612" s="98">
        <v>540</v>
      </c>
      <c r="AG612" s="98">
        <v>10</v>
      </c>
      <c r="AH612" s="98" t="s">
        <v>2955</v>
      </c>
      <c r="AI612" s="98">
        <v>1</v>
      </c>
      <c r="AJ612" s="98">
        <v>202324</v>
      </c>
      <c r="AK612" s="207">
        <v>1647.55</v>
      </c>
    </row>
    <row r="613" spans="30:37" x14ac:dyDescent="0.35">
      <c r="AD613" s="98" t="str">
        <f t="shared" si="22"/>
        <v>542_10_202324</v>
      </c>
      <c r="AE613" s="98" t="s">
        <v>1</v>
      </c>
      <c r="AF613" s="98">
        <v>542</v>
      </c>
      <c r="AG613" s="98">
        <v>10</v>
      </c>
      <c r="AH613" s="98" t="s">
        <v>2955</v>
      </c>
      <c r="AI613" s="98">
        <v>1</v>
      </c>
      <c r="AJ613" s="98">
        <v>202324</v>
      </c>
      <c r="AK613" s="207">
        <v>1830.43</v>
      </c>
    </row>
    <row r="614" spans="30:37" x14ac:dyDescent="0.35">
      <c r="AD614" s="98" t="str">
        <f t="shared" si="22"/>
        <v>544_10_202324</v>
      </c>
      <c r="AE614" s="98" t="s">
        <v>1</v>
      </c>
      <c r="AF614" s="98">
        <v>544</v>
      </c>
      <c r="AG614" s="98">
        <v>10</v>
      </c>
      <c r="AH614" s="98" t="s">
        <v>2955</v>
      </c>
      <c r="AI614" s="98">
        <v>1</v>
      </c>
      <c r="AJ614" s="98">
        <v>202324</v>
      </c>
      <c r="AK614" s="207">
        <v>1368.79</v>
      </c>
    </row>
    <row r="615" spans="30:37" x14ac:dyDescent="0.35">
      <c r="AD615" s="98" t="str">
        <f t="shared" si="22"/>
        <v>545_10_202324</v>
      </c>
      <c r="AE615" s="98" t="s">
        <v>1</v>
      </c>
      <c r="AF615" s="98">
        <v>545</v>
      </c>
      <c r="AG615" s="98">
        <v>10</v>
      </c>
      <c r="AH615" s="98" t="s">
        <v>2955</v>
      </c>
      <c r="AI615" s="98">
        <v>1</v>
      </c>
      <c r="AJ615" s="98">
        <v>202324</v>
      </c>
      <c r="AK615" s="207">
        <v>1857.32</v>
      </c>
    </row>
    <row r="616" spans="30:37" x14ac:dyDescent="0.35">
      <c r="AD616" s="98" t="str">
        <f t="shared" si="22"/>
        <v>546_10_202324</v>
      </c>
      <c r="AE616" s="98" t="s">
        <v>1</v>
      </c>
      <c r="AF616" s="98">
        <v>546</v>
      </c>
      <c r="AG616" s="98">
        <v>10</v>
      </c>
      <c r="AH616" s="98" t="s">
        <v>2955</v>
      </c>
      <c r="AI616" s="98">
        <v>1</v>
      </c>
      <c r="AJ616" s="98">
        <v>202324</v>
      </c>
      <c r="AK616" s="207">
        <v>1527.04</v>
      </c>
    </row>
    <row r="617" spans="30:37" x14ac:dyDescent="0.35">
      <c r="AD617" s="98" t="str">
        <f t="shared" si="22"/>
        <v>548_10_202324</v>
      </c>
      <c r="AE617" s="98" t="s">
        <v>1</v>
      </c>
      <c r="AF617" s="98">
        <v>548</v>
      </c>
      <c r="AG617" s="98">
        <v>10</v>
      </c>
      <c r="AH617" s="98" t="s">
        <v>2955</v>
      </c>
      <c r="AI617" s="98">
        <v>1</v>
      </c>
      <c r="AJ617" s="98">
        <v>202324</v>
      </c>
      <c r="AK617" s="207">
        <v>1635.42</v>
      </c>
    </row>
    <row r="618" spans="30:37" x14ac:dyDescent="0.35">
      <c r="AD618" s="98" t="str">
        <f t="shared" si="22"/>
        <v>550_10_202324</v>
      </c>
      <c r="AE618" s="98" t="s">
        <v>1</v>
      </c>
      <c r="AF618" s="98">
        <v>550</v>
      </c>
      <c r="AG618" s="98">
        <v>10</v>
      </c>
      <c r="AH618" s="98" t="s">
        <v>2955</v>
      </c>
      <c r="AI618" s="98">
        <v>1</v>
      </c>
      <c r="AJ618" s="98">
        <v>202324</v>
      </c>
      <c r="AK618" s="207">
        <v>1388.38</v>
      </c>
    </row>
    <row r="619" spans="30:37" x14ac:dyDescent="0.35">
      <c r="AD619" s="98" t="str">
        <f t="shared" si="22"/>
        <v>552_10_202324</v>
      </c>
      <c r="AE619" s="98" t="s">
        <v>1</v>
      </c>
      <c r="AF619" s="98">
        <v>552</v>
      </c>
      <c r="AG619" s="98">
        <v>10</v>
      </c>
      <c r="AH619" s="98" t="s">
        <v>2955</v>
      </c>
      <c r="AI619" s="98">
        <v>1</v>
      </c>
      <c r="AJ619" s="98">
        <v>202324</v>
      </c>
      <c r="AK619" s="207">
        <v>1391.07</v>
      </c>
    </row>
    <row r="620" spans="30:37" x14ac:dyDescent="0.35">
      <c r="AD620" s="98" t="str">
        <f t="shared" si="22"/>
        <v>512_11_202324</v>
      </c>
      <c r="AE620" s="98" t="s">
        <v>1</v>
      </c>
      <c r="AF620" s="98">
        <v>512</v>
      </c>
      <c r="AG620" s="98">
        <v>11</v>
      </c>
      <c r="AH620" s="98" t="s">
        <v>2957</v>
      </c>
      <c r="AI620" s="98">
        <v>1</v>
      </c>
      <c r="AJ620" s="98">
        <v>202324</v>
      </c>
      <c r="AK620" s="207">
        <v>333.09004291330268</v>
      </c>
    </row>
    <row r="621" spans="30:37" x14ac:dyDescent="0.35">
      <c r="AD621" s="98" t="str">
        <f t="shared" si="22"/>
        <v>514_11_202324</v>
      </c>
      <c r="AE621" s="98" t="s">
        <v>1</v>
      </c>
      <c r="AF621" s="98">
        <v>514</v>
      </c>
      <c r="AG621" s="98">
        <v>11</v>
      </c>
      <c r="AH621" s="98" t="s">
        <v>2957</v>
      </c>
      <c r="AI621" s="98">
        <v>1</v>
      </c>
      <c r="AJ621" s="98">
        <v>202324</v>
      </c>
      <c r="AK621" s="207">
        <v>333.09001851177948</v>
      </c>
    </row>
    <row r="622" spans="30:37" x14ac:dyDescent="0.35">
      <c r="AD622" s="98" t="str">
        <f t="shared" si="22"/>
        <v>516_11_202324</v>
      </c>
      <c r="AE622" s="98" t="s">
        <v>1</v>
      </c>
      <c r="AF622" s="98">
        <v>516</v>
      </c>
      <c r="AG622" s="98">
        <v>11</v>
      </c>
      <c r="AH622" s="98" t="s">
        <v>2957</v>
      </c>
      <c r="AI622" s="98">
        <v>1</v>
      </c>
      <c r="AJ622" s="98">
        <v>202324</v>
      </c>
      <c r="AK622" s="207">
        <v>333.09000238868595</v>
      </c>
    </row>
    <row r="623" spans="30:37" x14ac:dyDescent="0.35">
      <c r="AD623" s="98" t="str">
        <f t="shared" si="22"/>
        <v>518_11_202324</v>
      </c>
      <c r="AE623" s="98" t="s">
        <v>1</v>
      </c>
      <c r="AF623" s="98">
        <v>518</v>
      </c>
      <c r="AG623" s="98">
        <v>11</v>
      </c>
      <c r="AH623" s="98" t="s">
        <v>2957</v>
      </c>
      <c r="AI623" s="98">
        <v>1</v>
      </c>
      <c r="AJ623" s="98">
        <v>202324</v>
      </c>
      <c r="AK623" s="207">
        <v>333.09000446314508</v>
      </c>
    </row>
    <row r="624" spans="30:37" x14ac:dyDescent="0.35">
      <c r="AD624" s="98" t="str">
        <f t="shared" si="22"/>
        <v>520_11_202324</v>
      </c>
      <c r="AE624" s="98" t="s">
        <v>1</v>
      </c>
      <c r="AF624" s="98">
        <v>520</v>
      </c>
      <c r="AG624" s="98">
        <v>11</v>
      </c>
      <c r="AH624" s="98" t="s">
        <v>2957</v>
      </c>
      <c r="AI624" s="98">
        <v>1</v>
      </c>
      <c r="AJ624" s="98">
        <v>202324</v>
      </c>
      <c r="AK624" s="207">
        <v>333.09000703091425</v>
      </c>
    </row>
    <row r="625" spans="30:37" x14ac:dyDescent="0.35">
      <c r="AD625" s="98" t="str">
        <f t="shared" si="22"/>
        <v>522_11_202324</v>
      </c>
      <c r="AE625" s="98" t="s">
        <v>1</v>
      </c>
      <c r="AF625" s="98">
        <v>522</v>
      </c>
      <c r="AG625" s="98">
        <v>11</v>
      </c>
      <c r="AH625" s="98" t="s">
        <v>2957</v>
      </c>
      <c r="AI625" s="98">
        <v>1</v>
      </c>
      <c r="AJ625" s="98">
        <v>202324</v>
      </c>
      <c r="AK625" s="207">
        <v>333.0900190530885</v>
      </c>
    </row>
    <row r="626" spans="30:37" x14ac:dyDescent="0.35">
      <c r="AD626" s="98" t="str">
        <f t="shared" si="22"/>
        <v>524_11_202324</v>
      </c>
      <c r="AE626" s="98" t="s">
        <v>1</v>
      </c>
      <c r="AF626" s="98">
        <v>524</v>
      </c>
      <c r="AG626" s="98">
        <v>11</v>
      </c>
      <c r="AH626" s="98" t="s">
        <v>2957</v>
      </c>
      <c r="AI626" s="98">
        <v>1</v>
      </c>
      <c r="AJ626" s="98">
        <v>202324</v>
      </c>
      <c r="AK626" s="207">
        <v>312.64999282302318</v>
      </c>
    </row>
    <row r="627" spans="30:37" x14ac:dyDescent="0.35">
      <c r="AD627" s="98" t="str">
        <f t="shared" si="22"/>
        <v>526_11_202324</v>
      </c>
      <c r="AE627" s="98" t="s">
        <v>1</v>
      </c>
      <c r="AF627" s="98">
        <v>526</v>
      </c>
      <c r="AG627" s="98">
        <v>11</v>
      </c>
      <c r="AH627" s="98" t="s">
        <v>2957</v>
      </c>
      <c r="AI627" s="98">
        <v>1</v>
      </c>
      <c r="AJ627" s="98">
        <v>202324</v>
      </c>
      <c r="AK627" s="207">
        <v>312.65004188558544</v>
      </c>
    </row>
    <row r="628" spans="30:37" x14ac:dyDescent="0.35">
      <c r="AD628" s="98" t="str">
        <f t="shared" si="22"/>
        <v>528_11_202324</v>
      </c>
      <c r="AE628" s="98" t="s">
        <v>1</v>
      </c>
      <c r="AF628" s="98">
        <v>528</v>
      </c>
      <c r="AG628" s="98">
        <v>11</v>
      </c>
      <c r="AH628" s="98" t="s">
        <v>2957</v>
      </c>
      <c r="AI628" s="98">
        <v>1</v>
      </c>
      <c r="AJ628" s="98">
        <v>202324</v>
      </c>
      <c r="AK628" s="207">
        <v>312.65002313153792</v>
      </c>
    </row>
    <row r="629" spans="30:37" x14ac:dyDescent="0.35">
      <c r="AD629" s="98" t="str">
        <f t="shared" si="22"/>
        <v>530_11_202324</v>
      </c>
      <c r="AE629" s="98" t="s">
        <v>1</v>
      </c>
      <c r="AF629" s="98">
        <v>530</v>
      </c>
      <c r="AG629" s="98">
        <v>11</v>
      </c>
      <c r="AH629" s="98" t="s">
        <v>2957</v>
      </c>
      <c r="AI629" s="98">
        <v>1</v>
      </c>
      <c r="AJ629" s="98">
        <v>202324</v>
      </c>
      <c r="AK629" s="207">
        <v>312.6500050569822</v>
      </c>
    </row>
    <row r="630" spans="30:37" x14ac:dyDescent="0.35">
      <c r="AD630" s="98" t="str">
        <f t="shared" si="22"/>
        <v>532_11_202324</v>
      </c>
      <c r="AE630" s="98" t="s">
        <v>1</v>
      </c>
      <c r="AF630" s="98">
        <v>532</v>
      </c>
      <c r="AG630" s="98">
        <v>11</v>
      </c>
      <c r="AH630" s="98" t="s">
        <v>2957</v>
      </c>
      <c r="AI630" s="98">
        <v>1</v>
      </c>
      <c r="AJ630" s="98">
        <v>202324</v>
      </c>
      <c r="AK630" s="207">
        <v>324.46875390592754</v>
      </c>
    </row>
    <row r="631" spans="30:37" x14ac:dyDescent="0.35">
      <c r="AD631" s="98" t="str">
        <f t="shared" si="22"/>
        <v>534_11_202324</v>
      </c>
      <c r="AE631" s="98" t="s">
        <v>1</v>
      </c>
      <c r="AF631" s="98">
        <v>534</v>
      </c>
      <c r="AG631" s="98">
        <v>11</v>
      </c>
      <c r="AH631" s="98" t="s">
        <v>2957</v>
      </c>
      <c r="AI631" s="98">
        <v>1</v>
      </c>
      <c r="AJ631" s="98">
        <v>202324</v>
      </c>
      <c r="AK631" s="207">
        <v>324.47001969124125</v>
      </c>
    </row>
    <row r="632" spans="30:37" x14ac:dyDescent="0.35">
      <c r="AD632" s="98" t="str">
        <f t="shared" si="22"/>
        <v>536_11_202324</v>
      </c>
      <c r="AE632" s="98" t="s">
        <v>1</v>
      </c>
      <c r="AF632" s="98">
        <v>536</v>
      </c>
      <c r="AG632" s="98">
        <v>11</v>
      </c>
      <c r="AH632" s="98" t="s">
        <v>2957</v>
      </c>
      <c r="AI632" s="98">
        <v>1</v>
      </c>
      <c r="AJ632" s="98">
        <v>202324</v>
      </c>
      <c r="AK632" s="207">
        <v>324.46997584325419</v>
      </c>
    </row>
    <row r="633" spans="30:37" x14ac:dyDescent="0.35">
      <c r="AD633" s="98" t="str">
        <f t="shared" si="22"/>
        <v>538_11_202324</v>
      </c>
      <c r="AE633" s="98" t="s">
        <v>1</v>
      </c>
      <c r="AF633" s="98">
        <v>538</v>
      </c>
      <c r="AG633" s="98">
        <v>11</v>
      </c>
      <c r="AH633" s="98" t="s">
        <v>2957</v>
      </c>
      <c r="AI633" s="98">
        <v>1</v>
      </c>
      <c r="AJ633" s="98">
        <v>202324</v>
      </c>
      <c r="AK633" s="207">
        <v>324.47025371726426</v>
      </c>
    </row>
    <row r="634" spans="30:37" x14ac:dyDescent="0.35">
      <c r="AD634" s="98" t="str">
        <f t="shared" si="22"/>
        <v>540_11_202324</v>
      </c>
      <c r="AE634" s="98" t="s">
        <v>1</v>
      </c>
      <c r="AF634" s="98">
        <v>540</v>
      </c>
      <c r="AG634" s="98">
        <v>11</v>
      </c>
      <c r="AH634" s="98" t="s">
        <v>2957</v>
      </c>
      <c r="AI634" s="98">
        <v>1</v>
      </c>
      <c r="AJ634" s="98">
        <v>202324</v>
      </c>
      <c r="AK634" s="207">
        <v>324.46999879959156</v>
      </c>
    </row>
    <row r="635" spans="30:37" x14ac:dyDescent="0.35">
      <c r="AD635" s="98" t="str">
        <f t="shared" si="22"/>
        <v>542_11_202324</v>
      </c>
      <c r="AE635" s="98" t="s">
        <v>1</v>
      </c>
      <c r="AF635" s="98">
        <v>542</v>
      </c>
      <c r="AG635" s="98">
        <v>11</v>
      </c>
      <c r="AH635" s="98" t="s">
        <v>2957</v>
      </c>
      <c r="AI635" s="98">
        <v>1</v>
      </c>
      <c r="AJ635" s="98">
        <v>202324</v>
      </c>
      <c r="AK635" s="207">
        <v>324.47000982802507</v>
      </c>
    </row>
    <row r="636" spans="30:37" x14ac:dyDescent="0.35">
      <c r="AD636" s="98" t="str">
        <f t="shared" si="22"/>
        <v>544_11_202324</v>
      </c>
      <c r="AE636" s="98" t="s">
        <v>1</v>
      </c>
      <c r="AF636" s="98">
        <v>544</v>
      </c>
      <c r="AG636" s="98">
        <v>11</v>
      </c>
      <c r="AH636" s="98" t="s">
        <v>2957</v>
      </c>
      <c r="AI636" s="98">
        <v>1</v>
      </c>
      <c r="AJ636" s="98">
        <v>202324</v>
      </c>
      <c r="AK636" s="207">
        <v>324.51998038934488</v>
      </c>
    </row>
    <row r="637" spans="30:37" x14ac:dyDescent="0.35">
      <c r="AD637" s="98" t="str">
        <f t="shared" si="22"/>
        <v>545_11_202324</v>
      </c>
      <c r="AE637" s="98" t="s">
        <v>1</v>
      </c>
      <c r="AF637" s="98">
        <v>545</v>
      </c>
      <c r="AG637" s="98">
        <v>11</v>
      </c>
      <c r="AH637" s="98" t="s">
        <v>2957</v>
      </c>
      <c r="AI637" s="98">
        <v>1</v>
      </c>
      <c r="AJ637" s="98">
        <v>202324</v>
      </c>
      <c r="AK637" s="207">
        <v>324.520126722697</v>
      </c>
    </row>
    <row r="638" spans="30:37" x14ac:dyDescent="0.35">
      <c r="AD638" s="98" t="str">
        <f t="shared" si="22"/>
        <v>546_11_202324</v>
      </c>
      <c r="AE638" s="98" t="s">
        <v>1</v>
      </c>
      <c r="AF638" s="98">
        <v>546</v>
      </c>
      <c r="AG638" s="98">
        <v>11</v>
      </c>
      <c r="AH638" s="98" t="s">
        <v>2957</v>
      </c>
      <c r="AI638" s="98">
        <v>1</v>
      </c>
      <c r="AJ638" s="98">
        <v>202324</v>
      </c>
      <c r="AK638" s="207">
        <v>324.51591324129231</v>
      </c>
    </row>
    <row r="639" spans="30:37" x14ac:dyDescent="0.35">
      <c r="AD639" s="98" t="str">
        <f t="shared" si="22"/>
        <v>548_11_202324</v>
      </c>
      <c r="AE639" s="98" t="s">
        <v>1</v>
      </c>
      <c r="AF639" s="98">
        <v>548</v>
      </c>
      <c r="AG639" s="98">
        <v>11</v>
      </c>
      <c r="AH639" s="98" t="s">
        <v>2957</v>
      </c>
      <c r="AI639" s="98">
        <v>1</v>
      </c>
      <c r="AJ639" s="98">
        <v>202324</v>
      </c>
      <c r="AK639" s="207">
        <v>324.51998450419529</v>
      </c>
    </row>
    <row r="640" spans="30:37" x14ac:dyDescent="0.35">
      <c r="AD640" s="98" t="str">
        <f t="shared" si="22"/>
        <v>550_11_202324</v>
      </c>
      <c r="AE640" s="98" t="s">
        <v>1</v>
      </c>
      <c r="AF640" s="98">
        <v>550</v>
      </c>
      <c r="AG640" s="98">
        <v>11</v>
      </c>
      <c r="AH640" s="98" t="s">
        <v>2957</v>
      </c>
      <c r="AI640" s="98">
        <v>1</v>
      </c>
      <c r="AJ640" s="98">
        <v>202324</v>
      </c>
      <c r="AK640" s="207">
        <v>324.51999147802286</v>
      </c>
    </row>
    <row r="641" spans="30:37" x14ac:dyDescent="0.35">
      <c r="AD641" s="98" t="str">
        <f t="shared" si="22"/>
        <v>552_11_202324</v>
      </c>
      <c r="AE641" s="98" t="s">
        <v>1</v>
      </c>
      <c r="AF641" s="98">
        <v>552</v>
      </c>
      <c r="AG641" s="98">
        <v>11</v>
      </c>
      <c r="AH641" s="98" t="s">
        <v>2957</v>
      </c>
      <c r="AI641" s="98">
        <v>1</v>
      </c>
      <c r="AJ641" s="98">
        <v>202324</v>
      </c>
      <c r="AK641" s="207">
        <v>324.47062900429029</v>
      </c>
    </row>
    <row r="642" spans="30:37" x14ac:dyDescent="0.35">
      <c r="AD642" s="98" t="str">
        <f t="shared" si="22"/>
        <v>512_12_202324</v>
      </c>
      <c r="AE642" s="98" t="s">
        <v>1</v>
      </c>
      <c r="AF642" s="98">
        <v>512</v>
      </c>
      <c r="AG642" s="98">
        <v>12</v>
      </c>
      <c r="AH642" s="98" t="s">
        <v>2959</v>
      </c>
      <c r="AI642" s="98">
        <v>1</v>
      </c>
      <c r="AJ642" s="98">
        <v>202324</v>
      </c>
      <c r="AK642" s="207">
        <v>1825.3000429133026</v>
      </c>
    </row>
    <row r="643" spans="30:37" x14ac:dyDescent="0.35">
      <c r="AD643" s="98" t="str">
        <f t="shared" si="22"/>
        <v>514_12_202324</v>
      </c>
      <c r="AE643" s="98" t="s">
        <v>1</v>
      </c>
      <c r="AF643" s="98">
        <v>514</v>
      </c>
      <c r="AG643" s="98">
        <v>12</v>
      </c>
      <c r="AH643" s="98" t="s">
        <v>2959</v>
      </c>
      <c r="AI643" s="98">
        <v>1</v>
      </c>
      <c r="AJ643" s="98">
        <v>202324</v>
      </c>
      <c r="AK643" s="207">
        <v>1987.2000185117795</v>
      </c>
    </row>
    <row r="644" spans="30:37" x14ac:dyDescent="0.35">
      <c r="AD644" s="98" t="str">
        <f t="shared" ref="AD644:AD707" si="23">AF644&amp;"_"&amp;AG644&amp;"_"&amp;AJ644</f>
        <v>516_12_202324</v>
      </c>
      <c r="AE644" s="98" t="s">
        <v>1</v>
      </c>
      <c r="AF644" s="98">
        <v>516</v>
      </c>
      <c r="AG644" s="98">
        <v>12</v>
      </c>
      <c r="AH644" s="98" t="s">
        <v>2959</v>
      </c>
      <c r="AI644" s="98">
        <v>1</v>
      </c>
      <c r="AJ644" s="98">
        <v>202324</v>
      </c>
      <c r="AK644" s="207">
        <v>1963.8200023886859</v>
      </c>
    </row>
    <row r="645" spans="30:37" x14ac:dyDescent="0.35">
      <c r="AD645" s="98" t="str">
        <f t="shared" si="23"/>
        <v>518_12_202324</v>
      </c>
      <c r="AE645" s="98" t="s">
        <v>1</v>
      </c>
      <c r="AF645" s="98">
        <v>518</v>
      </c>
      <c r="AG645" s="98">
        <v>12</v>
      </c>
      <c r="AH645" s="98" t="s">
        <v>2959</v>
      </c>
      <c r="AI645" s="98">
        <v>1</v>
      </c>
      <c r="AJ645" s="98">
        <v>202324</v>
      </c>
      <c r="AK645" s="207">
        <v>1927.8400044631451</v>
      </c>
    </row>
    <row r="646" spans="30:37" x14ac:dyDescent="0.35">
      <c r="AD646" s="98" t="str">
        <f t="shared" si="23"/>
        <v>520_12_202324</v>
      </c>
      <c r="AE646" s="98" t="s">
        <v>1</v>
      </c>
      <c r="AF646" s="98">
        <v>520</v>
      </c>
      <c r="AG646" s="98">
        <v>12</v>
      </c>
      <c r="AH646" s="98" t="s">
        <v>2959</v>
      </c>
      <c r="AI646" s="98">
        <v>1</v>
      </c>
      <c r="AJ646" s="98">
        <v>202324</v>
      </c>
      <c r="AK646" s="207">
        <v>1906.4000070309141</v>
      </c>
    </row>
    <row r="647" spans="30:37" x14ac:dyDescent="0.35">
      <c r="AD647" s="98" t="str">
        <f t="shared" si="23"/>
        <v>522_12_202324</v>
      </c>
      <c r="AE647" s="98" t="s">
        <v>1</v>
      </c>
      <c r="AF647" s="98">
        <v>522</v>
      </c>
      <c r="AG647" s="98">
        <v>12</v>
      </c>
      <c r="AH647" s="98" t="s">
        <v>2959</v>
      </c>
      <c r="AI647" s="98">
        <v>1</v>
      </c>
      <c r="AJ647" s="98">
        <v>202324</v>
      </c>
      <c r="AK647" s="207">
        <v>1843.0900190530886</v>
      </c>
    </row>
    <row r="648" spans="30:37" x14ac:dyDescent="0.35">
      <c r="AD648" s="98" t="str">
        <f t="shared" si="23"/>
        <v>524_12_202324</v>
      </c>
      <c r="AE648" s="98" t="s">
        <v>1</v>
      </c>
      <c r="AF648" s="98">
        <v>524</v>
      </c>
      <c r="AG648" s="98">
        <v>12</v>
      </c>
      <c r="AH648" s="98" t="s">
        <v>2959</v>
      </c>
      <c r="AI648" s="98">
        <v>1</v>
      </c>
      <c r="AJ648" s="98">
        <v>202324</v>
      </c>
      <c r="AK648" s="207">
        <v>1913.3899928230232</v>
      </c>
    </row>
    <row r="649" spans="30:37" x14ac:dyDescent="0.35">
      <c r="AD649" s="98" t="str">
        <f t="shared" si="23"/>
        <v>526_12_202324</v>
      </c>
      <c r="AE649" s="98" t="s">
        <v>1</v>
      </c>
      <c r="AF649" s="98">
        <v>526</v>
      </c>
      <c r="AG649" s="98">
        <v>12</v>
      </c>
      <c r="AH649" s="98" t="s">
        <v>2959</v>
      </c>
      <c r="AI649" s="98">
        <v>1</v>
      </c>
      <c r="AJ649" s="98">
        <v>202324</v>
      </c>
      <c r="AK649" s="207">
        <v>1908.2300418855853</v>
      </c>
    </row>
    <row r="650" spans="30:37" x14ac:dyDescent="0.35">
      <c r="AD650" s="98" t="str">
        <f t="shared" si="23"/>
        <v>528_12_202324</v>
      </c>
      <c r="AE650" s="98" t="s">
        <v>1</v>
      </c>
      <c r="AF650" s="98">
        <v>528</v>
      </c>
      <c r="AG650" s="98">
        <v>12</v>
      </c>
      <c r="AH650" s="98" t="s">
        <v>2959</v>
      </c>
      <c r="AI650" s="98">
        <v>1</v>
      </c>
      <c r="AJ650" s="98">
        <v>202324</v>
      </c>
      <c r="AK650" s="207">
        <v>1696.0700231315379</v>
      </c>
    </row>
    <row r="651" spans="30:37" x14ac:dyDescent="0.35">
      <c r="AD651" s="98" t="str">
        <f t="shared" si="23"/>
        <v>530_12_202324</v>
      </c>
      <c r="AE651" s="98" t="s">
        <v>1</v>
      </c>
      <c r="AF651" s="98">
        <v>530</v>
      </c>
      <c r="AG651" s="98">
        <v>12</v>
      </c>
      <c r="AH651" s="98" t="s">
        <v>2959</v>
      </c>
      <c r="AI651" s="98">
        <v>1</v>
      </c>
      <c r="AJ651" s="98">
        <v>202324</v>
      </c>
      <c r="AK651" s="207">
        <v>1908.6673829595202</v>
      </c>
    </row>
    <row r="652" spans="30:37" x14ac:dyDescent="0.35">
      <c r="AD652" s="98" t="str">
        <f t="shared" si="23"/>
        <v>532_12_202324</v>
      </c>
      <c r="AE652" s="98" t="s">
        <v>1</v>
      </c>
      <c r="AF652" s="98">
        <v>532</v>
      </c>
      <c r="AG652" s="98">
        <v>12</v>
      </c>
      <c r="AH652" s="98" t="s">
        <v>2959</v>
      </c>
      <c r="AI652" s="98">
        <v>1</v>
      </c>
      <c r="AJ652" s="98">
        <v>202324</v>
      </c>
      <c r="AK652" s="207">
        <v>1893.5487539059275</v>
      </c>
    </row>
    <row r="653" spans="30:37" x14ac:dyDescent="0.35">
      <c r="AD653" s="98" t="str">
        <f t="shared" si="23"/>
        <v>534_12_202324</v>
      </c>
      <c r="AE653" s="98" t="s">
        <v>1</v>
      </c>
      <c r="AF653" s="98">
        <v>534</v>
      </c>
      <c r="AG653" s="98">
        <v>12</v>
      </c>
      <c r="AH653" s="98" t="s">
        <v>2959</v>
      </c>
      <c r="AI653" s="98">
        <v>1</v>
      </c>
      <c r="AJ653" s="98">
        <v>202324</v>
      </c>
      <c r="AK653" s="207">
        <v>2112.0300196912413</v>
      </c>
    </row>
    <row r="654" spans="30:37" x14ac:dyDescent="0.35">
      <c r="AD654" s="98" t="str">
        <f t="shared" si="23"/>
        <v>536_12_202324</v>
      </c>
      <c r="AE654" s="98" t="s">
        <v>1</v>
      </c>
      <c r="AF654" s="98">
        <v>536</v>
      </c>
      <c r="AG654" s="98">
        <v>12</v>
      </c>
      <c r="AH654" s="98" t="s">
        <v>2959</v>
      </c>
      <c r="AI654" s="98">
        <v>1</v>
      </c>
      <c r="AJ654" s="98">
        <v>202324</v>
      </c>
      <c r="AK654" s="207">
        <v>2052.3999758432542</v>
      </c>
    </row>
    <row r="655" spans="30:37" x14ac:dyDescent="0.35">
      <c r="AD655" s="98" t="str">
        <f t="shared" si="23"/>
        <v>538_12_202324</v>
      </c>
      <c r="AE655" s="98" t="s">
        <v>1</v>
      </c>
      <c r="AF655" s="98">
        <v>538</v>
      </c>
      <c r="AG655" s="98">
        <v>12</v>
      </c>
      <c r="AH655" s="98" t="s">
        <v>2959</v>
      </c>
      <c r="AI655" s="98">
        <v>1</v>
      </c>
      <c r="AJ655" s="98">
        <v>202324</v>
      </c>
      <c r="AK655" s="207">
        <v>1843.8702537172644</v>
      </c>
    </row>
    <row r="656" spans="30:37" x14ac:dyDescent="0.35">
      <c r="AD656" s="98" t="str">
        <f t="shared" si="23"/>
        <v>540_12_202324</v>
      </c>
      <c r="AE656" s="98" t="s">
        <v>1</v>
      </c>
      <c r="AF656" s="98">
        <v>540</v>
      </c>
      <c r="AG656" s="98">
        <v>12</v>
      </c>
      <c r="AH656" s="98" t="s">
        <v>2959</v>
      </c>
      <c r="AI656" s="98">
        <v>1</v>
      </c>
      <c r="AJ656" s="98">
        <v>202324</v>
      </c>
      <c r="AK656" s="207">
        <v>1972.0199987995916</v>
      </c>
    </row>
    <row r="657" spans="30:37" x14ac:dyDescent="0.35">
      <c r="AD657" s="98" t="str">
        <f t="shared" si="23"/>
        <v>542_12_202324</v>
      </c>
      <c r="AE657" s="98" t="s">
        <v>1</v>
      </c>
      <c r="AF657" s="98">
        <v>542</v>
      </c>
      <c r="AG657" s="98">
        <v>12</v>
      </c>
      <c r="AH657" s="98" t="s">
        <v>2959</v>
      </c>
      <c r="AI657" s="98">
        <v>1</v>
      </c>
      <c r="AJ657" s="98">
        <v>202324</v>
      </c>
      <c r="AK657" s="207">
        <v>2154.9000098280253</v>
      </c>
    </row>
    <row r="658" spans="30:37" x14ac:dyDescent="0.35">
      <c r="AD658" s="98" t="str">
        <f t="shared" si="23"/>
        <v>544_12_202324</v>
      </c>
      <c r="AE658" s="98" t="s">
        <v>1</v>
      </c>
      <c r="AF658" s="98">
        <v>544</v>
      </c>
      <c r="AG658" s="98">
        <v>12</v>
      </c>
      <c r="AH658" s="98" t="s">
        <v>2959</v>
      </c>
      <c r="AI658" s="98">
        <v>1</v>
      </c>
      <c r="AJ658" s="98">
        <v>202324</v>
      </c>
      <c r="AK658" s="207">
        <v>1693.3099803893449</v>
      </c>
    </row>
    <row r="659" spans="30:37" x14ac:dyDescent="0.35">
      <c r="AD659" s="98" t="str">
        <f t="shared" si="23"/>
        <v>545_12_202324</v>
      </c>
      <c r="AE659" s="98" t="s">
        <v>1</v>
      </c>
      <c r="AF659" s="98">
        <v>545</v>
      </c>
      <c r="AG659" s="98">
        <v>12</v>
      </c>
      <c r="AH659" s="98" t="s">
        <v>2959</v>
      </c>
      <c r="AI659" s="98">
        <v>1</v>
      </c>
      <c r="AJ659" s="98">
        <v>202324</v>
      </c>
      <c r="AK659" s="207">
        <v>2181.8401267226968</v>
      </c>
    </row>
    <row r="660" spans="30:37" x14ac:dyDescent="0.35">
      <c r="AD660" s="98" t="str">
        <f t="shared" si="23"/>
        <v>546_12_202324</v>
      </c>
      <c r="AE660" s="98" t="s">
        <v>1</v>
      </c>
      <c r="AF660" s="98">
        <v>546</v>
      </c>
      <c r="AG660" s="98">
        <v>12</v>
      </c>
      <c r="AH660" s="98" t="s">
        <v>2959</v>
      </c>
      <c r="AI660" s="98">
        <v>1</v>
      </c>
      <c r="AJ660" s="98">
        <v>202324</v>
      </c>
      <c r="AK660" s="207">
        <v>1851.5559132412923</v>
      </c>
    </row>
    <row r="661" spans="30:37" x14ac:dyDescent="0.35">
      <c r="AD661" s="98" t="str">
        <f t="shared" si="23"/>
        <v>548_12_202324</v>
      </c>
      <c r="AE661" s="98" t="s">
        <v>1</v>
      </c>
      <c r="AF661" s="98">
        <v>548</v>
      </c>
      <c r="AG661" s="98">
        <v>12</v>
      </c>
      <c r="AH661" s="98" t="s">
        <v>2959</v>
      </c>
      <c r="AI661" s="98">
        <v>1</v>
      </c>
      <c r="AJ661" s="98">
        <v>202324</v>
      </c>
      <c r="AK661" s="207">
        <v>1959.9399845041953</v>
      </c>
    </row>
    <row r="662" spans="30:37" x14ac:dyDescent="0.35">
      <c r="AD662" s="98" t="str">
        <f t="shared" si="23"/>
        <v>550_12_202324</v>
      </c>
      <c r="AE662" s="98" t="s">
        <v>1</v>
      </c>
      <c r="AF662" s="98">
        <v>550</v>
      </c>
      <c r="AG662" s="98">
        <v>12</v>
      </c>
      <c r="AH662" s="98" t="s">
        <v>2959</v>
      </c>
      <c r="AI662" s="98">
        <v>1</v>
      </c>
      <c r="AJ662" s="98">
        <v>202324</v>
      </c>
      <c r="AK662" s="207">
        <v>1712.8999914780229</v>
      </c>
    </row>
    <row r="663" spans="30:37" x14ac:dyDescent="0.35">
      <c r="AD663" s="98" t="str">
        <f t="shared" si="23"/>
        <v>552_12_202324</v>
      </c>
      <c r="AE663" s="98" t="s">
        <v>1</v>
      </c>
      <c r="AF663" s="98">
        <v>552</v>
      </c>
      <c r="AG663" s="98">
        <v>12</v>
      </c>
      <c r="AH663" s="98" t="s">
        <v>2959</v>
      </c>
      <c r="AI663" s="98">
        <v>1</v>
      </c>
      <c r="AJ663" s="98">
        <v>202324</v>
      </c>
      <c r="AK663" s="207">
        <v>1715.5406290042902</v>
      </c>
    </row>
    <row r="664" spans="30:37" x14ac:dyDescent="0.35">
      <c r="AD664" s="98" t="str">
        <f t="shared" si="23"/>
        <v>512_15_202324</v>
      </c>
      <c r="AE664" s="98" t="s">
        <v>1</v>
      </c>
      <c r="AF664" s="98">
        <v>512</v>
      </c>
      <c r="AG664" s="98">
        <v>15</v>
      </c>
      <c r="AH664" s="98" t="s">
        <v>163</v>
      </c>
      <c r="AI664" s="98">
        <v>1</v>
      </c>
      <c r="AJ664" s="98">
        <v>202324</v>
      </c>
      <c r="AK664" s="207">
        <v>1849456</v>
      </c>
    </row>
    <row r="665" spans="30:37" x14ac:dyDescent="0.35">
      <c r="AD665" s="98" t="str">
        <f t="shared" si="23"/>
        <v>514_15_202324</v>
      </c>
      <c r="AE665" s="98" t="s">
        <v>1</v>
      </c>
      <c r="AF665" s="98">
        <v>514</v>
      </c>
      <c r="AG665" s="98">
        <v>15</v>
      </c>
      <c r="AH665" s="98" t="s">
        <v>163</v>
      </c>
      <c r="AI665" s="98">
        <v>1</v>
      </c>
      <c r="AJ665" s="98">
        <v>202324</v>
      </c>
      <c r="AK665" s="207">
        <v>2895240</v>
      </c>
    </row>
    <row r="666" spans="30:37" x14ac:dyDescent="0.35">
      <c r="AD666" s="98" t="str">
        <f t="shared" si="23"/>
        <v>516_15_202324</v>
      </c>
      <c r="AE666" s="98" t="s">
        <v>1</v>
      </c>
      <c r="AF666" s="98">
        <v>516</v>
      </c>
      <c r="AG666" s="98">
        <v>15</v>
      </c>
      <c r="AH666" s="98" t="s">
        <v>163</v>
      </c>
      <c r="AI666" s="98">
        <v>1</v>
      </c>
      <c r="AJ666" s="98">
        <v>202324</v>
      </c>
      <c r="AK666" s="207">
        <v>2579074</v>
      </c>
    </row>
    <row r="667" spans="30:37" x14ac:dyDescent="0.35">
      <c r="AD667" s="98" t="str">
        <f t="shared" si="23"/>
        <v>518_15_202324</v>
      </c>
      <c r="AE667" s="98" t="s">
        <v>1</v>
      </c>
      <c r="AF667" s="98">
        <v>518</v>
      </c>
      <c r="AG667" s="98">
        <v>15</v>
      </c>
      <c r="AH667" s="98" t="s">
        <v>163</v>
      </c>
      <c r="AI667" s="98">
        <v>1</v>
      </c>
      <c r="AJ667" s="98">
        <v>202324</v>
      </c>
      <c r="AK667" s="207">
        <v>2430676</v>
      </c>
    </row>
    <row r="668" spans="30:37" x14ac:dyDescent="0.35">
      <c r="AD668" s="98" t="str">
        <f t="shared" si="23"/>
        <v>520_15_202324</v>
      </c>
      <c r="AE668" s="98" t="s">
        <v>1</v>
      </c>
      <c r="AF668" s="98">
        <v>520</v>
      </c>
      <c r="AG668" s="98">
        <v>15</v>
      </c>
      <c r="AH668" s="98" t="s">
        <v>163</v>
      </c>
      <c r="AI668" s="98">
        <v>1</v>
      </c>
      <c r="AJ668" s="98">
        <v>202324</v>
      </c>
      <c r="AK668" s="207">
        <v>3421107</v>
      </c>
    </row>
    <row r="669" spans="30:37" x14ac:dyDescent="0.35">
      <c r="AD669" s="98" t="str">
        <f t="shared" si="23"/>
        <v>522_15_202324</v>
      </c>
      <c r="AE669" s="98" t="s">
        <v>1</v>
      </c>
      <c r="AF669" s="98">
        <v>522</v>
      </c>
      <c r="AG669" s="98">
        <v>15</v>
      </c>
      <c r="AH669" s="98" t="s">
        <v>163</v>
      </c>
      <c r="AI669" s="98">
        <v>1</v>
      </c>
      <c r="AJ669" s="98">
        <v>202324</v>
      </c>
      <c r="AK669" s="207">
        <v>3012015</v>
      </c>
    </row>
    <row r="670" spans="30:37" x14ac:dyDescent="0.35">
      <c r="AD670" s="98" t="str">
        <f t="shared" si="23"/>
        <v>524_15_202324</v>
      </c>
      <c r="AE670" s="98" t="s">
        <v>1</v>
      </c>
      <c r="AF670" s="98">
        <v>524</v>
      </c>
      <c r="AG670" s="98">
        <v>15</v>
      </c>
      <c r="AH670" s="98" t="s">
        <v>163</v>
      </c>
      <c r="AI670" s="98">
        <v>1</v>
      </c>
      <c r="AJ670" s="98">
        <v>202324</v>
      </c>
      <c r="AK670" s="207">
        <v>4902065</v>
      </c>
    </row>
    <row r="671" spans="30:37" x14ac:dyDescent="0.35">
      <c r="AD671" s="98" t="str">
        <f t="shared" si="23"/>
        <v>526_15_202324</v>
      </c>
      <c r="AE671" s="98" t="s">
        <v>1</v>
      </c>
      <c r="AF671" s="98">
        <v>526</v>
      </c>
      <c r="AG671" s="98">
        <v>15</v>
      </c>
      <c r="AH671" s="98" t="s">
        <v>163</v>
      </c>
      <c r="AI671" s="98">
        <v>1</v>
      </c>
      <c r="AJ671" s="98">
        <v>202324</v>
      </c>
      <c r="AK671" s="207">
        <v>1375663</v>
      </c>
    </row>
    <row r="672" spans="30:37" x14ac:dyDescent="0.35">
      <c r="AD672" s="98" t="str">
        <f t="shared" si="23"/>
        <v>528_15_202324</v>
      </c>
      <c r="AE672" s="98" t="s">
        <v>1</v>
      </c>
      <c r="AF672" s="98">
        <v>528</v>
      </c>
      <c r="AG672" s="98">
        <v>15</v>
      </c>
      <c r="AH672" s="98" t="s">
        <v>163</v>
      </c>
      <c r="AI672" s="98">
        <v>1</v>
      </c>
      <c r="AJ672" s="98">
        <v>202324</v>
      </c>
      <c r="AK672" s="207">
        <v>2427550</v>
      </c>
    </row>
    <row r="673" spans="30:37" x14ac:dyDescent="0.35">
      <c r="AD673" s="98" t="str">
        <f t="shared" si="23"/>
        <v>530_15_202324</v>
      </c>
      <c r="AE673" s="98" t="s">
        <v>1</v>
      </c>
      <c r="AF673" s="98">
        <v>530</v>
      </c>
      <c r="AG673" s="98">
        <v>15</v>
      </c>
      <c r="AH673" s="98" t="s">
        <v>163</v>
      </c>
      <c r="AI673" s="98">
        <v>1</v>
      </c>
      <c r="AJ673" s="98">
        <v>202324</v>
      </c>
      <c r="AK673" s="207">
        <v>7885739</v>
      </c>
    </row>
    <row r="674" spans="30:37" x14ac:dyDescent="0.35">
      <c r="AD674" s="98" t="str">
        <f t="shared" si="23"/>
        <v>532_15_202324</v>
      </c>
      <c r="AE674" s="98" t="s">
        <v>1</v>
      </c>
      <c r="AF674" s="98">
        <v>532</v>
      </c>
      <c r="AG674" s="98">
        <v>15</v>
      </c>
      <c r="AH674" s="98" t="s">
        <v>163</v>
      </c>
      <c r="AI674" s="98">
        <v>1</v>
      </c>
      <c r="AJ674" s="98">
        <v>202324</v>
      </c>
      <c r="AK674" s="207">
        <v>1829076</v>
      </c>
    </row>
    <row r="675" spans="30:37" x14ac:dyDescent="0.35">
      <c r="AD675" s="98" t="str">
        <f t="shared" si="23"/>
        <v>534_15_202324</v>
      </c>
      <c r="AE675" s="98" t="s">
        <v>1</v>
      </c>
      <c r="AF675" s="98">
        <v>534</v>
      </c>
      <c r="AG675" s="98">
        <v>15</v>
      </c>
      <c r="AH675" s="98" t="s">
        <v>163</v>
      </c>
      <c r="AI675" s="98">
        <v>1</v>
      </c>
      <c r="AJ675" s="98">
        <v>202324</v>
      </c>
      <c r="AK675" s="207">
        <v>2578918</v>
      </c>
    </row>
    <row r="676" spans="30:37" x14ac:dyDescent="0.35">
      <c r="AD676" s="98" t="str">
        <f t="shared" si="23"/>
        <v>536_15_202324</v>
      </c>
      <c r="AE676" s="98" t="s">
        <v>1</v>
      </c>
      <c r="AF676" s="98">
        <v>536</v>
      </c>
      <c r="AG676" s="98">
        <v>15</v>
      </c>
      <c r="AH676" s="98" t="s">
        <v>163</v>
      </c>
      <c r="AI676" s="98">
        <v>1</v>
      </c>
      <c r="AJ676" s="98">
        <v>202324</v>
      </c>
      <c r="AK676" s="207">
        <v>2897431</v>
      </c>
    </row>
    <row r="677" spans="30:37" x14ac:dyDescent="0.35">
      <c r="AD677" s="98" t="str">
        <f t="shared" si="23"/>
        <v>538_15_202324</v>
      </c>
      <c r="AE677" s="98" t="s">
        <v>1</v>
      </c>
      <c r="AF677" s="98">
        <v>538</v>
      </c>
      <c r="AG677" s="98">
        <v>15</v>
      </c>
      <c r="AH677" s="98" t="s">
        <v>163</v>
      </c>
      <c r="AI677" s="98">
        <v>1</v>
      </c>
      <c r="AJ677" s="98">
        <v>202324</v>
      </c>
      <c r="AK677" s="207">
        <v>3406510</v>
      </c>
    </row>
    <row r="678" spans="30:37" x14ac:dyDescent="0.35">
      <c r="AD678" s="98" t="str">
        <f t="shared" si="23"/>
        <v>540_15_202324</v>
      </c>
      <c r="AE678" s="98" t="s">
        <v>1</v>
      </c>
      <c r="AF678" s="98">
        <v>540</v>
      </c>
      <c r="AG678" s="98">
        <v>15</v>
      </c>
      <c r="AH678" s="98" t="s">
        <v>163</v>
      </c>
      <c r="AI678" s="98">
        <v>1</v>
      </c>
      <c r="AJ678" s="98">
        <v>202324</v>
      </c>
      <c r="AK678" s="207">
        <v>2607749.6</v>
      </c>
    </row>
    <row r="679" spans="30:37" x14ac:dyDescent="0.35">
      <c r="AD679" s="98" t="str">
        <f t="shared" si="23"/>
        <v>542_15_202324</v>
      </c>
      <c r="AE679" s="98" t="s">
        <v>1</v>
      </c>
      <c r="AF679" s="98">
        <v>542</v>
      </c>
      <c r="AG679" s="98">
        <v>15</v>
      </c>
      <c r="AH679" s="98" t="s">
        <v>163</v>
      </c>
      <c r="AI679" s="98">
        <v>1</v>
      </c>
      <c r="AJ679" s="98">
        <v>202324</v>
      </c>
      <c r="AK679" s="207">
        <v>38985</v>
      </c>
    </row>
    <row r="680" spans="30:37" x14ac:dyDescent="0.35">
      <c r="AD680" s="98" t="str">
        <f t="shared" si="23"/>
        <v>544_15_202324</v>
      </c>
      <c r="AE680" s="98" t="s">
        <v>1</v>
      </c>
      <c r="AF680" s="98">
        <v>544</v>
      </c>
      <c r="AG680" s="98">
        <v>15</v>
      </c>
      <c r="AH680" s="98" t="s">
        <v>163</v>
      </c>
      <c r="AI680" s="98">
        <v>1</v>
      </c>
      <c r="AJ680" s="98">
        <v>202324</v>
      </c>
      <c r="AK680" s="207">
        <v>964801</v>
      </c>
    </row>
    <row r="681" spans="30:37" x14ac:dyDescent="0.35">
      <c r="AD681" s="98" t="str">
        <f t="shared" si="23"/>
        <v>545_15_202324</v>
      </c>
      <c r="AE681" s="98" t="s">
        <v>1</v>
      </c>
      <c r="AF681" s="98">
        <v>545</v>
      </c>
      <c r="AG681" s="98">
        <v>15</v>
      </c>
      <c r="AH681" s="98" t="s">
        <v>163</v>
      </c>
      <c r="AI681" s="98">
        <v>1</v>
      </c>
      <c r="AJ681" s="98">
        <v>202324</v>
      </c>
      <c r="AK681" s="207">
        <v>582331</v>
      </c>
    </row>
    <row r="682" spans="30:37" x14ac:dyDescent="0.35">
      <c r="AD682" s="98" t="str">
        <f t="shared" si="23"/>
        <v>546_15_202324</v>
      </c>
      <c r="AE682" s="98" t="s">
        <v>1</v>
      </c>
      <c r="AF682" s="98">
        <v>546</v>
      </c>
      <c r="AG682" s="98">
        <v>15</v>
      </c>
      <c r="AH682" s="98" t="s">
        <v>163</v>
      </c>
      <c r="AI682" s="98">
        <v>1</v>
      </c>
      <c r="AJ682" s="98">
        <v>202324</v>
      </c>
      <c r="AK682" s="207">
        <v>1698512</v>
      </c>
    </row>
    <row r="683" spans="30:37" x14ac:dyDescent="0.35">
      <c r="AD683" s="98" t="str">
        <f t="shared" si="23"/>
        <v>548_15_202324</v>
      </c>
      <c r="AE683" s="98" t="s">
        <v>1</v>
      </c>
      <c r="AF683" s="98">
        <v>548</v>
      </c>
      <c r="AG683" s="98">
        <v>15</v>
      </c>
      <c r="AH683" s="98" t="s">
        <v>163</v>
      </c>
      <c r="AI683" s="98">
        <v>1</v>
      </c>
      <c r="AJ683" s="98">
        <v>202324</v>
      </c>
      <c r="AK683" s="207">
        <v>3380881</v>
      </c>
    </row>
    <row r="684" spans="30:37" x14ac:dyDescent="0.35">
      <c r="AD684" s="98" t="str">
        <f t="shared" si="23"/>
        <v>550_15_202324</v>
      </c>
      <c r="AE684" s="98" t="s">
        <v>1</v>
      </c>
      <c r="AF684" s="98">
        <v>550</v>
      </c>
      <c r="AG684" s="98">
        <v>15</v>
      </c>
      <c r="AH684" s="98" t="s">
        <v>163</v>
      </c>
      <c r="AI684" s="98">
        <v>1</v>
      </c>
      <c r="AJ684" s="98">
        <v>202324</v>
      </c>
      <c r="AK684" s="207">
        <v>502732.59</v>
      </c>
    </row>
    <row r="685" spans="30:37" x14ac:dyDescent="0.35">
      <c r="AD685" s="98" t="str">
        <f t="shared" si="23"/>
        <v>552_15_202324</v>
      </c>
      <c r="AE685" s="98" t="s">
        <v>1</v>
      </c>
      <c r="AF685" s="98">
        <v>552</v>
      </c>
      <c r="AG685" s="98">
        <v>15</v>
      </c>
      <c r="AH685" s="98" t="s">
        <v>163</v>
      </c>
      <c r="AI685" s="98">
        <v>1</v>
      </c>
      <c r="AJ685" s="98">
        <v>202324</v>
      </c>
      <c r="AK685" s="207">
        <v>541709</v>
      </c>
    </row>
    <row r="686" spans="30:37" x14ac:dyDescent="0.35">
      <c r="AD686" s="98" t="str">
        <f t="shared" si="23"/>
        <v>512_16_202324</v>
      </c>
      <c r="AE686" s="98" t="s">
        <v>1</v>
      </c>
      <c r="AF686" s="98">
        <v>512</v>
      </c>
      <c r="AG686" s="98">
        <v>16</v>
      </c>
      <c r="AH686" s="98" t="s">
        <v>3016</v>
      </c>
      <c r="AI686" s="98">
        <v>1</v>
      </c>
      <c r="AJ686" s="98">
        <v>202324</v>
      </c>
      <c r="AK686" s="207">
        <v>10931867</v>
      </c>
    </row>
    <row r="687" spans="30:37" x14ac:dyDescent="0.35">
      <c r="AD687" s="98" t="str">
        <f t="shared" si="23"/>
        <v>514_16_202324</v>
      </c>
      <c r="AE687" s="98" t="s">
        <v>1</v>
      </c>
      <c r="AF687" s="98">
        <v>514</v>
      </c>
      <c r="AG687" s="98">
        <v>16</v>
      </c>
      <c r="AH687" s="98" t="s">
        <v>3016</v>
      </c>
      <c r="AI687" s="98">
        <v>1</v>
      </c>
      <c r="AJ687" s="98">
        <v>202324</v>
      </c>
      <c r="AK687" s="207">
        <v>18713919</v>
      </c>
    </row>
    <row r="688" spans="30:37" x14ac:dyDescent="0.35">
      <c r="AD688" s="98" t="str">
        <f t="shared" si="23"/>
        <v>516_16_202324</v>
      </c>
      <c r="AE688" s="98" t="s">
        <v>1</v>
      </c>
      <c r="AF688" s="98">
        <v>516</v>
      </c>
      <c r="AG688" s="98">
        <v>16</v>
      </c>
      <c r="AH688" s="98" t="s">
        <v>3016</v>
      </c>
      <c r="AI688" s="98">
        <v>1</v>
      </c>
      <c r="AJ688" s="98">
        <v>202324</v>
      </c>
      <c r="AK688" s="207">
        <v>17113511</v>
      </c>
    </row>
    <row r="689" spans="30:37" x14ac:dyDescent="0.35">
      <c r="AD689" s="98" t="str">
        <f t="shared" si="23"/>
        <v>518_16_202324</v>
      </c>
      <c r="AE689" s="98" t="s">
        <v>1</v>
      </c>
      <c r="AF689" s="98">
        <v>518</v>
      </c>
      <c r="AG689" s="98">
        <v>16</v>
      </c>
      <c r="AH689" s="98" t="s">
        <v>3016</v>
      </c>
      <c r="AI689" s="98">
        <v>1</v>
      </c>
      <c r="AJ689" s="98">
        <v>202324</v>
      </c>
      <c r="AK689" s="207">
        <v>13630439</v>
      </c>
    </row>
    <row r="690" spans="30:37" x14ac:dyDescent="0.35">
      <c r="AD690" s="98" t="str">
        <f t="shared" si="23"/>
        <v>520_16_202324</v>
      </c>
      <c r="AE690" s="98" t="s">
        <v>1</v>
      </c>
      <c r="AF690" s="98">
        <v>520</v>
      </c>
      <c r="AG690" s="98">
        <v>16</v>
      </c>
      <c r="AH690" s="98" t="s">
        <v>3016</v>
      </c>
      <c r="AI690" s="98">
        <v>1</v>
      </c>
      <c r="AJ690" s="98">
        <v>202324</v>
      </c>
      <c r="AK690" s="207">
        <v>21922318</v>
      </c>
    </row>
    <row r="691" spans="30:37" x14ac:dyDescent="0.35">
      <c r="AD691" s="98" t="str">
        <f t="shared" si="23"/>
        <v>522_16_202324</v>
      </c>
      <c r="AE691" s="98" t="s">
        <v>1</v>
      </c>
      <c r="AF691" s="98">
        <v>522</v>
      </c>
      <c r="AG691" s="98">
        <v>16</v>
      </c>
      <c r="AH691" s="98" t="s">
        <v>3016</v>
      </c>
      <c r="AI691" s="98">
        <v>1</v>
      </c>
      <c r="AJ691" s="98">
        <v>202324</v>
      </c>
      <c r="AK691" s="207">
        <v>17932233</v>
      </c>
    </row>
    <row r="692" spans="30:37" x14ac:dyDescent="0.35">
      <c r="AD692" s="98" t="str">
        <f t="shared" si="23"/>
        <v>524_16_202324</v>
      </c>
      <c r="AE692" s="98" t="s">
        <v>1</v>
      </c>
      <c r="AF692" s="98">
        <v>524</v>
      </c>
      <c r="AG692" s="98">
        <v>16</v>
      </c>
      <c r="AH692" s="98" t="s">
        <v>3016</v>
      </c>
      <c r="AI692" s="98">
        <v>1</v>
      </c>
      <c r="AJ692" s="98">
        <v>202324</v>
      </c>
      <c r="AK692" s="207">
        <v>20089798</v>
      </c>
    </row>
    <row r="693" spans="30:37" x14ac:dyDescent="0.35">
      <c r="AD693" s="98" t="str">
        <f t="shared" si="23"/>
        <v>526_16_202324</v>
      </c>
      <c r="AE693" s="98" t="s">
        <v>1</v>
      </c>
      <c r="AF693" s="98">
        <v>526</v>
      </c>
      <c r="AG693" s="98">
        <v>16</v>
      </c>
      <c r="AH693" s="98" t="s">
        <v>3016</v>
      </c>
      <c r="AI693" s="98">
        <v>1</v>
      </c>
      <c r="AJ693" s="98">
        <v>202324</v>
      </c>
      <c r="AK693" s="207">
        <v>10244912</v>
      </c>
    </row>
    <row r="694" spans="30:37" x14ac:dyDescent="0.35">
      <c r="AD694" s="98" t="str">
        <f t="shared" si="23"/>
        <v>528_16_202324</v>
      </c>
      <c r="AE694" s="98" t="s">
        <v>1</v>
      </c>
      <c r="AF694" s="98">
        <v>528</v>
      </c>
      <c r="AG694" s="98">
        <v>16</v>
      </c>
      <c r="AH694" s="98" t="s">
        <v>3016</v>
      </c>
      <c r="AI694" s="98">
        <v>1</v>
      </c>
      <c r="AJ694" s="98">
        <v>202324</v>
      </c>
      <c r="AK694" s="207">
        <v>18712475</v>
      </c>
    </row>
    <row r="695" spans="30:37" x14ac:dyDescent="0.35">
      <c r="AD695" s="98" t="str">
        <f t="shared" si="23"/>
        <v>530_16_202324</v>
      </c>
      <c r="AE695" s="98" t="s">
        <v>1</v>
      </c>
      <c r="AF695" s="98">
        <v>530</v>
      </c>
      <c r="AG695" s="98">
        <v>16</v>
      </c>
      <c r="AH695" s="98" t="s">
        <v>3016</v>
      </c>
      <c r="AI695" s="98">
        <v>1</v>
      </c>
      <c r="AJ695" s="98">
        <v>202324</v>
      </c>
      <c r="AK695" s="207">
        <v>23471245</v>
      </c>
    </row>
    <row r="696" spans="30:37" x14ac:dyDescent="0.35">
      <c r="AD696" s="98" t="str">
        <f t="shared" si="23"/>
        <v>532_16_202324</v>
      </c>
      <c r="AE696" s="98" t="s">
        <v>1</v>
      </c>
      <c r="AF696" s="98">
        <v>532</v>
      </c>
      <c r="AG696" s="98">
        <v>16</v>
      </c>
      <c r="AH696" s="98" t="s">
        <v>3016</v>
      </c>
      <c r="AI696" s="98">
        <v>1</v>
      </c>
      <c r="AJ696" s="98">
        <v>202324</v>
      </c>
      <c r="AK696" s="207">
        <v>29674079</v>
      </c>
    </row>
    <row r="697" spans="30:37" x14ac:dyDescent="0.35">
      <c r="AD697" s="98" t="str">
        <f t="shared" si="23"/>
        <v>534_16_202324</v>
      </c>
      <c r="AE697" s="98" t="s">
        <v>1</v>
      </c>
      <c r="AF697" s="98">
        <v>534</v>
      </c>
      <c r="AG697" s="98">
        <v>16</v>
      </c>
      <c r="AH697" s="98" t="s">
        <v>3016</v>
      </c>
      <c r="AI697" s="98">
        <v>1</v>
      </c>
      <c r="AJ697" s="98">
        <v>202324</v>
      </c>
      <c r="AK697" s="207">
        <v>15836764</v>
      </c>
    </row>
    <row r="698" spans="30:37" x14ac:dyDescent="0.35">
      <c r="AD698" s="98" t="str">
        <f t="shared" si="23"/>
        <v>536_16_202324</v>
      </c>
      <c r="AE698" s="98" t="s">
        <v>1</v>
      </c>
      <c r="AF698" s="98">
        <v>536</v>
      </c>
      <c r="AG698" s="98">
        <v>16</v>
      </c>
      <c r="AH698" s="98" t="s">
        <v>3016</v>
      </c>
      <c r="AI698" s="98">
        <v>1</v>
      </c>
      <c r="AJ698" s="98">
        <v>202324</v>
      </c>
      <c r="AK698" s="207">
        <v>17848387</v>
      </c>
    </row>
    <row r="699" spans="30:37" x14ac:dyDescent="0.35">
      <c r="AD699" s="98" t="str">
        <f t="shared" si="23"/>
        <v>538_16_202324</v>
      </c>
      <c r="AE699" s="98" t="s">
        <v>1</v>
      </c>
      <c r="AF699" s="98">
        <v>538</v>
      </c>
      <c r="AG699" s="98">
        <v>16</v>
      </c>
      <c r="AH699" s="98" t="s">
        <v>3016</v>
      </c>
      <c r="AI699" s="98">
        <v>1</v>
      </c>
      <c r="AJ699" s="98">
        <v>202324</v>
      </c>
      <c r="AK699" s="207">
        <v>20225513</v>
      </c>
    </row>
    <row r="700" spans="30:37" x14ac:dyDescent="0.35">
      <c r="AD700" s="98" t="str">
        <f t="shared" si="23"/>
        <v>540_16_202324</v>
      </c>
      <c r="AE700" s="98" t="s">
        <v>1</v>
      </c>
      <c r="AF700" s="98">
        <v>540</v>
      </c>
      <c r="AG700" s="98">
        <v>16</v>
      </c>
      <c r="AH700" s="98" t="s">
        <v>3016</v>
      </c>
      <c r="AI700" s="98">
        <v>1</v>
      </c>
      <c r="AJ700" s="98">
        <v>202324</v>
      </c>
      <c r="AK700" s="207">
        <v>25301470</v>
      </c>
    </row>
    <row r="701" spans="30:37" x14ac:dyDescent="0.35">
      <c r="AD701" s="98" t="str">
        <f t="shared" si="23"/>
        <v>542_16_202324</v>
      </c>
      <c r="AE701" s="98" t="s">
        <v>1</v>
      </c>
      <c r="AF701" s="98">
        <v>542</v>
      </c>
      <c r="AG701" s="98">
        <v>16</v>
      </c>
      <c r="AH701" s="98" t="s">
        <v>3016</v>
      </c>
      <c r="AI701" s="98">
        <v>1</v>
      </c>
      <c r="AJ701" s="98">
        <v>202324</v>
      </c>
      <c r="AK701" s="207">
        <v>6040911</v>
      </c>
    </row>
    <row r="702" spans="30:37" x14ac:dyDescent="0.35">
      <c r="AD702" s="98" t="str">
        <f t="shared" si="23"/>
        <v>544_16_202324</v>
      </c>
      <c r="AE702" s="98" t="s">
        <v>1</v>
      </c>
      <c r="AF702" s="98">
        <v>544</v>
      </c>
      <c r="AG702" s="98">
        <v>16</v>
      </c>
      <c r="AH702" s="98" t="s">
        <v>3016</v>
      </c>
      <c r="AI702" s="98">
        <v>1</v>
      </c>
      <c r="AJ702" s="98">
        <v>202324</v>
      </c>
      <c r="AK702" s="207">
        <v>19839572</v>
      </c>
    </row>
    <row r="703" spans="30:37" x14ac:dyDescent="0.35">
      <c r="AD703" s="98" t="str">
        <f t="shared" si="23"/>
        <v>545_16_202324</v>
      </c>
      <c r="AE703" s="98" t="s">
        <v>1</v>
      </c>
      <c r="AF703" s="98">
        <v>545</v>
      </c>
      <c r="AG703" s="98">
        <v>16</v>
      </c>
      <c r="AH703" s="98" t="s">
        <v>3016</v>
      </c>
      <c r="AI703" s="98">
        <v>1</v>
      </c>
      <c r="AJ703" s="98">
        <v>202324</v>
      </c>
      <c r="AK703" s="207">
        <v>6752190</v>
      </c>
    </row>
    <row r="704" spans="30:37" x14ac:dyDescent="0.35">
      <c r="AD704" s="98" t="str">
        <f t="shared" si="23"/>
        <v>546_16_202324</v>
      </c>
      <c r="AE704" s="98" t="s">
        <v>1</v>
      </c>
      <c r="AF704" s="98">
        <v>546</v>
      </c>
      <c r="AG704" s="98">
        <v>16</v>
      </c>
      <c r="AH704" s="98" t="s">
        <v>3016</v>
      </c>
      <c r="AI704" s="98">
        <v>1</v>
      </c>
      <c r="AJ704" s="98">
        <v>202324</v>
      </c>
      <c r="AK704" s="207">
        <v>11113697</v>
      </c>
    </row>
    <row r="705" spans="30:37" x14ac:dyDescent="0.35">
      <c r="AD705" s="98" t="str">
        <f t="shared" si="23"/>
        <v>548_16_202324</v>
      </c>
      <c r="AE705" s="98" t="s">
        <v>1</v>
      </c>
      <c r="AF705" s="98">
        <v>548</v>
      </c>
      <c r="AG705" s="98">
        <v>16</v>
      </c>
      <c r="AH705" s="98" t="s">
        <v>3016</v>
      </c>
      <c r="AI705" s="98">
        <v>1</v>
      </c>
      <c r="AJ705" s="98">
        <v>202324</v>
      </c>
      <c r="AK705" s="207">
        <v>15504946</v>
      </c>
    </row>
    <row r="706" spans="30:37" x14ac:dyDescent="0.35">
      <c r="AD706" s="98" t="str">
        <f t="shared" si="23"/>
        <v>550_16_202324</v>
      </c>
      <c r="AE706" s="98" t="s">
        <v>1</v>
      </c>
      <c r="AF706" s="98">
        <v>550</v>
      </c>
      <c r="AG706" s="98">
        <v>16</v>
      </c>
      <c r="AH706" s="98" t="s">
        <v>3016</v>
      </c>
      <c r="AI706" s="98">
        <v>1</v>
      </c>
      <c r="AJ706" s="98">
        <v>202324</v>
      </c>
      <c r="AK706" s="207">
        <v>19787775.75</v>
      </c>
    </row>
    <row r="707" spans="30:37" x14ac:dyDescent="0.35">
      <c r="AD707" s="98" t="str">
        <f t="shared" si="23"/>
        <v>552_16_202324</v>
      </c>
      <c r="AE707" s="98" t="s">
        <v>1</v>
      </c>
      <c r="AF707" s="98">
        <v>552</v>
      </c>
      <c r="AG707" s="98">
        <v>16</v>
      </c>
      <c r="AH707" s="98" t="s">
        <v>3016</v>
      </c>
      <c r="AI707" s="98">
        <v>1</v>
      </c>
      <c r="AJ707" s="98">
        <v>202324</v>
      </c>
      <c r="AK707" s="207">
        <v>48826895</v>
      </c>
    </row>
    <row r="708" spans="30:37" x14ac:dyDescent="0.35">
      <c r="AD708" s="98" t="str">
        <f t="shared" ref="AD708:AD771" si="24">AF708&amp;"_"&amp;AG708&amp;"_"&amp;AJ708</f>
        <v>512_17_202324</v>
      </c>
      <c r="AE708" s="98" t="s">
        <v>1</v>
      </c>
      <c r="AF708" s="98">
        <v>512</v>
      </c>
      <c r="AG708" s="98">
        <v>17</v>
      </c>
      <c r="AH708" s="98" t="s">
        <v>3052</v>
      </c>
      <c r="AI708" s="98">
        <v>1</v>
      </c>
      <c r="AJ708" s="98">
        <v>202324</v>
      </c>
      <c r="AK708" s="207">
        <v>170684206</v>
      </c>
    </row>
    <row r="709" spans="30:37" x14ac:dyDescent="0.35">
      <c r="AD709" s="98" t="str">
        <f t="shared" si="24"/>
        <v>514_17_202324</v>
      </c>
      <c r="AE709" s="98" t="s">
        <v>1</v>
      </c>
      <c r="AF709" s="98">
        <v>514</v>
      </c>
      <c r="AG709" s="98">
        <v>17</v>
      </c>
      <c r="AH709" s="98" t="s">
        <v>3052</v>
      </c>
      <c r="AI709" s="98">
        <v>1</v>
      </c>
      <c r="AJ709" s="98">
        <v>202324</v>
      </c>
      <c r="AK709" s="207">
        <v>317577690</v>
      </c>
    </row>
    <row r="710" spans="30:37" x14ac:dyDescent="0.35">
      <c r="AD710" s="98" t="str">
        <f t="shared" si="24"/>
        <v>516_17_202324</v>
      </c>
      <c r="AE710" s="98" t="s">
        <v>1</v>
      </c>
      <c r="AF710" s="98">
        <v>516</v>
      </c>
      <c r="AG710" s="98">
        <v>17</v>
      </c>
      <c r="AH710" s="98" t="s">
        <v>3052</v>
      </c>
      <c r="AI710" s="98">
        <v>1</v>
      </c>
      <c r="AJ710" s="98">
        <v>202324</v>
      </c>
      <c r="AK710" s="207">
        <v>279579694</v>
      </c>
    </row>
    <row r="711" spans="30:37" x14ac:dyDescent="0.35">
      <c r="AD711" s="98" t="str">
        <f t="shared" si="24"/>
        <v>518_17_202324</v>
      </c>
      <c r="AE711" s="98" t="s">
        <v>1</v>
      </c>
      <c r="AF711" s="98">
        <v>518</v>
      </c>
      <c r="AG711" s="98">
        <v>17</v>
      </c>
      <c r="AH711" s="98" t="s">
        <v>3052</v>
      </c>
      <c r="AI711" s="98">
        <v>1</v>
      </c>
      <c r="AJ711" s="98">
        <v>202324</v>
      </c>
      <c r="AK711" s="207">
        <v>250792537</v>
      </c>
    </row>
    <row r="712" spans="30:37" x14ac:dyDescent="0.35">
      <c r="AD712" s="98" t="str">
        <f t="shared" si="24"/>
        <v>520_17_202324</v>
      </c>
      <c r="AE712" s="98" t="s">
        <v>1</v>
      </c>
      <c r="AF712" s="98">
        <v>520</v>
      </c>
      <c r="AG712" s="98">
        <v>17</v>
      </c>
      <c r="AH712" s="98" t="s">
        <v>3052</v>
      </c>
      <c r="AI712" s="98">
        <v>1</v>
      </c>
      <c r="AJ712" s="98">
        <v>202324</v>
      </c>
      <c r="AK712" s="207">
        <v>352082533</v>
      </c>
    </row>
    <row r="713" spans="30:37" x14ac:dyDescent="0.35">
      <c r="AD713" s="98" t="str">
        <f t="shared" si="24"/>
        <v>522_17_202324</v>
      </c>
      <c r="AE713" s="98" t="s">
        <v>1</v>
      </c>
      <c r="AF713" s="98">
        <v>522</v>
      </c>
      <c r="AG713" s="98">
        <v>17</v>
      </c>
      <c r="AH713" s="98" t="s">
        <v>3052</v>
      </c>
      <c r="AI713" s="98">
        <v>1</v>
      </c>
      <c r="AJ713" s="98">
        <v>202324</v>
      </c>
      <c r="AK713" s="207">
        <v>302957207</v>
      </c>
    </row>
    <row r="714" spans="30:37" x14ac:dyDescent="0.35">
      <c r="AD714" s="98" t="str">
        <f t="shared" si="24"/>
        <v>524_17_202324</v>
      </c>
      <c r="AE714" s="98" t="s">
        <v>1</v>
      </c>
      <c r="AF714" s="98">
        <v>524</v>
      </c>
      <c r="AG714" s="98">
        <v>17</v>
      </c>
      <c r="AH714" s="98" t="s">
        <v>3052</v>
      </c>
      <c r="AI714" s="98">
        <v>1</v>
      </c>
      <c r="AJ714" s="98">
        <v>202324</v>
      </c>
      <c r="AK714" s="207">
        <v>326486565</v>
      </c>
    </row>
    <row r="715" spans="30:37" x14ac:dyDescent="0.35">
      <c r="AD715" s="98" t="str">
        <f t="shared" si="24"/>
        <v>526_17_202324</v>
      </c>
      <c r="AE715" s="98" t="s">
        <v>1</v>
      </c>
      <c r="AF715" s="98">
        <v>526</v>
      </c>
      <c r="AG715" s="98">
        <v>17</v>
      </c>
      <c r="AH715" s="98" t="s">
        <v>3052</v>
      </c>
      <c r="AI715" s="98">
        <v>1</v>
      </c>
      <c r="AJ715" s="98">
        <v>202324</v>
      </c>
      <c r="AK715" s="207">
        <v>179915943</v>
      </c>
    </row>
    <row r="716" spans="30:37" x14ac:dyDescent="0.35">
      <c r="AD716" s="98" t="str">
        <f t="shared" si="24"/>
        <v>528_17_202324</v>
      </c>
      <c r="AE716" s="98" t="s">
        <v>1</v>
      </c>
      <c r="AF716" s="98">
        <v>528</v>
      </c>
      <c r="AG716" s="98">
        <v>17</v>
      </c>
      <c r="AH716" s="98" t="s">
        <v>3052</v>
      </c>
      <c r="AI716" s="98">
        <v>1</v>
      </c>
      <c r="AJ716" s="98">
        <v>202324</v>
      </c>
      <c r="AK716" s="207">
        <v>292756542</v>
      </c>
    </row>
    <row r="717" spans="30:37" x14ac:dyDescent="0.35">
      <c r="AD717" s="98" t="str">
        <f t="shared" si="24"/>
        <v>530_17_202324</v>
      </c>
      <c r="AE717" s="98" t="s">
        <v>1</v>
      </c>
      <c r="AF717" s="98">
        <v>530</v>
      </c>
      <c r="AG717" s="98">
        <v>17</v>
      </c>
      <c r="AH717" s="98" t="s">
        <v>3052</v>
      </c>
      <c r="AI717" s="98">
        <v>1</v>
      </c>
      <c r="AJ717" s="98">
        <v>202324</v>
      </c>
      <c r="AK717" s="207">
        <v>450089824</v>
      </c>
    </row>
    <row r="718" spans="30:37" x14ac:dyDescent="0.35">
      <c r="AD718" s="98" t="str">
        <f t="shared" si="24"/>
        <v>532_17_202324</v>
      </c>
      <c r="AE718" s="98" t="s">
        <v>1</v>
      </c>
      <c r="AF718" s="98">
        <v>532</v>
      </c>
      <c r="AG718" s="98">
        <v>17</v>
      </c>
      <c r="AH718" s="98" t="s">
        <v>3052</v>
      </c>
      <c r="AI718" s="98">
        <v>1</v>
      </c>
      <c r="AJ718" s="98">
        <v>202324</v>
      </c>
      <c r="AK718" s="207">
        <v>559534913</v>
      </c>
    </row>
    <row r="719" spans="30:37" x14ac:dyDescent="0.35">
      <c r="AD719" s="98" t="str">
        <f t="shared" si="24"/>
        <v>534_17_202324</v>
      </c>
      <c r="AE719" s="98" t="s">
        <v>1</v>
      </c>
      <c r="AF719" s="98">
        <v>534</v>
      </c>
      <c r="AG719" s="98">
        <v>17</v>
      </c>
      <c r="AH719" s="98" t="s">
        <v>3052</v>
      </c>
      <c r="AI719" s="98">
        <v>1</v>
      </c>
      <c r="AJ719" s="98">
        <v>202324</v>
      </c>
      <c r="AK719" s="207">
        <v>360977500</v>
      </c>
    </row>
    <row r="720" spans="30:37" x14ac:dyDescent="0.35">
      <c r="AD720" s="98" t="str">
        <f t="shared" si="24"/>
        <v>536_17_202324</v>
      </c>
      <c r="AE720" s="98" t="s">
        <v>1</v>
      </c>
      <c r="AF720" s="98">
        <v>536</v>
      </c>
      <c r="AG720" s="98">
        <v>17</v>
      </c>
      <c r="AH720" s="98" t="s">
        <v>3052</v>
      </c>
      <c r="AI720" s="98">
        <v>1</v>
      </c>
      <c r="AJ720" s="98">
        <v>202324</v>
      </c>
      <c r="AK720" s="207">
        <v>342030333</v>
      </c>
    </row>
    <row r="721" spans="30:37" x14ac:dyDescent="0.35">
      <c r="AD721" s="98" t="str">
        <f t="shared" si="24"/>
        <v>538_17_202324</v>
      </c>
      <c r="AE721" s="98" t="s">
        <v>1</v>
      </c>
      <c r="AF721" s="98">
        <v>538</v>
      </c>
      <c r="AG721" s="98">
        <v>17</v>
      </c>
      <c r="AH721" s="98" t="s">
        <v>3052</v>
      </c>
      <c r="AI721" s="98">
        <v>1</v>
      </c>
      <c r="AJ721" s="98">
        <v>202324</v>
      </c>
      <c r="AK721" s="207">
        <v>293810704</v>
      </c>
    </row>
    <row r="722" spans="30:37" x14ac:dyDescent="0.35">
      <c r="AD722" s="98" t="str">
        <f t="shared" si="24"/>
        <v>540_17_202324</v>
      </c>
      <c r="AE722" s="98" t="s">
        <v>1</v>
      </c>
      <c r="AF722" s="98">
        <v>540</v>
      </c>
      <c r="AG722" s="98">
        <v>17</v>
      </c>
      <c r="AH722" s="98" t="s">
        <v>3052</v>
      </c>
      <c r="AI722" s="98">
        <v>1</v>
      </c>
      <c r="AJ722" s="98">
        <v>202324</v>
      </c>
      <c r="AK722" s="207">
        <v>596757102</v>
      </c>
    </row>
    <row r="723" spans="30:37" x14ac:dyDescent="0.35">
      <c r="AD723" s="98" t="str">
        <f t="shared" si="24"/>
        <v>542_17_202324</v>
      </c>
      <c r="AE723" s="98" t="s">
        <v>1</v>
      </c>
      <c r="AF723" s="98">
        <v>542</v>
      </c>
      <c r="AG723" s="98">
        <v>17</v>
      </c>
      <c r="AH723" s="98" t="s">
        <v>3052</v>
      </c>
      <c r="AI723" s="98">
        <v>1</v>
      </c>
      <c r="AJ723" s="98">
        <v>202324</v>
      </c>
      <c r="AK723" s="207">
        <v>152559846</v>
      </c>
    </row>
    <row r="724" spans="30:37" x14ac:dyDescent="0.35">
      <c r="AD724" s="98" t="str">
        <f t="shared" si="24"/>
        <v>544_17_202324</v>
      </c>
      <c r="AE724" s="98" t="s">
        <v>1</v>
      </c>
      <c r="AF724" s="98">
        <v>544</v>
      </c>
      <c r="AG724" s="98">
        <v>17</v>
      </c>
      <c r="AH724" s="98" t="s">
        <v>3052</v>
      </c>
      <c r="AI724" s="98">
        <v>1</v>
      </c>
      <c r="AJ724" s="98">
        <v>202324</v>
      </c>
      <c r="AK724" s="207">
        <v>422479994</v>
      </c>
    </row>
    <row r="725" spans="30:37" x14ac:dyDescent="0.35">
      <c r="AD725" s="98" t="str">
        <f t="shared" si="24"/>
        <v>545_17_202324</v>
      </c>
      <c r="AE725" s="98" t="s">
        <v>1</v>
      </c>
      <c r="AF725" s="98">
        <v>545</v>
      </c>
      <c r="AG725" s="98">
        <v>17</v>
      </c>
      <c r="AH725" s="98" t="s">
        <v>3052</v>
      </c>
      <c r="AI725" s="98">
        <v>1</v>
      </c>
      <c r="AJ725" s="98">
        <v>202324</v>
      </c>
      <c r="AK725" s="207">
        <v>177584945</v>
      </c>
    </row>
    <row r="726" spans="30:37" x14ac:dyDescent="0.35">
      <c r="AD726" s="98" t="str">
        <f t="shared" si="24"/>
        <v>546_17_202324</v>
      </c>
      <c r="AE726" s="98" t="s">
        <v>1</v>
      </c>
      <c r="AF726" s="98">
        <v>546</v>
      </c>
      <c r="AG726" s="98">
        <v>17</v>
      </c>
      <c r="AH726" s="98" t="s">
        <v>3052</v>
      </c>
      <c r="AI726" s="98">
        <v>1</v>
      </c>
      <c r="AJ726" s="98">
        <v>202324</v>
      </c>
      <c r="AK726" s="207">
        <v>222914316</v>
      </c>
    </row>
    <row r="727" spans="30:37" x14ac:dyDescent="0.35">
      <c r="AD727" s="98" t="str">
        <f t="shared" si="24"/>
        <v>548_17_202324</v>
      </c>
      <c r="AE727" s="98" t="s">
        <v>1</v>
      </c>
      <c r="AF727" s="98">
        <v>548</v>
      </c>
      <c r="AG727" s="98">
        <v>17</v>
      </c>
      <c r="AH727" s="98" t="s">
        <v>3052</v>
      </c>
      <c r="AI727" s="98">
        <v>1</v>
      </c>
      <c r="AJ727" s="98">
        <v>202324</v>
      </c>
      <c r="AK727" s="207">
        <v>197424971</v>
      </c>
    </row>
    <row r="728" spans="30:37" x14ac:dyDescent="0.35">
      <c r="AD728" s="98" t="str">
        <f t="shared" si="24"/>
        <v>550_17_202324</v>
      </c>
      <c r="AE728" s="98" t="s">
        <v>1</v>
      </c>
      <c r="AF728" s="98">
        <v>550</v>
      </c>
      <c r="AG728" s="98">
        <v>17</v>
      </c>
      <c r="AH728" s="98" t="s">
        <v>3052</v>
      </c>
      <c r="AI728" s="98">
        <v>1</v>
      </c>
      <c r="AJ728" s="98">
        <v>202324</v>
      </c>
      <c r="AK728" s="207">
        <v>373676696.94</v>
      </c>
    </row>
    <row r="729" spans="30:37" x14ac:dyDescent="0.35">
      <c r="AD729" s="98" t="str">
        <f t="shared" si="24"/>
        <v>552_17_202324</v>
      </c>
      <c r="AE729" s="98" t="s">
        <v>1</v>
      </c>
      <c r="AF729" s="98">
        <v>552</v>
      </c>
      <c r="AG729" s="98">
        <v>17</v>
      </c>
      <c r="AH729" s="98" t="s">
        <v>3052</v>
      </c>
      <c r="AI729" s="98">
        <v>1</v>
      </c>
      <c r="AJ729" s="98">
        <v>202324</v>
      </c>
      <c r="AK729" s="207">
        <v>801994000</v>
      </c>
    </row>
    <row r="730" spans="30:37" x14ac:dyDescent="0.35">
      <c r="AD730" s="98" t="str">
        <f t="shared" si="24"/>
        <v>512_19_202324</v>
      </c>
      <c r="AE730" s="98" t="s">
        <v>1</v>
      </c>
      <c r="AF730" s="98">
        <v>512</v>
      </c>
      <c r="AG730" s="98">
        <v>19</v>
      </c>
      <c r="AH730" s="98" t="s">
        <v>3053</v>
      </c>
      <c r="AI730" s="98">
        <v>1</v>
      </c>
      <c r="AJ730" s="98">
        <v>202324</v>
      </c>
      <c r="AK730" s="207">
        <v>123664913</v>
      </c>
    </row>
    <row r="731" spans="30:37" x14ac:dyDescent="0.35">
      <c r="AD731" s="98" t="str">
        <f t="shared" si="24"/>
        <v>514_19_202324</v>
      </c>
      <c r="AE731" s="98" t="s">
        <v>1</v>
      </c>
      <c r="AF731" s="98">
        <v>514</v>
      </c>
      <c r="AG731" s="98">
        <v>19</v>
      </c>
      <c r="AH731" s="98" t="s">
        <v>3053</v>
      </c>
      <c r="AI731" s="98">
        <v>1</v>
      </c>
      <c r="AJ731" s="98">
        <v>202324</v>
      </c>
      <c r="AK731" s="207">
        <v>228035972</v>
      </c>
    </row>
    <row r="732" spans="30:37" x14ac:dyDescent="0.35">
      <c r="AD732" s="98" t="str">
        <f t="shared" si="24"/>
        <v>516_19_202324</v>
      </c>
      <c r="AE732" s="98" t="s">
        <v>1</v>
      </c>
      <c r="AF732" s="98">
        <v>516</v>
      </c>
      <c r="AG732" s="98">
        <v>19</v>
      </c>
      <c r="AH732" s="98" t="s">
        <v>3053</v>
      </c>
      <c r="AI732" s="98">
        <v>1</v>
      </c>
      <c r="AJ732" s="98">
        <v>202324</v>
      </c>
      <c r="AK732" s="207">
        <v>198598160</v>
      </c>
    </row>
    <row r="733" spans="30:37" x14ac:dyDescent="0.35">
      <c r="AD733" s="98" t="str">
        <f t="shared" si="24"/>
        <v>518_19_202324</v>
      </c>
      <c r="AE733" s="98" t="s">
        <v>1</v>
      </c>
      <c r="AF733" s="98">
        <v>518</v>
      </c>
      <c r="AG733" s="98">
        <v>19</v>
      </c>
      <c r="AH733" s="98" t="s">
        <v>3053</v>
      </c>
      <c r="AI733" s="98">
        <v>1</v>
      </c>
      <c r="AJ733" s="98">
        <v>202324</v>
      </c>
      <c r="AK733" s="207">
        <v>188023657</v>
      </c>
    </row>
    <row r="734" spans="30:37" x14ac:dyDescent="0.35">
      <c r="AD734" s="98" t="str">
        <f t="shared" si="24"/>
        <v>520_19_202324</v>
      </c>
      <c r="AE734" s="98" t="s">
        <v>1</v>
      </c>
      <c r="AF734" s="98">
        <v>520</v>
      </c>
      <c r="AG734" s="98">
        <v>19</v>
      </c>
      <c r="AH734" s="98" t="s">
        <v>3053</v>
      </c>
      <c r="AI734" s="98">
        <v>1</v>
      </c>
      <c r="AJ734" s="98">
        <v>202324</v>
      </c>
      <c r="AK734" s="207">
        <v>251994789</v>
      </c>
    </row>
    <row r="735" spans="30:37" x14ac:dyDescent="0.35">
      <c r="AD735" s="98" t="str">
        <f t="shared" si="24"/>
        <v>522_19_202324</v>
      </c>
      <c r="AE735" s="98" t="s">
        <v>1</v>
      </c>
      <c r="AF735" s="98">
        <v>522</v>
      </c>
      <c r="AG735" s="98">
        <v>19</v>
      </c>
      <c r="AH735" s="98" t="s">
        <v>3053</v>
      </c>
      <c r="AI735" s="98">
        <v>1</v>
      </c>
      <c r="AJ735" s="98">
        <v>202324</v>
      </c>
      <c r="AK735" s="207">
        <v>224836439</v>
      </c>
    </row>
    <row r="736" spans="30:37" x14ac:dyDescent="0.35">
      <c r="AD736" s="98" t="str">
        <f t="shared" si="24"/>
        <v>524_19_202324</v>
      </c>
      <c r="AE736" s="98" t="s">
        <v>1</v>
      </c>
      <c r="AF736" s="98">
        <v>524</v>
      </c>
      <c r="AG736" s="98">
        <v>19</v>
      </c>
      <c r="AH736" s="98" t="s">
        <v>3053</v>
      </c>
      <c r="AI736" s="98">
        <v>1</v>
      </c>
      <c r="AJ736" s="98">
        <v>202324</v>
      </c>
      <c r="AK736" s="207">
        <v>228664604</v>
      </c>
    </row>
    <row r="737" spans="30:37" x14ac:dyDescent="0.35">
      <c r="AD737" s="98" t="str">
        <f t="shared" si="24"/>
        <v>526_19_202324</v>
      </c>
      <c r="AE737" s="98" t="s">
        <v>1</v>
      </c>
      <c r="AF737" s="98">
        <v>526</v>
      </c>
      <c r="AG737" s="98">
        <v>19</v>
      </c>
      <c r="AH737" s="98" t="s">
        <v>3053</v>
      </c>
      <c r="AI737" s="98">
        <v>1</v>
      </c>
      <c r="AJ737" s="98">
        <v>202324</v>
      </c>
      <c r="AK737" s="207">
        <v>129197594</v>
      </c>
    </row>
    <row r="738" spans="30:37" x14ac:dyDescent="0.35">
      <c r="AD738" s="98" t="str">
        <f t="shared" si="24"/>
        <v>528_19_202324</v>
      </c>
      <c r="AE738" s="98" t="s">
        <v>1</v>
      </c>
      <c r="AF738" s="98">
        <v>528</v>
      </c>
      <c r="AG738" s="98">
        <v>19</v>
      </c>
      <c r="AH738" s="98" t="s">
        <v>3053</v>
      </c>
      <c r="AI738" s="98">
        <v>1</v>
      </c>
      <c r="AJ738" s="98">
        <v>202324</v>
      </c>
      <c r="AK738" s="207">
        <v>212675033</v>
      </c>
    </row>
    <row r="739" spans="30:37" x14ac:dyDescent="0.35">
      <c r="AD739" s="98" t="str">
        <f t="shared" si="24"/>
        <v>530_19_202324</v>
      </c>
      <c r="AE739" s="98" t="s">
        <v>1</v>
      </c>
      <c r="AF739" s="98">
        <v>530</v>
      </c>
      <c r="AG739" s="98">
        <v>19</v>
      </c>
      <c r="AH739" s="98" t="s">
        <v>3053</v>
      </c>
      <c r="AI739" s="98">
        <v>1</v>
      </c>
      <c r="AJ739" s="98">
        <v>202324</v>
      </c>
      <c r="AK739" s="207">
        <v>338410457</v>
      </c>
    </row>
    <row r="740" spans="30:37" x14ac:dyDescent="0.35">
      <c r="AD740" s="98" t="str">
        <f t="shared" si="24"/>
        <v>532_19_202324</v>
      </c>
      <c r="AE740" s="98" t="s">
        <v>1</v>
      </c>
      <c r="AF740" s="98">
        <v>532</v>
      </c>
      <c r="AG740" s="98">
        <v>19</v>
      </c>
      <c r="AH740" s="98" t="s">
        <v>3053</v>
      </c>
      <c r="AI740" s="98">
        <v>1</v>
      </c>
      <c r="AJ740" s="98">
        <v>202324</v>
      </c>
      <c r="AK740" s="207">
        <v>418282475</v>
      </c>
    </row>
    <row r="741" spans="30:37" x14ac:dyDescent="0.35">
      <c r="AD741" s="98" t="str">
        <f t="shared" si="24"/>
        <v>534_19_202324</v>
      </c>
      <c r="AE741" s="98" t="s">
        <v>1</v>
      </c>
      <c r="AF741" s="98">
        <v>534</v>
      </c>
      <c r="AG741" s="98">
        <v>19</v>
      </c>
      <c r="AH741" s="98" t="s">
        <v>3053</v>
      </c>
      <c r="AI741" s="98">
        <v>1</v>
      </c>
      <c r="AJ741" s="98">
        <v>202324</v>
      </c>
      <c r="AK741" s="207">
        <v>276695989</v>
      </c>
    </row>
    <row r="742" spans="30:37" x14ac:dyDescent="0.35">
      <c r="AD742" s="98" t="str">
        <f t="shared" si="24"/>
        <v>536_19_202324</v>
      </c>
      <c r="AE742" s="98" t="s">
        <v>1</v>
      </c>
      <c r="AF742" s="98">
        <v>536</v>
      </c>
      <c r="AG742" s="98">
        <v>19</v>
      </c>
      <c r="AH742" s="98" t="s">
        <v>3053</v>
      </c>
      <c r="AI742" s="98">
        <v>1</v>
      </c>
      <c r="AJ742" s="98">
        <v>202324</v>
      </c>
      <c r="AK742" s="207">
        <v>250181932</v>
      </c>
    </row>
    <row r="743" spans="30:37" x14ac:dyDescent="0.35">
      <c r="AD743" s="98" t="str">
        <f t="shared" si="24"/>
        <v>538_19_202324</v>
      </c>
      <c r="AE743" s="98" t="s">
        <v>1</v>
      </c>
      <c r="AF743" s="98">
        <v>538</v>
      </c>
      <c r="AG743" s="98">
        <v>19</v>
      </c>
      <c r="AH743" s="98" t="s">
        <v>3053</v>
      </c>
      <c r="AI743" s="98">
        <v>1</v>
      </c>
      <c r="AJ743" s="98">
        <v>202324</v>
      </c>
      <c r="AK743" s="207">
        <v>202796977</v>
      </c>
    </row>
    <row r="744" spans="30:37" x14ac:dyDescent="0.35">
      <c r="AD744" s="98" t="str">
        <f t="shared" si="24"/>
        <v>540_19_202324</v>
      </c>
      <c r="AE744" s="98" t="s">
        <v>1</v>
      </c>
      <c r="AF744" s="98">
        <v>540</v>
      </c>
      <c r="AG744" s="98">
        <v>19</v>
      </c>
      <c r="AH744" s="98" t="s">
        <v>3053</v>
      </c>
      <c r="AI744" s="98">
        <v>1</v>
      </c>
      <c r="AJ744" s="98">
        <v>202324</v>
      </c>
      <c r="AK744" s="207">
        <v>471317290</v>
      </c>
    </row>
    <row r="745" spans="30:37" x14ac:dyDescent="0.35">
      <c r="AD745" s="98" t="str">
        <f t="shared" si="24"/>
        <v>542_19_202324</v>
      </c>
      <c r="AE745" s="98" t="s">
        <v>1</v>
      </c>
      <c r="AF745" s="98">
        <v>542</v>
      </c>
      <c r="AG745" s="98">
        <v>19</v>
      </c>
      <c r="AH745" s="98" t="s">
        <v>3053</v>
      </c>
      <c r="AI745" s="98">
        <v>1</v>
      </c>
      <c r="AJ745" s="98">
        <v>202324</v>
      </c>
      <c r="AK745" s="207">
        <v>118614197</v>
      </c>
    </row>
    <row r="746" spans="30:37" x14ac:dyDescent="0.35">
      <c r="AD746" s="98" t="str">
        <f t="shared" si="24"/>
        <v>544_19_202324</v>
      </c>
      <c r="AE746" s="98" t="s">
        <v>1</v>
      </c>
      <c r="AF746" s="98">
        <v>544</v>
      </c>
      <c r="AG746" s="98">
        <v>19</v>
      </c>
      <c r="AH746" s="98" t="s">
        <v>3053</v>
      </c>
      <c r="AI746" s="98">
        <v>1</v>
      </c>
      <c r="AJ746" s="98">
        <v>202324</v>
      </c>
      <c r="AK746" s="207">
        <v>339960287</v>
      </c>
    </row>
    <row r="747" spans="30:37" x14ac:dyDescent="0.35">
      <c r="AD747" s="98" t="str">
        <f t="shared" si="24"/>
        <v>545_19_202324</v>
      </c>
      <c r="AE747" s="98" t="s">
        <v>1</v>
      </c>
      <c r="AF747" s="98">
        <v>545</v>
      </c>
      <c r="AG747" s="98">
        <v>19</v>
      </c>
      <c r="AH747" s="98" t="s">
        <v>3053</v>
      </c>
      <c r="AI747" s="98">
        <v>1</v>
      </c>
      <c r="AJ747" s="98">
        <v>202324</v>
      </c>
      <c r="AK747" s="207">
        <v>139730490</v>
      </c>
    </row>
    <row r="748" spans="30:37" x14ac:dyDescent="0.35">
      <c r="AD748" s="98" t="str">
        <f t="shared" si="24"/>
        <v>546_19_202324</v>
      </c>
      <c r="AE748" s="98" t="s">
        <v>1</v>
      </c>
      <c r="AF748" s="98">
        <v>546</v>
      </c>
      <c r="AG748" s="98">
        <v>19</v>
      </c>
      <c r="AH748" s="98" t="s">
        <v>3053</v>
      </c>
      <c r="AI748" s="98">
        <v>1</v>
      </c>
      <c r="AJ748" s="98">
        <v>202324</v>
      </c>
      <c r="AK748" s="207">
        <v>172405428</v>
      </c>
    </row>
    <row r="749" spans="30:37" x14ac:dyDescent="0.35">
      <c r="AD749" s="98" t="str">
        <f t="shared" si="24"/>
        <v>548_19_202324</v>
      </c>
      <c r="AE749" s="98" t="s">
        <v>1</v>
      </c>
      <c r="AF749" s="98">
        <v>548</v>
      </c>
      <c r="AG749" s="98">
        <v>19</v>
      </c>
      <c r="AH749" s="98" t="s">
        <v>3053</v>
      </c>
      <c r="AI749" s="98">
        <v>1</v>
      </c>
      <c r="AJ749" s="98">
        <v>202324</v>
      </c>
      <c r="AK749" s="207">
        <v>122674505</v>
      </c>
    </row>
    <row r="750" spans="30:37" x14ac:dyDescent="0.35">
      <c r="AD750" s="98" t="str">
        <f t="shared" si="24"/>
        <v>550_19_202324</v>
      </c>
      <c r="AE750" s="98" t="s">
        <v>1</v>
      </c>
      <c r="AF750" s="98">
        <v>550</v>
      </c>
      <c r="AG750" s="98">
        <v>19</v>
      </c>
      <c r="AH750" s="98" t="s">
        <v>3053</v>
      </c>
      <c r="AI750" s="98">
        <v>1</v>
      </c>
      <c r="AJ750" s="98">
        <v>202324</v>
      </c>
      <c r="AK750" s="207">
        <v>289522464</v>
      </c>
    </row>
    <row r="751" spans="30:37" x14ac:dyDescent="0.35">
      <c r="AD751" s="98" t="str">
        <f t="shared" si="24"/>
        <v>552_19_202324</v>
      </c>
      <c r="AE751" s="98" t="s">
        <v>1</v>
      </c>
      <c r="AF751" s="98">
        <v>552</v>
      </c>
      <c r="AG751" s="98">
        <v>19</v>
      </c>
      <c r="AH751" s="98" t="s">
        <v>3053</v>
      </c>
      <c r="AI751" s="98">
        <v>1</v>
      </c>
      <c r="AJ751" s="98">
        <v>202324</v>
      </c>
      <c r="AK751" s="207">
        <v>593605016</v>
      </c>
    </row>
    <row r="752" spans="30:37" x14ac:dyDescent="0.35">
      <c r="AD752" s="98" t="str">
        <f t="shared" si="24"/>
        <v>512_22_202324</v>
      </c>
      <c r="AE752" s="98" t="s">
        <v>1</v>
      </c>
      <c r="AF752" s="98">
        <v>512</v>
      </c>
      <c r="AG752" s="98">
        <v>22</v>
      </c>
      <c r="AH752" s="98" t="s">
        <v>2952</v>
      </c>
      <c r="AI752" s="98">
        <v>1</v>
      </c>
      <c r="AJ752" s="98">
        <v>202324</v>
      </c>
      <c r="AK752" s="207">
        <v>1435.8577430244748</v>
      </c>
    </row>
    <row r="753" spans="30:37" x14ac:dyDescent="0.35">
      <c r="AD753" s="98" t="str">
        <f t="shared" si="24"/>
        <v>514_22_202324</v>
      </c>
      <c r="AE753" s="98" t="s">
        <v>1</v>
      </c>
      <c r="AF753" s="98">
        <v>514</v>
      </c>
      <c r="AG753" s="98">
        <v>22</v>
      </c>
      <c r="AH753" s="98" t="s">
        <v>2952</v>
      </c>
      <c r="AI753" s="98">
        <v>1</v>
      </c>
      <c r="AJ753" s="98">
        <v>202324</v>
      </c>
      <c r="AK753" s="207">
        <v>1602.5774725162566</v>
      </c>
    </row>
    <row r="754" spans="30:37" x14ac:dyDescent="0.35">
      <c r="AD754" s="98" t="str">
        <f t="shared" si="24"/>
        <v>516_22_202324</v>
      </c>
      <c r="AE754" s="98" t="s">
        <v>1</v>
      </c>
      <c r="AF754" s="98">
        <v>516</v>
      </c>
      <c r="AG754" s="98">
        <v>22</v>
      </c>
      <c r="AH754" s="98" t="s">
        <v>2952</v>
      </c>
      <c r="AI754" s="98">
        <v>1</v>
      </c>
      <c r="AJ754" s="98">
        <v>202324</v>
      </c>
      <c r="AK754" s="207">
        <v>1580.5320152135587</v>
      </c>
    </row>
    <row r="755" spans="30:37" x14ac:dyDescent="0.35">
      <c r="AD755" s="98" t="str">
        <f t="shared" si="24"/>
        <v>518_22_202324</v>
      </c>
      <c r="AE755" s="98" t="s">
        <v>1</v>
      </c>
      <c r="AF755" s="98">
        <v>518</v>
      </c>
      <c r="AG755" s="98">
        <v>22</v>
      </c>
      <c r="AH755" s="98" t="s">
        <v>2952</v>
      </c>
      <c r="AI755" s="98">
        <v>1</v>
      </c>
      <c r="AJ755" s="98">
        <v>202324</v>
      </c>
      <c r="AK755" s="207">
        <v>1535.351041559376</v>
      </c>
    </row>
    <row r="756" spans="30:37" x14ac:dyDescent="0.35">
      <c r="AD756" s="98" t="str">
        <f t="shared" si="24"/>
        <v>520_22_202324</v>
      </c>
      <c r="AE756" s="98" t="s">
        <v>1</v>
      </c>
      <c r="AF756" s="98">
        <v>520</v>
      </c>
      <c r="AG756" s="98">
        <v>22</v>
      </c>
      <c r="AH756" s="98" t="s">
        <v>2952</v>
      </c>
      <c r="AI756" s="98">
        <v>1</v>
      </c>
      <c r="AJ756" s="98">
        <v>202324</v>
      </c>
      <c r="AK756" s="207">
        <v>1521.329340168156</v>
      </c>
    </row>
    <row r="757" spans="30:37" x14ac:dyDescent="0.35">
      <c r="AD757" s="98" t="str">
        <f t="shared" si="24"/>
        <v>522_22_202324</v>
      </c>
      <c r="AE757" s="98" t="s">
        <v>1</v>
      </c>
      <c r="AF757" s="98">
        <v>522</v>
      </c>
      <c r="AG757" s="98">
        <v>22</v>
      </c>
      <c r="AH757" s="98" t="s">
        <v>2952</v>
      </c>
      <c r="AI757" s="98">
        <v>1</v>
      </c>
      <c r="AJ757" s="98">
        <v>202324</v>
      </c>
      <c r="AK757" s="207">
        <v>1454.0520244334218</v>
      </c>
    </row>
    <row r="758" spans="30:37" x14ac:dyDescent="0.35">
      <c r="AD758" s="98" t="str">
        <f t="shared" si="24"/>
        <v>524_22_202324</v>
      </c>
      <c r="AE758" s="98" t="s">
        <v>1</v>
      </c>
      <c r="AF758" s="98">
        <v>524</v>
      </c>
      <c r="AG758" s="98">
        <v>22</v>
      </c>
      <c r="AH758" s="98" t="s">
        <v>2952</v>
      </c>
      <c r="AI758" s="98">
        <v>1</v>
      </c>
      <c r="AJ758" s="98">
        <v>202324</v>
      </c>
      <c r="AK758" s="207">
        <v>1524.4510006248947</v>
      </c>
    </row>
    <row r="759" spans="30:37" x14ac:dyDescent="0.35">
      <c r="AD759" s="98" t="str">
        <f t="shared" si="24"/>
        <v>526_22_202324</v>
      </c>
      <c r="AE759" s="98" t="s">
        <v>1</v>
      </c>
      <c r="AF759" s="98">
        <v>526</v>
      </c>
      <c r="AG759" s="98">
        <v>22</v>
      </c>
      <c r="AH759" s="98" t="s">
        <v>2952</v>
      </c>
      <c r="AI759" s="98">
        <v>1</v>
      </c>
      <c r="AJ759" s="98">
        <v>202324</v>
      </c>
      <c r="AK759" s="207">
        <v>1553.5980781864744</v>
      </c>
    </row>
    <row r="760" spans="30:37" x14ac:dyDescent="0.35">
      <c r="AD760" s="98" t="str">
        <f t="shared" si="24"/>
        <v>528_22_202324</v>
      </c>
      <c r="AE760" s="98" t="s">
        <v>1</v>
      </c>
      <c r="AF760" s="98">
        <v>528</v>
      </c>
      <c r="AG760" s="98">
        <v>22</v>
      </c>
      <c r="AH760" s="98" t="s">
        <v>2952</v>
      </c>
      <c r="AI760" s="98">
        <v>1</v>
      </c>
      <c r="AJ760" s="98">
        <v>202324</v>
      </c>
      <c r="AK760" s="207">
        <v>1342.8602363314867</v>
      </c>
    </row>
    <row r="761" spans="30:37" x14ac:dyDescent="0.35">
      <c r="AD761" s="98" t="str">
        <f t="shared" si="24"/>
        <v>530_22_202324</v>
      </c>
      <c r="AE761" s="98" t="s">
        <v>1</v>
      </c>
      <c r="AF761" s="98">
        <v>530</v>
      </c>
      <c r="AG761" s="98">
        <v>22</v>
      </c>
      <c r="AH761" s="98" t="s">
        <v>2952</v>
      </c>
      <c r="AI761" s="98">
        <v>1</v>
      </c>
      <c r="AJ761" s="98">
        <v>202324</v>
      </c>
      <c r="AK761" s="207">
        <v>1490.9749594782897</v>
      </c>
    </row>
    <row r="762" spans="30:37" x14ac:dyDescent="0.35">
      <c r="AD762" s="98" t="str">
        <f t="shared" si="24"/>
        <v>532_22_202324</v>
      </c>
      <c r="AE762" s="98" t="s">
        <v>1</v>
      </c>
      <c r="AF762" s="98">
        <v>532</v>
      </c>
      <c r="AG762" s="98">
        <v>22</v>
      </c>
      <c r="AH762" s="98" t="s">
        <v>2952</v>
      </c>
      <c r="AI762" s="98">
        <v>1</v>
      </c>
      <c r="AJ762" s="98">
        <v>202324</v>
      </c>
      <c r="AK762" s="207">
        <v>1549.0801202895213</v>
      </c>
    </row>
    <row r="763" spans="30:37" x14ac:dyDescent="0.35">
      <c r="AD763" s="98" t="str">
        <f t="shared" si="24"/>
        <v>534_22_202324</v>
      </c>
      <c r="AE763" s="98" t="s">
        <v>1</v>
      </c>
      <c r="AF763" s="98">
        <v>534</v>
      </c>
      <c r="AG763" s="98">
        <v>22</v>
      </c>
      <c r="AH763" s="98" t="s">
        <v>2952</v>
      </c>
      <c r="AI763" s="98">
        <v>1</v>
      </c>
      <c r="AJ763" s="98">
        <v>202324</v>
      </c>
      <c r="AK763" s="207">
        <v>1734.7220860017806</v>
      </c>
    </row>
    <row r="764" spans="30:37" x14ac:dyDescent="0.35">
      <c r="AD764" s="98" t="str">
        <f t="shared" si="24"/>
        <v>536_22_202324</v>
      </c>
      <c r="AE764" s="98" t="s">
        <v>1</v>
      </c>
      <c r="AF764" s="98">
        <v>536</v>
      </c>
      <c r="AG764" s="98">
        <v>22</v>
      </c>
      <c r="AH764" s="98" t="s">
        <v>2952</v>
      </c>
      <c r="AI764" s="98">
        <v>1</v>
      </c>
      <c r="AJ764" s="98">
        <v>202324</v>
      </c>
      <c r="AK764" s="207">
        <v>1675.2569283898038</v>
      </c>
    </row>
    <row r="765" spans="30:37" x14ac:dyDescent="0.35">
      <c r="AD765" s="98" t="str">
        <f t="shared" si="24"/>
        <v>538_22_202324</v>
      </c>
      <c r="AE765" s="98" t="s">
        <v>1</v>
      </c>
      <c r="AF765" s="98">
        <v>538</v>
      </c>
      <c r="AG765" s="98">
        <v>22</v>
      </c>
      <c r="AH765" s="98" t="s">
        <v>2952</v>
      </c>
      <c r="AI765" s="98">
        <v>1</v>
      </c>
      <c r="AJ765" s="98">
        <v>202324</v>
      </c>
      <c r="AK765" s="207">
        <v>1464.7506487578141</v>
      </c>
    </row>
    <row r="766" spans="30:37" x14ac:dyDescent="0.35">
      <c r="AD766" s="98" t="str">
        <f t="shared" si="24"/>
        <v>540_22_202324</v>
      </c>
      <c r="AE766" s="98" t="s">
        <v>1</v>
      </c>
      <c r="AF766" s="98">
        <v>540</v>
      </c>
      <c r="AG766" s="98">
        <v>22</v>
      </c>
      <c r="AH766" s="98" t="s">
        <v>2952</v>
      </c>
      <c r="AI766" s="98">
        <v>1</v>
      </c>
      <c r="AJ766" s="98">
        <v>202324</v>
      </c>
      <c r="AK766" s="207">
        <v>1614.1078122701315</v>
      </c>
    </row>
    <row r="767" spans="30:37" x14ac:dyDescent="0.35">
      <c r="AD767" s="98" t="str">
        <f t="shared" si="24"/>
        <v>542_22_202324</v>
      </c>
      <c r="AE767" s="98" t="s">
        <v>1</v>
      </c>
      <c r="AF767" s="98">
        <v>542</v>
      </c>
      <c r="AG767" s="98">
        <v>22</v>
      </c>
      <c r="AH767" s="98" t="s">
        <v>2952</v>
      </c>
      <c r="AI767" s="98">
        <v>1</v>
      </c>
      <c r="AJ767" s="98">
        <v>202324</v>
      </c>
      <c r="AK767" s="207">
        <v>1828.3360338195439</v>
      </c>
    </row>
    <row r="768" spans="30:37" x14ac:dyDescent="0.35">
      <c r="AD768" s="98" t="str">
        <f t="shared" si="24"/>
        <v>544_22_202324</v>
      </c>
      <c r="AE768" s="98" t="s">
        <v>1</v>
      </c>
      <c r="AF768" s="98">
        <v>544</v>
      </c>
      <c r="AG768" s="98">
        <v>22</v>
      </c>
      <c r="AH768" s="98" t="s">
        <v>2952</v>
      </c>
      <c r="AI768" s="98">
        <v>1</v>
      </c>
      <c r="AJ768" s="98">
        <v>202324</v>
      </c>
      <c r="AK768" s="207">
        <v>1353.0085506018163</v>
      </c>
    </row>
    <row r="769" spans="30:37" x14ac:dyDescent="0.35">
      <c r="AD769" s="98" t="str">
        <f t="shared" si="24"/>
        <v>545_22_202324</v>
      </c>
      <c r="AE769" s="98" t="s">
        <v>1</v>
      </c>
      <c r="AF769" s="98">
        <v>545</v>
      </c>
      <c r="AG769" s="98">
        <v>22</v>
      </c>
      <c r="AH769" s="98" t="s">
        <v>2952</v>
      </c>
      <c r="AI769" s="98">
        <v>1</v>
      </c>
      <c r="AJ769" s="98">
        <v>202324</v>
      </c>
      <c r="AK769" s="207">
        <v>1829.3323204597982</v>
      </c>
    </row>
    <row r="770" spans="30:37" x14ac:dyDescent="0.35">
      <c r="AD770" s="98" t="str">
        <f t="shared" si="24"/>
        <v>546_22_202324</v>
      </c>
      <c r="AE770" s="98" t="s">
        <v>1</v>
      </c>
      <c r="AF770" s="98">
        <v>546</v>
      </c>
      <c r="AG770" s="98">
        <v>22</v>
      </c>
      <c r="AH770" s="98" t="s">
        <v>2952</v>
      </c>
      <c r="AI770" s="98">
        <v>1</v>
      </c>
      <c r="AJ770" s="98">
        <v>202324</v>
      </c>
      <c r="AK770" s="207">
        <v>1477.4440669066923</v>
      </c>
    </row>
    <row r="771" spans="30:37" x14ac:dyDescent="0.35">
      <c r="AD771" s="98" t="str">
        <f t="shared" si="24"/>
        <v>548_22_202324</v>
      </c>
      <c r="AE771" s="98" t="s">
        <v>1</v>
      </c>
      <c r="AF771" s="98">
        <v>548</v>
      </c>
      <c r="AG771" s="98">
        <v>22</v>
      </c>
      <c r="AH771" s="98" t="s">
        <v>2952</v>
      </c>
      <c r="AI771" s="98">
        <v>1</v>
      </c>
      <c r="AJ771" s="98">
        <v>202324</v>
      </c>
      <c r="AK771" s="207">
        <v>1564.6578412842891</v>
      </c>
    </row>
    <row r="772" spans="30:37" x14ac:dyDescent="0.35">
      <c r="AD772" s="98" t="str">
        <f t="shared" ref="AD772:AD795" si="25">AF772&amp;"_"&amp;AG772&amp;"_"&amp;AJ772</f>
        <v>550_22_202324</v>
      </c>
      <c r="AE772" s="98" t="s">
        <v>1</v>
      </c>
      <c r="AF772" s="98">
        <v>550</v>
      </c>
      <c r="AG772" s="98">
        <v>22</v>
      </c>
      <c r="AH772" s="98" t="s">
        <v>2952</v>
      </c>
      <c r="AI772" s="98">
        <v>1</v>
      </c>
      <c r="AJ772" s="98">
        <v>202324</v>
      </c>
      <c r="AK772" s="207">
        <v>1380.1251736039599</v>
      </c>
    </row>
    <row r="773" spans="30:37" x14ac:dyDescent="0.35">
      <c r="AD773" s="98" t="str">
        <f t="shared" si="25"/>
        <v>552_22_202324</v>
      </c>
      <c r="AE773" s="98" t="s">
        <v>1</v>
      </c>
      <c r="AF773" s="98">
        <v>552</v>
      </c>
      <c r="AG773" s="98">
        <v>22</v>
      </c>
      <c r="AH773" s="98" t="s">
        <v>2952</v>
      </c>
      <c r="AI773" s="98">
        <v>1</v>
      </c>
      <c r="AJ773" s="98">
        <v>202324</v>
      </c>
      <c r="AK773" s="207">
        <v>1387.4701671626408</v>
      </c>
    </row>
    <row r="774" spans="30:37" x14ac:dyDescent="0.35">
      <c r="AD774" s="98" t="str">
        <f t="shared" si="25"/>
        <v>512_23_202324</v>
      </c>
      <c r="AE774" s="98" t="s">
        <v>1</v>
      </c>
      <c r="AF774" s="98">
        <v>512</v>
      </c>
      <c r="AG774" s="98">
        <v>23</v>
      </c>
      <c r="AH774" s="98" t="s">
        <v>3207</v>
      </c>
      <c r="AI774" s="98">
        <v>1</v>
      </c>
      <c r="AJ774" s="98">
        <v>202324</v>
      </c>
      <c r="AK774" s="207">
        <v>56.352256975525322</v>
      </c>
    </row>
    <row r="775" spans="30:37" x14ac:dyDescent="0.35">
      <c r="AD775" s="98" t="str">
        <f t="shared" si="25"/>
        <v>514_23_202324</v>
      </c>
      <c r="AE775" s="98" t="s">
        <v>1</v>
      </c>
      <c r="AF775" s="98">
        <v>514</v>
      </c>
      <c r="AG775" s="98">
        <v>23</v>
      </c>
      <c r="AH775" s="98" t="s">
        <v>3207</v>
      </c>
      <c r="AI775" s="98">
        <v>1</v>
      </c>
      <c r="AJ775" s="98">
        <v>202324</v>
      </c>
      <c r="AK775" s="207">
        <v>51.532527483743216</v>
      </c>
    </row>
    <row r="776" spans="30:37" x14ac:dyDescent="0.35">
      <c r="AD776" s="98" t="str">
        <f t="shared" si="25"/>
        <v>516_23_202324</v>
      </c>
      <c r="AE776" s="98" t="s">
        <v>1</v>
      </c>
      <c r="AF776" s="98">
        <v>516</v>
      </c>
      <c r="AG776" s="98">
        <v>23</v>
      </c>
      <c r="AH776" s="98" t="s">
        <v>3207</v>
      </c>
      <c r="AI776" s="98">
        <v>1</v>
      </c>
      <c r="AJ776" s="98">
        <v>202324</v>
      </c>
      <c r="AK776" s="207">
        <v>50.197984786441417</v>
      </c>
    </row>
    <row r="777" spans="30:37" x14ac:dyDescent="0.35">
      <c r="AD777" s="98" t="str">
        <f t="shared" si="25"/>
        <v>518_23_202324</v>
      </c>
      <c r="AE777" s="98" t="s">
        <v>1</v>
      </c>
      <c r="AF777" s="98">
        <v>518</v>
      </c>
      <c r="AG777" s="98">
        <v>23</v>
      </c>
      <c r="AH777" s="98" t="s">
        <v>3207</v>
      </c>
      <c r="AI777" s="98">
        <v>1</v>
      </c>
      <c r="AJ777" s="98">
        <v>202324</v>
      </c>
      <c r="AK777" s="207">
        <v>59.398958440623929</v>
      </c>
    </row>
    <row r="778" spans="30:37" x14ac:dyDescent="0.35">
      <c r="AD778" s="98" t="str">
        <f t="shared" si="25"/>
        <v>520_23_202324</v>
      </c>
      <c r="AE778" s="98" t="s">
        <v>1</v>
      </c>
      <c r="AF778" s="98">
        <v>520</v>
      </c>
      <c r="AG778" s="98">
        <v>23</v>
      </c>
      <c r="AH778" s="98" t="s">
        <v>3207</v>
      </c>
      <c r="AI778" s="98">
        <v>1</v>
      </c>
      <c r="AJ778" s="98">
        <v>202324</v>
      </c>
      <c r="AK778" s="207">
        <v>51.980659831843965</v>
      </c>
    </row>
    <row r="779" spans="30:37" x14ac:dyDescent="0.35">
      <c r="AD779" s="98" t="str">
        <f t="shared" si="25"/>
        <v>522_23_202324</v>
      </c>
      <c r="AE779" s="98" t="s">
        <v>1</v>
      </c>
      <c r="AF779" s="98">
        <v>522</v>
      </c>
      <c r="AG779" s="98">
        <v>23</v>
      </c>
      <c r="AH779" s="98" t="s">
        <v>3207</v>
      </c>
      <c r="AI779" s="98">
        <v>1</v>
      </c>
      <c r="AJ779" s="98">
        <v>202324</v>
      </c>
      <c r="AK779" s="207">
        <v>55.947975566578258</v>
      </c>
    </row>
    <row r="780" spans="30:37" x14ac:dyDescent="0.35">
      <c r="AD780" s="98" t="str">
        <f t="shared" si="25"/>
        <v>524_23_202324</v>
      </c>
      <c r="AE780" s="98" t="s">
        <v>1</v>
      </c>
      <c r="AF780" s="98">
        <v>524</v>
      </c>
      <c r="AG780" s="98">
        <v>23</v>
      </c>
      <c r="AH780" s="98" t="s">
        <v>3207</v>
      </c>
      <c r="AI780" s="98">
        <v>1</v>
      </c>
      <c r="AJ780" s="98">
        <v>202324</v>
      </c>
      <c r="AK780" s="207">
        <v>76.288999375105362</v>
      </c>
    </row>
    <row r="781" spans="30:37" x14ac:dyDescent="0.35">
      <c r="AD781" s="98" t="str">
        <f t="shared" si="25"/>
        <v>526_23_202324</v>
      </c>
      <c r="AE781" s="98" t="s">
        <v>1</v>
      </c>
      <c r="AF781" s="98">
        <v>526</v>
      </c>
      <c r="AG781" s="98">
        <v>23</v>
      </c>
      <c r="AH781" s="98" t="s">
        <v>3207</v>
      </c>
      <c r="AI781" s="98">
        <v>1</v>
      </c>
      <c r="AJ781" s="98">
        <v>202324</v>
      </c>
      <c r="AK781" s="207">
        <v>41.981921813525595</v>
      </c>
    </row>
    <row r="782" spans="30:37" x14ac:dyDescent="0.35">
      <c r="AD782" s="98" t="str">
        <f t="shared" si="25"/>
        <v>528_23_202324</v>
      </c>
      <c r="AE782" s="98" t="s">
        <v>1</v>
      </c>
      <c r="AF782" s="98">
        <v>528</v>
      </c>
      <c r="AG782" s="98">
        <v>23</v>
      </c>
      <c r="AH782" s="98" t="s">
        <v>3207</v>
      </c>
      <c r="AI782" s="98">
        <v>1</v>
      </c>
      <c r="AJ782" s="98">
        <v>202324</v>
      </c>
      <c r="AK782" s="207">
        <v>40.559763668513384</v>
      </c>
    </row>
    <row r="783" spans="30:37" x14ac:dyDescent="0.35">
      <c r="AD783" s="98" t="str">
        <f t="shared" si="25"/>
        <v>530_23_202324</v>
      </c>
      <c r="AE783" s="98" t="s">
        <v>1</v>
      </c>
      <c r="AF783" s="98">
        <v>530</v>
      </c>
      <c r="AG783" s="98">
        <v>23</v>
      </c>
      <c r="AH783" s="98" t="s">
        <v>3207</v>
      </c>
      <c r="AI783" s="98">
        <v>1</v>
      </c>
      <c r="AJ783" s="98">
        <v>202324</v>
      </c>
      <c r="AK783" s="207">
        <v>105.04241842424813</v>
      </c>
    </row>
    <row r="784" spans="30:37" x14ac:dyDescent="0.35">
      <c r="AD784" s="98" t="str">
        <f t="shared" si="25"/>
        <v>532_23_202324</v>
      </c>
      <c r="AE784" s="98" t="s">
        <v>1</v>
      </c>
      <c r="AF784" s="98">
        <v>532</v>
      </c>
      <c r="AG784" s="98">
        <v>23</v>
      </c>
      <c r="AH784" s="98" t="s">
        <v>3207</v>
      </c>
      <c r="AI784" s="98">
        <v>1</v>
      </c>
      <c r="AJ784" s="98">
        <v>202324</v>
      </c>
      <c r="AK784" s="207">
        <v>19.999879710478574</v>
      </c>
    </row>
    <row r="785" spans="30:37" x14ac:dyDescent="0.35">
      <c r="AD785" s="98" t="str">
        <f t="shared" si="25"/>
        <v>534_23_202324</v>
      </c>
      <c r="AE785" s="98" t="s">
        <v>1</v>
      </c>
      <c r="AF785" s="98">
        <v>534</v>
      </c>
      <c r="AG785" s="98">
        <v>23</v>
      </c>
      <c r="AH785" s="98" t="s">
        <v>3207</v>
      </c>
      <c r="AI785" s="98">
        <v>1</v>
      </c>
      <c r="AJ785" s="98">
        <v>202324</v>
      </c>
      <c r="AK785" s="207">
        <v>52.837913998219364</v>
      </c>
    </row>
    <row r="786" spans="30:37" x14ac:dyDescent="0.35">
      <c r="AD786" s="98" t="str">
        <f t="shared" si="25"/>
        <v>536_23_202324</v>
      </c>
      <c r="AE786" s="98" t="s">
        <v>1</v>
      </c>
      <c r="AF786" s="98">
        <v>536</v>
      </c>
      <c r="AG786" s="98">
        <v>23</v>
      </c>
      <c r="AH786" s="98" t="s">
        <v>3207</v>
      </c>
      <c r="AI786" s="98">
        <v>1</v>
      </c>
      <c r="AJ786" s="98">
        <v>202324</v>
      </c>
      <c r="AK786" s="207">
        <v>52.673071610196246</v>
      </c>
    </row>
    <row r="787" spans="30:37" x14ac:dyDescent="0.35">
      <c r="AD787" s="98" t="str">
        <f t="shared" si="25"/>
        <v>538_23_202324</v>
      </c>
      <c r="AE787" s="98" t="s">
        <v>1</v>
      </c>
      <c r="AF787" s="98">
        <v>538</v>
      </c>
      <c r="AG787" s="98">
        <v>23</v>
      </c>
      <c r="AH787" s="98" t="s">
        <v>3207</v>
      </c>
      <c r="AI787" s="98">
        <v>1</v>
      </c>
      <c r="AJ787" s="98">
        <v>202324</v>
      </c>
      <c r="AK787" s="207">
        <v>54.649351242185944</v>
      </c>
    </row>
    <row r="788" spans="30:37" x14ac:dyDescent="0.35">
      <c r="AD788" s="98" t="str">
        <f t="shared" si="25"/>
        <v>540_23_202324</v>
      </c>
      <c r="AE788" s="98" t="s">
        <v>1</v>
      </c>
      <c r="AF788" s="98">
        <v>540</v>
      </c>
      <c r="AG788" s="98">
        <v>23</v>
      </c>
      <c r="AH788" s="98" t="s">
        <v>3207</v>
      </c>
      <c r="AI788" s="98">
        <v>1</v>
      </c>
      <c r="AJ788" s="98">
        <v>202324</v>
      </c>
      <c r="AK788" s="207">
        <v>33.442187729868479</v>
      </c>
    </row>
    <row r="789" spans="30:37" x14ac:dyDescent="0.35">
      <c r="AD789" s="98" t="str">
        <f t="shared" si="25"/>
        <v>542_23_202324</v>
      </c>
      <c r="AE789" s="98" t="s">
        <v>1</v>
      </c>
      <c r="AF789" s="98">
        <v>542</v>
      </c>
      <c r="AG789" s="98">
        <v>23</v>
      </c>
      <c r="AH789" s="98" t="s">
        <v>3207</v>
      </c>
      <c r="AI789" s="98">
        <v>1</v>
      </c>
      <c r="AJ789" s="98">
        <v>202324</v>
      </c>
      <c r="AK789" s="207">
        <v>2.0939661804561527</v>
      </c>
    </row>
    <row r="790" spans="30:37" x14ac:dyDescent="0.35">
      <c r="AD790" s="98" t="str">
        <f t="shared" si="25"/>
        <v>544_23_202324</v>
      </c>
      <c r="AE790" s="98" t="s">
        <v>1</v>
      </c>
      <c r="AF790" s="98">
        <v>544</v>
      </c>
      <c r="AG790" s="98">
        <v>23</v>
      </c>
      <c r="AH790" s="98" t="s">
        <v>3207</v>
      </c>
      <c r="AI790" s="98">
        <v>1</v>
      </c>
      <c r="AJ790" s="98">
        <v>202324</v>
      </c>
      <c r="AK790" s="207">
        <v>15.781449398183607</v>
      </c>
    </row>
    <row r="791" spans="30:37" x14ac:dyDescent="0.35">
      <c r="AD791" s="98" t="str">
        <f t="shared" si="25"/>
        <v>545_23_202324</v>
      </c>
      <c r="AE791" s="98" t="s">
        <v>1</v>
      </c>
      <c r="AF791" s="98">
        <v>545</v>
      </c>
      <c r="AG791" s="98">
        <v>23</v>
      </c>
      <c r="AH791" s="98" t="s">
        <v>3207</v>
      </c>
      <c r="AI791" s="98">
        <v>1</v>
      </c>
      <c r="AJ791" s="98">
        <v>202324</v>
      </c>
      <c r="AK791" s="207">
        <v>27.987679540201754</v>
      </c>
    </row>
    <row r="792" spans="30:37" x14ac:dyDescent="0.35">
      <c r="AD792" s="98" t="str">
        <f t="shared" si="25"/>
        <v>546_23_202324</v>
      </c>
      <c r="AE792" s="98" t="s">
        <v>1</v>
      </c>
      <c r="AF792" s="98">
        <v>546</v>
      </c>
      <c r="AG792" s="98">
        <v>23</v>
      </c>
      <c r="AH792" s="98" t="s">
        <v>3207</v>
      </c>
      <c r="AI792" s="98">
        <v>1</v>
      </c>
      <c r="AJ792" s="98">
        <v>202324</v>
      </c>
      <c r="AK792" s="207">
        <v>49.595933093307643</v>
      </c>
    </row>
    <row r="793" spans="30:37" x14ac:dyDescent="0.35">
      <c r="AD793" s="98" t="str">
        <f t="shared" si="25"/>
        <v>548_23_202324</v>
      </c>
      <c r="AE793" s="98" t="s">
        <v>1</v>
      </c>
      <c r="AF793" s="98">
        <v>548</v>
      </c>
      <c r="AG793" s="98">
        <v>23</v>
      </c>
      <c r="AH793" s="98" t="s">
        <v>3207</v>
      </c>
      <c r="AI793" s="98">
        <v>1</v>
      </c>
      <c r="AJ793" s="98">
        <v>202324</v>
      </c>
      <c r="AK793" s="207">
        <v>70.762158715710996</v>
      </c>
    </row>
    <row r="794" spans="30:37" x14ac:dyDescent="0.35">
      <c r="AD794" s="98" t="str">
        <f t="shared" si="25"/>
        <v>550_23_202324</v>
      </c>
      <c r="AE794" s="98" t="s">
        <v>1</v>
      </c>
      <c r="AF794" s="98">
        <v>550</v>
      </c>
      <c r="AG794" s="98">
        <v>23</v>
      </c>
      <c r="AH794" s="98" t="s">
        <v>3207</v>
      </c>
      <c r="AI794" s="98">
        <v>1</v>
      </c>
      <c r="AJ794" s="98">
        <v>202324</v>
      </c>
      <c r="AK794" s="207">
        <v>8.2448263960402102</v>
      </c>
    </row>
    <row r="795" spans="30:37" x14ac:dyDescent="0.35">
      <c r="AD795" s="98" t="str">
        <f t="shared" si="25"/>
        <v>552_23_202324</v>
      </c>
      <c r="AE795" s="98" t="s">
        <v>1</v>
      </c>
      <c r="AF795" s="98">
        <v>552</v>
      </c>
      <c r="AG795" s="98">
        <v>23</v>
      </c>
      <c r="AH795" s="98" t="s">
        <v>3207</v>
      </c>
      <c r="AI795" s="98">
        <v>1</v>
      </c>
      <c r="AJ795" s="98">
        <v>202324</v>
      </c>
      <c r="AK795" s="207">
        <v>3.5998328373591044</v>
      </c>
    </row>
  </sheetData>
  <sheetProtection sheet="1" objects="1" scenarios="1"/>
  <pageMargins left="0.7" right="0.7" top="0.75" bottom="0.75" header="0.3" footer="0.3"/>
  <pageSetup paperSize="9" orientation="portrait" horizontalDpi="300" verticalDpi="300" r:id="rId1"/>
  <legacyDrawing r:id="rId2"/>
  <tableParts count="3">
    <tablePart r:id="rId3"/>
    <tablePart r:id="rId4"/>
    <tablePart r:id="rId5"/>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1 6 " ? > < D a t a M a s h u p   s q m i d = " c b d 5 3 1 c c - e 2 7 e - 4 a 2 5 - 8 b a 8 - 0 1 b 2 9 3 c e 1 8 a c "   x m l n s = " h t t p : / / s c h e m a s . m i c r o s o f t . c o m / D a t a M a s h u p " > A A A A A B w E A A B Q S w M E F A A C A A g A m 2 x I W P B 1 c K a k A A A A 9 g A A A B I A H A B D b 2 5 m a W c v U G F j a 2 F n Z S 5 4 b W w g o h g A K K A U A A A A A A A A A A A A A A A A A A A A A A A A A A A A h Y + 9 D o I w G E V f h X S n f y 6 E f J R E B x d J T E y M a 1 M q N E I x t F j e z c F H 8 h X E K O r m e M 8 9 w 7 3 3 6 w 3 y s W 2 i i + 6 d 6 W y G G K Y o 0 l Z 1 p b F V h g Z / j B O U C 9 h K d Z K V j i b Z u n R 0 Z Y Z q 7 8 8 p I S E E H B a 4 6 y v C K W X k U G x 2 q t a t R B / Z / J d j Y 5 2 X V m k k Y P 8 a I z h m L M G c c k y B z B A K Y 7 8 C n / Y + 2 x 8 I q 6 H x Q 6 + F t v F 6 C W S O Q N 4 f x A N Q S w M E F A A C A A g A m 2 x I W A / 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J t s S F i N 0 z H K F g E A A B U C A A A T A B w A R m 9 y b X V s Y X M v U 2 V j d G l v b j E u b S C i G A A o o B Q A A A A A A A A A A A A A A A A A A A A A A A A A A A B 1 k c F r g z A U x u + C / 0 N 4 u y h I m d K e i o e u x W 2 w 7 a D b Y Y i U p 7 6 h E B O m c T t I / / f F G k t X 2 l z y 8 r 7 3 f f m F d F S o W g q W T L u / t i 3 b 6 i p s q W S v W I s P o b s P M Q s Z J 2 V b T K 9 E 9 m 1 B u p N 8 8 8 U O F e b Y U e f A 0 3 b j B 0 t w P T O 2 2 7 / I A v m j / K F W N C R U V A s U k / M Y M a R v 2 F A I N y c h O 6 T j B Z m J L H O 5 / w 9 1 0 z q k S V F R g y F o E 3 j P i p o Q z r y X 0 X c Q k 2 x L G t + 9 l b x v R A c 6 / x 1 z T g s j m b 5 z g e E N 8 E m o 1 Z L A Y 7 D p V T X X k W y b m L 7 G M p a / p p p i z G F k g I N 7 o o h q r o 4 Q e v 6 M I C G u P 2 j s O d d I P U Z Y V M x J Z 5 B M O 4 P 7 Y B m s X I a i 1 M q M N S o r P 3 B d 2 6 r F 9 V v X f 1 B L A Q I t A B Q A A g A I A J t s S F j w d X C m p A A A A P Y A A A A S A A A A A A A A A A A A A A A A A A A A A A B D b 2 5 m a W c v U G F j a 2 F n Z S 5 4 b W x Q S w E C L Q A U A A I A C A C b b E h Y D 8 r p q 6 Q A A A D p A A A A E w A A A A A A A A A A A A A A A A D w A A A A W 0 N v b n R l b n R f V H l w Z X N d L n h t b F B L A Q I t A B Q A A g A I A J t s S F i N 0 z H K F g E A A B U C A A A T A A A A A A A A A A A A A A A A A O E B A A B G b 3 J t d W x h c y 9 T Z W N 0 a W 9 u M S 5 t U E s F B g A A A A A D A A M A w g A A A E Q D 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j k N A A A A A A A A F w 0 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E l 0 Z W 0 + P E l 0 Z W 1 M b 2 N h d G l v b j 4 8 S X R l b V R 5 c G U + R m 9 y b X V s Y T w v S X R l b V R 5 c G U + P E l 0 Z W 1 Q Y X R o P l N l Y 3 R p b 2 4 x L 0 1 h a W 5 V b m l v b k J S P C 9 J d G V t U G F 0 a D 4 8 L 0 l 0 Z W 1 M b 2 N h d G l v b j 4 8 U 3 R h Y m x l R W 5 0 c m l l c z 4 8 R W 5 0 c n k g V H l w Z T 0 i S X N Q c m l 2 Y X R l I i B W Y W x 1 Z T 0 i b D A i I C 8 + P E V u d H J 5 I F R 5 c G U 9 I k Z p b G x F b m F i b G V k I i B W Y W x 1 Z T 0 i b D E i I C 8 + P E V u d H J 5 I F R 5 c G U 9 I k Z p b G x P Y m p l Y 3 R U e X B l I i B W Y W x 1 Z T 0 i c 1 R h Y m x l I i A v P j x F b n R y e S B U e X B l P S J G a W x s V G 9 E Y X R h T W 9 k Z W x F b m F i b G V k I i B W Y W x 1 Z T 0 i b D A i I C 8 + P E V u d H J 5 I F R 5 c G U 9 I k 5 h d m l n Y X R p b 2 5 T d G V w T m F t Z S I g V m F s d W U 9 I n N O Y X Z p Z 2 F 0 a W 9 u I i A v P j x F b n R y e S B U e X B l P S J O Y W 1 l V X B k Y X R l Z E F m d G V y R m l s b C I g V m F s d W U 9 I m w w I i A v P j x F b n R y e S B U e X B l P S J S Z X N 1 b H R U e X B l I i B W Y W x 1 Z T 0 i c 1 R h Y m x l I i A v P j x F b n R y e S B U e X B l P S J C d W Z m Z X J O Z X h 0 U m V m c m V z a C I g V m F s d W U 9 I m w x I i A v P j x F b n R y e S B U e X B l P S J G a W x s V G F y Z 2 V 0 I i B W Y W x 1 Z T 0 i c 0 1 h a W 5 V b m l v b k J S I i A v P j x F b n R y e S B U e X B l P S J G a W x s Z W R D b 2 1 w b G V 0 Z V J l c 3 V s d F R v V 2 9 y a 3 N o Z W V 0 I i B W Y W x 1 Z T 0 i b D E i I C 8 + P E V u d H J 5 I F R 5 c G U 9 I k F k Z G V k V G 9 E Y X R h T W 9 k Z W w i I F Z h b H V l P S J s M C I g L z 4 8 R W 5 0 c n k g V H l w Z T 0 i R m l s b E N v d W 5 0 I i B W Y W x 1 Z T 0 i b D E 4 I i A v P j x F b n R y e S B U e X B l P S J G a W x s R X J y b 3 J D b 2 R l I i B W Y W x 1 Z T 0 i c 1 V u a 2 5 v d 2 4 i I C 8 + P E V u d H J 5 I F R 5 c G U 9 I k Z p b G x F c n J v c k N v d W 5 0 I i B W Y W x 1 Z T 0 i b D A i I C 8 + P E V u d H J 5 I F R 5 c G U 9 I k Z p b G x M Y X N 0 V X B k Y X R l Z C I g V m F s d W U 9 I m Q y M D I 0 L T A y L T A 4 V D E z O j M 2 O j U 1 L j E y M T E 2 O D F a I i A v P j x F b n R y e S B U e X B l P S J G a W x s Q 2 9 s d W 1 u V H l w Z X M i I F Z h b H V l P S J z Q W d J R 0 J B U U Y i I C 8 + P E V u d H J 5 I F R 5 c G U 9 I k Z p b G x D b 2 x 1 b W 5 O Y W 1 l c y I g V m F s d W U 9 I n N b J n F 1 b 3 Q 7 W W V h c k N v Z G U m c X V v d D s s J n F 1 b 3 Q 7 Q X V 0 a E N v Z G U m c X V v d D s s J n F 1 b 3 Q 7 R m 9 y b V J l Z i Z x d W 9 0 O y w m c X V v d D t S b 3 d S Z W Y m c X V v d D s s J n F 1 b 3 Q 7 Q 2 9 s d W 1 u U m V m J n F 1 b 3 Q 7 L C Z x d W 9 0 O 0 R h d G E m c X V v d D t d I i A v P j x F b n R y e S B U e X B l P S J G a W x s U 3 R h d H V z I i B W Y W x 1 Z T 0 i c 0 N v b X B s Z X R l I i A v P j x F b n R y e S B U e X B l P S J S Z W x h d G l v b n N o a X B J b m Z v Q 2 9 u d G F p b m V y I i B W Y W x 1 Z T 0 i c 3 s m c X V v d D t j b 2 x 1 b W 5 D b 3 V u d C Z x d W 9 0 O z o 2 L C Z x d W 9 0 O 2 t l e U N v b H V t b k 5 h b W V z J n F 1 b 3 Q 7 O l t d L C Z x d W 9 0 O 3 F 1 Z X J 5 U m V s Y X R p b 2 5 z a G l w c y Z x d W 9 0 O z p b X S w m c X V v d D t j b 2 x 1 b W 5 J Z G V u d G l 0 a W V z J n F 1 b 3 Q 7 O l s m c X V v d D t T Z W N 0 a W 9 u M S 9 N Y W l u V W 5 p b 2 5 C U i 9 B d X R v U m V t b 3 Z l Z E N v b H V t b n M x L n t Z Z W F y Q 2 9 k Z S w w f S Z x d W 9 0 O y w m c X V v d D t T Z W N 0 a W 9 u M S 9 N Y W l u V W 5 p b 2 5 C U i 9 B d X R v U m V t b 3 Z l Z E N v b H V t b n M x L n t B d X R o Q 2 9 k Z S w x f S Z x d W 9 0 O y w m c X V v d D t T Z W N 0 a W 9 u M S 9 N Y W l u V W 5 p b 2 5 C U i 9 B d X R v U m V t b 3 Z l Z E N v b H V t b n M x L n t G b 3 J t U m V m L D J 9 J n F 1 b 3 Q 7 L C Z x d W 9 0 O 1 N l Y 3 R p b 2 4 x L 0 1 h a W 5 V b m l v b k J S L 0 F 1 d G 9 S Z W 1 v d m V k Q 2 9 s d W 1 u c z E u e 1 J v d 1 J l Z i w z f S Z x d W 9 0 O y w m c X V v d D t T Z W N 0 a W 9 u M S 9 N Y W l u V W 5 p b 2 5 C U i 9 B d X R v U m V t b 3 Z l Z E N v b H V t b n M x L n t D b 2 x 1 b W 5 S Z W Y s N H 0 m c X V v d D s s J n F 1 b 3 Q 7 U 2 V j d G l v b j E v T W F p b l V u a W 9 u Q l I v Q X V 0 b 1 J l b W 9 2 Z W R D b 2 x 1 b W 5 z M S 5 7 R G F 0 Y S w 1 f S Z x d W 9 0 O 1 0 s J n F 1 b 3 Q 7 Q 2 9 s d W 1 u Q 2 9 1 b n Q m c X V v d D s 6 N i w m c X V v d D t L Z X l D b 2 x 1 b W 5 O Y W 1 l c y Z x d W 9 0 O z p b X S w m c X V v d D t D b 2 x 1 b W 5 J Z G V u d G l 0 a W V z J n F 1 b 3 Q 7 O l s m c X V v d D t T Z W N 0 a W 9 u M S 9 N Y W l u V W 5 p b 2 5 C U i 9 B d X R v U m V t b 3 Z l Z E N v b H V t b n M x L n t Z Z W F y Q 2 9 k Z S w w f S Z x d W 9 0 O y w m c X V v d D t T Z W N 0 a W 9 u M S 9 N Y W l u V W 5 p b 2 5 C U i 9 B d X R v U m V t b 3 Z l Z E N v b H V t b n M x L n t B d X R o Q 2 9 k Z S w x f S Z x d W 9 0 O y w m c X V v d D t T Z W N 0 a W 9 u M S 9 N Y W l u V W 5 p b 2 5 C U i 9 B d X R v U m V t b 3 Z l Z E N v b H V t b n M x L n t G b 3 J t U m V m L D J 9 J n F 1 b 3 Q 7 L C Z x d W 9 0 O 1 N l Y 3 R p b 2 4 x L 0 1 h a W 5 V b m l v b k J S L 0 F 1 d G 9 S Z W 1 v d m V k Q 2 9 s d W 1 u c z E u e 1 J v d 1 J l Z i w z f S Z x d W 9 0 O y w m c X V v d D t T Z W N 0 a W 9 u M S 9 N Y W l u V W 5 p b 2 5 C U i 9 B d X R v U m V t b 3 Z l Z E N v b H V t b n M x L n t D b 2 x 1 b W 5 S Z W Y s N H 0 m c X V v d D s s J n F 1 b 3 Q 7 U 2 V j d G l v b j E v T W F p b l V u a W 9 u Q l I v Q X V 0 b 1 J l b W 9 2 Z W R D b 2 x 1 b W 5 z M S 5 7 R G F 0 Y S w 1 f S Z x d W 9 0 O 1 0 s J n F 1 b 3 Q 7 U m V s Y X R p b 2 5 z a G l w S W 5 m b y Z x d W 9 0 O z p b X X 0 i I C 8 + P E V u d H J 5 I F R 5 c G U 9 I l F 1 Z X J 5 S U Q i I F Z h b H V l P S J z O T U 5 M m R j M D I t N j d m O S 0 0 N 2 J m L T l m M z Y t N G I 0 Y j A w N m I w N D Y z I i A v P j w v U 3 R h Y m x l R W 5 0 c m l l c z 4 8 L 0 l 0 Z W 0 + P E l 0 Z W 0 + P E l 0 Z W 1 M b 2 N h d G l v b j 4 8 S X R l b V R 5 c G U + R m 9 y b X V s Y T w v S X R l b V R 5 c G U + P E l 0 Z W 1 Q Y X R o P l N l Y 3 R p b 2 4 x L 0 1 h a W 5 V b m l v b k J S L 1 N v d X J j Z T w v S X R l b V B h d G g + P C 9 J d G V t T G 9 j Y X R p b 2 4 + P F N 0 Y W J s Z U V u d H J p Z X M g L z 4 8 L 0 l 0 Z W 0 + P E l 0 Z W 0 + P E l 0 Z W 1 M b 2 N h d G l v b j 4 8 S X R l b V R 5 c G U + R m 9 y b X V s Y T w v S X R l b V R 5 c G U + P E l 0 Z W 1 Q Y X R o P l N l Y 3 R p b 2 4 x L 0 1 h a W 5 V b m l v b k J S L 1 N E X 0 x v Y 2 F s R 2 9 2 Z X J u b W V u d E Z p b m F u Y 2 U 8 L 0 l 0 Z W 1 Q Y X R o P j w v S X R l b U x v Y 2 F 0 a W 9 u P j x T d G F i b G V F b n R y a W V z I C 8 + P C 9 J d G V t P j x J d G V t P j x J d G V t T G 9 j Y X R p b 2 4 + P E l 0 Z W 1 U e X B l P k Z v c m 1 1 b G E 8 L 0 l 0 Z W 1 U e X B l P j x J d G V t U G F 0 a D 5 T Z W N 0 a W 9 u M S 9 N Y W l u V W 5 p b 2 5 C U i 9 k Y m 9 f T W F p b l V u a W 9 u Q l I 8 L 0 l 0 Z W 1 Q Y X R o P j w v S X R l b U x v Y 2 F 0 a W 9 u P j x T d G F i b G V F b n R y a W V z I C 8 + P C 9 J d G V t P j x J d G V t P j x J d G V t T G 9 j Y X R p b 2 4 + P E l 0 Z W 1 U e X B l P k Z v c m 1 1 b G E 8 L 0 l 0 Z W 1 U e X B l P j x J d G V t U G F 0 a D 5 T Z W N 0 a W 9 u M S 9 N Y W l u V W 5 p b 2 5 C U i 9 S Z W 9 y Z G V y Z W Q l M j B D b 2 x 1 b W 5 z P C 9 J d G V t U G F 0 a D 4 8 L 0 l 0 Z W 1 M b 2 N h d G l v b j 4 8 U 3 R h Y m x l R W 5 0 c m l l c y A v P j w v S X R l b T 4 8 S X R l b T 4 8 S X R l b U x v Y 2 F 0 a W 9 u P j x J d G V t V H l w Z T 5 G b 3 J t d W x h P C 9 J d G V t V H l w Z T 4 8 S X R l b V B h d G g + U 2 V j d G l v b j E v T W F p b l V u a W 9 u Q l I v R m l s d G V y Z W Q l M j B S b 3 d z P C 9 J d G V t U G F 0 a D 4 8 L 0 l 0 Z W 1 M b 2 N h d G l v b j 4 8 U 3 R h Y m x l R W 5 0 c m l l c y A v P j w v S X R l b T 4 8 L 0 l 0 Z W 1 z P j w v T G 9 j Y W x Q Y W N r Y W d l T W V 0 Y W R h d G F G a W x l P h Y A A A B Q S w U G A A A A A A A A A A A A A A A A A A A A A A A A 2 g A A A A E A A A D Q j J 3 f A R X R E Y x 6 A M B P w p f r A Q A A A C o p o Z 9 R A B F A j X w M k E O K 1 t 4 A A A A A A g A A A A A A A 2 Y A A M A A A A A Q A A A A s h o C q 7 D E f u + L h d b 9 a z Q 0 Q g A A A A A E g A A A o A A A A B A A A A A r + Q Q i H 3 3 6 U 0 E W F D u 3 F k i 9 U A A A A J D J a 5 A j r q S y s I d j F / W o 5 J S 7 t M c + J s I Z g B a e A R W 1 t i 2 C c A U H S K o q x Z K r E P t N 5 4 M 2 Y i x C M G u h W Q Q r G X 3 / z E r y n X Y C M 7 m N / B i p x n E / 3 f J N / i W x F A A A A N u + I q r f U l y J c g 8 n b q I 9 c 6 t 8 6 l 6 A < / D a t a M a s h u p > 
</file>

<file path=customXml/item2.xml><?xml version="1.0" encoding="utf-8"?>
<metadata xmlns="http://www.objective.com/ecm/document/metadata/FF3C5B18883D4E21973B57C2EEED7FD1" version="1.0.0">
  <systemFields>
    <field name="Objective-Id">
      <value order="0">A48584790</value>
    </field>
    <field name="Objective-Title">
      <value order="0">BR1 Return 2024-25</value>
    </field>
    <field name="Objective-Description">
      <value order="0"/>
    </field>
    <field name="Objective-CreationStamp">
      <value order="0">2023-12-05T17:39:01Z</value>
    </field>
    <field name="Objective-IsApproved">
      <value order="0">false</value>
    </field>
    <field name="Objective-IsPublished">
      <value order="0">false</value>
    </field>
    <field name="Objective-DatePublished">
      <value order="0"/>
    </field>
    <field name="Objective-ModificationStamp">
      <value order="0">2024-02-27T14:28:39Z</value>
    </field>
    <field name="Objective-Owner">
      <value order="0">Kelly, Frank (COOG - DDAT - KAS - Statistical Services)</value>
    </field>
    <field name="Objective-Path">
      <value order="0">Objective Global Folder:#Business File Plan:WG Organisational Groups:NEW - Post April 2022 - Chief Operating Officer:Chief Operating Officer (COO) - KAS - Chief Statistician:1 - Save:# LEGACY VFP - Statistical Services:Economic, Finance &amp; Transport:Local Government Finance Statistics:Forms-Revenue:Local Government Finance Statistics - Revenue - Budget Requirement Return (BR) - 2019-2024:LGFS-BR-24-Docs</value>
    </field>
    <field name="Objective-Parent">
      <value order="0">LGFS-BR-24-Docs</value>
    </field>
    <field name="Objective-State">
      <value order="0">Being Drafted</value>
    </field>
    <field name="Objective-VersionId">
      <value order="0">vA93932798</value>
    </field>
    <field name="Objective-Version">
      <value order="0">0.13</value>
    </field>
    <field name="Objective-VersionNumber">
      <value order="0">13</value>
    </field>
    <field name="Objective-VersionComment">
      <value order="0"/>
    </field>
    <field name="Objective-FileNumber">
      <value order="0">qA1364033</value>
    </field>
    <field name="Objective-Classification">
      <value order="0">Official</value>
    </field>
    <field name="Objective-Caveats">
      <value order="0"/>
    </field>
  </systemFields>
  <catalogues>
    <catalogue name="Document Type Catalogue" type="type" ori="id:cA14">
      <field name="Objective-Date Acquired">
        <value order="0">2023-01-18T00:00:00Z</value>
      </field>
      <field name="Objective-Official Translation">
        <value order="0"/>
      </field>
      <field name="Objective-Connect Creator">
        <value order="0"/>
      </field>
    </catalogue>
  </catalogues>
</metadata>
</file>

<file path=customXml/itemProps1.xml><?xml version="1.0" encoding="utf-8"?>
<ds:datastoreItem xmlns:ds="http://schemas.openxmlformats.org/officeDocument/2006/customXml" ds:itemID="{9774FF22-866D-43D2-9A92-A27D35A89C78}">
  <ds:schemaRefs>
    <ds:schemaRef ds:uri="http://schemas.microsoft.com/DataMashup"/>
  </ds:schemaRefs>
</ds:datastoreItem>
</file>

<file path=customXml/itemProps2.xml><?xml version="1.0" encoding="utf-8"?>
<ds:datastoreItem xmlns:ds="http://schemas.openxmlformats.org/officeDocument/2006/customXml" ds:itemID="{5745109E-2DDF-40CB-AC2B-FF9B10C90820}">
  <ds:schemaRefs>
    <ds:schemaRef ds:uri="http://www.objective.com/ecm/document/metadata/FF3C5B18883D4E21973B57C2EEED7FD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20</vt:i4>
      </vt:variant>
    </vt:vector>
  </HeadingPairs>
  <TitlesOfParts>
    <vt:vector size="30" baseType="lpstr">
      <vt:lpstr>FrontPage</vt:lpstr>
      <vt:lpstr>BR1</vt:lpstr>
      <vt:lpstr>Survey Response Burden</vt:lpstr>
      <vt:lpstr>Comments</vt:lpstr>
      <vt:lpstr>Transfer</vt:lpstr>
      <vt:lpstr>Details</vt:lpstr>
      <vt:lpstr>Text</vt:lpstr>
      <vt:lpstr>Translate</vt:lpstr>
      <vt:lpstr>ValData</vt:lpstr>
      <vt:lpstr>PROCESS</vt:lpstr>
      <vt:lpstr>_tab1</vt:lpstr>
      <vt:lpstr>Addresses</vt:lpstr>
      <vt:lpstr>Authority</vt:lpstr>
      <vt:lpstr>BR</vt:lpstr>
      <vt:lpstr>CT1_Class_O</vt:lpstr>
      <vt:lpstr>CT1_Discount_Dwellings</vt:lpstr>
      <vt:lpstr>CT1_Percent</vt:lpstr>
      <vt:lpstr>CT1_TaxBase_Pivot</vt:lpstr>
      <vt:lpstr>Data</vt:lpstr>
      <vt:lpstr>Details!ExternalData1</vt:lpstr>
      <vt:lpstr>Letter</vt:lpstr>
      <vt:lpstr>LineData</vt:lpstr>
      <vt:lpstr>'BR1'!Print_Area</vt:lpstr>
      <vt:lpstr>Comments!Print_Area</vt:lpstr>
      <vt:lpstr>FrontPage!Print_Area</vt:lpstr>
      <vt:lpstr>'Survey Response Burden'!Print_Area</vt:lpstr>
      <vt:lpstr>UANumber</vt:lpstr>
      <vt:lpstr>ValYOY</vt:lpstr>
      <vt:lpstr>vtab</vt:lpstr>
      <vt:lpstr>Year</vt:lpstr>
    </vt:vector>
  </TitlesOfParts>
  <Company>Welsh Office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Tracy Lewis</dc:creator>
  <cp:keywords>YoY Template DND; 4</cp:keywords>
  <cp:lastModifiedBy>Cox, Jonathan (COOG - DDAT - KAS - Statistical Service</cp:lastModifiedBy>
  <cp:lastPrinted>2023-02-14T17:56:21Z</cp:lastPrinted>
  <dcterms:created xsi:type="dcterms:W3CDTF">1999-09-27T10:24:37Z</dcterms:created>
  <dcterms:modified xsi:type="dcterms:W3CDTF">2024-02-28T14:23:21Z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bjective-Id">
    <vt:lpwstr>A48584790</vt:lpwstr>
  </property>
  <property fmtid="{D5CDD505-2E9C-101B-9397-08002B2CF9AE}" pid="3" name="Objective-Title">
    <vt:lpwstr>BR1 Return 2024-25</vt:lpwstr>
  </property>
  <property fmtid="{D5CDD505-2E9C-101B-9397-08002B2CF9AE}" pid="4" name="Objective-Comment">
    <vt:lpwstr/>
  </property>
  <property fmtid="{D5CDD505-2E9C-101B-9397-08002B2CF9AE}" pid="5" name="Objective-CreationStamp">
    <vt:filetime>2023-12-05T17:39:01Z</vt:filetime>
  </property>
  <property fmtid="{D5CDD505-2E9C-101B-9397-08002B2CF9AE}" pid="6" name="Objective-IsApproved">
    <vt:bool>false</vt:bool>
  </property>
  <property fmtid="{D5CDD505-2E9C-101B-9397-08002B2CF9AE}" pid="7" name="Objective-IsPublished">
    <vt:bool>false</vt:bool>
  </property>
  <property fmtid="{D5CDD505-2E9C-101B-9397-08002B2CF9AE}" pid="8" name="Objective-DatePublished">
    <vt:lpwstr/>
  </property>
  <property fmtid="{D5CDD505-2E9C-101B-9397-08002B2CF9AE}" pid="9" name="Objective-ModificationStamp">
    <vt:filetime>2024-02-27T14:28:39Z</vt:filetime>
  </property>
  <property fmtid="{D5CDD505-2E9C-101B-9397-08002B2CF9AE}" pid="10" name="Objective-Owner">
    <vt:lpwstr>Kelly, Frank (COOG - DDAT - KAS - Statistical Services)</vt:lpwstr>
  </property>
  <property fmtid="{D5CDD505-2E9C-101B-9397-08002B2CF9AE}" pid="11" name="Objective-Path">
    <vt:lpwstr>Objective Global Folder:#Business File Plan:WG Organisational Groups:NEW - Post April 2022 - Chief Operating Officer:Chief Operating Officer (COO) - KAS - Chief Statistician:1 - Save:# LEGACY VFP - Statistical Services:Economic, Finance &amp; Transport:Local Government Finance Statistics:Forms-Revenue:Local Government Finance Statistics - Revenue - Budget Requirement Return (BR) - 2019-2024:LGFS-BR-24-Docs:</vt:lpwstr>
  </property>
  <property fmtid="{D5CDD505-2E9C-101B-9397-08002B2CF9AE}" pid="12" name="Objective-Parent">
    <vt:lpwstr>LGFS-BR-24-Docs</vt:lpwstr>
  </property>
  <property fmtid="{D5CDD505-2E9C-101B-9397-08002B2CF9AE}" pid="13" name="Objective-State">
    <vt:lpwstr>Being Drafted</vt:lpwstr>
  </property>
  <property fmtid="{D5CDD505-2E9C-101B-9397-08002B2CF9AE}" pid="14" name="Objective-Version">
    <vt:lpwstr>0.13</vt:lpwstr>
  </property>
  <property fmtid="{D5CDD505-2E9C-101B-9397-08002B2CF9AE}" pid="15" name="Objective-VersionNumber">
    <vt:r8>13</vt:r8>
  </property>
  <property fmtid="{D5CDD505-2E9C-101B-9397-08002B2CF9AE}" pid="16" name="Objective-VersionComment">
    <vt:lpwstr/>
  </property>
  <property fmtid="{D5CDD505-2E9C-101B-9397-08002B2CF9AE}" pid="17" name="Objective-FileNumber">
    <vt:lpwstr>qA1364033</vt:lpwstr>
  </property>
  <property fmtid="{D5CDD505-2E9C-101B-9397-08002B2CF9AE}" pid="18" name="Objective-Classification">
    <vt:lpwstr>[Inherited - Official]</vt:lpwstr>
  </property>
  <property fmtid="{D5CDD505-2E9C-101B-9397-08002B2CF9AE}" pid="19" name="Objective-Caveats">
    <vt:lpwstr/>
  </property>
  <property fmtid="{D5CDD505-2E9C-101B-9397-08002B2CF9AE}" pid="20" name="Objective-Language [system]">
    <vt:lpwstr>English (eng)</vt:lpwstr>
  </property>
  <property fmtid="{D5CDD505-2E9C-101B-9397-08002B2CF9AE}" pid="21" name="Objective-Date Acquired [system]">
    <vt:filetime>2019-01-29T23:00:00Z</vt:filetime>
  </property>
  <property fmtid="{D5CDD505-2E9C-101B-9397-08002B2CF9AE}" pid="22" name="Objective-What to Keep [system]">
    <vt:lpwstr>No</vt:lpwstr>
  </property>
  <property fmtid="{D5CDD505-2E9C-101B-9397-08002B2CF9AE}" pid="23" name="Objective-Official Translation [system]">
    <vt:lpwstr/>
  </property>
  <property fmtid="{D5CDD505-2E9C-101B-9397-08002B2CF9AE}" pid="24" name="Objective-Connect Creator [system]">
    <vt:lpwstr/>
  </property>
  <property fmtid="{D5CDD505-2E9C-101B-9397-08002B2CF9AE}" pid="25" name="Objective-Description">
    <vt:lpwstr/>
  </property>
  <property fmtid="{D5CDD505-2E9C-101B-9397-08002B2CF9AE}" pid="26" name="Objective-VersionId">
    <vt:lpwstr>vA93932798</vt:lpwstr>
  </property>
  <property fmtid="{D5CDD505-2E9C-101B-9397-08002B2CF9AE}" pid="27" name="Objective-Language">
    <vt:lpwstr>English (eng)</vt:lpwstr>
  </property>
  <property fmtid="{D5CDD505-2E9C-101B-9397-08002B2CF9AE}" pid="28" name="Objective-Date Acquired">
    <vt:filetime>2023-01-18T00:00:00Z</vt:filetime>
  </property>
  <property fmtid="{D5CDD505-2E9C-101B-9397-08002B2CF9AE}" pid="29" name="Objective-What to Keep">
    <vt:lpwstr>No</vt:lpwstr>
  </property>
  <property fmtid="{D5CDD505-2E9C-101B-9397-08002B2CF9AE}" pid="30" name="Objective-Official Translation">
    <vt:lpwstr/>
  </property>
  <property fmtid="{D5CDD505-2E9C-101B-9397-08002B2CF9AE}" pid="31" name="Objective-Connect Creator">
    <vt:lpwstr/>
  </property>
</Properties>
</file>