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P:\stats\SD5\publishing\Revenue Budgets 2024-25\BR notes\"/>
    </mc:Choice>
  </mc:AlternateContent>
  <xr:revisionPtr revIDLastSave="0" documentId="8_{4182A585-FA84-4A43-8ABD-9869FC0D9144}" xr6:coauthVersionLast="47" xr6:coauthVersionMax="47" xr10:uidLastSave="{00000000-0000-0000-0000-000000000000}"/>
  <workbookProtection lockStructure="1"/>
  <bookViews>
    <workbookView xWindow="28680" yWindow="-120" windowWidth="29040" windowHeight="15840" tabRatio="704" firstSheet="1" activeTab="1" xr2:uid="{00000000-000D-0000-FFFF-FFFF00000000}"/>
  </bookViews>
  <sheets>
    <sheet name="PROCESS" sheetId="53041" state="hidden" r:id="rId1"/>
    <sheet name="FrontPage" sheetId="53036" r:id="rId2"/>
    <sheet name="BR2" sheetId="3" r:id="rId3"/>
    <sheet name="Survey Response Burden" sheetId="53037" r:id="rId4"/>
    <sheet name="Comments" sheetId="53038" r:id="rId5"/>
    <sheet name="Transfer" sheetId="53029" state="hidden" r:id="rId6"/>
    <sheet name="Details" sheetId="6" state="hidden" r:id="rId7"/>
    <sheet name="Text" sheetId="53035" state="hidden" r:id="rId8"/>
    <sheet name="Translate" sheetId="53033" state="hidden" r:id="rId9"/>
    <sheet name="ValData" sheetId="53039" state="hidden" r:id="rId10"/>
  </sheets>
  <definedNames>
    <definedName name="_xlnm._FilterDatabase" localSheetId="5" hidden="1">Transfer!$M$2:$R$33</definedName>
    <definedName name="_Order1" hidden="1">255</definedName>
    <definedName name="_Order2" hidden="1">255</definedName>
    <definedName name="_tab1">Transfer!$B$2:$G$33</definedName>
    <definedName name="_UA2">#REF!</definedName>
    <definedName name="Addresses" localSheetId="0">#REF!</definedName>
    <definedName name="Addresses">Details!$B$8:$M$11</definedName>
    <definedName name="Authority" localSheetId="0">#REF!</definedName>
    <definedName name="Authority">Details!$B$50:$F$55</definedName>
    <definedName name="BR">#REF!</definedName>
    <definedName name="Can">[0]!Can</definedName>
    <definedName name="ClassO">#REF!</definedName>
    <definedName name="component">#REF!</definedName>
    <definedName name="Data" localSheetId="0">#REF!</definedName>
    <definedName name="Data">Details!$B$21:$O$24</definedName>
    <definedName name="DiscountDwellings">#REF!</definedName>
    <definedName name="IBA">#REF!</definedName>
    <definedName name="Letter" localSheetId="0">#REF!</definedName>
    <definedName name="letter">Transfer!$J$2:$K$101</definedName>
    <definedName name="LineData" localSheetId="0">#REF!</definedName>
    <definedName name="LineData">'BR2'!$C$17:$AB$37</definedName>
    <definedName name="PandPUpliftd">#REF!</definedName>
    <definedName name="Percent">#REF!</definedName>
    <definedName name="_xlnm.Print_Area" localSheetId="2">'BR2'!$A$1:$I$49</definedName>
    <definedName name="_xlnm.Print_Area" localSheetId="4">Comments!$B$2:$K$41</definedName>
    <definedName name="_xlnm.Print_Area" localSheetId="1">FrontPage!$B$2:$O$55</definedName>
    <definedName name="_xlnm.Print_Area" localSheetId="3">'Survey Response Burden'!$B$2:$M$21</definedName>
    <definedName name="Provorfin">#REF!</definedName>
    <definedName name="Query_from_LocalGovernmentFinance" localSheetId="9" hidden="1">ValData!$AE$3:$AJ$67</definedName>
    <definedName name="Services">#REF!</definedName>
    <definedName name="Taxbase">Details!$L$40:$N$62</definedName>
    <definedName name="TaxBasePivot">#REF!</definedName>
    <definedName name="UA">#REF!</definedName>
    <definedName name="UAList">Details!$B$29:$O$32</definedName>
    <definedName name="UANumber" localSheetId="0">#REF!</definedName>
    <definedName name="UANumber">Details!$B$2</definedName>
    <definedName name="ValYOY">ValData!$B$3:$Q$19</definedName>
    <definedName name="vtab">Transfer!$A$2:$G$33</definedName>
    <definedName name="Year" localSheetId="0">#REF!</definedName>
    <definedName name="Year">Details!$J$2</definedName>
    <definedName name="YearLess1">#REF!</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6" l="1"/>
  <c r="AF41" i="6"/>
  <c r="AF42" i="6"/>
  <c r="AF43" i="6"/>
  <c r="AF44" i="6"/>
  <c r="AF45" i="6"/>
  <c r="AF46" i="6"/>
  <c r="AF47" i="6"/>
  <c r="AF48" i="6"/>
  <c r="AF49" i="6"/>
  <c r="AF50" i="6"/>
  <c r="AF51" i="6"/>
  <c r="AF52" i="6"/>
  <c r="AF53" i="6"/>
  <c r="AF54" i="6"/>
  <c r="AF55" i="6"/>
  <c r="AF56" i="6"/>
  <c r="AF57" i="6"/>
  <c r="AF58" i="6"/>
  <c r="AF59" i="6"/>
  <c r="AF60" i="6"/>
  <c r="AF61" i="6"/>
  <c r="AF62" i="6"/>
  <c r="AF40" i="6"/>
  <c r="H91" i="6" l="1"/>
  <c r="I91" i="6"/>
  <c r="H92" i="6"/>
  <c r="I92" i="6"/>
  <c r="H93" i="6"/>
  <c r="I93" i="6"/>
  <c r="H94" i="6"/>
  <c r="I94" i="6"/>
  <c r="H95" i="6"/>
  <c r="I95" i="6"/>
  <c r="G95" i="6"/>
  <c r="F95" i="6"/>
  <c r="E95" i="6"/>
  <c r="D95" i="6"/>
  <c r="G94" i="6"/>
  <c r="F94" i="6"/>
  <c r="E94" i="6"/>
  <c r="D94" i="6"/>
  <c r="G93" i="6"/>
  <c r="F93" i="6"/>
  <c r="E93" i="6"/>
  <c r="D93" i="6"/>
  <c r="G92" i="6"/>
  <c r="F92" i="6"/>
  <c r="E92" i="6"/>
  <c r="D92" i="6"/>
  <c r="G91" i="6"/>
  <c r="F91" i="6"/>
  <c r="E91" i="6"/>
  <c r="D91" i="6"/>
  <c r="D77" i="6"/>
  <c r="E77" i="6"/>
  <c r="F77" i="6"/>
  <c r="G77" i="6"/>
  <c r="D78" i="6"/>
  <c r="E78" i="6"/>
  <c r="F78" i="6"/>
  <c r="G78" i="6"/>
  <c r="D79" i="6"/>
  <c r="E79" i="6"/>
  <c r="F79" i="6"/>
  <c r="G79" i="6"/>
  <c r="D80" i="6"/>
  <c r="E80" i="6"/>
  <c r="F80" i="6"/>
  <c r="G80" i="6"/>
  <c r="E76" i="6"/>
  <c r="F76" i="6"/>
  <c r="G76" i="6"/>
  <c r="D76" i="6"/>
  <c r="AD4" i="53039" l="1"/>
  <c r="AD5" i="53039"/>
  <c r="AD6" i="53039"/>
  <c r="AD7" i="53039"/>
  <c r="AD8" i="53039"/>
  <c r="AD9" i="53039"/>
  <c r="AD10" i="53039"/>
  <c r="AD11" i="53039"/>
  <c r="AD12" i="53039"/>
  <c r="AD13" i="53039"/>
  <c r="AD14" i="53039"/>
  <c r="AD15" i="53039"/>
  <c r="AD16" i="53039"/>
  <c r="AD17" i="53039"/>
  <c r="AD18" i="53039"/>
  <c r="AD19" i="53039"/>
  <c r="AD20" i="53039"/>
  <c r="AD21" i="53039"/>
  <c r="AD22" i="53039"/>
  <c r="AD23" i="53039"/>
  <c r="AD24" i="53039"/>
  <c r="AD25" i="53039"/>
  <c r="AD26" i="53039"/>
  <c r="AD27" i="53039"/>
  <c r="AD28" i="53039"/>
  <c r="AD29" i="53039"/>
  <c r="AD30" i="53039"/>
  <c r="AD31" i="53039"/>
  <c r="AD32" i="53039"/>
  <c r="AD33" i="53039"/>
  <c r="AD34" i="53039"/>
  <c r="AD35" i="53039"/>
  <c r="AD36" i="53039"/>
  <c r="AD37" i="53039"/>
  <c r="AD38" i="53039"/>
  <c r="AD39" i="53039"/>
  <c r="AD40" i="53039"/>
  <c r="AD41" i="53039"/>
  <c r="AD42" i="53039"/>
  <c r="AD43" i="53039"/>
  <c r="AD44" i="53039"/>
  <c r="AD45" i="53039"/>
  <c r="AD46" i="53039"/>
  <c r="AD47" i="53039"/>
  <c r="AD48" i="53039"/>
  <c r="AD49" i="53039"/>
  <c r="AD50" i="53039"/>
  <c r="AD51" i="53039"/>
  <c r="AD52" i="53039"/>
  <c r="AD53" i="53039"/>
  <c r="AD54" i="53039"/>
  <c r="AD55" i="53039"/>
  <c r="AD56" i="53039"/>
  <c r="AD57" i="53039"/>
  <c r="AD58" i="53039"/>
  <c r="AD59" i="53039"/>
  <c r="AD60" i="53039"/>
  <c r="AD61" i="53039"/>
  <c r="AD62" i="53039"/>
  <c r="AD63" i="53039"/>
  <c r="AD64" i="53039"/>
  <c r="AD65" i="53039"/>
  <c r="AD66" i="53039"/>
  <c r="AD67" i="53039"/>
  <c r="AI1" i="53039" l="1"/>
  <c r="A4" i="53029" l="1"/>
  <c r="A5" i="53029"/>
  <c r="A6" i="53029"/>
  <c r="A7" i="53029"/>
  <c r="A8" i="53029"/>
  <c r="A9" i="53029"/>
  <c r="A10" i="53029"/>
  <c r="A11" i="53029"/>
  <c r="A12" i="53029"/>
  <c r="A13" i="53029"/>
  <c r="A14" i="53029"/>
  <c r="A15" i="53029"/>
  <c r="A16" i="53029"/>
  <c r="A17" i="53029"/>
  <c r="A18" i="53029"/>
  <c r="A19" i="53029"/>
  <c r="A20" i="53029"/>
  <c r="A21" i="53029"/>
  <c r="A22" i="53029"/>
  <c r="A23" i="53029"/>
  <c r="A24" i="53029"/>
  <c r="A25" i="53029"/>
  <c r="A26" i="53029"/>
  <c r="A27" i="53029"/>
  <c r="A28" i="53029"/>
  <c r="A29" i="53029"/>
  <c r="A30" i="53029"/>
  <c r="A31" i="53029"/>
  <c r="A32" i="53029"/>
  <c r="A33" i="53029"/>
  <c r="A3" i="53029"/>
  <c r="G20" i="53029" l="1"/>
  <c r="I20" i="53029" s="1"/>
  <c r="G21" i="53029"/>
  <c r="I21" i="53029" s="1"/>
  <c r="G22" i="53029"/>
  <c r="I22" i="53029" s="1"/>
  <c r="G23" i="53029"/>
  <c r="I23" i="53029" s="1"/>
  <c r="G24" i="53029"/>
  <c r="I24" i="53029" s="1"/>
  <c r="G25" i="53029"/>
  <c r="I25" i="53029" s="1"/>
  <c r="G19" i="53029"/>
  <c r="I19" i="53029" s="1"/>
  <c r="G9" i="53029"/>
  <c r="I9" i="53029" s="1"/>
  <c r="G3" i="53029"/>
  <c r="I3" i="53029" s="1"/>
  <c r="Y47" i="6" l="1"/>
  <c r="Y48" i="6"/>
  <c r="Y49" i="6"/>
  <c r="Y46" i="6"/>
  <c r="J35" i="6" l="1"/>
  <c r="M39" i="6"/>
  <c r="M61" i="6"/>
  <c r="W61" i="6" s="1"/>
  <c r="M60" i="6"/>
  <c r="W60" i="6" s="1"/>
  <c r="M59" i="6"/>
  <c r="W59" i="6" s="1"/>
  <c r="M58" i="6"/>
  <c r="W58" i="6" s="1"/>
  <c r="M57" i="6"/>
  <c r="W57" i="6" s="1"/>
  <c r="M56" i="6"/>
  <c r="W56" i="6" s="1"/>
  <c r="M55" i="6"/>
  <c r="W55" i="6" s="1"/>
  <c r="M54" i="6"/>
  <c r="W54" i="6" s="1"/>
  <c r="M53" i="6"/>
  <c r="W53" i="6" s="1"/>
  <c r="M52" i="6"/>
  <c r="W52" i="6" s="1"/>
  <c r="M51" i="6"/>
  <c r="W51" i="6" s="1"/>
  <c r="M50" i="6"/>
  <c r="W50" i="6" s="1"/>
  <c r="M49" i="6"/>
  <c r="W49" i="6" s="1"/>
  <c r="M48" i="6"/>
  <c r="W48" i="6" s="1"/>
  <c r="M47" i="6"/>
  <c r="W47" i="6" s="1"/>
  <c r="M46" i="6"/>
  <c r="W46" i="6" s="1"/>
  <c r="M45" i="6"/>
  <c r="W45" i="6" s="1"/>
  <c r="M44" i="6"/>
  <c r="W44" i="6" s="1"/>
  <c r="M43" i="6"/>
  <c r="W43" i="6" s="1"/>
  <c r="M42" i="6"/>
  <c r="W42" i="6" s="1"/>
  <c r="M41" i="6"/>
  <c r="W41" i="6" s="1"/>
  <c r="M40" i="6"/>
  <c r="W40" i="6" s="1"/>
  <c r="N16" i="3" l="1"/>
  <c r="R14" i="3" s="1"/>
  <c r="O16" i="3"/>
  <c r="S14" i="3" s="1"/>
  <c r="B19" i="53039"/>
  <c r="D19" i="53039"/>
  <c r="E19" i="53039"/>
  <c r="B18" i="53039"/>
  <c r="D18" i="53039"/>
  <c r="E18" i="53039"/>
  <c r="D5" i="53039"/>
  <c r="E5" i="53039"/>
  <c r="D6" i="53039"/>
  <c r="E6" i="53039"/>
  <c r="D7" i="53039"/>
  <c r="E7" i="53039"/>
  <c r="D8" i="53039"/>
  <c r="E8" i="53039"/>
  <c r="D9" i="53039"/>
  <c r="E9" i="53039"/>
  <c r="D10" i="53039"/>
  <c r="E10" i="53039"/>
  <c r="D11" i="53039"/>
  <c r="E11" i="53039"/>
  <c r="D12" i="53039"/>
  <c r="E12" i="53039"/>
  <c r="D13" i="53039"/>
  <c r="E13" i="53039"/>
  <c r="D14" i="53039"/>
  <c r="E14" i="53039"/>
  <c r="D15" i="53039"/>
  <c r="E15" i="53039"/>
  <c r="D16" i="53039"/>
  <c r="E16" i="53039"/>
  <c r="D17" i="53039"/>
  <c r="E17" i="53039"/>
  <c r="E4" i="53039"/>
  <c r="D4" i="53039"/>
  <c r="B17" i="53039"/>
  <c r="B16" i="53039"/>
  <c r="B15" i="53039"/>
  <c r="B14" i="53039"/>
  <c r="B13" i="53039"/>
  <c r="B12" i="53039"/>
  <c r="B11" i="53039"/>
  <c r="B10" i="53039"/>
  <c r="B9" i="53039"/>
  <c r="B8" i="53039"/>
  <c r="B7" i="53039"/>
  <c r="B6" i="53039"/>
  <c r="B5" i="53039"/>
  <c r="B4" i="53039"/>
  <c r="G32" i="6"/>
  <c r="G24" i="6" s="1"/>
  <c r="G31" i="6"/>
  <c r="G23" i="6" s="1"/>
  <c r="G30" i="6"/>
  <c r="G22" i="6" s="1"/>
  <c r="G29" i="6"/>
  <c r="G21" i="6" s="1"/>
  <c r="E30" i="6"/>
  <c r="E22" i="6" s="1"/>
  <c r="F30" i="6"/>
  <c r="F22" i="6" s="1"/>
  <c r="E31" i="6"/>
  <c r="E23" i="6" s="1"/>
  <c r="F31" i="6"/>
  <c r="F23" i="6" s="1"/>
  <c r="E32" i="6"/>
  <c r="E24" i="6" s="1"/>
  <c r="F32" i="6"/>
  <c r="F24" i="6" s="1"/>
  <c r="F29" i="6"/>
  <c r="F21" i="6" s="1"/>
  <c r="E29" i="6"/>
  <c r="E21" i="6" s="1"/>
  <c r="D29" i="53035"/>
  <c r="D30" i="53035"/>
  <c r="D31" i="53035"/>
  <c r="D32" i="53035"/>
  <c r="D33" i="53035"/>
  <c r="D34" i="53035"/>
  <c r="D35" i="53035"/>
  <c r="D36" i="53035"/>
  <c r="D37" i="53035"/>
  <c r="D38" i="53035"/>
  <c r="D39" i="53035"/>
  <c r="D40" i="53035"/>
  <c r="D41" i="53035"/>
  <c r="D42" i="53035"/>
  <c r="D43" i="53035"/>
  <c r="D44" i="53035"/>
  <c r="D46" i="53035"/>
  <c r="D47" i="53035"/>
  <c r="D48" i="53035"/>
  <c r="D49" i="53035"/>
  <c r="D50" i="53035"/>
  <c r="D51" i="53035"/>
  <c r="D52" i="53035"/>
  <c r="D53" i="53035"/>
  <c r="D54" i="53035"/>
  <c r="D56" i="53035"/>
  <c r="D57" i="53035"/>
  <c r="D58" i="53035"/>
  <c r="D59" i="53035"/>
  <c r="D60" i="53035"/>
  <c r="D64" i="53035"/>
  <c r="D67" i="53035"/>
  <c r="D68" i="53035"/>
  <c r="D69" i="53035"/>
  <c r="D70" i="53035"/>
  <c r="D71" i="53035"/>
  <c r="D72" i="53035"/>
  <c r="D73" i="53035"/>
  <c r="D74" i="53035"/>
  <c r="D75" i="53035"/>
  <c r="D76" i="53035"/>
  <c r="D77" i="53035"/>
  <c r="D78" i="53035"/>
  <c r="D79" i="53035"/>
  <c r="D80" i="53035"/>
  <c r="D81" i="53035"/>
  <c r="D82" i="53035"/>
  <c r="D83" i="53035"/>
  <c r="D84" i="53035"/>
  <c r="D85" i="53035"/>
  <c r="D86" i="53035"/>
  <c r="D6" i="53035"/>
  <c r="D7" i="53035"/>
  <c r="D8" i="53035"/>
  <c r="D9" i="53035"/>
  <c r="D10" i="53035"/>
  <c r="D11" i="53035"/>
  <c r="D12" i="53035"/>
  <c r="D16" i="53035"/>
  <c r="D17" i="53035"/>
  <c r="D18" i="53035"/>
  <c r="D19" i="53035"/>
  <c r="D21" i="53035"/>
  <c r="D22" i="53035"/>
  <c r="D23" i="53035"/>
  <c r="D24" i="53035"/>
  <c r="D25" i="53035"/>
  <c r="D26" i="53035"/>
  <c r="D27" i="53035"/>
  <c r="D4" i="53035"/>
  <c r="G2" i="3"/>
  <c r="C2" i="6"/>
  <c r="G2" i="6"/>
  <c r="I22" i="6" s="1"/>
  <c r="L57" i="6" s="1"/>
  <c r="B2" i="6"/>
  <c r="J3" i="6"/>
  <c r="C11" i="3" s="1"/>
  <c r="D1239" i="53033"/>
  <c r="B1239" i="53033"/>
  <c r="E34" i="53035" s="1"/>
  <c r="D55" i="53035"/>
  <c r="N844" i="53033"/>
  <c r="N843" i="53033"/>
  <c r="N842" i="53033"/>
  <c r="N841" i="53033"/>
  <c r="N840" i="53033"/>
  <c r="N839" i="53033"/>
  <c r="N838" i="53033"/>
  <c r="N837" i="53033"/>
  <c r="N836" i="53033"/>
  <c r="N835" i="53033"/>
  <c r="N834" i="53033"/>
  <c r="N833" i="53033"/>
  <c r="N832" i="53033"/>
  <c r="N831" i="53033"/>
  <c r="N830" i="53033"/>
  <c r="N829" i="53033"/>
  <c r="N828" i="53033"/>
  <c r="N827" i="53033"/>
  <c r="N826" i="53033"/>
  <c r="N825" i="53033"/>
  <c r="N824" i="53033"/>
  <c r="N823" i="53033"/>
  <c r="N822" i="53033"/>
  <c r="N821" i="53033"/>
  <c r="N820" i="53033"/>
  <c r="N819" i="53033"/>
  <c r="N818" i="53033"/>
  <c r="N817" i="53033"/>
  <c r="N816" i="53033"/>
  <c r="N815" i="53033"/>
  <c r="N814" i="53033"/>
  <c r="N813" i="53033"/>
  <c r="N812" i="53033"/>
  <c r="N811" i="53033"/>
  <c r="N810" i="53033"/>
  <c r="N809" i="53033"/>
  <c r="N808" i="53033"/>
  <c r="N807" i="53033"/>
  <c r="N806" i="53033"/>
  <c r="N805" i="53033"/>
  <c r="N804" i="53033"/>
  <c r="N803" i="53033"/>
  <c r="N802" i="53033"/>
  <c r="N801" i="53033"/>
  <c r="N800" i="53033"/>
  <c r="N799" i="53033"/>
  <c r="N798" i="53033"/>
  <c r="N797" i="53033"/>
  <c r="N796" i="53033"/>
  <c r="N795" i="53033"/>
  <c r="N794" i="53033"/>
  <c r="N793" i="53033"/>
  <c r="N792" i="53033"/>
  <c r="N791" i="53033"/>
  <c r="N790" i="53033"/>
  <c r="N789" i="53033"/>
  <c r="N788" i="53033"/>
  <c r="N787" i="53033"/>
  <c r="N786" i="53033"/>
  <c r="N785" i="53033"/>
  <c r="N784" i="53033"/>
  <c r="N783" i="53033"/>
  <c r="N782" i="53033"/>
  <c r="N781" i="53033"/>
  <c r="N780" i="53033"/>
  <c r="N779" i="53033"/>
  <c r="N778" i="53033"/>
  <c r="N777" i="53033"/>
  <c r="N776" i="53033"/>
  <c r="N775" i="53033"/>
  <c r="N774" i="53033"/>
  <c r="N773" i="53033"/>
  <c r="N772" i="53033"/>
  <c r="N771" i="53033"/>
  <c r="N770" i="53033"/>
  <c r="N769" i="53033"/>
  <c r="N768" i="53033"/>
  <c r="N767" i="53033"/>
  <c r="N766" i="53033"/>
  <c r="N765" i="53033"/>
  <c r="N764" i="53033"/>
  <c r="N763" i="53033"/>
  <c r="N762" i="53033"/>
  <c r="N761" i="53033"/>
  <c r="N760" i="53033"/>
  <c r="N759" i="53033"/>
  <c r="N758" i="53033"/>
  <c r="N757" i="53033"/>
  <c r="N756" i="53033"/>
  <c r="N755" i="53033"/>
  <c r="N754" i="53033"/>
  <c r="N753" i="53033"/>
  <c r="N752" i="53033"/>
  <c r="N751" i="53033"/>
  <c r="N750" i="53033"/>
  <c r="N749" i="53033"/>
  <c r="N748" i="53033"/>
  <c r="N747" i="53033"/>
  <c r="N746" i="53033"/>
  <c r="N745" i="53033"/>
  <c r="N744" i="53033"/>
  <c r="N743" i="53033"/>
  <c r="N742" i="53033"/>
  <c r="N741" i="53033"/>
  <c r="N740" i="53033"/>
  <c r="N739" i="53033"/>
  <c r="N738" i="53033"/>
  <c r="N737" i="53033"/>
  <c r="N736" i="53033"/>
  <c r="N735" i="53033"/>
  <c r="N734" i="53033"/>
  <c r="N733" i="53033"/>
  <c r="N732" i="53033"/>
  <c r="N731" i="53033"/>
  <c r="N730" i="53033"/>
  <c r="N729" i="53033"/>
  <c r="N728" i="53033"/>
  <c r="N727" i="53033"/>
  <c r="N726" i="53033"/>
  <c r="N725" i="53033"/>
  <c r="N724" i="53033"/>
  <c r="N723" i="53033"/>
  <c r="N722" i="53033"/>
  <c r="N721" i="53033"/>
  <c r="N720" i="53033"/>
  <c r="N719" i="53033"/>
  <c r="N718" i="53033"/>
  <c r="N717" i="53033"/>
  <c r="N716" i="53033"/>
  <c r="N715" i="53033"/>
  <c r="N714" i="53033"/>
  <c r="N713" i="53033"/>
  <c r="N712" i="53033"/>
  <c r="N711" i="53033"/>
  <c r="N710" i="53033"/>
  <c r="N709" i="53033"/>
  <c r="N708" i="53033"/>
  <c r="N707" i="53033"/>
  <c r="N706" i="53033"/>
  <c r="N705" i="53033"/>
  <c r="N704" i="53033"/>
  <c r="N703" i="53033"/>
  <c r="N702" i="53033"/>
  <c r="N701" i="53033"/>
  <c r="N700" i="53033"/>
  <c r="N699" i="53033"/>
  <c r="N698" i="53033"/>
  <c r="N697" i="53033"/>
  <c r="N696" i="53033"/>
  <c r="N695" i="53033"/>
  <c r="N694" i="53033"/>
  <c r="N693" i="53033"/>
  <c r="N692" i="53033"/>
  <c r="N691" i="53033"/>
  <c r="N690" i="53033"/>
  <c r="N689" i="53033"/>
  <c r="N688" i="53033"/>
  <c r="N687" i="53033"/>
  <c r="N686" i="53033"/>
  <c r="N685" i="53033"/>
  <c r="N684" i="53033"/>
  <c r="N683" i="53033"/>
  <c r="N682" i="53033"/>
  <c r="N681" i="53033"/>
  <c r="N680" i="53033"/>
  <c r="N679" i="53033"/>
  <c r="N678" i="53033"/>
  <c r="N677" i="53033"/>
  <c r="N676" i="53033"/>
  <c r="N675" i="53033"/>
  <c r="N674" i="53033"/>
  <c r="N673" i="53033"/>
  <c r="N672" i="53033"/>
  <c r="N671" i="53033"/>
  <c r="N670" i="53033"/>
  <c r="N669" i="53033"/>
  <c r="N668" i="53033"/>
  <c r="N667" i="53033"/>
  <c r="N666" i="53033"/>
  <c r="N665" i="53033"/>
  <c r="N664" i="53033"/>
  <c r="N663" i="53033"/>
  <c r="N662" i="53033"/>
  <c r="N661" i="53033"/>
  <c r="N660" i="53033"/>
  <c r="N659" i="53033"/>
  <c r="N658" i="53033"/>
  <c r="N657" i="53033"/>
  <c r="N656" i="53033"/>
  <c r="N655" i="53033"/>
  <c r="N654" i="53033"/>
  <c r="N653" i="53033"/>
  <c r="N652" i="53033"/>
  <c r="N651" i="53033"/>
  <c r="N650" i="53033"/>
  <c r="N649" i="53033"/>
  <c r="N648" i="53033"/>
  <c r="N647" i="53033"/>
  <c r="N646" i="53033"/>
  <c r="N645" i="53033"/>
  <c r="N644" i="53033"/>
  <c r="N643" i="53033"/>
  <c r="N642" i="53033"/>
  <c r="N641" i="53033"/>
  <c r="N640" i="53033"/>
  <c r="N639" i="53033"/>
  <c r="N638" i="53033"/>
  <c r="N637" i="53033"/>
  <c r="N636" i="53033"/>
  <c r="N635" i="53033"/>
  <c r="N634" i="53033"/>
  <c r="N633" i="53033"/>
  <c r="N632" i="53033"/>
  <c r="N631" i="53033"/>
  <c r="N630" i="53033"/>
  <c r="N629" i="53033"/>
  <c r="N628" i="53033"/>
  <c r="N627" i="53033"/>
  <c r="N626" i="53033"/>
  <c r="N625" i="53033"/>
  <c r="N624" i="53033"/>
  <c r="N623" i="53033"/>
  <c r="N622" i="53033"/>
  <c r="N621" i="53033"/>
  <c r="N620" i="53033"/>
  <c r="N619" i="53033"/>
  <c r="N618" i="53033"/>
  <c r="N617" i="53033"/>
  <c r="N616" i="53033"/>
  <c r="N615" i="53033"/>
  <c r="N614" i="53033"/>
  <c r="N613" i="53033"/>
  <c r="N612" i="53033"/>
  <c r="N611" i="53033"/>
  <c r="N610" i="53033"/>
  <c r="N609" i="53033"/>
  <c r="N608" i="53033"/>
  <c r="N607" i="53033"/>
  <c r="N606" i="53033"/>
  <c r="N605" i="53033"/>
  <c r="N604" i="53033"/>
  <c r="N603" i="53033"/>
  <c r="N602" i="53033"/>
  <c r="N601" i="53033"/>
  <c r="N600" i="53033"/>
  <c r="N599" i="53033"/>
  <c r="N598" i="53033"/>
  <c r="N597" i="53033"/>
  <c r="N596" i="53033"/>
  <c r="N595" i="53033"/>
  <c r="N594" i="53033"/>
  <c r="N593" i="53033"/>
  <c r="N592" i="53033"/>
  <c r="N591" i="53033"/>
  <c r="N590" i="53033"/>
  <c r="N589" i="53033"/>
  <c r="N588" i="53033"/>
  <c r="N587" i="53033"/>
  <c r="N586" i="53033"/>
  <c r="N585" i="53033"/>
  <c r="N584" i="53033"/>
  <c r="N583" i="53033"/>
  <c r="N582" i="53033"/>
  <c r="N581" i="53033"/>
  <c r="N580" i="53033"/>
  <c r="N579" i="53033"/>
  <c r="N578" i="53033"/>
  <c r="N577" i="53033"/>
  <c r="N576" i="53033"/>
  <c r="N575" i="53033"/>
  <c r="N574" i="53033"/>
  <c r="N573" i="53033"/>
  <c r="N572" i="53033"/>
  <c r="N571" i="53033"/>
  <c r="N570" i="53033"/>
  <c r="N569" i="53033"/>
  <c r="N568" i="53033"/>
  <c r="N567" i="53033"/>
  <c r="N566" i="53033"/>
  <c r="N565" i="53033"/>
  <c r="N564" i="53033"/>
  <c r="N563" i="53033"/>
  <c r="N562" i="53033"/>
  <c r="N561" i="53033"/>
  <c r="N560" i="53033"/>
  <c r="N559" i="53033"/>
  <c r="N558" i="53033"/>
  <c r="N557" i="53033"/>
  <c r="N556" i="53033"/>
  <c r="N555" i="53033"/>
  <c r="N554" i="53033"/>
  <c r="N553" i="53033"/>
  <c r="N552" i="53033"/>
  <c r="N551" i="53033"/>
  <c r="N550" i="53033"/>
  <c r="N549" i="53033"/>
  <c r="N548" i="53033"/>
  <c r="N547" i="53033"/>
  <c r="N546" i="53033"/>
  <c r="N545" i="53033"/>
  <c r="N544" i="53033"/>
  <c r="N543" i="53033"/>
  <c r="N542" i="53033"/>
  <c r="N541" i="53033"/>
  <c r="N540" i="53033"/>
  <c r="N539" i="53033"/>
  <c r="N538" i="53033"/>
  <c r="N537" i="53033"/>
  <c r="N536" i="53033"/>
  <c r="N535" i="53033"/>
  <c r="N534" i="53033"/>
  <c r="N533" i="53033"/>
  <c r="N532" i="53033"/>
  <c r="N531" i="53033"/>
  <c r="N530" i="53033"/>
  <c r="N529" i="53033"/>
  <c r="N528" i="53033"/>
  <c r="N527" i="53033"/>
  <c r="N526" i="53033"/>
  <c r="N525" i="53033"/>
  <c r="N524" i="53033"/>
  <c r="N523" i="53033"/>
  <c r="N522" i="53033"/>
  <c r="N521" i="53033"/>
  <c r="N520" i="53033"/>
  <c r="N519" i="53033"/>
  <c r="N518" i="53033"/>
  <c r="N517" i="53033"/>
  <c r="N516" i="53033"/>
  <c r="N515" i="53033"/>
  <c r="N514" i="53033"/>
  <c r="N513" i="53033"/>
  <c r="N512" i="53033"/>
  <c r="N511" i="53033"/>
  <c r="N510" i="53033"/>
  <c r="N509" i="53033"/>
  <c r="N508" i="53033"/>
  <c r="N507" i="53033"/>
  <c r="N506" i="53033"/>
  <c r="N505" i="53033"/>
  <c r="N504" i="53033"/>
  <c r="N503" i="53033"/>
  <c r="N502" i="53033"/>
  <c r="N501" i="53033"/>
  <c r="N500" i="53033"/>
  <c r="N499" i="53033"/>
  <c r="N498" i="53033"/>
  <c r="N497" i="53033"/>
  <c r="N496" i="53033"/>
  <c r="N495" i="53033"/>
  <c r="N494" i="53033"/>
  <c r="N493" i="53033"/>
  <c r="N492" i="53033"/>
  <c r="N491" i="53033"/>
  <c r="N490" i="53033"/>
  <c r="N489" i="53033"/>
  <c r="N488" i="53033"/>
  <c r="N487" i="53033"/>
  <c r="N486" i="53033"/>
  <c r="N485" i="53033"/>
  <c r="N484" i="53033"/>
  <c r="N483" i="53033"/>
  <c r="N482" i="53033"/>
  <c r="N481" i="53033"/>
  <c r="N480" i="53033"/>
  <c r="N479" i="53033"/>
  <c r="N478" i="53033"/>
  <c r="N477" i="53033"/>
  <c r="N476" i="53033"/>
  <c r="N475" i="53033"/>
  <c r="N474" i="53033"/>
  <c r="N473" i="53033"/>
  <c r="N472" i="53033"/>
  <c r="N471" i="53033"/>
  <c r="N470" i="53033"/>
  <c r="N469" i="53033"/>
  <c r="N468" i="53033"/>
  <c r="N467" i="53033"/>
  <c r="N466" i="53033"/>
  <c r="N465" i="53033"/>
  <c r="N464" i="53033"/>
  <c r="N463" i="53033"/>
  <c r="N462" i="53033"/>
  <c r="N461" i="53033"/>
  <c r="N460" i="53033"/>
  <c r="N459" i="53033"/>
  <c r="N458" i="53033"/>
  <c r="N457" i="53033"/>
  <c r="N456" i="53033"/>
  <c r="N455" i="53033"/>
  <c r="N454" i="53033"/>
  <c r="N453" i="53033"/>
  <c r="N452" i="53033"/>
  <c r="N451" i="53033"/>
  <c r="N450" i="53033"/>
  <c r="N449" i="53033"/>
  <c r="N448" i="53033"/>
  <c r="N447" i="53033"/>
  <c r="N446" i="53033"/>
  <c r="N445" i="53033"/>
  <c r="N444" i="53033"/>
  <c r="N443" i="53033"/>
  <c r="N442" i="53033"/>
  <c r="N441" i="53033"/>
  <c r="N440" i="53033"/>
  <c r="N439" i="53033"/>
  <c r="N438" i="53033"/>
  <c r="N437" i="53033"/>
  <c r="N436" i="53033"/>
  <c r="N435" i="53033"/>
  <c r="N434" i="53033"/>
  <c r="N433" i="53033"/>
  <c r="N432" i="53033"/>
  <c r="N431" i="53033"/>
  <c r="N430" i="53033"/>
  <c r="N429" i="53033"/>
  <c r="N428" i="53033"/>
  <c r="N427" i="53033"/>
  <c r="N426" i="53033"/>
  <c r="N425" i="53033"/>
  <c r="N424" i="53033"/>
  <c r="N423" i="53033"/>
  <c r="N422" i="53033"/>
  <c r="N421" i="53033"/>
  <c r="N420" i="53033"/>
  <c r="N419" i="53033"/>
  <c r="N418" i="53033"/>
  <c r="N417" i="53033"/>
  <c r="N416" i="53033"/>
  <c r="N415" i="53033"/>
  <c r="N414" i="53033"/>
  <c r="N413" i="53033"/>
  <c r="M413" i="53033"/>
  <c r="N412" i="53033"/>
  <c r="M412" i="53033"/>
  <c r="N411" i="53033"/>
  <c r="M411" i="53033"/>
  <c r="N410" i="53033"/>
  <c r="M410" i="53033"/>
  <c r="N409" i="53033"/>
  <c r="M409" i="53033"/>
  <c r="N408" i="53033"/>
  <c r="M408" i="53033"/>
  <c r="N407" i="53033"/>
  <c r="M407" i="53033"/>
  <c r="N406" i="53033"/>
  <c r="M406" i="53033"/>
  <c r="N405" i="53033"/>
  <c r="M405" i="53033"/>
  <c r="N404" i="53033"/>
  <c r="M404" i="53033"/>
  <c r="N403" i="53033"/>
  <c r="M403" i="53033"/>
  <c r="N402" i="53033"/>
  <c r="M402" i="53033"/>
  <c r="N401" i="53033"/>
  <c r="M401" i="53033"/>
  <c r="N400" i="53033"/>
  <c r="M400" i="53033"/>
  <c r="N399" i="53033"/>
  <c r="M399" i="53033"/>
  <c r="N398" i="53033"/>
  <c r="M398" i="53033"/>
  <c r="N397" i="53033"/>
  <c r="M397" i="53033"/>
  <c r="N396" i="53033"/>
  <c r="M396" i="53033"/>
  <c r="N395" i="53033"/>
  <c r="M395" i="53033"/>
  <c r="N394" i="53033"/>
  <c r="M394" i="53033"/>
  <c r="N393" i="53033"/>
  <c r="M393" i="53033"/>
  <c r="N392" i="53033"/>
  <c r="M392" i="53033"/>
  <c r="N391" i="53033"/>
  <c r="M391" i="53033"/>
  <c r="N390" i="53033"/>
  <c r="M390" i="53033"/>
  <c r="N389" i="53033"/>
  <c r="M389" i="53033"/>
  <c r="N388" i="53033"/>
  <c r="M388" i="53033"/>
  <c r="N387" i="53033"/>
  <c r="M387" i="53033"/>
  <c r="N386" i="53033"/>
  <c r="M386" i="53033"/>
  <c r="N385" i="53033"/>
  <c r="M385" i="53033"/>
  <c r="N384" i="53033"/>
  <c r="M384" i="53033"/>
  <c r="N383" i="53033"/>
  <c r="M383" i="53033"/>
  <c r="N382" i="53033"/>
  <c r="M382" i="53033"/>
  <c r="N381" i="53033"/>
  <c r="M381" i="53033"/>
  <c r="N380" i="53033"/>
  <c r="M380" i="53033"/>
  <c r="N379" i="53033"/>
  <c r="M379" i="53033"/>
  <c r="N378" i="53033"/>
  <c r="M378" i="53033"/>
  <c r="N377" i="53033"/>
  <c r="M377" i="53033"/>
  <c r="N376" i="53033"/>
  <c r="M376" i="53033"/>
  <c r="N375" i="53033"/>
  <c r="M375" i="53033"/>
  <c r="N374" i="53033"/>
  <c r="M374" i="53033"/>
  <c r="N373" i="53033"/>
  <c r="M373" i="53033"/>
  <c r="N372" i="53033"/>
  <c r="M372" i="53033"/>
  <c r="N371" i="53033"/>
  <c r="M371" i="53033"/>
  <c r="N370" i="53033"/>
  <c r="M370" i="53033"/>
  <c r="N369" i="53033"/>
  <c r="M369" i="53033"/>
  <c r="N368" i="53033"/>
  <c r="M368" i="53033"/>
  <c r="N367" i="53033"/>
  <c r="M367" i="53033"/>
  <c r="N366" i="53033"/>
  <c r="M366" i="53033"/>
  <c r="N365" i="53033"/>
  <c r="M365" i="53033"/>
  <c r="N364" i="53033"/>
  <c r="M364" i="53033"/>
  <c r="N363" i="53033"/>
  <c r="M363" i="53033"/>
  <c r="N362" i="53033"/>
  <c r="M362" i="53033"/>
  <c r="N361" i="53033"/>
  <c r="M361" i="53033"/>
  <c r="N360" i="53033"/>
  <c r="M360" i="53033"/>
  <c r="N359" i="53033"/>
  <c r="M359" i="53033"/>
  <c r="N358" i="53033"/>
  <c r="M358" i="53033"/>
  <c r="N357" i="53033"/>
  <c r="M357" i="53033"/>
  <c r="N356" i="53033"/>
  <c r="M356" i="53033"/>
  <c r="N355" i="53033"/>
  <c r="M355" i="53033"/>
  <c r="N354" i="53033"/>
  <c r="M354" i="53033"/>
  <c r="N353" i="53033"/>
  <c r="M353" i="53033"/>
  <c r="N352" i="53033"/>
  <c r="M352" i="53033"/>
  <c r="N351" i="53033"/>
  <c r="M351" i="53033"/>
  <c r="N350" i="53033"/>
  <c r="M350" i="53033"/>
  <c r="N349" i="53033"/>
  <c r="M349" i="53033"/>
  <c r="N348" i="53033"/>
  <c r="M348" i="53033"/>
  <c r="N347" i="53033"/>
  <c r="M347" i="53033"/>
  <c r="N346" i="53033"/>
  <c r="M346" i="53033"/>
  <c r="N345" i="53033"/>
  <c r="M345" i="53033"/>
  <c r="N344" i="53033"/>
  <c r="M344" i="53033"/>
  <c r="N343" i="53033"/>
  <c r="M343" i="53033"/>
  <c r="N342" i="53033"/>
  <c r="M342" i="53033"/>
  <c r="N341" i="53033"/>
  <c r="M341" i="53033"/>
  <c r="N340" i="53033"/>
  <c r="M340" i="53033"/>
  <c r="N339" i="53033"/>
  <c r="M339" i="53033"/>
  <c r="N338" i="53033"/>
  <c r="M338" i="53033"/>
  <c r="N337" i="53033"/>
  <c r="M337" i="53033"/>
  <c r="N336" i="53033"/>
  <c r="M336" i="53033"/>
  <c r="N335" i="53033"/>
  <c r="M335" i="53033"/>
  <c r="N334" i="53033"/>
  <c r="M334" i="53033"/>
  <c r="N333" i="53033"/>
  <c r="M333" i="53033"/>
  <c r="N332" i="53033"/>
  <c r="M332" i="53033"/>
  <c r="N331" i="53033"/>
  <c r="M331" i="53033"/>
  <c r="N330" i="53033"/>
  <c r="M330" i="53033"/>
  <c r="N329" i="53033"/>
  <c r="M329" i="53033"/>
  <c r="N328" i="53033"/>
  <c r="M328" i="53033"/>
  <c r="N327" i="53033"/>
  <c r="M327" i="53033"/>
  <c r="N326" i="53033"/>
  <c r="M326" i="53033"/>
  <c r="N325" i="53033"/>
  <c r="M325" i="53033"/>
  <c r="N324" i="53033"/>
  <c r="M324" i="53033"/>
  <c r="N323" i="53033"/>
  <c r="M323" i="53033"/>
  <c r="N322" i="53033"/>
  <c r="M322" i="53033"/>
  <c r="N321" i="53033"/>
  <c r="M321" i="53033"/>
  <c r="N320" i="53033"/>
  <c r="M320" i="53033"/>
  <c r="N319" i="53033"/>
  <c r="M319" i="53033"/>
  <c r="N318" i="53033"/>
  <c r="M318" i="53033"/>
  <c r="N317" i="53033"/>
  <c r="M317" i="53033"/>
  <c r="N316" i="53033"/>
  <c r="M316" i="53033"/>
  <c r="N315" i="53033"/>
  <c r="M315" i="53033"/>
  <c r="N314" i="53033"/>
  <c r="M314" i="53033"/>
  <c r="N313" i="53033"/>
  <c r="M313" i="53033"/>
  <c r="N312" i="53033"/>
  <c r="M312" i="53033"/>
  <c r="N311" i="53033"/>
  <c r="M311" i="53033"/>
  <c r="N310" i="53033"/>
  <c r="M310" i="53033"/>
  <c r="N309" i="53033"/>
  <c r="M309" i="53033"/>
  <c r="N308" i="53033"/>
  <c r="M308" i="53033"/>
  <c r="N307" i="53033"/>
  <c r="M307" i="53033"/>
  <c r="N306" i="53033"/>
  <c r="M306" i="53033"/>
  <c r="N305" i="53033"/>
  <c r="M305" i="53033"/>
  <c r="N304" i="53033"/>
  <c r="M304" i="53033"/>
  <c r="N303" i="53033"/>
  <c r="M303" i="53033"/>
  <c r="N302" i="53033"/>
  <c r="M302" i="53033"/>
  <c r="N301" i="53033"/>
  <c r="M301" i="53033"/>
  <c r="N300" i="53033"/>
  <c r="M300" i="53033"/>
  <c r="N299" i="53033"/>
  <c r="M299" i="53033"/>
  <c r="N298" i="53033"/>
  <c r="M298" i="53033"/>
  <c r="N297" i="53033"/>
  <c r="M297" i="53033"/>
  <c r="N296" i="53033"/>
  <c r="M296" i="53033"/>
  <c r="N295" i="53033"/>
  <c r="M295" i="53033"/>
  <c r="N294" i="53033"/>
  <c r="M294" i="53033"/>
  <c r="N293" i="53033"/>
  <c r="M293" i="53033"/>
  <c r="N292" i="53033"/>
  <c r="M292" i="53033"/>
  <c r="N291" i="53033"/>
  <c r="M291" i="53033"/>
  <c r="N290" i="53033"/>
  <c r="M290" i="53033"/>
  <c r="N289" i="53033"/>
  <c r="M289" i="53033"/>
  <c r="N288" i="53033"/>
  <c r="M288" i="53033"/>
  <c r="N287" i="53033"/>
  <c r="M287" i="53033"/>
  <c r="N286" i="53033"/>
  <c r="M286" i="53033"/>
  <c r="N285" i="53033"/>
  <c r="M285" i="53033"/>
  <c r="N284" i="53033"/>
  <c r="M284" i="53033"/>
  <c r="N283" i="53033"/>
  <c r="M283" i="53033"/>
  <c r="N282" i="53033"/>
  <c r="M282" i="53033"/>
  <c r="N281" i="53033"/>
  <c r="M281" i="53033"/>
  <c r="N280" i="53033"/>
  <c r="M280" i="53033"/>
  <c r="N279" i="53033"/>
  <c r="M279" i="53033"/>
  <c r="N278" i="53033"/>
  <c r="M278" i="53033"/>
  <c r="N277" i="53033"/>
  <c r="M277" i="53033"/>
  <c r="N276" i="53033"/>
  <c r="M276" i="53033"/>
  <c r="N275" i="53033"/>
  <c r="M275" i="53033"/>
  <c r="N274" i="53033"/>
  <c r="M274" i="53033"/>
  <c r="N273" i="53033"/>
  <c r="M273" i="53033"/>
  <c r="N272" i="53033"/>
  <c r="M272" i="53033"/>
  <c r="N271" i="53033"/>
  <c r="M271" i="53033"/>
  <c r="N270" i="53033"/>
  <c r="M270" i="53033"/>
  <c r="N269" i="53033"/>
  <c r="M269" i="53033"/>
  <c r="N268" i="53033"/>
  <c r="M268" i="53033"/>
  <c r="N267" i="53033"/>
  <c r="M267" i="53033"/>
  <c r="N266" i="53033"/>
  <c r="M266" i="53033"/>
  <c r="N265" i="53033"/>
  <c r="M265" i="53033"/>
  <c r="N264" i="53033"/>
  <c r="M264" i="53033"/>
  <c r="N263" i="53033"/>
  <c r="M263" i="53033"/>
  <c r="N262" i="53033"/>
  <c r="M262" i="53033"/>
  <c r="Q261" i="53033"/>
  <c r="R261" i="53033" s="1"/>
  <c r="N261" i="53033"/>
  <c r="M261" i="53033"/>
  <c r="Q260" i="53033"/>
  <c r="R260" i="53033" s="1"/>
  <c r="N260" i="53033"/>
  <c r="M260" i="53033"/>
  <c r="Q259" i="53033"/>
  <c r="R259" i="53033" s="1"/>
  <c r="N259" i="53033"/>
  <c r="M259" i="53033"/>
  <c r="Q258" i="53033"/>
  <c r="R258" i="53033" s="1"/>
  <c r="N258" i="53033"/>
  <c r="M258" i="53033"/>
  <c r="Q257" i="53033"/>
  <c r="R257" i="53033" s="1"/>
  <c r="N257" i="53033"/>
  <c r="M257" i="53033"/>
  <c r="Q256" i="53033"/>
  <c r="R256" i="53033" s="1"/>
  <c r="N256" i="53033"/>
  <c r="M256" i="53033"/>
  <c r="Q255" i="53033"/>
  <c r="R255" i="53033" s="1"/>
  <c r="N255" i="53033"/>
  <c r="M255" i="53033"/>
  <c r="Q254" i="53033"/>
  <c r="R254" i="53033" s="1"/>
  <c r="N254" i="53033"/>
  <c r="M254" i="53033"/>
  <c r="Q253" i="53033"/>
  <c r="R253" i="53033" s="1"/>
  <c r="N253" i="53033"/>
  <c r="M253" i="53033"/>
  <c r="Q252" i="53033"/>
  <c r="R252" i="53033" s="1"/>
  <c r="N252" i="53033"/>
  <c r="M252" i="53033"/>
  <c r="Q251" i="53033"/>
  <c r="R251" i="53033" s="1"/>
  <c r="N251" i="53033"/>
  <c r="M251" i="53033"/>
  <c r="Q250" i="53033"/>
  <c r="R250" i="53033" s="1"/>
  <c r="N250" i="53033"/>
  <c r="M250" i="53033"/>
  <c r="Q249" i="53033"/>
  <c r="R249" i="53033" s="1"/>
  <c r="N249" i="53033"/>
  <c r="M249" i="53033"/>
  <c r="Q248" i="53033"/>
  <c r="R248" i="53033" s="1"/>
  <c r="N248" i="53033"/>
  <c r="M248" i="53033"/>
  <c r="Q247" i="53033"/>
  <c r="R247" i="53033" s="1"/>
  <c r="N247" i="53033"/>
  <c r="M247" i="53033"/>
  <c r="Q246" i="53033"/>
  <c r="R246" i="53033" s="1"/>
  <c r="N246" i="53033"/>
  <c r="M246" i="53033"/>
  <c r="Q245" i="53033"/>
  <c r="R245" i="53033" s="1"/>
  <c r="N245" i="53033"/>
  <c r="M245" i="53033"/>
  <c r="Q244" i="53033"/>
  <c r="R244" i="53033" s="1"/>
  <c r="N244" i="53033"/>
  <c r="M244" i="53033"/>
  <c r="Q243" i="53033"/>
  <c r="R243" i="53033" s="1"/>
  <c r="N243" i="53033"/>
  <c r="M243" i="53033"/>
  <c r="Q242" i="53033"/>
  <c r="R242" i="53033" s="1"/>
  <c r="N242" i="53033"/>
  <c r="M242" i="53033"/>
  <c r="Q241" i="53033"/>
  <c r="R241" i="53033" s="1"/>
  <c r="N241" i="53033"/>
  <c r="M241" i="53033"/>
  <c r="Q240" i="53033"/>
  <c r="R240" i="53033" s="1"/>
  <c r="N240" i="53033"/>
  <c r="M240" i="53033"/>
  <c r="Q239" i="53033"/>
  <c r="R239" i="53033" s="1"/>
  <c r="N239" i="53033"/>
  <c r="M239" i="53033"/>
  <c r="Q238" i="53033"/>
  <c r="R238" i="53033" s="1"/>
  <c r="N238" i="53033"/>
  <c r="M238" i="53033"/>
  <c r="Q237" i="53033"/>
  <c r="R237" i="53033" s="1"/>
  <c r="N237" i="53033"/>
  <c r="M237" i="53033"/>
  <c r="Q236" i="53033"/>
  <c r="R236" i="53033" s="1"/>
  <c r="N236" i="53033"/>
  <c r="M236" i="53033"/>
  <c r="Q235" i="53033"/>
  <c r="R235" i="53033" s="1"/>
  <c r="N235" i="53033"/>
  <c r="M235" i="53033"/>
  <c r="Q234" i="53033"/>
  <c r="R234" i="53033" s="1"/>
  <c r="N234" i="53033"/>
  <c r="M234" i="53033"/>
  <c r="Q233" i="53033"/>
  <c r="R233" i="53033" s="1"/>
  <c r="N233" i="53033"/>
  <c r="M233" i="53033"/>
  <c r="Q232" i="53033"/>
  <c r="R232" i="53033" s="1"/>
  <c r="N232" i="53033"/>
  <c r="M232" i="53033"/>
  <c r="Q231" i="53033"/>
  <c r="R231" i="53033" s="1"/>
  <c r="N231" i="53033"/>
  <c r="M231" i="53033"/>
  <c r="Q230" i="53033"/>
  <c r="R230" i="53033" s="1"/>
  <c r="N230" i="53033"/>
  <c r="M230" i="53033"/>
  <c r="Q229" i="53033"/>
  <c r="R229" i="53033" s="1"/>
  <c r="N229" i="53033"/>
  <c r="M229" i="53033"/>
  <c r="Q228" i="53033"/>
  <c r="R228" i="53033" s="1"/>
  <c r="N228" i="53033"/>
  <c r="M228" i="53033"/>
  <c r="Q227" i="53033"/>
  <c r="R227" i="53033" s="1"/>
  <c r="N227" i="53033"/>
  <c r="M227" i="53033"/>
  <c r="Q226" i="53033"/>
  <c r="R226" i="53033" s="1"/>
  <c r="N226" i="53033"/>
  <c r="M226" i="53033"/>
  <c r="Q225" i="53033"/>
  <c r="R225" i="53033" s="1"/>
  <c r="N225" i="53033"/>
  <c r="M225" i="53033"/>
  <c r="Q224" i="53033"/>
  <c r="R224" i="53033" s="1"/>
  <c r="N224" i="53033"/>
  <c r="M224" i="53033"/>
  <c r="Q223" i="53033"/>
  <c r="R223" i="53033" s="1"/>
  <c r="N223" i="53033"/>
  <c r="M223" i="53033"/>
  <c r="Q222" i="53033"/>
  <c r="R222" i="53033" s="1"/>
  <c r="N222" i="53033"/>
  <c r="M222" i="53033"/>
  <c r="Q221" i="53033"/>
  <c r="R221" i="53033" s="1"/>
  <c r="N221" i="53033"/>
  <c r="M221" i="53033"/>
  <c r="Q220" i="53033"/>
  <c r="R220" i="53033" s="1"/>
  <c r="N220" i="53033"/>
  <c r="M220" i="53033"/>
  <c r="Q219" i="53033"/>
  <c r="R219" i="53033" s="1"/>
  <c r="N219" i="53033"/>
  <c r="M219" i="53033"/>
  <c r="Q218" i="53033"/>
  <c r="R218" i="53033" s="1"/>
  <c r="N218" i="53033"/>
  <c r="M218" i="53033"/>
  <c r="Q217" i="53033"/>
  <c r="R217" i="53033" s="1"/>
  <c r="N217" i="53033"/>
  <c r="M217" i="53033"/>
  <c r="Q216" i="53033"/>
  <c r="R216" i="53033" s="1"/>
  <c r="N216" i="53033"/>
  <c r="M216" i="53033"/>
  <c r="Q215" i="53033"/>
  <c r="R215" i="53033" s="1"/>
  <c r="N215" i="53033"/>
  <c r="M215" i="53033"/>
  <c r="Q214" i="53033"/>
  <c r="R214" i="53033" s="1"/>
  <c r="N214" i="53033"/>
  <c r="M214" i="53033"/>
  <c r="Q213" i="53033"/>
  <c r="R213" i="53033" s="1"/>
  <c r="N213" i="53033"/>
  <c r="M213" i="53033"/>
  <c r="Q212" i="53033"/>
  <c r="R212" i="53033" s="1"/>
  <c r="N212" i="53033"/>
  <c r="M212" i="53033"/>
  <c r="Q211" i="53033"/>
  <c r="R211" i="53033" s="1"/>
  <c r="N211" i="53033"/>
  <c r="M211" i="53033"/>
  <c r="Q210" i="53033"/>
  <c r="R210" i="53033" s="1"/>
  <c r="N210" i="53033"/>
  <c r="M210" i="53033"/>
  <c r="Q209" i="53033"/>
  <c r="R209" i="53033" s="1"/>
  <c r="N209" i="53033"/>
  <c r="M209" i="53033"/>
  <c r="Q208" i="53033"/>
  <c r="R208" i="53033" s="1"/>
  <c r="N208" i="53033"/>
  <c r="M208" i="53033"/>
  <c r="Q207" i="53033"/>
  <c r="R207" i="53033" s="1"/>
  <c r="N207" i="53033"/>
  <c r="M207" i="53033"/>
  <c r="Q206" i="53033"/>
  <c r="R206" i="53033" s="1"/>
  <c r="N206" i="53033"/>
  <c r="M206" i="53033"/>
  <c r="Q205" i="53033"/>
  <c r="R205" i="53033" s="1"/>
  <c r="N205" i="53033"/>
  <c r="M205" i="53033"/>
  <c r="Q204" i="53033"/>
  <c r="R204" i="53033" s="1"/>
  <c r="N204" i="53033"/>
  <c r="M204" i="53033"/>
  <c r="Q203" i="53033"/>
  <c r="R203" i="53033" s="1"/>
  <c r="N203" i="53033"/>
  <c r="M203" i="53033"/>
  <c r="Q202" i="53033"/>
  <c r="R202" i="53033" s="1"/>
  <c r="N202" i="53033"/>
  <c r="M202" i="53033"/>
  <c r="Q201" i="53033"/>
  <c r="R201" i="53033" s="1"/>
  <c r="N201" i="53033"/>
  <c r="M201" i="53033"/>
  <c r="Q200" i="53033"/>
  <c r="R200" i="53033" s="1"/>
  <c r="N200" i="53033"/>
  <c r="M200" i="53033"/>
  <c r="Q199" i="53033"/>
  <c r="R199" i="53033" s="1"/>
  <c r="N199" i="53033"/>
  <c r="M199" i="53033"/>
  <c r="Q198" i="53033"/>
  <c r="R198" i="53033" s="1"/>
  <c r="N198" i="53033"/>
  <c r="M198" i="53033"/>
  <c r="Q197" i="53033"/>
  <c r="R197" i="53033" s="1"/>
  <c r="N197" i="53033"/>
  <c r="M197" i="53033"/>
  <c r="Q196" i="53033"/>
  <c r="R196" i="53033" s="1"/>
  <c r="N196" i="53033"/>
  <c r="M196" i="53033"/>
  <c r="Q195" i="53033"/>
  <c r="R195" i="53033" s="1"/>
  <c r="N195" i="53033"/>
  <c r="M195" i="53033"/>
  <c r="Q194" i="53033"/>
  <c r="R194" i="53033" s="1"/>
  <c r="N194" i="53033"/>
  <c r="M194" i="53033"/>
  <c r="Q193" i="53033"/>
  <c r="R193" i="53033" s="1"/>
  <c r="N193" i="53033"/>
  <c r="M193" i="53033"/>
  <c r="Q192" i="53033"/>
  <c r="R192" i="53033" s="1"/>
  <c r="N192" i="53033"/>
  <c r="M192" i="53033"/>
  <c r="Q191" i="53033"/>
  <c r="R191" i="53033" s="1"/>
  <c r="N191" i="53033"/>
  <c r="M191" i="53033"/>
  <c r="Q190" i="53033"/>
  <c r="R190" i="53033" s="1"/>
  <c r="N190" i="53033"/>
  <c r="M190" i="53033"/>
  <c r="Q189" i="53033"/>
  <c r="R189" i="53033" s="1"/>
  <c r="N189" i="53033"/>
  <c r="M189" i="53033"/>
  <c r="Q188" i="53033"/>
  <c r="R188" i="53033" s="1"/>
  <c r="N188" i="53033"/>
  <c r="M188" i="53033"/>
  <c r="Q187" i="53033"/>
  <c r="R187" i="53033" s="1"/>
  <c r="N187" i="53033"/>
  <c r="M187" i="53033"/>
  <c r="Q186" i="53033"/>
  <c r="R186" i="53033" s="1"/>
  <c r="N186" i="53033"/>
  <c r="M186" i="53033"/>
  <c r="Q185" i="53033"/>
  <c r="R185" i="53033" s="1"/>
  <c r="N185" i="53033"/>
  <c r="M185" i="53033"/>
  <c r="Q184" i="53033"/>
  <c r="R184" i="53033" s="1"/>
  <c r="N184" i="53033"/>
  <c r="M184" i="53033"/>
  <c r="Q183" i="53033"/>
  <c r="R183" i="53033" s="1"/>
  <c r="N183" i="53033"/>
  <c r="M183" i="53033"/>
  <c r="Q182" i="53033"/>
  <c r="R182" i="53033" s="1"/>
  <c r="N182" i="53033"/>
  <c r="M182" i="53033"/>
  <c r="Q181" i="53033"/>
  <c r="R181" i="53033" s="1"/>
  <c r="N181" i="53033"/>
  <c r="M181" i="53033"/>
  <c r="Q180" i="53033"/>
  <c r="R180" i="53033" s="1"/>
  <c r="N180" i="53033"/>
  <c r="M180" i="53033"/>
  <c r="Q179" i="53033"/>
  <c r="R179" i="53033" s="1"/>
  <c r="N179" i="53033"/>
  <c r="M179" i="53033"/>
  <c r="Q178" i="53033"/>
  <c r="R178" i="53033" s="1"/>
  <c r="N178" i="53033"/>
  <c r="M178" i="53033"/>
  <c r="Q177" i="53033"/>
  <c r="R177" i="53033" s="1"/>
  <c r="N177" i="53033"/>
  <c r="M177" i="53033"/>
  <c r="Q176" i="53033"/>
  <c r="R176" i="53033" s="1"/>
  <c r="N176" i="53033"/>
  <c r="M176" i="53033"/>
  <c r="Q175" i="53033"/>
  <c r="R175" i="53033" s="1"/>
  <c r="N175" i="53033"/>
  <c r="M175" i="53033"/>
  <c r="Q174" i="53033"/>
  <c r="R174" i="53033" s="1"/>
  <c r="N174" i="53033"/>
  <c r="M174" i="53033"/>
  <c r="Q173" i="53033"/>
  <c r="R173" i="53033" s="1"/>
  <c r="N173" i="53033"/>
  <c r="M173" i="53033"/>
  <c r="Q172" i="53033"/>
  <c r="R172" i="53033" s="1"/>
  <c r="N172" i="53033"/>
  <c r="M172" i="53033"/>
  <c r="Q171" i="53033"/>
  <c r="R171" i="53033" s="1"/>
  <c r="N171" i="53033"/>
  <c r="M171" i="53033"/>
  <c r="Q170" i="53033"/>
  <c r="R170" i="53033" s="1"/>
  <c r="N170" i="53033"/>
  <c r="M170" i="53033"/>
  <c r="Q169" i="53033"/>
  <c r="R169" i="53033" s="1"/>
  <c r="N169" i="53033"/>
  <c r="M169" i="53033"/>
  <c r="Q168" i="53033"/>
  <c r="R168" i="53033" s="1"/>
  <c r="N168" i="53033"/>
  <c r="M168" i="53033"/>
  <c r="Q167" i="53033"/>
  <c r="R167" i="53033" s="1"/>
  <c r="N167" i="53033"/>
  <c r="M167" i="53033"/>
  <c r="Q166" i="53033"/>
  <c r="R166" i="53033" s="1"/>
  <c r="N166" i="53033"/>
  <c r="M166" i="53033"/>
  <c r="Q165" i="53033"/>
  <c r="R165" i="53033" s="1"/>
  <c r="N165" i="53033"/>
  <c r="M165" i="53033"/>
  <c r="Q164" i="53033"/>
  <c r="R164" i="53033" s="1"/>
  <c r="N164" i="53033"/>
  <c r="M164" i="53033"/>
  <c r="Q163" i="53033"/>
  <c r="R163" i="53033" s="1"/>
  <c r="N163" i="53033"/>
  <c r="M163" i="53033"/>
  <c r="Q162" i="53033"/>
  <c r="R162" i="53033" s="1"/>
  <c r="N162" i="53033"/>
  <c r="M162" i="53033"/>
  <c r="Q161" i="53033"/>
  <c r="R161" i="53033" s="1"/>
  <c r="N161" i="53033"/>
  <c r="M161" i="53033"/>
  <c r="Q160" i="53033"/>
  <c r="R160" i="53033" s="1"/>
  <c r="N160" i="53033"/>
  <c r="M160" i="53033"/>
  <c r="Q159" i="53033"/>
  <c r="R159" i="53033" s="1"/>
  <c r="N159" i="53033"/>
  <c r="M159" i="53033"/>
  <c r="Q158" i="53033"/>
  <c r="R158" i="53033" s="1"/>
  <c r="N158" i="53033"/>
  <c r="M158" i="53033"/>
  <c r="Q157" i="53033"/>
  <c r="R157" i="53033" s="1"/>
  <c r="N157" i="53033"/>
  <c r="M157" i="53033"/>
  <c r="Q156" i="53033"/>
  <c r="R156" i="53033" s="1"/>
  <c r="N156" i="53033"/>
  <c r="M156" i="53033"/>
  <c r="Q155" i="53033"/>
  <c r="R155" i="53033" s="1"/>
  <c r="N155" i="53033"/>
  <c r="M155" i="53033"/>
  <c r="Q154" i="53033"/>
  <c r="R154" i="53033" s="1"/>
  <c r="N154" i="53033"/>
  <c r="M154" i="53033"/>
  <c r="Q153" i="53033"/>
  <c r="R153" i="53033" s="1"/>
  <c r="N153" i="53033"/>
  <c r="M153" i="53033"/>
  <c r="Q152" i="53033"/>
  <c r="R152" i="53033" s="1"/>
  <c r="N152" i="53033"/>
  <c r="M152" i="53033"/>
  <c r="Q151" i="53033"/>
  <c r="R151" i="53033" s="1"/>
  <c r="N151" i="53033"/>
  <c r="M151" i="53033"/>
  <c r="Q150" i="53033"/>
  <c r="R150" i="53033" s="1"/>
  <c r="N150" i="53033"/>
  <c r="M150" i="53033"/>
  <c r="Q149" i="53033"/>
  <c r="R149" i="53033" s="1"/>
  <c r="N149" i="53033"/>
  <c r="M149" i="53033"/>
  <c r="Q148" i="53033"/>
  <c r="R148" i="53033" s="1"/>
  <c r="N148" i="53033"/>
  <c r="M148" i="53033"/>
  <c r="Q147" i="53033"/>
  <c r="R147" i="53033" s="1"/>
  <c r="N147" i="53033"/>
  <c r="M147" i="53033"/>
  <c r="Q146" i="53033"/>
  <c r="R146" i="53033" s="1"/>
  <c r="N146" i="53033"/>
  <c r="M146" i="53033"/>
  <c r="Q145" i="53033"/>
  <c r="R145" i="53033" s="1"/>
  <c r="N145" i="53033"/>
  <c r="M145" i="53033"/>
  <c r="Q144" i="53033"/>
  <c r="R144" i="53033" s="1"/>
  <c r="N144" i="53033"/>
  <c r="M144" i="53033"/>
  <c r="Q143" i="53033"/>
  <c r="R143" i="53033" s="1"/>
  <c r="N143" i="53033"/>
  <c r="M143" i="53033"/>
  <c r="Q142" i="53033"/>
  <c r="R142" i="53033" s="1"/>
  <c r="N142" i="53033"/>
  <c r="M142" i="53033"/>
  <c r="Q141" i="53033"/>
  <c r="R141" i="53033" s="1"/>
  <c r="N141" i="53033"/>
  <c r="M141" i="53033"/>
  <c r="Q140" i="53033"/>
  <c r="R140" i="53033" s="1"/>
  <c r="N140" i="53033"/>
  <c r="M140" i="53033"/>
  <c r="Q139" i="53033"/>
  <c r="R139" i="53033" s="1"/>
  <c r="N139" i="53033"/>
  <c r="M139" i="53033"/>
  <c r="Q138" i="53033"/>
  <c r="R138" i="53033" s="1"/>
  <c r="N138" i="53033"/>
  <c r="M138" i="53033"/>
  <c r="Q137" i="53033"/>
  <c r="R137" i="53033" s="1"/>
  <c r="N137" i="53033"/>
  <c r="M137" i="53033"/>
  <c r="Q136" i="53033"/>
  <c r="R136" i="53033" s="1"/>
  <c r="N136" i="53033"/>
  <c r="M136" i="53033"/>
  <c r="Q135" i="53033"/>
  <c r="R135" i="53033" s="1"/>
  <c r="N135" i="53033"/>
  <c r="M135" i="53033"/>
  <c r="Q134" i="53033"/>
  <c r="R134" i="53033" s="1"/>
  <c r="N134" i="53033"/>
  <c r="M134" i="53033"/>
  <c r="Q133" i="53033"/>
  <c r="R133" i="53033" s="1"/>
  <c r="N133" i="53033"/>
  <c r="M133" i="53033"/>
  <c r="Q132" i="53033"/>
  <c r="R132" i="53033" s="1"/>
  <c r="N132" i="53033"/>
  <c r="M132" i="53033"/>
  <c r="Q131" i="53033"/>
  <c r="R131" i="53033" s="1"/>
  <c r="N131" i="53033"/>
  <c r="M131" i="53033"/>
  <c r="Q130" i="53033"/>
  <c r="R130" i="53033" s="1"/>
  <c r="N130" i="53033"/>
  <c r="M130" i="53033"/>
  <c r="Q129" i="53033"/>
  <c r="R129" i="53033" s="1"/>
  <c r="N129" i="53033"/>
  <c r="M129" i="53033"/>
  <c r="Q128" i="53033"/>
  <c r="R128" i="53033" s="1"/>
  <c r="N128" i="53033"/>
  <c r="M128" i="53033"/>
  <c r="Q127" i="53033"/>
  <c r="R127" i="53033" s="1"/>
  <c r="N127" i="53033"/>
  <c r="M127" i="53033"/>
  <c r="Q126" i="53033"/>
  <c r="R126" i="53033" s="1"/>
  <c r="N126" i="53033"/>
  <c r="M126" i="53033"/>
  <c r="Q125" i="53033"/>
  <c r="R125" i="53033" s="1"/>
  <c r="N125" i="53033"/>
  <c r="M125" i="53033"/>
  <c r="Q124" i="53033"/>
  <c r="R124" i="53033" s="1"/>
  <c r="N124" i="53033"/>
  <c r="M124" i="53033"/>
  <c r="Q123" i="53033"/>
  <c r="R123" i="53033" s="1"/>
  <c r="N123" i="53033"/>
  <c r="M123" i="53033"/>
  <c r="Q122" i="53033"/>
  <c r="R122" i="53033" s="1"/>
  <c r="N122" i="53033"/>
  <c r="M122" i="53033"/>
  <c r="Q121" i="53033"/>
  <c r="R121" i="53033" s="1"/>
  <c r="N121" i="53033"/>
  <c r="M121" i="53033"/>
  <c r="Q120" i="53033"/>
  <c r="R120" i="53033" s="1"/>
  <c r="N120" i="53033"/>
  <c r="M120" i="53033"/>
  <c r="Q119" i="53033"/>
  <c r="R119" i="53033" s="1"/>
  <c r="N119" i="53033"/>
  <c r="M119" i="53033"/>
  <c r="Q118" i="53033"/>
  <c r="R118" i="53033" s="1"/>
  <c r="N118" i="53033"/>
  <c r="M118" i="53033"/>
  <c r="Q117" i="53033"/>
  <c r="R117" i="53033" s="1"/>
  <c r="N117" i="53033"/>
  <c r="M117" i="53033"/>
  <c r="Q116" i="53033"/>
  <c r="R116" i="53033" s="1"/>
  <c r="N116" i="53033"/>
  <c r="M116" i="53033"/>
  <c r="Q115" i="53033"/>
  <c r="R115" i="53033" s="1"/>
  <c r="N115" i="53033"/>
  <c r="M115" i="53033"/>
  <c r="Q114" i="53033"/>
  <c r="R114" i="53033" s="1"/>
  <c r="N114" i="53033"/>
  <c r="M114" i="53033"/>
  <c r="Q113" i="53033"/>
  <c r="R113" i="53033" s="1"/>
  <c r="N113" i="53033"/>
  <c r="M113" i="53033"/>
  <c r="Q112" i="53033"/>
  <c r="R112" i="53033" s="1"/>
  <c r="N112" i="53033"/>
  <c r="M112" i="53033"/>
  <c r="Q111" i="53033"/>
  <c r="R111" i="53033" s="1"/>
  <c r="N111" i="53033"/>
  <c r="M111" i="53033"/>
  <c r="Q110" i="53033"/>
  <c r="R110" i="53033" s="1"/>
  <c r="N110" i="53033"/>
  <c r="M110" i="53033"/>
  <c r="Q109" i="53033"/>
  <c r="R109" i="53033" s="1"/>
  <c r="N109" i="53033"/>
  <c r="M109" i="53033"/>
  <c r="Q108" i="53033"/>
  <c r="R108" i="53033" s="1"/>
  <c r="N108" i="53033"/>
  <c r="M108" i="53033"/>
  <c r="Q107" i="53033"/>
  <c r="R107" i="53033" s="1"/>
  <c r="N107" i="53033"/>
  <c r="M107" i="53033"/>
  <c r="Q106" i="53033"/>
  <c r="R106" i="53033" s="1"/>
  <c r="N106" i="53033"/>
  <c r="M106" i="53033"/>
  <c r="Q105" i="53033"/>
  <c r="R105" i="53033" s="1"/>
  <c r="N105" i="53033"/>
  <c r="M105" i="53033"/>
  <c r="Q104" i="53033"/>
  <c r="R104" i="53033" s="1"/>
  <c r="N104" i="53033"/>
  <c r="M104" i="53033"/>
  <c r="Q103" i="53033"/>
  <c r="R103" i="53033" s="1"/>
  <c r="N103" i="53033"/>
  <c r="M103" i="53033"/>
  <c r="Q102" i="53033"/>
  <c r="R102" i="53033" s="1"/>
  <c r="N102" i="53033"/>
  <c r="M102" i="53033"/>
  <c r="Q101" i="53033"/>
  <c r="R101" i="53033" s="1"/>
  <c r="N101" i="53033"/>
  <c r="M101" i="53033"/>
  <c r="Q100" i="53033"/>
  <c r="R100" i="53033" s="1"/>
  <c r="N100" i="53033"/>
  <c r="M100" i="53033"/>
  <c r="Q99" i="53033"/>
  <c r="R99" i="53033" s="1"/>
  <c r="N99" i="53033"/>
  <c r="M99" i="53033"/>
  <c r="Q98" i="53033"/>
  <c r="R98" i="53033" s="1"/>
  <c r="N98" i="53033"/>
  <c r="M98" i="53033"/>
  <c r="Q97" i="53033"/>
  <c r="R97" i="53033" s="1"/>
  <c r="N97" i="53033"/>
  <c r="M97" i="53033"/>
  <c r="Q96" i="53033"/>
  <c r="R96" i="53033" s="1"/>
  <c r="N96" i="53033"/>
  <c r="M96" i="53033"/>
  <c r="Q95" i="53033"/>
  <c r="R95" i="53033" s="1"/>
  <c r="N95" i="53033"/>
  <c r="M95" i="53033"/>
  <c r="Q94" i="53033"/>
  <c r="R94" i="53033" s="1"/>
  <c r="N94" i="53033"/>
  <c r="M94" i="53033"/>
  <c r="Q93" i="53033"/>
  <c r="R93" i="53033" s="1"/>
  <c r="N93" i="53033"/>
  <c r="M93" i="53033"/>
  <c r="Q92" i="53033"/>
  <c r="R92" i="53033" s="1"/>
  <c r="N92" i="53033"/>
  <c r="M92" i="53033"/>
  <c r="Q91" i="53033"/>
  <c r="R91" i="53033" s="1"/>
  <c r="N91" i="53033"/>
  <c r="M91" i="53033"/>
  <c r="Q90" i="53033"/>
  <c r="R90" i="53033" s="1"/>
  <c r="N90" i="53033"/>
  <c r="M90" i="53033"/>
  <c r="Q89" i="53033"/>
  <c r="R89" i="53033" s="1"/>
  <c r="N89" i="53033"/>
  <c r="M89" i="53033"/>
  <c r="Q88" i="53033"/>
  <c r="R88" i="53033" s="1"/>
  <c r="N88" i="53033"/>
  <c r="M88" i="53033"/>
  <c r="Q87" i="53033"/>
  <c r="R87" i="53033" s="1"/>
  <c r="N87" i="53033"/>
  <c r="M87" i="53033"/>
  <c r="Q86" i="53033"/>
  <c r="R86" i="53033" s="1"/>
  <c r="N86" i="53033"/>
  <c r="M86" i="53033"/>
  <c r="Q85" i="53033"/>
  <c r="R85" i="53033" s="1"/>
  <c r="N85" i="53033"/>
  <c r="M85" i="53033"/>
  <c r="Q84" i="53033"/>
  <c r="R84" i="53033" s="1"/>
  <c r="N84" i="53033"/>
  <c r="M84" i="53033"/>
  <c r="Q83" i="53033"/>
  <c r="R83" i="53033" s="1"/>
  <c r="N83" i="53033"/>
  <c r="M83" i="53033"/>
  <c r="Q82" i="53033"/>
  <c r="R82" i="53033" s="1"/>
  <c r="N82" i="53033"/>
  <c r="M82" i="53033"/>
  <c r="Q81" i="53033"/>
  <c r="R81" i="53033" s="1"/>
  <c r="N81" i="53033"/>
  <c r="M81" i="53033"/>
  <c r="Q80" i="53033"/>
  <c r="R80" i="53033" s="1"/>
  <c r="N80" i="53033"/>
  <c r="M80" i="53033"/>
  <c r="Q79" i="53033"/>
  <c r="R79" i="53033" s="1"/>
  <c r="N79" i="53033"/>
  <c r="M79" i="53033"/>
  <c r="Q78" i="53033"/>
  <c r="R78" i="53033" s="1"/>
  <c r="N78" i="53033"/>
  <c r="M78" i="53033"/>
  <c r="Q77" i="53033"/>
  <c r="R77" i="53033" s="1"/>
  <c r="N77" i="53033"/>
  <c r="M77" i="53033"/>
  <c r="Q76" i="53033"/>
  <c r="R76" i="53033" s="1"/>
  <c r="N76" i="53033"/>
  <c r="M76" i="53033"/>
  <c r="Q75" i="53033"/>
  <c r="R75" i="53033" s="1"/>
  <c r="N75" i="53033"/>
  <c r="M75" i="53033"/>
  <c r="Q74" i="53033"/>
  <c r="R74" i="53033" s="1"/>
  <c r="N74" i="53033"/>
  <c r="M74" i="53033"/>
  <c r="Q73" i="53033"/>
  <c r="R73" i="53033" s="1"/>
  <c r="N73" i="53033"/>
  <c r="M73" i="53033"/>
  <c r="Q72" i="53033"/>
  <c r="R72" i="53033" s="1"/>
  <c r="N72" i="53033"/>
  <c r="M72" i="53033"/>
  <c r="Q71" i="53033"/>
  <c r="R71" i="53033" s="1"/>
  <c r="N71" i="53033"/>
  <c r="M71" i="53033"/>
  <c r="Q70" i="53033"/>
  <c r="R70" i="53033" s="1"/>
  <c r="N70" i="53033"/>
  <c r="M70" i="53033"/>
  <c r="Q69" i="53033"/>
  <c r="R69" i="53033" s="1"/>
  <c r="N69" i="53033"/>
  <c r="M69" i="53033"/>
  <c r="Q68" i="53033"/>
  <c r="R68" i="53033" s="1"/>
  <c r="N68" i="53033"/>
  <c r="M68" i="53033"/>
  <c r="Q67" i="53033"/>
  <c r="R67" i="53033" s="1"/>
  <c r="N67" i="53033"/>
  <c r="M67" i="53033"/>
  <c r="Q66" i="53033"/>
  <c r="R66" i="53033" s="1"/>
  <c r="N66" i="53033"/>
  <c r="M66" i="53033"/>
  <c r="Q65" i="53033"/>
  <c r="R65" i="53033" s="1"/>
  <c r="N65" i="53033"/>
  <c r="M65" i="53033"/>
  <c r="Q64" i="53033"/>
  <c r="R64" i="53033" s="1"/>
  <c r="N64" i="53033"/>
  <c r="M64" i="53033"/>
  <c r="Q63" i="53033"/>
  <c r="R63" i="53033" s="1"/>
  <c r="N63" i="53033"/>
  <c r="M63" i="53033"/>
  <c r="Q62" i="53033"/>
  <c r="R62" i="53033" s="1"/>
  <c r="N62" i="53033"/>
  <c r="M62" i="53033"/>
  <c r="Q61" i="53033"/>
  <c r="R61" i="53033" s="1"/>
  <c r="N61" i="53033"/>
  <c r="M61" i="53033"/>
  <c r="Q60" i="53033"/>
  <c r="R60" i="53033" s="1"/>
  <c r="N60" i="53033"/>
  <c r="M60" i="53033"/>
  <c r="Q59" i="53033"/>
  <c r="R59" i="53033" s="1"/>
  <c r="N59" i="53033"/>
  <c r="M59" i="53033"/>
  <c r="Q58" i="53033"/>
  <c r="R58" i="53033" s="1"/>
  <c r="N58" i="53033"/>
  <c r="M58" i="53033"/>
  <c r="Q57" i="53033"/>
  <c r="R57" i="53033" s="1"/>
  <c r="N57" i="53033"/>
  <c r="M57" i="53033"/>
  <c r="Q56" i="53033"/>
  <c r="R56" i="53033" s="1"/>
  <c r="N56" i="53033"/>
  <c r="M56" i="53033"/>
  <c r="Q55" i="53033"/>
  <c r="R55" i="53033" s="1"/>
  <c r="N55" i="53033"/>
  <c r="M55" i="53033"/>
  <c r="Q54" i="53033"/>
  <c r="R54" i="53033" s="1"/>
  <c r="N54" i="53033"/>
  <c r="M54" i="53033"/>
  <c r="Q53" i="53033"/>
  <c r="R53" i="53033" s="1"/>
  <c r="N53" i="53033"/>
  <c r="M53" i="53033"/>
  <c r="Q52" i="53033"/>
  <c r="R52" i="53033" s="1"/>
  <c r="N52" i="53033"/>
  <c r="M52" i="53033"/>
  <c r="Q51" i="53033"/>
  <c r="R51" i="53033" s="1"/>
  <c r="N51" i="53033"/>
  <c r="M51" i="53033"/>
  <c r="Q50" i="53033"/>
  <c r="R50" i="53033" s="1"/>
  <c r="N50" i="53033"/>
  <c r="M50" i="53033"/>
  <c r="Q49" i="53033"/>
  <c r="R49" i="53033" s="1"/>
  <c r="N49" i="53033"/>
  <c r="M49" i="53033"/>
  <c r="Q48" i="53033"/>
  <c r="R48" i="53033" s="1"/>
  <c r="N48" i="53033"/>
  <c r="M48" i="53033"/>
  <c r="Q47" i="53033"/>
  <c r="R47" i="53033" s="1"/>
  <c r="N47" i="53033"/>
  <c r="M47" i="53033"/>
  <c r="Q46" i="53033"/>
  <c r="R46" i="53033" s="1"/>
  <c r="N46" i="53033"/>
  <c r="M46" i="53033"/>
  <c r="Q45" i="53033"/>
  <c r="R45" i="53033" s="1"/>
  <c r="N45" i="53033"/>
  <c r="M45" i="53033"/>
  <c r="Q44" i="53033"/>
  <c r="R44" i="53033" s="1"/>
  <c r="N44" i="53033"/>
  <c r="M44" i="53033"/>
  <c r="Q43" i="53033"/>
  <c r="R43" i="53033" s="1"/>
  <c r="N43" i="53033"/>
  <c r="M43" i="53033"/>
  <c r="Q42" i="53033"/>
  <c r="R42" i="53033" s="1"/>
  <c r="N42" i="53033"/>
  <c r="M42" i="53033"/>
  <c r="Q41" i="53033"/>
  <c r="R41" i="53033" s="1"/>
  <c r="N41" i="53033"/>
  <c r="M41" i="53033"/>
  <c r="Q40" i="53033"/>
  <c r="R40" i="53033" s="1"/>
  <c r="N40" i="53033"/>
  <c r="M40" i="53033"/>
  <c r="Q39" i="53033"/>
  <c r="R39" i="53033" s="1"/>
  <c r="N39" i="53033"/>
  <c r="M39" i="53033"/>
  <c r="Q38" i="53033"/>
  <c r="R38" i="53033" s="1"/>
  <c r="N38" i="53033"/>
  <c r="M38" i="53033"/>
  <c r="Q37" i="53033"/>
  <c r="R37" i="53033" s="1"/>
  <c r="N37" i="53033"/>
  <c r="M37" i="53033"/>
  <c r="Q36" i="53033"/>
  <c r="R36" i="53033" s="1"/>
  <c r="N36" i="53033"/>
  <c r="M36" i="53033"/>
  <c r="Q35" i="53033"/>
  <c r="R35" i="53033" s="1"/>
  <c r="N35" i="53033"/>
  <c r="M35" i="53033"/>
  <c r="Q34" i="53033"/>
  <c r="R34" i="53033" s="1"/>
  <c r="N34" i="53033"/>
  <c r="M34" i="53033"/>
  <c r="Q33" i="53033"/>
  <c r="R33" i="53033" s="1"/>
  <c r="N33" i="53033"/>
  <c r="M33" i="53033"/>
  <c r="Q32" i="53033"/>
  <c r="R32" i="53033" s="1"/>
  <c r="N32" i="53033"/>
  <c r="M32" i="53033"/>
  <c r="Q31" i="53033"/>
  <c r="R31" i="53033" s="1"/>
  <c r="N31" i="53033"/>
  <c r="M31" i="53033"/>
  <c r="Q30" i="53033"/>
  <c r="R30" i="53033" s="1"/>
  <c r="N30" i="53033"/>
  <c r="M30" i="53033"/>
  <c r="Q29" i="53033"/>
  <c r="R29" i="53033" s="1"/>
  <c r="N29" i="53033"/>
  <c r="M29" i="53033"/>
  <c r="Q28" i="53033"/>
  <c r="R28" i="53033" s="1"/>
  <c r="N28" i="53033"/>
  <c r="M28" i="53033"/>
  <c r="Q27" i="53033"/>
  <c r="R27" i="53033" s="1"/>
  <c r="N27" i="53033"/>
  <c r="M27" i="53033"/>
  <c r="Q26" i="53033"/>
  <c r="R26" i="53033" s="1"/>
  <c r="N26" i="53033"/>
  <c r="M26" i="53033"/>
  <c r="Q25" i="53033"/>
  <c r="R25" i="53033" s="1"/>
  <c r="N25" i="53033"/>
  <c r="M25" i="53033"/>
  <c r="Q24" i="53033"/>
  <c r="R24" i="53033" s="1"/>
  <c r="N24" i="53033"/>
  <c r="M24" i="53033"/>
  <c r="Q23" i="53033"/>
  <c r="R23" i="53033" s="1"/>
  <c r="N23" i="53033"/>
  <c r="M23" i="53033"/>
  <c r="Q22" i="53033"/>
  <c r="R22" i="53033" s="1"/>
  <c r="N22" i="53033"/>
  <c r="M22" i="53033"/>
  <c r="Q21" i="53033"/>
  <c r="R21" i="53033" s="1"/>
  <c r="N21" i="53033"/>
  <c r="M21" i="53033"/>
  <c r="Q20" i="53033"/>
  <c r="R20" i="53033" s="1"/>
  <c r="N20" i="53033"/>
  <c r="M20" i="53033"/>
  <c r="Q19" i="53033"/>
  <c r="R19" i="53033" s="1"/>
  <c r="N19" i="53033"/>
  <c r="M19" i="53033"/>
  <c r="Q18" i="53033"/>
  <c r="R18" i="53033" s="1"/>
  <c r="N18" i="53033"/>
  <c r="M18" i="53033"/>
  <c r="Q17" i="53033"/>
  <c r="R17" i="53033" s="1"/>
  <c r="N17" i="53033"/>
  <c r="M17" i="53033"/>
  <c r="Q16" i="53033"/>
  <c r="R16" i="53033" s="1"/>
  <c r="N16" i="53033"/>
  <c r="M16" i="53033"/>
  <c r="Q15" i="53033"/>
  <c r="R15" i="53033" s="1"/>
  <c r="N15" i="53033"/>
  <c r="M15" i="53033"/>
  <c r="Q14" i="53033"/>
  <c r="R14" i="53033" s="1"/>
  <c r="N14" i="53033"/>
  <c r="M14" i="53033"/>
  <c r="Q13" i="53033"/>
  <c r="R13" i="53033" s="1"/>
  <c r="N13" i="53033"/>
  <c r="M13" i="53033"/>
  <c r="Q12" i="53033"/>
  <c r="R12" i="53033" s="1"/>
  <c r="N12" i="53033"/>
  <c r="M12" i="53033"/>
  <c r="Q11" i="53033"/>
  <c r="R11" i="53033" s="1"/>
  <c r="N11" i="53033"/>
  <c r="M11" i="53033"/>
  <c r="Q10" i="53033"/>
  <c r="R10" i="53033" s="1"/>
  <c r="N10" i="53033"/>
  <c r="M10" i="53033"/>
  <c r="Q9" i="53033"/>
  <c r="R9" i="53033" s="1"/>
  <c r="N9" i="53033"/>
  <c r="M9" i="53033"/>
  <c r="Q8" i="53033"/>
  <c r="R8" i="53033" s="1"/>
  <c r="N8" i="53033"/>
  <c r="M8" i="53033"/>
  <c r="Q7" i="53033"/>
  <c r="R7" i="53033" s="1"/>
  <c r="N7" i="53033"/>
  <c r="M7" i="53033"/>
  <c r="Q6" i="53033"/>
  <c r="R6" i="53033" s="1"/>
  <c r="N6" i="53033"/>
  <c r="M6" i="53033"/>
  <c r="Q5" i="53033"/>
  <c r="R5" i="53033" s="1"/>
  <c r="N5" i="53033"/>
  <c r="M5" i="53033"/>
  <c r="Q4" i="53033"/>
  <c r="R4" i="53033" s="1"/>
  <c r="N4" i="53033"/>
  <c r="M4" i="53033"/>
  <c r="Q3" i="53033"/>
  <c r="R3" i="53033" s="1"/>
  <c r="N3" i="53033"/>
  <c r="M3" i="53033"/>
  <c r="Q2" i="53033"/>
  <c r="R2" i="53033" s="1"/>
  <c r="N2" i="53033"/>
  <c r="M2" i="53033"/>
  <c r="U4" i="53029"/>
  <c r="V4" i="53029"/>
  <c r="U5" i="53029"/>
  <c r="V5" i="53029"/>
  <c r="U6" i="53029"/>
  <c r="V6" i="53029"/>
  <c r="U7" i="53029"/>
  <c r="V7" i="53029"/>
  <c r="U8" i="53029"/>
  <c r="V8" i="53029"/>
  <c r="U9" i="53029"/>
  <c r="V9" i="53029"/>
  <c r="U10" i="53029"/>
  <c r="V10" i="53029"/>
  <c r="U11" i="53029"/>
  <c r="V11" i="53029"/>
  <c r="U12" i="53029"/>
  <c r="V12" i="53029"/>
  <c r="U13" i="53029"/>
  <c r="V13" i="53029"/>
  <c r="U14" i="53029"/>
  <c r="V14" i="53029"/>
  <c r="U15" i="53029"/>
  <c r="V15" i="53029"/>
  <c r="U16" i="53029"/>
  <c r="V16" i="53029"/>
  <c r="U17" i="53029"/>
  <c r="V17" i="53029"/>
  <c r="U18" i="53029"/>
  <c r="V18" i="53029"/>
  <c r="U19" i="53029"/>
  <c r="V19" i="53029"/>
  <c r="U20" i="53029"/>
  <c r="V20" i="53029"/>
  <c r="U21" i="53029"/>
  <c r="V21" i="53029"/>
  <c r="U22" i="53029"/>
  <c r="V22" i="53029"/>
  <c r="U23" i="53029"/>
  <c r="V23" i="53029"/>
  <c r="U24" i="53029"/>
  <c r="V24" i="53029"/>
  <c r="U25" i="53029"/>
  <c r="V25" i="53029"/>
  <c r="U26" i="53029"/>
  <c r="V26" i="53029"/>
  <c r="U27" i="53029"/>
  <c r="V27" i="53029"/>
  <c r="U28" i="53029"/>
  <c r="V28" i="53029"/>
  <c r="U29" i="53029"/>
  <c r="V29" i="53029"/>
  <c r="U30" i="53029"/>
  <c r="V30" i="53029"/>
  <c r="U31" i="53029"/>
  <c r="V31" i="53029"/>
  <c r="U32" i="53029"/>
  <c r="V32" i="53029"/>
  <c r="U33" i="53029"/>
  <c r="V33" i="53029"/>
  <c r="U3" i="53029"/>
  <c r="V3" i="53029"/>
  <c r="O23" i="6"/>
  <c r="O27" i="6"/>
  <c r="O22" i="6"/>
  <c r="O24" i="6"/>
  <c r="C18" i="3"/>
  <c r="C19" i="3" s="1"/>
  <c r="B4" i="53029"/>
  <c r="T4" i="53029" s="1"/>
  <c r="B5" i="53029"/>
  <c r="T5" i="53029" s="1"/>
  <c r="B6" i="53029"/>
  <c r="T6" i="53029" s="1"/>
  <c r="B7" i="53029"/>
  <c r="T7" i="53029" s="1"/>
  <c r="B8" i="53029"/>
  <c r="T8" i="53029" s="1"/>
  <c r="B9" i="53029"/>
  <c r="T9" i="53029" s="1"/>
  <c r="B10" i="53029"/>
  <c r="T10" i="53029" s="1"/>
  <c r="B11" i="53029"/>
  <c r="T11" i="53029" s="1"/>
  <c r="B12" i="53029"/>
  <c r="T12" i="53029" s="1"/>
  <c r="B13" i="53029"/>
  <c r="T13" i="53029" s="1"/>
  <c r="B14" i="53029"/>
  <c r="T14" i="53029" s="1"/>
  <c r="B15" i="53029"/>
  <c r="T15" i="53029" s="1"/>
  <c r="B16" i="53029"/>
  <c r="T16" i="53029" s="1"/>
  <c r="B17" i="53029"/>
  <c r="T17" i="53029" s="1"/>
  <c r="B18" i="53029"/>
  <c r="T18" i="53029" s="1"/>
  <c r="B19" i="53029"/>
  <c r="T19" i="53029" s="1"/>
  <c r="B20" i="53029"/>
  <c r="T20" i="53029" s="1"/>
  <c r="B21" i="53029"/>
  <c r="T21" i="53029" s="1"/>
  <c r="B22" i="53029"/>
  <c r="T22" i="53029" s="1"/>
  <c r="B23" i="53029"/>
  <c r="T23" i="53029" s="1"/>
  <c r="B24" i="53029"/>
  <c r="T24" i="53029" s="1"/>
  <c r="B25" i="53029"/>
  <c r="T25" i="53029" s="1"/>
  <c r="B26" i="53029"/>
  <c r="T26" i="53029" s="1"/>
  <c r="B27" i="53029"/>
  <c r="T27" i="53029" s="1"/>
  <c r="B28" i="53029"/>
  <c r="T28" i="53029" s="1"/>
  <c r="B29" i="53029"/>
  <c r="T29" i="53029" s="1"/>
  <c r="B30" i="53029"/>
  <c r="T30" i="53029" s="1"/>
  <c r="B31" i="53029"/>
  <c r="T31" i="53029" s="1"/>
  <c r="B32" i="53029"/>
  <c r="T32" i="53029" s="1"/>
  <c r="B33" i="53029"/>
  <c r="T33" i="53029" s="1"/>
  <c r="B3" i="53029"/>
  <c r="T3" i="53029" s="1"/>
  <c r="X20" i="53029"/>
  <c r="X21" i="53029"/>
  <c r="X23" i="53029"/>
  <c r="X24" i="53029"/>
  <c r="X25" i="53029"/>
  <c r="X19" i="53029"/>
  <c r="X9" i="53029"/>
  <c r="F61" i="53035"/>
  <c r="J39" i="3" s="1"/>
  <c r="F62" i="53035"/>
  <c r="K39" i="3" s="1"/>
  <c r="O21" i="6"/>
  <c r="D63" i="53035"/>
  <c r="E4" i="53035"/>
  <c r="E73" i="53035"/>
  <c r="F73" i="53035" s="1"/>
  <c r="C12" i="53037" s="1"/>
  <c r="E82" i="53035"/>
  <c r="E85" i="53035"/>
  <c r="E45" i="53035"/>
  <c r="F45" i="53035" s="1"/>
  <c r="C41" i="3" s="1"/>
  <c r="E26" i="53035"/>
  <c r="E6" i="53035"/>
  <c r="F6" i="53035" s="1"/>
  <c r="D9" i="53036" s="1"/>
  <c r="E57" i="53035"/>
  <c r="E90" i="53035"/>
  <c r="E78" i="53035"/>
  <c r="E33" i="53035"/>
  <c r="F78" i="53035" l="1"/>
  <c r="F85" i="53035"/>
  <c r="F82" i="53035"/>
  <c r="C33" i="53038" s="1"/>
  <c r="F26" i="53035"/>
  <c r="C4" i="3" s="1"/>
  <c r="F34" i="53035"/>
  <c r="D20" i="3" s="1"/>
  <c r="F57" i="53035"/>
  <c r="K6" i="3" s="1"/>
  <c r="F33" i="53035"/>
  <c r="D19" i="3" s="1"/>
  <c r="G20" i="6"/>
  <c r="E35" i="53035"/>
  <c r="F35" i="53035" s="1"/>
  <c r="D21" i="3" s="1"/>
  <c r="E50" i="53035"/>
  <c r="F50" i="53035" s="1"/>
  <c r="G29" i="3" s="1"/>
  <c r="E70" i="53035"/>
  <c r="F70" i="53035" s="1"/>
  <c r="C8" i="53037" s="1"/>
  <c r="E49" i="53035"/>
  <c r="F49" i="53035" s="1"/>
  <c r="F29" i="3" s="1"/>
  <c r="E37" i="53035"/>
  <c r="F37" i="53035" s="1"/>
  <c r="D24" i="3" s="1"/>
  <c r="E10" i="53035"/>
  <c r="F10" i="53035" s="1"/>
  <c r="E13" i="53035"/>
  <c r="D65" i="53035"/>
  <c r="F65" i="53035" s="1"/>
  <c r="J21" i="3" s="1"/>
  <c r="E83" i="53035"/>
  <c r="F83" i="53035" s="1"/>
  <c r="E48" i="53035"/>
  <c r="F48" i="53035" s="1"/>
  <c r="G23" i="3" s="1"/>
  <c r="E67" i="53035"/>
  <c r="F67" i="53035" s="1"/>
  <c r="C5" i="53037" s="1"/>
  <c r="E11" i="53035"/>
  <c r="F11" i="53035" s="1"/>
  <c r="C30" i="53036" s="1"/>
  <c r="D5" i="53035"/>
  <c r="E24" i="53035"/>
  <c r="F24" i="53035" s="1"/>
  <c r="D53" i="53036" s="1"/>
  <c r="D88" i="53035"/>
  <c r="E22" i="53035"/>
  <c r="F22" i="53035" s="1"/>
  <c r="D51" i="53036" s="1"/>
  <c r="E8" i="53035"/>
  <c r="F8" i="53035" s="1"/>
  <c r="F23" i="53036" s="1"/>
  <c r="E43" i="53035"/>
  <c r="F43" i="53035" s="1"/>
  <c r="D37" i="3" s="1"/>
  <c r="W19" i="53039" s="1"/>
  <c r="E38" i="53035"/>
  <c r="F38" i="53035" s="1"/>
  <c r="D25" i="3" s="1"/>
  <c r="E71" i="53035"/>
  <c r="F71" i="53035" s="1"/>
  <c r="C9" i="53037" s="1"/>
  <c r="E87" i="53035"/>
  <c r="F87" i="53035" s="1"/>
  <c r="E89" i="53035"/>
  <c r="E75" i="53035"/>
  <c r="F75" i="53035" s="1"/>
  <c r="E23" i="53035"/>
  <c r="F23" i="53035" s="1"/>
  <c r="D52" i="53036" s="1"/>
  <c r="E7" i="53035"/>
  <c r="F7" i="53035" s="1"/>
  <c r="F20" i="53036" s="1"/>
  <c r="E9" i="53035"/>
  <c r="F9" i="53035" s="1"/>
  <c r="F26" i="53036" s="1"/>
  <c r="E76" i="53035"/>
  <c r="F76" i="53035" s="1"/>
  <c r="D90" i="53035"/>
  <c r="F90" i="53035" s="1"/>
  <c r="E38" i="53036" s="1"/>
  <c r="E27" i="53035"/>
  <c r="F27" i="53035" s="1"/>
  <c r="C5" i="3" s="1"/>
  <c r="E47" i="53035"/>
  <c r="F47" i="53035" s="1"/>
  <c r="G45" i="3" s="1"/>
  <c r="E64" i="53035"/>
  <c r="F64" i="53035" s="1"/>
  <c r="E56" i="53035"/>
  <c r="F56" i="53035" s="1"/>
  <c r="K4" i="3" s="1"/>
  <c r="E39" i="53035"/>
  <c r="F39" i="53035" s="1"/>
  <c r="C26" i="3" s="1"/>
  <c r="D89" i="53035"/>
  <c r="E31" i="53035"/>
  <c r="F31" i="53035" s="1"/>
  <c r="D17" i="3" s="1"/>
  <c r="E32" i="53035"/>
  <c r="F32" i="53035" s="1"/>
  <c r="D18" i="3" s="1"/>
  <c r="E17" i="53035"/>
  <c r="F17" i="53035" s="1"/>
  <c r="D45" i="53036" s="1"/>
  <c r="E40" i="53035"/>
  <c r="F40" i="53035" s="1"/>
  <c r="D27" i="3" s="1"/>
  <c r="E92" i="53035"/>
  <c r="D93" i="53035"/>
  <c r="E93" i="53035"/>
  <c r="D91" i="53035"/>
  <c r="F91" i="53035" s="1"/>
  <c r="C41" i="53036" s="1"/>
  <c r="D14" i="53035"/>
  <c r="F14" i="53035" s="1"/>
  <c r="D13" i="53035"/>
  <c r="F13" i="53035" s="1"/>
  <c r="F4" i="53035"/>
  <c r="D2" i="53036" s="1"/>
  <c r="C2" i="3" s="1"/>
  <c r="U39" i="3"/>
  <c r="O17" i="3"/>
  <c r="S17" i="3" s="1"/>
  <c r="O24" i="3"/>
  <c r="S24" i="3" s="1"/>
  <c r="V37" i="3"/>
  <c r="W37" i="3"/>
  <c r="N17" i="3"/>
  <c r="U38" i="3"/>
  <c r="T38" i="3" s="1"/>
  <c r="X37" i="3"/>
  <c r="K5" i="53039"/>
  <c r="H6" i="53039"/>
  <c r="P6" i="53039"/>
  <c r="L5" i="53039"/>
  <c r="I6" i="53039"/>
  <c r="Q6" i="53039"/>
  <c r="M5" i="53039"/>
  <c r="J6" i="53039"/>
  <c r="J5" i="53039"/>
  <c r="N5" i="53039"/>
  <c r="K6" i="53039"/>
  <c r="O6" i="53039"/>
  <c r="G5" i="53039"/>
  <c r="O5" i="53039"/>
  <c r="L6" i="53039"/>
  <c r="G6" i="53039"/>
  <c r="H5" i="53039"/>
  <c r="P5" i="53039"/>
  <c r="M6" i="53039"/>
  <c r="I5" i="53039"/>
  <c r="Q5" i="53039"/>
  <c r="N6" i="53039"/>
  <c r="E20" i="6"/>
  <c r="F20" i="6"/>
  <c r="O20" i="6"/>
  <c r="F32" i="53029"/>
  <c r="W32" i="53029" s="1"/>
  <c r="G26" i="53036"/>
  <c r="F53" i="6"/>
  <c r="AN47" i="53039"/>
  <c r="J12" i="3" s="1"/>
  <c r="F4" i="53039"/>
  <c r="F14" i="53036"/>
  <c r="AN31" i="53039"/>
  <c r="F27" i="53029"/>
  <c r="W27" i="53029" s="1"/>
  <c r="F5" i="53029"/>
  <c r="W5" i="53029" s="1"/>
  <c r="L22" i="6"/>
  <c r="L60" i="6" s="1"/>
  <c r="D4" i="3"/>
  <c r="C2" i="53038" s="1"/>
  <c r="L21" i="6"/>
  <c r="AN51" i="53039"/>
  <c r="F52" i="6"/>
  <c r="AN42" i="53039"/>
  <c r="P15" i="3" s="1"/>
  <c r="AN45" i="53039"/>
  <c r="U13" i="3" s="1"/>
  <c r="I24" i="6"/>
  <c r="L51" i="6" s="1"/>
  <c r="F54" i="6"/>
  <c r="AN29" i="53039"/>
  <c r="AN39" i="53039"/>
  <c r="Z16" i="3" s="1"/>
  <c r="I23" i="6"/>
  <c r="L41" i="6" s="1"/>
  <c r="M24" i="6"/>
  <c r="L55" i="6" s="1"/>
  <c r="H22" i="6"/>
  <c r="L56" i="6" s="1"/>
  <c r="AN8" i="53039"/>
  <c r="M23" i="6"/>
  <c r="L45" i="6" s="1"/>
  <c r="J22" i="6"/>
  <c r="L58" i="6" s="1"/>
  <c r="L23" i="6"/>
  <c r="L44" i="6" s="1"/>
  <c r="AN52" i="53039"/>
  <c r="L24" i="6"/>
  <c r="L54" i="6" s="1"/>
  <c r="AN46" i="53039"/>
  <c r="P1" i="3" s="1"/>
  <c r="J23" i="6"/>
  <c r="L42" i="6" s="1"/>
  <c r="AN19" i="53039"/>
  <c r="F51" i="6"/>
  <c r="AN17" i="53039"/>
  <c r="N23" i="6"/>
  <c r="AN18" i="53039"/>
  <c r="AN10" i="53039"/>
  <c r="AN21" i="53039"/>
  <c r="AN43" i="53039"/>
  <c r="M13" i="3" s="1"/>
  <c r="AN15" i="53039"/>
  <c r="I5" i="6"/>
  <c r="F53" i="53036" s="1"/>
  <c r="AN28" i="53039"/>
  <c r="AN53" i="53039"/>
  <c r="AN37" i="53039"/>
  <c r="X15" i="3" s="1"/>
  <c r="AN32" i="53039"/>
  <c r="P16" i="3" s="1"/>
  <c r="F17" i="53039"/>
  <c r="G23" i="53036"/>
  <c r="G32" i="53029"/>
  <c r="X32" i="53029" s="1"/>
  <c r="H23" i="6"/>
  <c r="L40" i="6" s="1"/>
  <c r="AN50" i="53039"/>
  <c r="M21" i="6"/>
  <c r="N22" i="6"/>
  <c r="M22" i="6"/>
  <c r="N24" i="6"/>
  <c r="L61" i="6" s="1"/>
  <c r="AN49" i="53039"/>
  <c r="M15" i="3" s="1"/>
  <c r="H24" i="6"/>
  <c r="L50" i="6" s="1"/>
  <c r="K21" i="6"/>
  <c r="L49" i="6" s="1"/>
  <c r="AN33" i="53039"/>
  <c r="T15" i="3" s="1"/>
  <c r="J21" i="6"/>
  <c r="L48" i="6" s="1"/>
  <c r="AN40" i="53039"/>
  <c r="AA16" i="3" s="1"/>
  <c r="F55" i="6"/>
  <c r="K24" i="6"/>
  <c r="L53" i="6" s="1"/>
  <c r="AN14" i="53039"/>
  <c r="AN34" i="53039"/>
  <c r="U15" i="3" s="1"/>
  <c r="I21" i="6"/>
  <c r="L47" i="6" s="1"/>
  <c r="AN54" i="53039"/>
  <c r="AN20" i="53039"/>
  <c r="AN23" i="53039"/>
  <c r="AN38" i="53039"/>
  <c r="Y16" i="3" s="1"/>
  <c r="F33" i="53029"/>
  <c r="W33" i="53029" s="1"/>
  <c r="F11" i="53039"/>
  <c r="F12" i="53039"/>
  <c r="F19" i="53039"/>
  <c r="K23" i="6"/>
  <c r="L43" i="6" s="1"/>
  <c r="AN12" i="53039"/>
  <c r="AN41" i="53039"/>
  <c r="AB16" i="3" s="1"/>
  <c r="AN11" i="53039"/>
  <c r="AN22" i="53039"/>
  <c r="AN30" i="53039"/>
  <c r="K22" i="6"/>
  <c r="L59" i="6" s="1"/>
  <c r="AN48" i="53039"/>
  <c r="F30" i="53029"/>
  <c r="W30" i="53029" s="1"/>
  <c r="F6" i="53029"/>
  <c r="W6" i="53029" s="1"/>
  <c r="AN16" i="53039"/>
  <c r="AN9" i="53039"/>
  <c r="J24" i="6"/>
  <c r="L52" i="6" s="1"/>
  <c r="F14" i="53039"/>
  <c r="AN44" i="53039"/>
  <c r="R13" i="3" s="1"/>
  <c r="F4" i="6"/>
  <c r="G5" i="6" s="1"/>
  <c r="AN7" i="53039"/>
  <c r="N21" i="6"/>
  <c r="L62" i="6" s="1"/>
  <c r="AN36" i="53039"/>
  <c r="W15" i="3" s="1"/>
  <c r="F18" i="53029"/>
  <c r="W18" i="53029" s="1"/>
  <c r="G31" i="53029"/>
  <c r="X31" i="53029" s="1"/>
  <c r="F18" i="53039"/>
  <c r="AN6" i="53039"/>
  <c r="AN35" i="53039"/>
  <c r="H21" i="6"/>
  <c r="L46" i="6" s="1"/>
  <c r="AN13" i="53039"/>
  <c r="C20" i="3"/>
  <c r="N7" i="53039" s="1"/>
  <c r="W34" i="3"/>
  <c r="X22" i="53029"/>
  <c r="X3" i="53029"/>
  <c r="E77" i="53035"/>
  <c r="F77" i="53035" s="1"/>
  <c r="E68" i="53035"/>
  <c r="F68" i="53035" s="1"/>
  <c r="C6" i="53037" s="1"/>
  <c r="E52" i="53035"/>
  <c r="F52" i="53035" s="1"/>
  <c r="E60" i="53035"/>
  <c r="F60" i="53035" s="1"/>
  <c r="J29" i="3" s="1"/>
  <c r="E18" i="53035"/>
  <c r="F18" i="53035" s="1"/>
  <c r="D47" i="53036" s="1"/>
  <c r="W32" i="3"/>
  <c r="E12" i="53035"/>
  <c r="F12" i="53035" s="1"/>
  <c r="C31" i="53036" s="1"/>
  <c r="E59" i="53035"/>
  <c r="F59" i="53035" s="1"/>
  <c r="K17" i="3" s="1"/>
  <c r="K28" i="3" s="1"/>
  <c r="E46" i="53035"/>
  <c r="F46" i="53035" s="1"/>
  <c r="D45" i="3" s="1"/>
  <c r="E19" i="53035"/>
  <c r="F19" i="53035" s="1"/>
  <c r="D48" i="53036" s="1"/>
  <c r="E25" i="53035"/>
  <c r="F25" i="53035" s="1"/>
  <c r="D54" i="53036" s="1"/>
  <c r="E74" i="53035"/>
  <c r="F74" i="53035" s="1"/>
  <c r="C14" i="53037" s="1"/>
  <c r="W33" i="3"/>
  <c r="E80" i="53035"/>
  <c r="F80" i="53035" s="1"/>
  <c r="C15" i="53038" s="1"/>
  <c r="E79" i="53035"/>
  <c r="F79" i="53035" s="1"/>
  <c r="C6" i="53038" s="1"/>
  <c r="E5" i="53035"/>
  <c r="E58" i="53035"/>
  <c r="F58" i="53035" s="1"/>
  <c r="J17" i="3" s="1"/>
  <c r="E72" i="53035"/>
  <c r="F72" i="53035" s="1"/>
  <c r="C10" i="53037" s="1"/>
  <c r="E30" i="53035"/>
  <c r="F30" i="53035" s="1"/>
  <c r="C16" i="3" s="1"/>
  <c r="W30" i="3"/>
  <c r="E44" i="53035"/>
  <c r="F44" i="53035" s="1"/>
  <c r="C40" i="3" s="1"/>
  <c r="E86" i="53035"/>
  <c r="F86" i="53035" s="1"/>
  <c r="E51" i="53035"/>
  <c r="F51" i="53035" s="1"/>
  <c r="E55" i="53035"/>
  <c r="F55" i="53035" s="1"/>
  <c r="J4" i="3" s="1"/>
  <c r="E36" i="53035"/>
  <c r="F36" i="53035" s="1"/>
  <c r="D22" i="3" s="1"/>
  <c r="E21" i="53035"/>
  <c r="F21" i="53035" s="1"/>
  <c r="D50" i="53036" s="1"/>
  <c r="F18" i="53036"/>
  <c r="J24" i="3"/>
  <c r="K24" i="3" s="1"/>
  <c r="E63" i="53035"/>
  <c r="F63" i="53035" s="1"/>
  <c r="E54" i="53035"/>
  <c r="F54" i="53035" s="1"/>
  <c r="E69" i="53035"/>
  <c r="F69" i="53035" s="1"/>
  <c r="C7" i="53037" s="1"/>
  <c r="E53" i="53035"/>
  <c r="F53" i="53035" s="1"/>
  <c r="D47" i="3" s="1"/>
  <c r="E42" i="53035"/>
  <c r="F42" i="53035" s="1"/>
  <c r="W31" i="3"/>
  <c r="W35" i="3"/>
  <c r="E29" i="53035"/>
  <c r="F29" i="53035" s="1"/>
  <c r="E41" i="53035"/>
  <c r="F41" i="53035" s="1"/>
  <c r="D29" i="3" s="1"/>
  <c r="E16" i="53035"/>
  <c r="F16" i="53035" s="1"/>
  <c r="D44" i="53036" s="1"/>
  <c r="E84" i="53035"/>
  <c r="F84" i="53035" s="1"/>
  <c r="E20" i="53035"/>
  <c r="F20" i="53035" s="1"/>
  <c r="D49" i="53036" s="1"/>
  <c r="M16" i="3"/>
  <c r="M17" i="3" s="1"/>
  <c r="W40" i="3"/>
  <c r="M2" i="53037"/>
  <c r="K2" i="53038"/>
  <c r="B35" i="6"/>
  <c r="J20" i="3"/>
  <c r="J19" i="3"/>
  <c r="O26" i="6"/>
  <c r="O28" i="6" s="1"/>
  <c r="F9" i="53039"/>
  <c r="G29" i="53029"/>
  <c r="X29" i="53029" s="1"/>
  <c r="F21" i="53029"/>
  <c r="W21" i="53029" s="1"/>
  <c r="F23" i="53029"/>
  <c r="W23" i="53029" s="1"/>
  <c r="G28" i="53029"/>
  <c r="X28" i="53029" s="1"/>
  <c r="G33" i="53029"/>
  <c r="X33" i="53029" s="1"/>
  <c r="F16" i="53039"/>
  <c r="F26" i="53029"/>
  <c r="W26" i="53029" s="1"/>
  <c r="F19" i="53029"/>
  <c r="W19" i="53029" s="1"/>
  <c r="F8" i="53039"/>
  <c r="F15" i="53039"/>
  <c r="F3" i="53029"/>
  <c r="W3" i="53029" s="1"/>
  <c r="F4" i="53029"/>
  <c r="W4" i="53029" s="1"/>
  <c r="F17" i="53029"/>
  <c r="W17" i="53029" s="1"/>
  <c r="F31" i="53029"/>
  <c r="W31" i="53029" s="1"/>
  <c r="F16" i="53036"/>
  <c r="G20" i="53036"/>
  <c r="F15" i="53036"/>
  <c r="F28" i="53029"/>
  <c r="W28" i="53029" s="1"/>
  <c r="G30" i="53029"/>
  <c r="X30" i="53029" s="1"/>
  <c r="F14" i="53029"/>
  <c r="W14" i="53029" s="1"/>
  <c r="F7" i="53039"/>
  <c r="F10" i="53039"/>
  <c r="F9" i="53029"/>
  <c r="W9" i="53029" s="1"/>
  <c r="F17" i="53036"/>
  <c r="F25" i="53029"/>
  <c r="W25" i="53029" s="1"/>
  <c r="F6" i="53039"/>
  <c r="F16" i="53029"/>
  <c r="W16" i="53029" s="1"/>
  <c r="F13" i="53039"/>
  <c r="F8" i="53029"/>
  <c r="W8" i="53029" s="1"/>
  <c r="F5" i="53039"/>
  <c r="F22" i="53029"/>
  <c r="W22" i="53029" s="1"/>
  <c r="F13" i="53029"/>
  <c r="W13" i="53029" s="1"/>
  <c r="J18" i="3"/>
  <c r="G18" i="3" s="1"/>
  <c r="F13" i="53036"/>
  <c r="F24" i="53029"/>
  <c r="W24" i="53029" s="1"/>
  <c r="G27" i="53029"/>
  <c r="X27" i="53029" s="1"/>
  <c r="F29" i="53029"/>
  <c r="W29" i="53029" s="1"/>
  <c r="F11" i="53029"/>
  <c r="W11" i="53029" s="1"/>
  <c r="F15" i="53029"/>
  <c r="W15" i="53029" s="1"/>
  <c r="F10" i="53029"/>
  <c r="W10" i="53029" s="1"/>
  <c r="F7" i="53029"/>
  <c r="W7" i="53029" s="1"/>
  <c r="F20" i="53029"/>
  <c r="W20" i="53029" s="1"/>
  <c r="F12" i="53029"/>
  <c r="W12" i="53029" s="1"/>
  <c r="D92" i="53035"/>
  <c r="E81" i="53035"/>
  <c r="F81" i="53035" s="1"/>
  <c r="C24" i="53038" s="1"/>
  <c r="E88" i="53035"/>
  <c r="F92" i="53035" l="1"/>
  <c r="K5" i="3" s="1"/>
  <c r="F89" i="53035"/>
  <c r="E37" i="53036" s="1"/>
  <c r="F5" i="53035"/>
  <c r="D4" i="53036" s="1"/>
  <c r="J28" i="3"/>
  <c r="F88" i="53035"/>
  <c r="D36" i="53036" s="1"/>
  <c r="G4" i="6"/>
  <c r="F93" i="53035"/>
  <c r="C33" i="53036" s="1"/>
  <c r="D34" i="3"/>
  <c r="W16" i="53039" s="1"/>
  <c r="H4" i="53039"/>
  <c r="P17" i="3"/>
  <c r="I4" i="53039" s="1"/>
  <c r="K18" i="3"/>
  <c r="G4" i="53029"/>
  <c r="I4" i="53029" s="1"/>
  <c r="D35" i="3"/>
  <c r="W17" i="53039" s="1"/>
  <c r="B4" i="6"/>
  <c r="D5" i="3" s="1"/>
  <c r="D2" i="53038" s="1"/>
  <c r="G7" i="53039"/>
  <c r="P7" i="53039"/>
  <c r="Q7" i="53039"/>
  <c r="H7" i="53039"/>
  <c r="I7" i="53039"/>
  <c r="L7" i="53039"/>
  <c r="J7" i="53039"/>
  <c r="M7" i="53039"/>
  <c r="G20" i="3"/>
  <c r="K7" i="53039"/>
  <c r="G19" i="3"/>
  <c r="W36" i="3"/>
  <c r="O7" i="53039"/>
  <c r="G4" i="53039"/>
  <c r="C2" i="53037"/>
  <c r="W17" i="3"/>
  <c r="D33" i="3"/>
  <c r="W15" i="53039" s="1"/>
  <c r="D31" i="3"/>
  <c r="W13" i="53039" s="1"/>
  <c r="D32" i="3"/>
  <c r="W14" i="53039" s="1"/>
  <c r="D36" i="3"/>
  <c r="W18" i="53039" s="1"/>
  <c r="D30" i="3"/>
  <c r="C21" i="3"/>
  <c r="L8" i="53039" s="1"/>
  <c r="R17" i="3"/>
  <c r="Q17" i="3" l="1"/>
  <c r="T17" i="3" s="1"/>
  <c r="U17" i="3" s="1"/>
  <c r="J34" i="3"/>
  <c r="F34" i="3" s="1"/>
  <c r="G21" i="3"/>
  <c r="G7" i="53029" s="1"/>
  <c r="I7" i="53029" s="1"/>
  <c r="W12" i="53039"/>
  <c r="G37" i="3"/>
  <c r="G26" i="53029" s="1"/>
  <c r="I26" i="53029" s="1"/>
  <c r="B15" i="53035"/>
  <c r="D15" i="53035"/>
  <c r="K20" i="3"/>
  <c r="G6" i="53029"/>
  <c r="I6" i="53029" s="1"/>
  <c r="G5" i="53029"/>
  <c r="I5" i="53029" s="1"/>
  <c r="K19" i="3"/>
  <c r="J35" i="3"/>
  <c r="F35" i="3" s="1"/>
  <c r="D2" i="53037"/>
  <c r="K8" i="53039"/>
  <c r="M8" i="53039"/>
  <c r="G8" i="53039"/>
  <c r="J8" i="53039"/>
  <c r="I8" i="53039"/>
  <c r="Q8" i="53039"/>
  <c r="N8" i="53039"/>
  <c r="P8" i="53039"/>
  <c r="H8" i="53039"/>
  <c r="O8" i="53039"/>
  <c r="C22" i="3"/>
  <c r="J31" i="3"/>
  <c r="J33" i="3"/>
  <c r="J32" i="3"/>
  <c r="J30" i="3"/>
  <c r="F30" i="3" s="1"/>
  <c r="J36" i="3"/>
  <c r="X4" i="53029"/>
  <c r="G22" i="3" l="1"/>
  <c r="G25" i="3" s="1"/>
  <c r="O25" i="3" s="1"/>
  <c r="S25" i="3" s="1"/>
  <c r="N22" i="3"/>
  <c r="M22" i="3"/>
  <c r="F15" i="53035"/>
  <c r="X26" i="53029"/>
  <c r="K34" i="3"/>
  <c r="U34" i="3" s="1"/>
  <c r="T34" i="3" s="1"/>
  <c r="G15" i="53029"/>
  <c r="I15" i="53029" s="1"/>
  <c r="X5" i="53029"/>
  <c r="K35" i="3"/>
  <c r="U35" i="3" s="1"/>
  <c r="T35" i="3" s="1"/>
  <c r="G16" i="53029"/>
  <c r="I16" i="53029" s="1"/>
  <c r="K30" i="3"/>
  <c r="U30" i="3" s="1"/>
  <c r="G11" i="53029"/>
  <c r="I11" i="53029" s="1"/>
  <c r="X6" i="53029"/>
  <c r="F33" i="3"/>
  <c r="F31" i="3"/>
  <c r="C24" i="3"/>
  <c r="C25" i="3" s="1"/>
  <c r="F36" i="3"/>
  <c r="F32" i="3"/>
  <c r="N4" i="53039"/>
  <c r="O4" i="53039"/>
  <c r="M4" i="53039"/>
  <c r="P4" i="53039"/>
  <c r="J4" i="53039"/>
  <c r="Q4" i="53039"/>
  <c r="K4" i="53039"/>
  <c r="L4" i="53039"/>
  <c r="J37" i="3"/>
  <c r="X7" i="53029"/>
  <c r="G10" i="53029" l="1"/>
  <c r="I10" i="53029" s="1"/>
  <c r="G8" i="53029"/>
  <c r="I8" i="53029" s="1"/>
  <c r="O22" i="3"/>
  <c r="P22" i="3" s="1"/>
  <c r="Q22" i="3" s="1"/>
  <c r="K40" i="3"/>
  <c r="U40" i="3" s="1"/>
  <c r="G9" i="53039"/>
  <c r="G16" i="53039"/>
  <c r="N25" i="3"/>
  <c r="G11" i="53039" s="1"/>
  <c r="M25" i="3"/>
  <c r="N24" i="3"/>
  <c r="G10" i="53039" s="1"/>
  <c r="M24" i="3"/>
  <c r="H16" i="53039"/>
  <c r="F37" i="3"/>
  <c r="Q15" i="53039"/>
  <c r="L15" i="53039"/>
  <c r="M17" i="53039"/>
  <c r="G19" i="53039"/>
  <c r="P17" i="53039"/>
  <c r="M14" i="53039"/>
  <c r="G12" i="53029"/>
  <c r="I12" i="53029" s="1"/>
  <c r="K31" i="3"/>
  <c r="U31" i="3" s="1"/>
  <c r="J15" i="53039"/>
  <c r="I14" i="53039"/>
  <c r="K33" i="3"/>
  <c r="U33" i="3" s="1"/>
  <c r="T33" i="3" s="1"/>
  <c r="G14" i="53029"/>
  <c r="I14" i="53029" s="1"/>
  <c r="M15" i="53039"/>
  <c r="K32" i="3"/>
  <c r="U32" i="3" s="1"/>
  <c r="T32" i="3" s="1"/>
  <c r="G13" i="53029"/>
  <c r="I13" i="53029" s="1"/>
  <c r="K36" i="3"/>
  <c r="U36" i="3" s="1"/>
  <c r="T36" i="3" s="1"/>
  <c r="G17" i="53029"/>
  <c r="I17" i="53029" s="1"/>
  <c r="K17" i="53039"/>
  <c r="G12" i="53039"/>
  <c r="H12" i="53039"/>
  <c r="L14" i="53039"/>
  <c r="N15" i="53039"/>
  <c r="K14" i="53039"/>
  <c r="O17" i="53039"/>
  <c r="N14" i="53039"/>
  <c r="K16" i="53039"/>
  <c r="L16" i="53039"/>
  <c r="H18" i="53039"/>
  <c r="G14" i="53039"/>
  <c r="G17" i="53039"/>
  <c r="N17" i="53039"/>
  <c r="O14" i="53039"/>
  <c r="G13" i="53039"/>
  <c r="I13" i="53039"/>
  <c r="X15" i="53029"/>
  <c r="P15" i="53039"/>
  <c r="Q17" i="53039"/>
  <c r="J14" i="53039"/>
  <c r="G18" i="53039"/>
  <c r="M16" i="53039"/>
  <c r="I18" i="53039"/>
  <c r="K15" i="53039"/>
  <c r="L17" i="53039"/>
  <c r="P14" i="53039"/>
  <c r="I19" i="53039"/>
  <c r="J16" i="53039"/>
  <c r="I16" i="53039"/>
  <c r="I15" i="53039"/>
  <c r="H17" i="53039"/>
  <c r="N16" i="53039"/>
  <c r="H14" i="53039"/>
  <c r="I17" i="53039"/>
  <c r="Q16" i="53039"/>
  <c r="H15" i="53039"/>
  <c r="X16" i="53029"/>
  <c r="O15" i="53039"/>
  <c r="J17" i="53039"/>
  <c r="Q14" i="53039"/>
  <c r="I12" i="53039"/>
  <c r="P16" i="53039"/>
  <c r="H19" i="53039"/>
  <c r="O16" i="53039"/>
  <c r="G15" i="53039"/>
  <c r="H13" i="53039"/>
  <c r="J18" i="53039"/>
  <c r="O18" i="53039"/>
  <c r="L18" i="53039"/>
  <c r="N18" i="53039"/>
  <c r="Q18" i="53039"/>
  <c r="K18" i="53039"/>
  <c r="M18" i="53039"/>
  <c r="P18" i="53039"/>
  <c r="W22" i="3"/>
  <c r="H10" i="53039"/>
  <c r="R22" i="3"/>
  <c r="H11" i="53039"/>
  <c r="X11" i="53029"/>
  <c r="G18" i="53029" l="1"/>
  <c r="I18" i="53029" s="1"/>
  <c r="H36" i="53029" s="1"/>
  <c r="J40" i="3"/>
  <c r="X8" i="53029"/>
  <c r="H9" i="53039"/>
  <c r="K37" i="3"/>
  <c r="U37" i="3" s="1"/>
  <c r="R24" i="3"/>
  <c r="P24" i="3"/>
  <c r="Q24" i="3" s="1"/>
  <c r="R25" i="3"/>
  <c r="P25" i="3"/>
  <c r="Q25" i="3" s="1"/>
  <c r="X17" i="53029"/>
  <c r="X13" i="53029"/>
  <c r="X12" i="53029"/>
  <c r="S22" i="3"/>
  <c r="T22" i="3" s="1"/>
  <c r="X14" i="53029"/>
  <c r="T31" i="3"/>
  <c r="M13" i="53039"/>
  <c r="J13" i="53039"/>
  <c r="O13" i="53039"/>
  <c r="N13" i="53039"/>
  <c r="Q13" i="53039"/>
  <c r="K13" i="53039"/>
  <c r="P13" i="53039"/>
  <c r="L13" i="53039"/>
  <c r="T30" i="3"/>
  <c r="L12" i="53039"/>
  <c r="Q12" i="53039"/>
  <c r="N12" i="53039"/>
  <c r="K12" i="53039"/>
  <c r="P12" i="53039"/>
  <c r="M12" i="53039"/>
  <c r="J12" i="53039"/>
  <c r="O12" i="53039"/>
  <c r="T40" i="3"/>
  <c r="W25" i="3"/>
  <c r="W24" i="3"/>
  <c r="V14" i="3"/>
  <c r="X10" i="53029"/>
  <c r="I11" i="53039" l="1"/>
  <c r="T24" i="3"/>
  <c r="U24" i="3" s="1"/>
  <c r="T25" i="3"/>
  <c r="U25" i="3" s="1"/>
  <c r="U22" i="3"/>
  <c r="I9" i="53039"/>
  <c r="I10" i="53039"/>
  <c r="M10" i="53039"/>
  <c r="T37" i="3"/>
  <c r="M19" i="53039"/>
  <c r="L19" i="53039"/>
  <c r="O19" i="53039"/>
  <c r="Q19" i="53039"/>
  <c r="K19" i="53039"/>
  <c r="N19" i="53039"/>
  <c r="J19" i="53039"/>
  <c r="P19" i="53039"/>
  <c r="K9" i="53039"/>
  <c r="L9" i="53039"/>
  <c r="Q9" i="53039"/>
  <c r="M9" i="53039"/>
  <c r="N9" i="53039"/>
  <c r="O9" i="53039"/>
  <c r="P9" i="53039"/>
  <c r="J9" i="53039"/>
  <c r="O10" i="53039"/>
  <c r="X18" i="53029"/>
  <c r="W14" i="3"/>
  <c r="H37" i="53029"/>
  <c r="H38" i="53029" s="1"/>
  <c r="N10" i="53039" l="1"/>
  <c r="L10" i="53039"/>
  <c r="J10" i="53039"/>
  <c r="Q10" i="53039"/>
  <c r="K10" i="53039"/>
  <c r="P10" i="53039"/>
  <c r="M11" i="53039"/>
  <c r="N11" i="53039"/>
  <c r="O11" i="53039"/>
  <c r="P11" i="53039"/>
  <c r="J11" i="53039"/>
  <c r="Q11" i="53039"/>
  <c r="L11" i="53039"/>
  <c r="K11" i="53039"/>
  <c r="U14" i="3"/>
  <c r="H44" i="53029"/>
  <c r="H42" i="53029"/>
  <c r="H43" i="53029"/>
  <c r="H40" i="53029"/>
  <c r="H41" i="53029"/>
  <c r="H39" i="53029"/>
  <c r="H46" i="53029" l="1"/>
  <c r="G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Fellows, Carl (Admin)</author>
  </authors>
  <commentList>
    <comment ref="N5" authorId="0" shapeId="0" xr:uid="{B6430D57-6E5B-45FC-8678-C1DE3EF9AA1A}">
      <text>
        <r>
          <rPr>
            <sz val="12"/>
            <color indexed="81"/>
            <rFont val="Arial"/>
            <family val="2"/>
          </rPr>
          <t>This rarely changes but keep an eye on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H34" authorId="0" shapeId="0" xr:uid="{00000000-0006-0000-0500-000001000000}">
      <text>
        <r>
          <rPr>
            <sz val="10"/>
            <color indexed="81"/>
            <rFont val="Arial"/>
            <family val="2"/>
          </rPr>
          <t>SELECT MainUnionCT1.AuthCode, AuthCodes."Authority name", AuthCodes."Authority name Welsh", MainUnionCT1.ColumnRef, ColRefs.ColumnDesc, MainUnionCT1.Data, MainUnionCT1.FormRef, MainUnionCT1.RowRef, RowRefs.RowDesc, MainUnionCT1.YearCode
FROM SD_LocalGovernmentFinance.dbo.AuthCodes AuthCodes, SD_LocalGovernmentFinance.dbo.ColRefs ColRefs, SD_LocalGovernmentFinance.dbo.MainUnionCT1 MainUnionCT1, SD_LocalGovernmentFinance.dbo.RowRefs RowRefs
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((RowRefs.YearCode=202021) AND (RowRefs.RowRef=$26))</t>
        </r>
      </text>
    </comment>
    <comment ref="K34" authorId="0" shapeId="0" xr:uid="{00000000-0006-0000-0500-000002000000}">
      <text>
        <r>
          <rPr>
            <sz val="10"/>
            <color indexed="81"/>
            <rFont val="Arial"/>
            <family val="2"/>
          </rPr>
          <t>SELECT MainUnionCT1.AuthCode, AuthCodes."Authority name", AuthCodes."Authority name Welsh", MainUnionCT1.ColumnRef, ColRefs.ColumnDesc, MainUnionCT1.Data, MainUnionCT1.FormRef, MainUnionCT1.RowRef, RowRefs.RowDesc, MainUnionCT1.YearCode
FROM SD_LocalGovernmentFinance.dbo.AuthCodes AuthCodes, SD_LocalGovernmentFinance.dbo.ColRefs ColRefs, SD_LocalGovernmentFinance.dbo.MainUnionCT1 MainUnionCT1, SD_LocalGovernmentFinance.dbo.RowRefs RowRefs
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((RowRefs.YearCode=202223) AND (RowRefs.RowRef=$26))</t>
        </r>
      </text>
    </comment>
    <comment ref="H35" authorId="0" shapeId="0" xr:uid="{2335357C-7A92-4321-8676-A050BA481AC7}">
      <text>
        <r>
          <rPr>
            <sz val="10"/>
            <color indexed="81"/>
            <rFont val="Arial"/>
            <family val="2"/>
          </rPr>
          <t>E5 - Council tax base for tax-setting purposes (=E3+E4)</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AJ1" authorId="0" shapeId="0" xr:uid="{00000000-0006-0000-0800-000001000000}">
      <text>
        <r>
          <rPr>
            <sz val="10"/>
            <color indexed="81"/>
            <rFont val="Arial"/>
            <family val="2"/>
          </rPr>
          <t>SELECT MainBR.YearCode, MainBR.FormRef, MainBR.AuthCode, RowRefs.RowRef, RowRefs.StandDesc, MainBR.Data
FROM SD_LocalGovernmentFinance.dbo.ColRefs ColRefs, SD_LocalGovernmentFinance.dbo.MainBR MainBR, SD_LocalGovernmentFinance.dbo.RowRefs RowRefs
WHERE MainBR.ColumnRef = ColRefs.ColumnRef AND MainBR.FormRef = ColRefs.FormRef AND MainBR.YearCode = ColRefs.YearCode AND MainBR.FormRef = RowRefs.FormRef AND MainBR.RowRef = RowRefs.RowRef AND MainBR.YearCode = RowRefs.YearCode AND ((MainBR.YearCode&gt;=202223) AND (MainBR.AuthCode&lt;596) AND (MainBR.FormRef='BR2') AND (MainBR.ColumnRef=$1))</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name="DataIn (ValData)" type="1" refreshedVersion="8" background="1" saveData="1">
    <dbPr connection="DRIVER=SQL Server;SERVER=HCA124;UID=andersonb1;Trusted_Connection=Yes;APP=Microsoft Office;WSID=HRL219;DATABASE=SD_LocalGovernmentFinance;LANGUAGE=British" command="SELECT MainBR.YearCode, MainBR.FormRef, MainBR.AuthCode, RowRefs.RowRef, RowRefs.StandDesc, MainBR.Data_x000d__x000a_FROM SD_LocalGovernmentFinance.dbo.ColRefs ColRefs, SD_LocalGovernmentFinance.dbo.MainBR MainBR, SD_LocalGovernmentFinance.dbo.RowRefs RowRefs_x000d__x000a_WHERE MainBR.ColumnRef = ColRefs.ColumnRef AND MainBR.FormRef = ColRefs.FormRef AND MainBR.YearCode = ColRefs.YearCode AND MainBR.FormRef = RowRefs.FormRef AND MainBR.RowRef = RowRefs.RowRef AND MainBR.YearCode = RowRefs.YearCode AND ((MainBR.YearCode&gt;=202223) AND (MainBR.AuthCode&lt;596) AND (MainBR.FormRef='BR2') AND (MainBR.ColumnRef=$1))"/>
  </connection>
  <connection id="2" xr16:uid="{00000000-0015-0000-FFFF-FFFF02000000}" name="Pivot from CT1" type="1" refreshedVersion="8" saveData="1">
    <dbPr connection="Description=Local Government Finance;DRIVER=SQL Server;SERVER=HCA124;UID=andersonb1;Trusted_Connection=Yes;APP=Microsoft Office 2003;WSID=HJL005;DATABASE=SD_LocalGovernmentFinance" command="SELECT MainUnionCT1.AuthCode, AuthCodes.&quot;Authority name&quot;, AuthCodes.&quot;Authority name Welsh&quot;, MainUnionCT1.ColumnRef, ColRefs.ColumnDesc, MainUnionCT1.Data, MainUnionCT1.FormRef, MainUnionCT1.RowRef, RowRefs.RowDesc, MainUnionCT1.YearCode_x000d__x000a_FROM SD_LocalGovernmentFinance.dbo.AuthCodes AuthCodes, SD_LocalGovernmentFinance.dbo.ColRefs ColRefs, SD_LocalGovernmentFinance.dbo.MainUnionCT1 MainUnionCT1, SD_LocalGovernmentFinance.dbo.RowRefs RowRefs_x000d__x000a_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425) AND (RowRefs.RowRef=$26))"/>
  </connection>
</connections>
</file>

<file path=xl/sharedStrings.xml><?xml version="1.0" encoding="utf-8"?>
<sst xmlns="http://schemas.openxmlformats.org/spreadsheetml/2006/main" count="4550" uniqueCount="3565">
  <si>
    <t>UACode</t>
  </si>
  <si>
    <t>Re-distributed non-domestic rates</t>
  </si>
  <si>
    <t>Revenue support grant</t>
  </si>
  <si>
    <t>(£)</t>
  </si>
  <si>
    <t>Expenditure and income</t>
  </si>
  <si>
    <t>Index</t>
  </si>
  <si>
    <t>UAName</t>
  </si>
  <si>
    <t>E</t>
  </si>
  <si>
    <t>Conwy</t>
  </si>
  <si>
    <t>Carmarthen</t>
  </si>
  <si>
    <t>Bridgend</t>
  </si>
  <si>
    <t>Torfaen</t>
  </si>
  <si>
    <t>Cwmbran</t>
  </si>
  <si>
    <t>If necessary, please amend the name and telephone number of our contact in case of queries:-</t>
  </si>
  <si>
    <t>Data</t>
  </si>
  <si>
    <t>Carmarthenshire</t>
  </si>
  <si>
    <t>01492</t>
  </si>
  <si>
    <t>01267</t>
  </si>
  <si>
    <t>01656</t>
  </si>
  <si>
    <t>PO Box 99</t>
  </si>
  <si>
    <t>Llangunnor</t>
  </si>
  <si>
    <t>SA31 2PF</t>
  </si>
  <si>
    <t>NP44 2XJ</t>
  </si>
  <si>
    <t>Glan-y-Don</t>
  </si>
  <si>
    <t>Colwyn Bay</t>
  </si>
  <si>
    <t>LL29 8AW</t>
  </si>
  <si>
    <t>Police Headquarters</t>
  </si>
  <si>
    <t>Cowbridge Road</t>
  </si>
  <si>
    <t>CF31 3SU</t>
  </si>
  <si>
    <t>BR2</t>
  </si>
  <si>
    <t>Budget requirement</t>
  </si>
  <si>
    <t>Sum of lines 2, 3 and 4</t>
  </si>
  <si>
    <t>Powys</t>
  </si>
  <si>
    <t>Ceredigion</t>
  </si>
  <si>
    <t>Pembrokeshire</t>
  </si>
  <si>
    <t>Caerphilly</t>
  </si>
  <si>
    <t>Blaenau Gwent</t>
  </si>
  <si>
    <t>Monmouthshire</t>
  </si>
  <si>
    <t>Newport</t>
  </si>
  <si>
    <t>Isle of Anglesey</t>
  </si>
  <si>
    <t>Swansea</t>
  </si>
  <si>
    <t>Gwynedd</t>
  </si>
  <si>
    <t>Denbighshire</t>
  </si>
  <si>
    <t>Flintshire</t>
  </si>
  <si>
    <t>Wrexham</t>
  </si>
  <si>
    <t>Neath Port Talbot</t>
  </si>
  <si>
    <t>Cardiff</t>
  </si>
  <si>
    <t>Merthyr Tydfil</t>
  </si>
  <si>
    <t>Council tax base for area (band D equivalent)</t>
  </si>
  <si>
    <t>FormRef</t>
  </si>
  <si>
    <t>RowRef</t>
  </si>
  <si>
    <t>ColumnRef</t>
  </si>
  <si>
    <t>Validation</t>
  </si>
  <si>
    <t>Police grant allocation under principal formula (including floor funding)</t>
  </si>
  <si>
    <t>Precepts</t>
  </si>
  <si>
    <t>AuthCode</t>
  </si>
  <si>
    <t>YearCode</t>
  </si>
  <si>
    <t>(Amounts of precepts issued to billing authorities in accordance with section 40(2)b of the Local Government Finance Act 1992)</t>
  </si>
  <si>
    <t>Vale of Glamorgan</t>
  </si>
  <si>
    <t>Authority 1</t>
  </si>
  <si>
    <t>Authority 2</t>
  </si>
  <si>
    <t>Authority 3</t>
  </si>
  <si>
    <t>Authority 4</t>
  </si>
  <si>
    <t>Authority 5</t>
  </si>
  <si>
    <t>Authority 6</t>
  </si>
  <si>
    <t>Authority 7</t>
  </si>
  <si>
    <t>Precept</t>
  </si>
  <si>
    <t>NDR</t>
  </si>
  <si>
    <t>RSG</t>
  </si>
  <si>
    <t>PG</t>
  </si>
  <si>
    <t>Taxbase</t>
  </si>
  <si>
    <t>The information on this form must be submitted under section 64 of the Local Government Finance Act 1992, as amended.</t>
  </si>
  <si>
    <t>Signature of Chief Financial Officer:</t>
  </si>
  <si>
    <t>(From LGF)</t>
  </si>
  <si>
    <t>(From CT1)</t>
  </si>
  <si>
    <t>CHECK</t>
  </si>
  <si>
    <t>(calculated)</t>
  </si>
  <si>
    <t>AuthorityName</t>
  </si>
  <si>
    <t>CFOName</t>
  </si>
  <si>
    <t>Address1</t>
  </si>
  <si>
    <t>Address2</t>
  </si>
  <si>
    <t>Address3</t>
  </si>
  <si>
    <t>Address4</t>
  </si>
  <si>
    <t>Postcode</t>
  </si>
  <si>
    <t>BRName</t>
  </si>
  <si>
    <t>BRSTDCde</t>
  </si>
  <si>
    <t>BRTelephone</t>
  </si>
  <si>
    <t>BREMail</t>
  </si>
  <si>
    <t xml:space="preserve">Contact name:        </t>
  </si>
  <si>
    <t xml:space="preserve">Contact E-mail:        </t>
  </si>
  <si>
    <t xml:space="preserve">Telephone:        </t>
  </si>
  <si>
    <t>Notes for guidance hyperlink</t>
  </si>
  <si>
    <t>Form Design</t>
  </si>
  <si>
    <t>Documentation</t>
  </si>
  <si>
    <t>General Comments</t>
  </si>
  <si>
    <t>Survey Response Burden</t>
  </si>
  <si>
    <t>Please enter the time it has taken you (and any colleagues) to prepare and send the return.</t>
  </si>
  <si>
    <t>Please only include time spent on activities to prepare and send this return, such as:</t>
  </si>
  <si>
    <t>Hours taken</t>
  </si>
  <si>
    <t>Please feel free to add any comments</t>
  </si>
  <si>
    <t>Sum of Data2</t>
  </si>
  <si>
    <t>Authority name</t>
  </si>
  <si>
    <t>Rhondda Cynon Taf</t>
  </si>
  <si>
    <t>Total Unitary Authorities</t>
  </si>
  <si>
    <t>Total</t>
  </si>
  <si>
    <t>Click the link below for notes for guidance for individual forms (Web access required)</t>
  </si>
  <si>
    <t xml:space="preserve">The Welsh Government are monitoring the burden of completing this data collection form. </t>
  </si>
  <si>
    <t>Name of billing authority</t>
  </si>
  <si>
    <t>(2)</t>
  </si>
  <si>
    <t>(3)</t>
  </si>
  <si>
    <t>(4)</t>
  </si>
  <si>
    <t>Welsh Government</t>
  </si>
  <si>
    <t>Cathays Park</t>
  </si>
  <si>
    <t>CF10 3NQ</t>
  </si>
  <si>
    <t>A</t>
  </si>
  <si>
    <t>B</t>
  </si>
  <si>
    <t>C</t>
  </si>
  <si>
    <t>D</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</si>
  <si>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</si>
  <si>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</si>
  <si>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</si>
  <si>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</si>
  <si>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</si>
  <si>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</si>
  <si>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</si>
  <si>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</si>
  <si>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</si>
  <si>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</si>
  <si>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</si>
  <si>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</si>
  <si>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</si>
  <si>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</si>
  <si>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</si>
  <si>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</si>
  <si>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</si>
  <si>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</si>
  <si>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</si>
  <si>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</si>
  <si>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</si>
  <si>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</si>
  <si>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</si>
  <si>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</si>
  <si>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</si>
  <si>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</si>
  <si>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</si>
  <si>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</si>
  <si>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</si>
  <si>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</si>
  <si>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</si>
  <si>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</si>
  <si>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</si>
  <si>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</si>
  <si>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</si>
  <si>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</si>
  <si>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</si>
  <si>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</si>
  <si>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</si>
  <si>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</si>
  <si>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</si>
  <si>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</si>
  <si>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</si>
  <si>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</si>
  <si>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</si>
  <si>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</si>
  <si>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</si>
  <si>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</si>
  <si>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</si>
  <si>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</si>
  <si>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</si>
  <si>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</si>
  <si>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</si>
  <si>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</si>
  <si>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</si>
  <si>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</si>
  <si>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</si>
  <si>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</si>
  <si>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</si>
  <si>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</si>
  <si>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</si>
  <si>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</si>
  <si>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</si>
  <si>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</si>
  <si>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</si>
  <si>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</si>
  <si>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</si>
  <si>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</si>
  <si>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</si>
  <si>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</si>
  <si>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</si>
  <si>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</si>
  <si>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</si>
  <si>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</si>
  <si>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</si>
  <si>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</si>
  <si>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</si>
  <si>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</si>
  <si>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</si>
  <si>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</si>
  <si>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</si>
  <si>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</si>
  <si>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</si>
  <si>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</si>
  <si>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</si>
  <si>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</si>
  <si>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</si>
  <si>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</si>
  <si>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</si>
  <si>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</si>
  <si>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</si>
  <si>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</si>
  <si>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</si>
  <si>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</si>
  <si>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</si>
  <si>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Office of the Police and Crime Commissioner for Dyfed Powys</t>
  </si>
  <si>
    <t>Office of the Police and Crime Commissioner for Gwent</t>
  </si>
  <si>
    <t>Office of the Police and Crime Commissioner for North Wales</t>
  </si>
  <si>
    <t>Office of the Police and Crime Commissioner for South Wales</t>
  </si>
  <si>
    <t>Ty Morgannwg</t>
  </si>
  <si>
    <t>Darren Garwood-Pask</t>
  </si>
  <si>
    <t>01633</t>
  </si>
  <si>
    <t>Kate Jackson</t>
  </si>
  <si>
    <t>Telephone:</t>
  </si>
  <si>
    <t>E-mail:</t>
  </si>
  <si>
    <t>Input</t>
  </si>
  <si>
    <t>Locked</t>
  </si>
  <si>
    <t>Addresses</t>
  </si>
  <si>
    <t>Authority</t>
  </si>
  <si>
    <t>Letter</t>
  </si>
  <si>
    <t>UAList</t>
  </si>
  <si>
    <t>Year</t>
  </si>
  <si>
    <t>Row</t>
  </si>
  <si>
    <t>Col</t>
  </si>
  <si>
    <t>Code</t>
  </si>
  <si>
    <t>Compare Transfer input table with data dump</t>
  </si>
  <si>
    <t>from inputted DB data. Should be all zeros</t>
  </si>
  <si>
    <t>Validation check of input/output</t>
  </si>
  <si>
    <t>Police Force</t>
  </si>
  <si>
    <t>Dyfed Powys</t>
  </si>
  <si>
    <t>Gwent</t>
  </si>
  <si>
    <t>North Wales</t>
  </si>
  <si>
    <t>South Wales</t>
  </si>
  <si>
    <t>Wales</t>
  </si>
  <si>
    <t>tblTranslate</t>
  </si>
  <si>
    <t>"=" rows</t>
  </si>
  <si>
    <t>"include" rows</t>
  </si>
  <si>
    <t>Original Line Description</t>
  </si>
  <si>
    <t>Line Numbers</t>
  </si>
  <si>
    <t>English Description</t>
  </si>
  <si>
    <t>English</t>
  </si>
  <si>
    <t>Line Info E</t>
  </si>
  <si>
    <t>Welsh</t>
  </si>
  <si>
    <t>Line Info W</t>
  </si>
  <si>
    <t>Fpage</t>
  </si>
  <si>
    <t>Capital outturn</t>
  </si>
  <si>
    <t xml:space="preserve">Total receipts
</t>
  </si>
  <si>
    <t xml:space="preserve"> (COR 1-2, column 13)</t>
  </si>
  <si>
    <t>Cyfanswm derbyniadau</t>
  </si>
  <si>
    <t xml:space="preserve"> (lines 198, 298, 398, 498, 598 &amp; 698)</t>
  </si>
  <si>
    <t xml:space="preserve"> (llinellau 198, 298, 398, 498, 598 a 698)</t>
  </si>
  <si>
    <t>Please select your authority</t>
  </si>
  <si>
    <t>Total expenditure</t>
  </si>
  <si>
    <t xml:space="preserve"> (COR 1-2, column 9)</t>
  </si>
  <si>
    <t>Cyfanswm gwariant</t>
  </si>
  <si>
    <t xml:space="preserve"> (lines 10 to 14)</t>
  </si>
  <si>
    <t xml:space="preserve"> (llinellau 10 i 14)</t>
  </si>
  <si>
    <t>Total in-year capital receipts - HRA</t>
  </si>
  <si>
    <t xml:space="preserve"> (COR1-2, line 24, column 13)</t>
  </si>
  <si>
    <t>Cyfanswm derbyniadau cyfalaf yn ystod y flwyddyn - HRA</t>
  </si>
  <si>
    <t xml:space="preserve"> (cyfanswm lines 8.1 to 8.7)</t>
  </si>
  <si>
    <t xml:space="preserve"> (cyfanswm llinellau 8.1 i 8.7)</t>
  </si>
  <si>
    <t>Total in-year capital receipts non HRA</t>
  </si>
  <si>
    <t xml:space="preserve"> (COR1-2, line 66 minus line 24, column 13)</t>
  </si>
  <si>
    <t>Cyfanswm derbyniadau cyfalaf yn ystod y flwyddyn, ddim HRA</t>
  </si>
  <si>
    <t xml:space="preserve"> (lines 16 to 23)</t>
  </si>
  <si>
    <t xml:space="preserve"> (llinellau 16 i 23)</t>
  </si>
  <si>
    <t>Total capital expenditure</t>
  </si>
  <si>
    <t xml:space="preserve"> (COR4, line 15, column 3)</t>
  </si>
  <si>
    <t>Cyfanswm gwariant cyfalaf</t>
  </si>
  <si>
    <t xml:space="preserve"> (lines 25 to 31)</t>
  </si>
  <si>
    <t xml:space="preserve"> (llinellau 25 i 31)</t>
  </si>
  <si>
    <t>Total expenditure treated as capital expenditure by virtue of a section 16(2)(b) direction</t>
  </si>
  <si>
    <t xml:space="preserve"> (cyfanswm column 4, lines 1 to 11)</t>
  </si>
  <si>
    <t>Cyfanswm y gwariant a gaiff ei drin fel gwariant cyfalaf yn rhinwedd cyfarwyddyd adran 16(2)(b)</t>
  </si>
  <si>
    <t xml:space="preserve"> (lines 33 and 34)</t>
  </si>
  <si>
    <t xml:space="preserve"> (llinellau 33 a 34)</t>
  </si>
  <si>
    <t>The information on this form must be submitted to the Welsh Government under section 14 of the Local Government Act 2003.</t>
  </si>
  <si>
    <t>Total expenditure and other transactions</t>
  </si>
  <si>
    <t xml:space="preserve"> (cyfanswm lines 12 to 14, column 3)</t>
  </si>
  <si>
    <t>Cyfanswm gwariant a thrafodiadau eraill</t>
  </si>
  <si>
    <t xml:space="preserve"> (lines 24+32+35)</t>
  </si>
  <si>
    <t xml:space="preserve"> (llinellau 24+32+35)</t>
  </si>
  <si>
    <t>This form must be returned by 31 July 2015</t>
  </si>
  <si>
    <t>Total amount due in year</t>
  </si>
  <si>
    <t xml:space="preserve"> (line 1+line 2):</t>
  </si>
  <si>
    <t>Y cyfanswm sy'n ddyledus yn ystod y flwyddyn</t>
  </si>
  <si>
    <t xml:space="preserve"> (lines 37 to 39)</t>
  </si>
  <si>
    <t xml:space="preserve"> (llinellau 37 i 39)</t>
  </si>
  <si>
    <t>Please email the spreadsheet to the address below, please note that we no longer require a signed hard-copy of this return.</t>
  </si>
  <si>
    <t>NDR collection rate  (%)</t>
  </si>
  <si>
    <t xml:space="preserve"> (line 11 / line 10.5 x 100)</t>
  </si>
  <si>
    <t>Cyfradd casglu ardrethi annomestig (%)</t>
  </si>
  <si>
    <t xml:space="preserve"> (lines 41 to 43)</t>
  </si>
  <si>
    <t xml:space="preserve"> (llinellau 41 i 43)</t>
  </si>
  <si>
    <t>Any queries on completion of the form or spreadsheet should be directed to Frank Kelly or Anthony Newby, via telephone or e-mail, as directed below.</t>
  </si>
  <si>
    <t>Transport</t>
  </si>
  <si>
    <t xml:space="preserve"> (line 15)</t>
  </si>
  <si>
    <t>Trafnidiaeth</t>
  </si>
  <si>
    <t xml:space="preserve"> (lines 46 and 47)</t>
  </si>
  <si>
    <t xml:space="preserve"> (llinellau 46 a 47)</t>
  </si>
  <si>
    <t>It is a Welsh Government audit requirement that all cells are completed.  Please ensure that all blank cells are populated with zeros, those that are not will be assumed to be zero.</t>
  </si>
  <si>
    <t>Capital expenditure resourced by means of credit</t>
  </si>
  <si>
    <t xml:space="preserve"> (line 30 plus line 31)</t>
  </si>
  <si>
    <t>Gwariant cyfalaf wedi'i gyllido gan gredyd</t>
  </si>
  <si>
    <t xml:space="preserve"> (lines 49 to 59)</t>
  </si>
  <si>
    <t xml:space="preserve"> (llinellau 49 i 59)</t>
  </si>
  <si>
    <t>Local Government Financial Statistics,</t>
  </si>
  <si>
    <t>Capital Financing Requirement as at 31 March</t>
  </si>
  <si>
    <t xml:space="preserve"> (line 33 plus line 36)</t>
  </si>
  <si>
    <t>Gofyniad Cyllido Cyfalaf fel yr oedd ar 31 Mawrth</t>
  </si>
  <si>
    <t xml:space="preserve"> (lines 61 to 63)</t>
  </si>
  <si>
    <t xml:space="preserve"> (llinellau 61 i 63)</t>
  </si>
  <si>
    <t>Knowledge and Analytical Services,</t>
  </si>
  <si>
    <t>Change in Capital Financing Requirement</t>
  </si>
  <si>
    <t xml:space="preserve"> (line 34 less line 35)</t>
  </si>
  <si>
    <t>Newid yn y Gofyniad Cyllido Cyfalaf</t>
  </si>
  <si>
    <t xml:space="preserve"> (lines 6+7+15+36+40+44+48+60+65)</t>
  </si>
  <si>
    <t xml:space="preserve"> (llinellau 6+7+15+36+40+44+48+60+65)</t>
  </si>
  <si>
    <t>Welsh Government,</t>
  </si>
  <si>
    <t>Line 4 as a % of Total amount due:</t>
  </si>
  <si>
    <t xml:space="preserve"> (line 4 / line 3 x 100)</t>
  </si>
  <si>
    <t>Llinell 4 fel % o'r cyfanswm sy'n ddyledus:</t>
  </si>
  <si>
    <t xml:space="preserve"> (line 6)</t>
  </si>
  <si>
    <t xml:space="preserve"> (llinell 6)</t>
  </si>
  <si>
    <t>Cathays Park,</t>
  </si>
  <si>
    <t>Libraries, culture and heritage</t>
  </si>
  <si>
    <t xml:space="preserve"> (line 40)</t>
  </si>
  <si>
    <t>Llyfrgelloedd, diwylliant a threftadaeth</t>
  </si>
  <si>
    <t xml:space="preserve"> (line 7)</t>
  </si>
  <si>
    <t xml:space="preserve"> (llinell 7)</t>
  </si>
  <si>
    <t>CARDIFF,</t>
  </si>
  <si>
    <t>Agriculture and fisheries</t>
  </si>
  <si>
    <t xml:space="preserve"> (line 44)</t>
  </si>
  <si>
    <t>Amaethyddiaeth a physgodfeydd</t>
  </si>
  <si>
    <t xml:space="preserve"> (llinell 15)</t>
  </si>
  <si>
    <t>CF10 3NQ.</t>
  </si>
  <si>
    <t>Sport and recreation</t>
  </si>
  <si>
    <t xml:space="preserve"> (line 48)</t>
  </si>
  <si>
    <t>Chwaraeon a hamdden</t>
  </si>
  <si>
    <t xml:space="preserve"> (llinell 40)</t>
  </si>
  <si>
    <t>Telephone: 029 2082 5673</t>
  </si>
  <si>
    <t>Education</t>
  </si>
  <si>
    <t>Addysg</t>
  </si>
  <si>
    <t xml:space="preserve"> (llinell 44)</t>
  </si>
  <si>
    <t>E-mail: lgfs.transfer@wales.gsi.gov.uk</t>
  </si>
  <si>
    <t>Other environmental services</t>
  </si>
  <si>
    <t xml:space="preserve"> (line 60)</t>
  </si>
  <si>
    <t>Gwasanaethau amgylcheddol eraill</t>
  </si>
  <si>
    <t xml:space="preserve"> (llinell 48)</t>
  </si>
  <si>
    <t>Fire and rescue service</t>
  </si>
  <si>
    <t xml:space="preserve"> (line 61)</t>
  </si>
  <si>
    <t>Gwasanaeth tân ac achub</t>
  </si>
  <si>
    <t xml:space="preserve"> (llinell 60)</t>
  </si>
  <si>
    <t>COR 1-2</t>
  </si>
  <si>
    <t>Please select your authority on FrontPage</t>
  </si>
  <si>
    <t>Police service</t>
  </si>
  <si>
    <t xml:space="preserve"> (line 62)</t>
  </si>
  <si>
    <t>Gwasanaeth yr heddlu</t>
  </si>
  <si>
    <t xml:space="preserve"> (llinell 61)</t>
  </si>
  <si>
    <t>COR1-2:       Capital outturn 1 and 2</t>
  </si>
  <si>
    <t>Courts</t>
  </si>
  <si>
    <t xml:space="preserve"> (line 63)</t>
  </si>
  <si>
    <t>Llysoedd</t>
  </si>
  <si>
    <t xml:space="preserve"> (llinell 62)</t>
  </si>
  <si>
    <t>Pre-primary education</t>
  </si>
  <si>
    <t>Social services</t>
  </si>
  <si>
    <t>Gwasanaethau cymdeithasol</t>
  </si>
  <si>
    <t xml:space="preserve"> (llinell 63)</t>
  </si>
  <si>
    <t>Primary education</t>
  </si>
  <si>
    <t>Total expenditure / receipts (accruals)</t>
  </si>
  <si>
    <t xml:space="preserve"> (lines 1 to 11)</t>
  </si>
  <si>
    <t>Cyfanswm gwariant / derbyniadau (croniadau)</t>
  </si>
  <si>
    <t xml:space="preserve"> (llinellau 1 i 11)</t>
  </si>
  <si>
    <t>Secondary education</t>
  </si>
  <si>
    <t>Total education</t>
  </si>
  <si>
    <t xml:space="preserve"> (lines 1.1 to 5)</t>
  </si>
  <si>
    <t>Cyfanswm addysg</t>
  </si>
  <si>
    <t xml:space="preserve"> (cyfanswm colofn 4, llinellau 1 i 11)</t>
  </si>
  <si>
    <t>Special education</t>
  </si>
  <si>
    <t>Total other central services to the public</t>
  </si>
  <si>
    <t>Cyfanswm gwasanaethau canolog eraill i'r cyhoedd</t>
  </si>
  <si>
    <t xml:space="preserve"> (cyfanswm llinellau 12 i 14, colofn 3)</t>
  </si>
  <si>
    <t>Youth service</t>
  </si>
  <si>
    <t>Total Housing Revenue Account</t>
  </si>
  <si>
    <t>Cyfanswm Cyfrif Refeniw Tai</t>
  </si>
  <si>
    <t xml:space="preserve"> (COR 1-2, colofn 9)</t>
  </si>
  <si>
    <t>Other education services and continuing education</t>
  </si>
  <si>
    <t>Specification of other grants</t>
  </si>
  <si>
    <t>Manylion grantiau eraill</t>
  </si>
  <si>
    <t xml:space="preserve"> (COR 1-2, colofn 13)</t>
  </si>
  <si>
    <t>cyfanswm education (lines 1.1 to 5)</t>
  </si>
  <si>
    <t>Total in-year capital receipts</t>
  </si>
  <si>
    <t xml:space="preserve"> (lines 20 and 21)</t>
  </si>
  <si>
    <t>Cyfanswm derbyniadau cyfalaf yn ystod y flwyddyn</t>
  </si>
  <si>
    <t xml:space="preserve"> (COR4, llinell 15, colofn 3)</t>
  </si>
  <si>
    <t>Total housing</t>
  </si>
  <si>
    <t>Cyfanswm tai</t>
  </si>
  <si>
    <t xml:space="preserve"> (lines 50 to 52)</t>
  </si>
  <si>
    <t xml:space="preserve"> (llinellau 50 i 52)</t>
  </si>
  <si>
    <t>New construction/improvement of roads</t>
  </si>
  <si>
    <t>Total council fund housing</t>
  </si>
  <si>
    <t>Cyfanswm tai cronfa'r cyngor</t>
  </si>
  <si>
    <t xml:space="preserve"> (Lines 30.1 and 30.2)</t>
  </si>
  <si>
    <t xml:space="preserve"> (llinellau 30.1 a 30.2)</t>
  </si>
  <si>
    <t>Structural maintenance - principal roads</t>
  </si>
  <si>
    <t>Borrowing and credit arrangements that attract central government support</t>
  </si>
  <si>
    <t>Trefniadau benthyca a chredyd sy'n denu cymorth y llywodraeth ganolog</t>
  </si>
  <si>
    <t xml:space="preserve"> (Lines 31.1 and 31.2)</t>
  </si>
  <si>
    <t xml:space="preserve"> (Llinellau 31.1 a 31.2)</t>
  </si>
  <si>
    <t>Structural maintenance - other LA roads</t>
  </si>
  <si>
    <t>Other borrowing and credit arrangements</t>
  </si>
  <si>
    <t>Trefniadau benthyca a chredyd eraill</t>
  </si>
  <si>
    <t xml:space="preserve"> (llinell 30+llinell 31)</t>
  </si>
  <si>
    <t>Expenditure on bridges</t>
  </si>
  <si>
    <t>Total housing / SDA Act advances</t>
  </si>
  <si>
    <t>Cyfanswm blaensymiau tai / Deddf Caffael Anheddau Bychain</t>
  </si>
  <si>
    <t xml:space="preserve"> (llinell 34 wedi tynnu llinell 35)</t>
  </si>
  <si>
    <t>Road safety</t>
  </si>
  <si>
    <t>Total libraries, culture and heritage</t>
  </si>
  <si>
    <t>Cyfanswm llyfrgelloedd, diwylliant a threftadaeth</t>
  </si>
  <si>
    <t xml:space="preserve"> (llinell 33 plws llinell 36)</t>
  </si>
  <si>
    <t>Street lighting</t>
  </si>
  <si>
    <t>Total agriculture and fisheries</t>
  </si>
  <si>
    <t>Cyfanswm amaethyddiaeth a physgodfeydd</t>
  </si>
  <si>
    <t xml:space="preserve"> (COR1-2, llinell 24, colofn 13)</t>
  </si>
  <si>
    <t>Other</t>
  </si>
  <si>
    <t>Total sport and recreation</t>
  </si>
  <si>
    <t>Cyfanswm chwaraeon a hamdden</t>
  </si>
  <si>
    <t xml:space="preserve"> (COR1-2, llinell 66 tynnu llinell 24, colofn 13)</t>
  </si>
  <si>
    <t xml:space="preserve">cyfanswm roads new construction and maintenance, street lighting and road safety (cyfanswm lines 8.1 to 8.7) </t>
  </si>
  <si>
    <t>Total other environmental services</t>
  </si>
  <si>
    <t>Cyfanswm gwasanaethau amgylcheddol eraill</t>
  </si>
  <si>
    <t xml:space="preserve"> (llinellau 20 a 21)</t>
  </si>
  <si>
    <t>Parking of vehicles (including car parks)</t>
  </si>
  <si>
    <t>Capital grants and contributions from other sources</t>
  </si>
  <si>
    <t>Grantiau cyfalaf a chyfraniadau o ffynonellau eraill</t>
  </si>
  <si>
    <t xml:space="preserve"> (row 2, col. 2)</t>
  </si>
  <si>
    <t xml:space="preserve"> (rhes 2, colofn 2)</t>
  </si>
  <si>
    <t>Public passenger transport - bus</t>
  </si>
  <si>
    <t>Total all services</t>
  </si>
  <si>
    <t>Cyfanswm pob gwasanaeth</t>
  </si>
  <si>
    <t xml:space="preserve"> (llinell 11 / llinell 10.5 x 100)</t>
  </si>
  <si>
    <t>Public passenger transport - rail, underground and other</t>
  </si>
  <si>
    <t>Total law, order and protective services</t>
  </si>
  <si>
    <t>Cyfanswm cyfraith, trefn a gwasanaethau diogelu</t>
  </si>
  <si>
    <t xml:space="preserve"> (lines 8 to 14)</t>
  </si>
  <si>
    <t xml:space="preserve"> (llinell 8 I 14)</t>
  </si>
  <si>
    <t>Tolled road bridges, tunnels and ferries and public transport companies</t>
  </si>
  <si>
    <t>Total transport</t>
  </si>
  <si>
    <t>Cyfanswm trafnidiaeth (llinellau 8 i 14)</t>
  </si>
  <si>
    <t xml:space="preserve"> (llinell 4 / llinell 3 x 100)</t>
  </si>
  <si>
    <t>Local authority ports and piers</t>
  </si>
  <si>
    <t xml:space="preserve">Total roads new construction and maintenance, street lighting and road safety </t>
  </si>
  <si>
    <t xml:space="preserve"> (lines 8.1 to 8.7)</t>
  </si>
  <si>
    <t>Cyfanswm adeiladu ffyrdd newydd a gwella ffyrdd, goleuadau stryd a diogelwch ar y ffyrdd</t>
  </si>
  <si>
    <t xml:space="preserve"> (row 6, cols. 1 and 2)</t>
  </si>
  <si>
    <t xml:space="preserve"> (rhes 6, colofnau 1 a 2)</t>
  </si>
  <si>
    <t>Airports</t>
  </si>
  <si>
    <t>Arrears B/F at 2015-16</t>
  </si>
  <si>
    <t xml:space="preserve"> (row 1, col. 1)</t>
  </si>
  <si>
    <t>ôl-ddyledion wedi eu dwyn ymlaen yn 2015-16</t>
  </si>
  <si>
    <t xml:space="preserve"> (row 3, col. 1)</t>
  </si>
  <si>
    <t xml:space="preserve"> (rhes 3, colofn 1)</t>
  </si>
  <si>
    <t>cyfanswm transport (lines 8 to 14)</t>
  </si>
  <si>
    <t>Debit for the year</t>
  </si>
  <si>
    <t>Cyfanswm y debyd ar gyfer y flwyddyn</t>
  </si>
  <si>
    <t xml:space="preserve"> (row 3, col. 2)</t>
  </si>
  <si>
    <t xml:space="preserve"> (rhes 3, colofn 2)</t>
  </si>
  <si>
    <t>Acquisition / sale of land for housing revenue account (HRA)</t>
  </si>
  <si>
    <t>Total amount due</t>
  </si>
  <si>
    <t>Y cyfanswm sy'n ddyledus</t>
  </si>
  <si>
    <t xml:space="preserve"> (llinell 1+llinell 2):</t>
  </si>
  <si>
    <t>New building of HRA dwellings</t>
  </si>
  <si>
    <t xml:space="preserve"> (row 4, col. 1)</t>
  </si>
  <si>
    <t xml:space="preserve"> (rhes 4, colofn 1)</t>
  </si>
  <si>
    <t>Purchase / sale of HRA dwellings</t>
  </si>
  <si>
    <t>Received</t>
  </si>
  <si>
    <t>Y swm a gafwyd</t>
  </si>
  <si>
    <t xml:space="preserve"> (row 4, col. 2)</t>
  </si>
  <si>
    <t xml:space="preserve"> (rhes 4, colofn 2)</t>
  </si>
  <si>
    <t>Premature full repayment of principal on mortgages / loans provided for council house purchase</t>
  </si>
  <si>
    <t xml:space="preserve"> (row 7)</t>
  </si>
  <si>
    <t xml:space="preserve"> (rhes 7)</t>
  </si>
  <si>
    <t>Mortgages / loans provided for council house purchase</t>
  </si>
  <si>
    <t>Arrears O/S, 2014-15</t>
  </si>
  <si>
    <t>Ôl-ddyledion heb eu casglu, 2014-15</t>
  </si>
  <si>
    <t xml:space="preserve"> (rhes 1, colofn 1)</t>
  </si>
  <si>
    <t>Improvements and repairs to HRA PRCs</t>
  </si>
  <si>
    <t>Amount originally budgeted</t>
  </si>
  <si>
    <t>Y swm a nodwyd yn y gyllideb yn wreiddiol</t>
  </si>
  <si>
    <t xml:space="preserve"> (llinellau 8.1 i 8.7)</t>
  </si>
  <si>
    <t>Improvements and repairs to other HRA dwellings</t>
  </si>
  <si>
    <t>Total discounts</t>
  </si>
  <si>
    <t>( G2 + G4 + G6 + G8 + G10 ) ( gweler nodyn 11 )</t>
  </si>
  <si>
    <t>Cyfanswm disgowntiau</t>
  </si>
  <si>
    <t xml:space="preserve"> (llinellau 1.1 i 5)</t>
  </si>
  <si>
    <t>Low cost home ownership (HRA)</t>
  </si>
  <si>
    <t>Adjustments</t>
  </si>
  <si>
    <t>Addasiadau</t>
  </si>
  <si>
    <t xml:space="preserve"> (lines 200 to 209)</t>
  </si>
  <si>
    <t xml:space="preserve"> (llinellau 200 i 209)</t>
  </si>
  <si>
    <t>Other HRA</t>
  </si>
  <si>
    <t>Adult Community Learning (formerly Community learning)</t>
  </si>
  <si>
    <t>Dysgu Cymunedol i Oedolion (Dysgu Cymunedol yn flaenorol)</t>
  </si>
  <si>
    <t xml:space="preserve"> (lines 1 to 10)</t>
  </si>
  <si>
    <t xml:space="preserve"> (llinellau 1 i 10)</t>
  </si>
  <si>
    <t>cyfanswm Housing Revenue Account (lines 16 to 23)</t>
  </si>
  <si>
    <t>Agriculture and fisheries services</t>
  </si>
  <si>
    <t>Gwasanaethau amaethyddiaeth a physgodfeydd</t>
  </si>
  <si>
    <t xml:space="preserve"> (lines 12 to 21)</t>
  </si>
  <si>
    <t xml:space="preserve"> (llinellau 12 i 21)</t>
  </si>
  <si>
    <t>Environmental work in renewal areas</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</si>
  <si>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</si>
  <si>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</si>
  <si>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 xml:space="preserve"> (lines 23 to 32)</t>
  </si>
  <si>
    <t xml:space="preserve"> (llinellau 23 i 32)</t>
  </si>
  <si>
    <t>Group repair</t>
  </si>
  <si>
    <t>Appropriations to(+) / from(-) Accumulated Absences Account</t>
  </si>
  <si>
    <t>Dyraniadau i(+) / o(-) Gyfrif Absenoldebau Cronnus</t>
  </si>
  <si>
    <t xml:space="preserve"> (lines 250 to 259)</t>
  </si>
  <si>
    <t xml:space="preserve"> (llinellau 250 i 259)</t>
  </si>
  <si>
    <t>Slum clearance</t>
  </si>
  <si>
    <t>Appropriations to(+) / from(-) earmarked financial reserves (excluding schools' financial reserves)</t>
  </si>
  <si>
    <t>Dyraniadau i(+) / o(-) gronfeydd wrth gefn wedi'u clustnodi (ac eithrio cronfeydd wrth gefn ysgolion)</t>
  </si>
  <si>
    <t xml:space="preserve"> (lines 210+11+22+33+260)</t>
  </si>
  <si>
    <t xml:space="preserve"> (llinellau 210+11+22+33+260)</t>
  </si>
  <si>
    <t>Low cost home ownership (non-HRA)</t>
  </si>
  <si>
    <t>Appropriations to(+) / from(-) financial instruments adjustment account</t>
  </si>
  <si>
    <t>Dyraniadau i(+) / o(-) gyfrif addasu offerynnau ariannol</t>
  </si>
  <si>
    <t xml:space="preserve"> (lines 210+300+310+316.1+320+330+340)</t>
  </si>
  <si>
    <t xml:space="preserve"> (llinellau 210+300+310+316.1+320+330+340)</t>
  </si>
  <si>
    <t>Other council fund housing</t>
  </si>
  <si>
    <t>Appropriations to(+) / from(-) unallocated financial reserves</t>
  </si>
  <si>
    <t>Dyraniadau i(+) / o(-) gronfeydd wrth gefn heb eu clustnodi</t>
  </si>
  <si>
    <t xml:space="preserve"> (lines 11+301+311+316.2+321+331+341)</t>
  </si>
  <si>
    <t xml:space="preserve"> (llinellau 11+301+311+316.2+321+331+341)</t>
  </si>
  <si>
    <t>Renovation grants</t>
  </si>
  <si>
    <t>Appropriations to(+) / from(-) unequal pay back pay account</t>
  </si>
  <si>
    <t>Dyraniadau i(+) / o(-) gyfrif ôl-dalu tâl anghyfartal</t>
  </si>
  <si>
    <t xml:space="preserve"> (lines 22+302+312+316.3+322+332+342)</t>
  </si>
  <si>
    <t xml:space="preserve"> (llinellau 22+302+312+316.3+322+332+342)</t>
  </si>
  <si>
    <t>Other grants</t>
  </si>
  <si>
    <t>Appropriations to(+)/ from(-) financial instruments adjustment account</t>
  </si>
  <si>
    <t xml:space="preserve"> (lines 33+303+313+316.4+323+333+343)</t>
  </si>
  <si>
    <t xml:space="preserve"> (llinellau 33+303+313+316.4+323+333+343)</t>
  </si>
  <si>
    <t>cyfanswm council fund housing (lines 25 to 31)</t>
  </si>
  <si>
    <t>Asylum seekers grant</t>
  </si>
  <si>
    <t>Grant ceiswyr lloches</t>
  </si>
  <si>
    <t xml:space="preserve"> (lines 260+304+314+316.5+324+334+344)</t>
  </si>
  <si>
    <t xml:space="preserve"> (llinellau 260+304+314+316.5+324+334+344)</t>
  </si>
  <si>
    <t>Lending to registered social landlords</t>
  </si>
  <si>
    <t>At 1 April</t>
  </si>
  <si>
    <t>Ar 1 Ebrill</t>
  </si>
  <si>
    <t xml:space="preserve"> (lines 360+370+380+390+400+410)</t>
  </si>
  <si>
    <t xml:space="preserve"> (llinellau 360+370+380+390+400+410)</t>
  </si>
  <si>
    <t>Lending to other borrowers</t>
  </si>
  <si>
    <t>At 31 March</t>
  </si>
  <si>
    <t>Ar 31 Mawrth</t>
  </si>
  <si>
    <t xml:space="preserve"> (lines 361+371+381+391+401+411)</t>
  </si>
  <si>
    <t xml:space="preserve"> (llinellau 361+371+381+391+401+411)</t>
  </si>
  <si>
    <t>cyfanswm housing / SDA Act advances (lines 33 and 34)</t>
  </si>
  <si>
    <t>Autistic spectrum disorder (education)</t>
  </si>
  <si>
    <t>Anhwylder ar y sbectrwm awtistig (addysg)</t>
  </si>
  <si>
    <t xml:space="preserve"> (lines 362+372+382+392+402+412)</t>
  </si>
  <si>
    <t xml:space="preserve"> (llinellau 362+372+382+392+402+412)</t>
  </si>
  <si>
    <t>cyfanswm housing (lines 24+32+35)</t>
  </si>
  <si>
    <t>Autistic spectrum disorder (social services)</t>
  </si>
  <si>
    <t>Anhwylder ar y sbectrwm awtistig (gwasanaethau cymdeithasol)</t>
  </si>
  <si>
    <t xml:space="preserve"> (lines 363+373+383+393+403+413)</t>
  </si>
  <si>
    <t xml:space="preserve"> (llinellau 363+373+383+393+403+413)</t>
  </si>
  <si>
    <t>Library services</t>
  </si>
  <si>
    <t>Autistic spectrum disorder grant (other)</t>
  </si>
  <si>
    <t>Anhwylder ar y sbectrwm awtistig (arall)</t>
  </si>
  <si>
    <t xml:space="preserve"> (lines 364+374+384+394+404+414)</t>
  </si>
  <si>
    <t xml:space="preserve"> (llinellau 364+374+384+394+404+414)</t>
  </si>
  <si>
    <t>Museums and galleries</t>
  </si>
  <si>
    <t>Big lottery fund</t>
  </si>
  <si>
    <t>Y Gronfa Loteri Fawr</t>
  </si>
  <si>
    <t xml:space="preserve"> (lines 350+420)</t>
  </si>
  <si>
    <t xml:space="preserve"> (llinellau 350+420)</t>
  </si>
  <si>
    <t>Arts activities and facilities (including theatres)</t>
  </si>
  <si>
    <t>Big lottery fund (education)</t>
  </si>
  <si>
    <t>Y Gronfa Loteri Fawr (addysg)</t>
  </si>
  <si>
    <t xml:space="preserve"> (lines 351+421)</t>
  </si>
  <si>
    <t xml:space="preserve"> (llinellau 351+421)</t>
  </si>
  <si>
    <t>cyfanswm libraries, culture and heritage (lines 37 to 39)</t>
  </si>
  <si>
    <t>Big lottery fund (social services)</t>
  </si>
  <si>
    <t>Y Gronfa Loteroi Fawr (gwasanaethau cymdeithasol)</t>
  </si>
  <si>
    <t xml:space="preserve"> (lines 352+422)</t>
  </si>
  <si>
    <t xml:space="preserve"> (llinellau 352+422)</t>
  </si>
  <si>
    <t>Land drainage and flood prevention</t>
  </si>
  <si>
    <t>Budget requirement plus net discretionary NDR relief</t>
  </si>
  <si>
    <t>Gofyniad cyllidebol plws rhyddhad ardreth annomestig dewisol net</t>
  </si>
  <si>
    <t xml:space="preserve"> (lines 353+423)</t>
  </si>
  <si>
    <t xml:space="preserve"> (llinellau 353+423)</t>
  </si>
  <si>
    <t>Coast protection</t>
  </si>
  <si>
    <t>Budgeted net discretionary non-domestic rate (NDR) relief paid for by council fund</t>
  </si>
  <si>
    <t>Rhyddhad ardreth annomestig net wedi'i gyllidebu, a dalwyd o gronfa'r cyngor</t>
  </si>
  <si>
    <t xml:space="preserve"> (lines 354+424)</t>
  </si>
  <si>
    <t xml:space="preserve"> (llinellau 354+424)</t>
  </si>
  <si>
    <t>Other agriculture and fisheries</t>
  </si>
  <si>
    <t>Bus Revenue Support</t>
  </si>
  <si>
    <t>Cymorth Refeniw Bysiau</t>
  </si>
  <si>
    <t xml:space="preserve"> (lines 97 to 107.5)</t>
  </si>
  <si>
    <t xml:space="preserve"> (llinellau 97 i 107.5)</t>
  </si>
  <si>
    <t>cyfanswm agriculture and fisheries (lines 41 to 43)</t>
  </si>
  <si>
    <t>Bus Services Support Grant</t>
  </si>
  <si>
    <t>Grant Cymorth Gwasanaethau Bws</t>
  </si>
  <si>
    <t xml:space="preserve"> (lines 435+108)</t>
  </si>
  <si>
    <t xml:space="preserve"> (llinellau 435+108)</t>
  </si>
  <si>
    <t>Sports facilities</t>
  </si>
  <si>
    <t>Capital charges relating to construction projects</t>
  </si>
  <si>
    <t>Taliadau cyfalaf yn ymwneud â phrosiectau adeiladu</t>
  </si>
  <si>
    <t xml:space="preserve"> (line 109, column 1.10)</t>
  </si>
  <si>
    <t xml:space="preserve"> (llinell 109, colofn 1.10)</t>
  </si>
  <si>
    <t>Sports development and children's play</t>
  </si>
  <si>
    <t>Capital financing element within Private Finance Initiative (PFI) schemes</t>
  </si>
  <si>
    <t>Elfen cyllido cyfalaf cynlluniau Menter Cyllid Preifat (PFI)</t>
  </si>
  <si>
    <t xml:space="preserve"> (included in line 109, column 1.20)</t>
  </si>
  <si>
    <t xml:space="preserve"> (Wedi’i cynnwys yn llinell 109, colofn 1.20)</t>
  </si>
  <si>
    <t>cyfanswm sport and recreation (lines 46 and 47)</t>
  </si>
  <si>
    <t>Central services</t>
  </si>
  <si>
    <t>Gwasanaethau canolog</t>
  </si>
  <si>
    <t xml:space="preserve"> (line 109, columns 1.20, 2 and 3, less line 125)</t>
  </si>
  <si>
    <t xml:space="preserve"> (llinell 109, colofn 1.20, 2 and 3, - llinell 125)</t>
  </si>
  <si>
    <t>Derelict land reclamation (grant aided)</t>
  </si>
  <si>
    <t>Change excluding transfers in</t>
  </si>
  <si>
    <t>Newid, ac eithrio trosglwyddiadau i mewn</t>
  </si>
  <si>
    <t>(1.1)+(1.2)+(2)+(3)</t>
  </si>
  <si>
    <t>Parks and open spaces</t>
  </si>
  <si>
    <t>Change in</t>
  </si>
  <si>
    <t>Newid, i mewn</t>
  </si>
  <si>
    <t>Waste collection</t>
  </si>
  <si>
    <t>Check net expenditure balances to zero</t>
  </si>
  <si>
    <t>Gwirio bod y gwariant net yn mantoli i sero</t>
  </si>
  <si>
    <t>(6.1)+(6.2)+(7)</t>
  </si>
  <si>
    <t>Waste disposal</t>
  </si>
  <si>
    <t>Communities First (education)</t>
  </si>
  <si>
    <t>Cymunedau yn Gyntaf (addysg)</t>
  </si>
  <si>
    <t>(5)+(8)</t>
  </si>
  <si>
    <t>Trade Waste</t>
  </si>
  <si>
    <t>Communities First (social services)</t>
  </si>
  <si>
    <t>Cymunedau yn Gyntaf (gwasanaethau cymdeithasol)</t>
  </si>
  <si>
    <t xml:space="preserve">  (lines 2.1 to 2.3)</t>
  </si>
  <si>
    <t xml:space="preserve">  (llinellau 2.1 i 2.3)</t>
  </si>
  <si>
    <t>Recycling</t>
  </si>
  <si>
    <t xml:space="preserve">Community cohesion fund </t>
  </si>
  <si>
    <t>Cronfa cydlyniant cymunedol</t>
  </si>
  <si>
    <t xml:space="preserve"> (lines 3.1 to 3.3)</t>
  </si>
  <si>
    <t xml:space="preserve"> (llinellau 3.1 i 3.3)</t>
  </si>
  <si>
    <t>Waste Minimisation</t>
  </si>
  <si>
    <t>Community development (county and county borough councils)</t>
  </si>
  <si>
    <t>Datblygu cymunedol (cynghorau sir a chynghorau bwrdeistref sirol)</t>
  </si>
  <si>
    <t xml:space="preserve"> (lines 16 to 17.1)</t>
  </si>
  <si>
    <t xml:space="preserve"> (llinellau 16 i 17.1)</t>
  </si>
  <si>
    <t>Climate Change Costs</t>
  </si>
  <si>
    <t>Community fire safety (fire authorities only)</t>
  </si>
  <si>
    <t>Diogelwch tân cymunedol</t>
  </si>
  <si>
    <t xml:space="preserve"> (lines 2+3+13+14+15+19)</t>
  </si>
  <si>
    <t xml:space="preserve"> (llinellau 2+3+13+14+15+19)</t>
  </si>
  <si>
    <t>General administration</t>
  </si>
  <si>
    <t>Community focused schools</t>
  </si>
  <si>
    <t>Ysgolion bro</t>
  </si>
  <si>
    <t xml:space="preserve"> (lines 25+26+29)</t>
  </si>
  <si>
    <t xml:space="preserve"> (llinellau 25+26+29)</t>
  </si>
  <si>
    <t>Planning and development (including Gypsy sites)</t>
  </si>
  <si>
    <t>Community learning</t>
  </si>
  <si>
    <t>Dysgu cymunedol</t>
  </si>
  <si>
    <t xml:space="preserve"> (lines 24+32+33)</t>
  </si>
  <si>
    <t xml:space="preserve"> (llinellau 24+32+33)</t>
  </si>
  <si>
    <t>Community safety</t>
  </si>
  <si>
    <t>Community purposes (housing)</t>
  </si>
  <si>
    <t>Dibenion cymunedol (tai)</t>
  </si>
  <si>
    <t xml:space="preserve"> (lines 1+21+34)</t>
  </si>
  <si>
    <t xml:space="preserve"> (llinellau 1+21+34)</t>
  </si>
  <si>
    <t>Community safety (CCTV)</t>
  </si>
  <si>
    <t>Community purposes (other)</t>
  </si>
  <si>
    <t>Dibenion cymunedol (arall)</t>
  </si>
  <si>
    <t xml:space="preserve"> (included in line 35, column 1)</t>
  </si>
  <si>
    <t xml:space="preserve"> (Wedi’i cynnwys yn llinell 35, colofn 1)</t>
  </si>
  <si>
    <t>Regulatory services (Environmental health)</t>
  </si>
  <si>
    <t>Community purposes (social services)</t>
  </si>
  <si>
    <t>Dibenion cymunedol (gwasanaethau cymdeithasol)</t>
  </si>
  <si>
    <t>(1)+(2)+(3)</t>
  </si>
  <si>
    <t>Regulatory services (Trading Standards)</t>
  </si>
  <si>
    <t>Community safety - crime reduction (excluding CCTV)</t>
  </si>
  <si>
    <t>Diogelwch cymunedol - gostwng troseddu (ac eithrio teledu cylch cyfyng)</t>
  </si>
  <si>
    <t>Miscellaneous</t>
  </si>
  <si>
    <t>Community safety - safety services</t>
  </si>
  <si>
    <t>Diogelwch cymunedol - gwasanaethau diogelwch</t>
  </si>
  <si>
    <t>Industrial and commercial</t>
  </si>
  <si>
    <t>Conservation</t>
  </si>
  <si>
    <t>Cadwraeth</t>
  </si>
  <si>
    <t xml:space="preserve"> (lines 6 to 9)</t>
  </si>
  <si>
    <t xml:space="preserve"> (llinellau 6 i 9)</t>
  </si>
  <si>
    <t>Other trading services</t>
  </si>
  <si>
    <t>Contribution from(+) / to(-) HRA to(+) / from(-) council fund</t>
  </si>
  <si>
    <t>Cyfraniad o(+) / i(-) y Cyfrif Refeniw Tai (HRA) i(+) / o(-) gronfa'r cyngor</t>
  </si>
  <si>
    <t xml:space="preserve"> (lines 13 to 16)</t>
  </si>
  <si>
    <t xml:space="preserve"> (llinellau 13 i 16)</t>
  </si>
  <si>
    <t>cyfanswm other environmental services (lines 49 to 59)</t>
  </si>
  <si>
    <t>Contribution to(+) / from(-) the HRA (re items shared by the whole community)</t>
  </si>
  <si>
    <t xml:space="preserve">Cyfraniad i(+) / o(-) yr HRA (ar gyfer eitemau a rennir gan y gymuned gyfan) </t>
  </si>
  <si>
    <t xml:space="preserve"> (lines 21.4 to 21.6)</t>
  </si>
  <si>
    <t xml:space="preserve"> (llinellau 21.4 i 21.6)</t>
  </si>
  <si>
    <t>Coroners' courts services</t>
  </si>
  <si>
    <t>Gwasanaethau llysoedd y crwneriaid</t>
  </si>
  <si>
    <t xml:space="preserve"> (lines 25.4 to 25.42)</t>
  </si>
  <si>
    <t xml:space="preserve"> (llinellau 25.4 i 25.42)</t>
  </si>
  <si>
    <t>Corporate and democratic core costs</t>
  </si>
  <si>
    <t>Costau craidd democrataidd a chorfforaethol</t>
  </si>
  <si>
    <t xml:space="preserve"> (lines 25.6 to 25.7)</t>
  </si>
  <si>
    <t xml:space="preserve"> (llinellau 25.6 i 25.7)</t>
  </si>
  <si>
    <t>Coroners' courts</t>
  </si>
  <si>
    <t>Council tax collection</t>
  </si>
  <si>
    <t>Casglu'r dreth gyngor</t>
  </si>
  <si>
    <t xml:space="preserve"> (lines 1.1+10+17+21+21.7+25+25.49+25.8)</t>
  </si>
  <si>
    <t xml:space="preserve"> (llinellau 1.1+10+17+21+21.7+25+25.49+25.8)</t>
  </si>
  <si>
    <t>cyfanswm law, order and protective services (lines 61 to 63)</t>
  </si>
  <si>
    <t>Council tax reduction scheme (excluding that amount financed by RSG)</t>
  </si>
  <si>
    <t>Cynllun gostyngiadau'r dreth gyngor (ac eithrio'r swm a gaiff ei gyllido gan y GCR)</t>
  </si>
  <si>
    <t xml:space="preserve"> (lines 27 to 36)</t>
  </si>
  <si>
    <t xml:space="preserve"> (llinellau 27 i 36)</t>
  </si>
  <si>
    <t>cyfanswm all services (lines 6+7+15+36+40+44+48+60+65)</t>
  </si>
  <si>
    <t>Council tax reduction scheme (including RSG element)</t>
  </si>
  <si>
    <t>Cynllun gostyngiadau'r dreth gyngor (gan gynnwys yr elfen Grant Cynnal Refeniw)</t>
  </si>
  <si>
    <t xml:space="preserve"> (lines 38 to 47)</t>
  </si>
  <si>
    <t xml:space="preserve"> (llinellau 38 i 47)</t>
  </si>
  <si>
    <t>Figures in blue are calculated, the cells are protected.</t>
  </si>
  <si>
    <t>Council tax reduction scheme administration</t>
  </si>
  <si>
    <t>Gweinyddu cynllun gostyngiadau'r dreth gyngor</t>
  </si>
  <si>
    <t xml:space="preserve"> (lines 49 to 58)</t>
  </si>
  <si>
    <t xml:space="preserve"> (llinellau 49 i 58)</t>
  </si>
  <si>
    <t>(1)</t>
  </si>
  <si>
    <t>Acquisition of land and existing buildings</t>
  </si>
  <si>
    <t>Council tax reduction scheme administration grant</t>
  </si>
  <si>
    <t>Grant gweinyddu cynllun gostyngiadau'r dreth gyngor</t>
  </si>
  <si>
    <t xml:space="preserve"> (lines 60 to 69)</t>
  </si>
  <si>
    <t xml:space="preserve"> (llinellau 60 i 69)</t>
  </si>
  <si>
    <t>New construction, conversion and renovation</t>
  </si>
  <si>
    <t>Countryside council for Wales</t>
  </si>
  <si>
    <t>Cyngor Cefn Gwlad Cymru</t>
  </si>
  <si>
    <t xml:space="preserve"> (lines 76 to 80)</t>
  </si>
  <si>
    <t xml:space="preserve"> (llinellau 76 i 80)</t>
  </si>
  <si>
    <t>Vehicles</t>
  </si>
  <si>
    <t>Crime reduction &amp; anti social behaviour fund</t>
  </si>
  <si>
    <t>Cronfa gostwng troseddu ac ymddygiad gwrthgymdeithasol</t>
  </si>
  <si>
    <t xml:space="preserve"> (lines 48+59+70+81)</t>
  </si>
  <si>
    <t xml:space="preserve"> (llinellau 48+59+70+81)</t>
  </si>
  <si>
    <t>Plant machinery and equipment</t>
  </si>
  <si>
    <t>Culture and Heritage (including CyMAL Innovation and Development Grants)</t>
  </si>
  <si>
    <t>Diwyllliant a Threftadaeth (gan gynnwys Grantiau Arleosi a Datblygu CyMAL</t>
  </si>
  <si>
    <t xml:space="preserve"> (lines 26+26.5+37+82)</t>
  </si>
  <si>
    <t xml:space="preserve"> (llinellau 26+26.5+37+82)</t>
  </si>
  <si>
    <t>(5)</t>
  </si>
  <si>
    <t>cyfanswm expenditure on fixed assets</t>
  </si>
  <si>
    <t>Debt financing grants</t>
  </si>
  <si>
    <t>Grantiau cyllido dyledion</t>
  </si>
  <si>
    <t xml:space="preserve"> (included in line 84, columns 1a and 1b)</t>
  </si>
  <si>
    <t xml:space="preserve"> (Wedi’i cynnwys yn llinell 84, colofn 1a and 1b)</t>
  </si>
  <si>
    <t>(6)</t>
  </si>
  <si>
    <t>Capital grants</t>
  </si>
  <si>
    <t>(7)</t>
  </si>
  <si>
    <t>Capital advances</t>
  </si>
  <si>
    <t>(8)</t>
  </si>
  <si>
    <t>Intangible fixed assets</t>
  </si>
  <si>
    <t>Delegated Expenditure</t>
  </si>
  <si>
    <t>Gwariant wedi'i Ddirprwyo</t>
  </si>
  <si>
    <t>(9) = (5 to 8)</t>
  </si>
  <si>
    <t>cyfanswm capital expenditure</t>
  </si>
  <si>
    <t>Delivering Transformation</t>
  </si>
  <si>
    <t>Cyflawni Trawsnewid</t>
  </si>
  <si>
    <t>(10)</t>
  </si>
  <si>
    <t>Sale of fixed assets</t>
  </si>
  <si>
    <t>Domestic abuse</t>
  </si>
  <si>
    <t>Cam-drin Domestig</t>
  </si>
  <si>
    <t xml:space="preserve"> (lines 1 to 5)</t>
  </si>
  <si>
    <t xml:space="preserve"> (llinellau 1 i 5)</t>
  </si>
  <si>
    <t>(11)</t>
  </si>
  <si>
    <t>Repayments of capital advances and grants</t>
  </si>
  <si>
    <t>Domestic Abuse Service Grant - DAC &amp; IDVA</t>
  </si>
  <si>
    <t>Grant Gwasanaeth Cam-drin Domestig - Cydgysylltwyr Cam-drin Domestig a Chynghorwyr Annibynnol ar Drais Domestig</t>
  </si>
  <si>
    <t xml:space="preserve"> (lines 6+7+10+11+12)</t>
  </si>
  <si>
    <t xml:space="preserve"> (llinellau 6+7+10+11+12)</t>
  </si>
  <si>
    <t>(13) = (10 + 11)</t>
  </si>
  <si>
    <t>cyfanswm receipts</t>
  </si>
  <si>
    <t xml:space="preserve"> (included in line 13, column 1)</t>
  </si>
  <si>
    <t xml:space="preserve"> (Wedi’i cynnwys yn llinell 13, colofn 1)</t>
  </si>
  <si>
    <t>(14)</t>
  </si>
  <si>
    <t>Assets not funded by LA capital expenditure</t>
  </si>
  <si>
    <t>Education expenditure</t>
  </si>
  <si>
    <t>Gwariant addysg</t>
  </si>
  <si>
    <t xml:space="preserve"> (lines 3+6.1)</t>
  </si>
  <si>
    <t xml:space="preserve"> (llinellau 3+6.1)</t>
  </si>
  <si>
    <t>Capital expenditure and receipts</t>
  </si>
  <si>
    <t>Education Improvement Grant for Schools</t>
  </si>
  <si>
    <t>Grant Gwella Addysg ar gyfer ysgolion</t>
  </si>
  <si>
    <t xml:space="preserve"> (line 11.5 to 12)</t>
  </si>
  <si>
    <t xml:space="preserve"> (llinell 11.5 i 12)</t>
  </si>
  <si>
    <t>Expenditure</t>
  </si>
  <si>
    <t>Education of gypsy children and traveller children</t>
  </si>
  <si>
    <t>Addysg plant sipsiwn a phlant teithwyr</t>
  </si>
  <si>
    <t xml:space="preserve"> (lines 25.1 to 25.55)</t>
  </si>
  <si>
    <t xml:space="preserve"> (llinellau 25.1 i 25.55)</t>
  </si>
  <si>
    <t>Receipts</t>
  </si>
  <si>
    <t>EEC milk grant</t>
  </si>
  <si>
    <t>Grant llefrith y Gymuned Economaidd Ewropeaidd</t>
  </si>
  <si>
    <t xml:space="preserve"> (lines 1+2+7+8+13+14+19+22+25.6)</t>
  </si>
  <si>
    <t xml:space="preserve"> (llinellau 1+2+7+8+13+14+19+22+25.6)</t>
  </si>
  <si>
    <t>Memo</t>
  </si>
  <si>
    <t>Elections</t>
  </si>
  <si>
    <t>Etholiadau</t>
  </si>
  <si>
    <t xml:space="preserve"> (included in line 29, column 1)</t>
  </si>
  <si>
    <t xml:space="preserve"> (Wedi’i cynnwys yn llinell 29, colofn 1)</t>
  </si>
  <si>
    <t>£ thousand</t>
  </si>
  <si>
    <t>E-mail (please enter N/A if unavailable):</t>
  </si>
  <si>
    <t>E-bost (rhowch Amh os nad yw ar gael):</t>
  </si>
  <si>
    <t xml:space="preserve"> (lines 1 to 13)</t>
  </si>
  <si>
    <t xml:space="preserve"> (llinellau 1 i 13)</t>
  </si>
  <si>
    <t>Emergency planning</t>
  </si>
  <si>
    <t>Cynllunio at argyfwng</t>
  </si>
  <si>
    <t xml:space="preserve"> (lines 15+16)</t>
  </si>
  <si>
    <t xml:space="preserve"> (llinellau 15+16)</t>
  </si>
  <si>
    <t>COR4</t>
  </si>
  <si>
    <t>COR 4:         Capital outturn 4</t>
  </si>
  <si>
    <t>Employee costs</t>
  </si>
  <si>
    <t>Costau cyflogeion</t>
  </si>
  <si>
    <t xml:space="preserve"> (included in line 14, column 1)</t>
  </si>
  <si>
    <t xml:space="preserve"> (Wedi’i cynnwys yn llinell 14, colofn 1)</t>
  </si>
  <si>
    <t>Financing of capital expenditure and capital account summary, 2014-15</t>
  </si>
  <si>
    <t>Enter data in £ thousands</t>
  </si>
  <si>
    <t>Cofnodwch y data mewn £ miloedd</t>
  </si>
  <si>
    <t xml:space="preserve"> (included in line 17, column 1)</t>
  </si>
  <si>
    <t xml:space="preserve"> (Wedi’i cynnwys yn llinell 17, colofn 1)</t>
  </si>
  <si>
    <t>Service block (COR 1-2 corresponding references)</t>
  </si>
  <si>
    <t>Environmental health - food safety</t>
  </si>
  <si>
    <t>Iechyd yr amgylchedd - diogelwch bwyd</t>
  </si>
  <si>
    <t xml:space="preserve"> (lines 1 to 18)</t>
  </si>
  <si>
    <t xml:space="preserve"> (llinellau 1 i 18)</t>
  </si>
  <si>
    <t>Education (line 6)</t>
  </si>
  <si>
    <t>Equal pay costs</t>
  </si>
  <si>
    <t>Costau cyflog cyfartal</t>
  </si>
  <si>
    <t xml:space="preserve"> (lines 19 to 24)</t>
  </si>
  <si>
    <t xml:space="preserve"> (llinellau 19 i 24)</t>
  </si>
  <si>
    <t>Social services (line 7)</t>
  </si>
  <si>
    <t>Ethnic minority achievement</t>
  </si>
  <si>
    <t>Cyflawniad lleiafrifoedd ethnig</t>
  </si>
  <si>
    <t xml:space="preserve"> (lines 18.5+25)</t>
  </si>
  <si>
    <t xml:space="preserve"> (llinellau 18.5+25)</t>
  </si>
  <si>
    <t>Transport (line 15)</t>
  </si>
  <si>
    <t>EU milk grant</t>
  </si>
  <si>
    <t>Grant llefrith yr UE</t>
  </si>
  <si>
    <t xml:space="preserve"> (- line 24)</t>
  </si>
  <si>
    <t xml:space="preserve"> (- llinell 24)</t>
  </si>
  <si>
    <t>Housing (line 36)</t>
  </si>
  <si>
    <t>European community grants for education</t>
  </si>
  <si>
    <t xml:space="preserve">Grantiau'r Gymuned Ewropeaidd ar gyfer addysg </t>
  </si>
  <si>
    <t xml:space="preserve"> (column 10, lines 27 to 31)</t>
  </si>
  <si>
    <t xml:space="preserve"> (colofn 10, llinellau 27 i 31)</t>
  </si>
  <si>
    <t>Libraries, culture and heritage (line 40)</t>
  </si>
  <si>
    <t>European community grants for other local services (Objective 1 etc.)</t>
  </si>
  <si>
    <t xml:space="preserve">Grantiau'r Gymuned Ewropeaidd ar gyfer gwasanaethau lleol eraill (Amcan 1 etc) </t>
  </si>
  <si>
    <t xml:space="preserve"> (included in line 26, column 1)</t>
  </si>
  <si>
    <t xml:space="preserve"> (Wedi’i cynnwys yn llinell 26, colofn 1)</t>
  </si>
  <si>
    <t>Agriculture and fisheries (line 44)</t>
  </si>
  <si>
    <t>European Social Fund - COASTAL</t>
  </si>
  <si>
    <t>Cronfa Gymdeithasol Ewrop - ARFORDIROL</t>
  </si>
  <si>
    <t xml:space="preserve"> (lines 1 to 6)</t>
  </si>
  <si>
    <t xml:space="preserve"> (llinellau 1 i 6)</t>
  </si>
  <si>
    <t>Sport and recreation (line 48)</t>
  </si>
  <si>
    <t>European Union grants for education</t>
  </si>
  <si>
    <t>Grantiau'r Undeb Ewropeaidd ar gyfer addysg</t>
  </si>
  <si>
    <t xml:space="preserve"> (lines 7+15)</t>
  </si>
  <si>
    <t xml:space="preserve"> (llinellau 7+15)</t>
  </si>
  <si>
    <t>Other environmental services (line 60)</t>
  </si>
  <si>
    <t>Expenditure Check</t>
  </si>
  <si>
    <t>Gwririo Gwariant</t>
  </si>
  <si>
    <t xml:space="preserve"> (lines 17+18)</t>
  </si>
  <si>
    <t xml:space="preserve"> (llinellau 17+18)</t>
  </si>
  <si>
    <t>Fire and rescue service (line 61)</t>
  </si>
  <si>
    <t>Expenditure supported by the Environment Development Fund</t>
  </si>
  <si>
    <t>Gwariant a gefnogwyd gan Gronfa Datblygu'r Amgylchedd</t>
  </si>
  <si>
    <t xml:space="preserve"> (lines 20 to 28)</t>
  </si>
  <si>
    <t xml:space="preserve"> (llinellau 20 i 28)</t>
  </si>
  <si>
    <t>Police service (line 62)</t>
  </si>
  <si>
    <t>Explanation</t>
  </si>
  <si>
    <t>Esboniad</t>
  </si>
  <si>
    <t xml:space="preserve"> (included in lines 16, 19, 29 and 30, column 1)</t>
  </si>
  <si>
    <t xml:space="preserve"> (Wedi’i cynnwys yn llinellau 16, 19, 29 and 30, colofn 1)</t>
  </si>
  <si>
    <t>Courts (line 63)</t>
  </si>
  <si>
    <t>External interest payments excluding any premia and discounts on debt rescheduling</t>
  </si>
  <si>
    <t>Taliadau llog allanol ac eithrio unrhyw bremiymau a disgowntiau ar aildrefnu dyled</t>
  </si>
  <si>
    <t xml:space="preserve"> (14-19)</t>
  </si>
  <si>
    <t>cyfanswm expenditure / receipts (accruals) (lines 1 to 11)</t>
  </si>
  <si>
    <t>External interest receipts on non-HRA balances</t>
  </si>
  <si>
    <t>Derbyniadau llog allanol ar falansau heblaw rhai HRA</t>
  </si>
  <si>
    <t xml:space="preserve"> (lines 199, 299, 399, 499, 599 &amp; 699)</t>
  </si>
  <si>
    <t xml:space="preserve"> (llinellau 199, 299, 399, 499, 599 &amp; 699)</t>
  </si>
  <si>
    <t>cyfanswm expenditure treated as capital expenditure by virtue of a section 16(2)(b) direction (cyfanswm column 4, lines 1 to 11)</t>
  </si>
  <si>
    <t xml:space="preserve">Families First/Cymorth: other local services </t>
  </si>
  <si>
    <t>Teuluoedd yn Gyntaf/Cymorth: gwasanaethau lleol eraill</t>
  </si>
  <si>
    <t xml:space="preserve"> (llinellau 198, 298, 398, 498, 598 &amp; 698)</t>
  </si>
  <si>
    <t>Large Scale Voluntary Transfer (LSVT) levy</t>
  </si>
  <si>
    <t>Families First (education)</t>
  </si>
  <si>
    <t>Teuluoedd yn Gyntaf: wedi'i wario ar addysg</t>
  </si>
  <si>
    <t xml:space="preserve"> (lines 1.1 to 1.9)</t>
  </si>
  <si>
    <t xml:space="preserve"> (llinellau 1.1 i 1.9)</t>
  </si>
  <si>
    <t>cyfanswm expenditure and other transactions (cyfanswm lines 12 to 14, column 3)</t>
  </si>
  <si>
    <t>Families First (social services)</t>
  </si>
  <si>
    <t>Teuluoedd yn Gyntaf: wedi'i wario ar wasanaethau cymdeithasol</t>
  </si>
  <si>
    <t xml:space="preserve"> (lines 7 to 10)</t>
  </si>
  <si>
    <t xml:space="preserve"> (llinellau 7 i 10)</t>
  </si>
  <si>
    <t>Family learning</t>
  </si>
  <si>
    <t>Dysgu i'r teulu</t>
  </si>
  <si>
    <t xml:space="preserve"> (included in lines 6 and 11, column 1)</t>
  </si>
  <si>
    <t xml:space="preserve"> (Wedi’i cynnwys yn llinellau 6 and 11, colofn 1)</t>
  </si>
  <si>
    <t>Acquisition of share or loan capital</t>
  </si>
  <si>
    <t>Fire and Rescue Services</t>
  </si>
  <si>
    <t>Gwasanaethau tȃn ac achub</t>
  </si>
  <si>
    <t xml:space="preserve"> (lines 1+2+5)</t>
  </si>
  <si>
    <t xml:space="preserve"> (llinellau 1+2+5)</t>
  </si>
  <si>
    <t>(3) = (1) + (2)</t>
  </si>
  <si>
    <t>Flood and Coastal Erosion Risk Management</t>
  </si>
  <si>
    <t>Rheoli Perygl Llifogydd ac Erydu Arfordirol</t>
  </si>
  <si>
    <t xml:space="preserve"> (lines 7+8)</t>
  </si>
  <si>
    <t xml:space="preserve"> (llinellau 7+8)</t>
  </si>
  <si>
    <t>Expenditure by section 16(2) direction</t>
  </si>
  <si>
    <t>Flood defence and land drainage</t>
  </si>
  <si>
    <t>Amddiffyn rhag llifogydd a draenio'r tir</t>
  </si>
  <si>
    <t xml:space="preserve"> (lines 10+11)</t>
  </si>
  <si>
    <t xml:space="preserve"> (llinellau 10+11)</t>
  </si>
  <si>
    <t>Flying start (education)</t>
  </si>
  <si>
    <t>Dechrau'n Deg (addysg)</t>
  </si>
  <si>
    <t xml:space="preserve"> (lines 6+9+12)</t>
  </si>
  <si>
    <t xml:space="preserve"> (llinellau 6+9+12)</t>
  </si>
  <si>
    <t>Disposal of share or loan capital</t>
  </si>
  <si>
    <t>Flying Start (social services)</t>
  </si>
  <si>
    <t>Dechrau'n Deg (gwasanaethau cymdeithasol)</t>
  </si>
  <si>
    <t xml:space="preserve"> (lines 14 to 23)</t>
  </si>
  <si>
    <t xml:space="preserve"> (llinellau 14 i 23)</t>
  </si>
  <si>
    <t>(8) = (6) + (7)</t>
  </si>
  <si>
    <t>For return by 29 July</t>
  </si>
  <si>
    <t>I'w ddychwelyd erbyn 29 Gorffennaf</t>
  </si>
  <si>
    <t xml:space="preserve"> (included in line 13 , column 1)</t>
  </si>
  <si>
    <t xml:space="preserve"> (Wedi’i cynnwys yn llinell 13 , colofn 1)</t>
  </si>
  <si>
    <t>Foundation phase</t>
  </si>
  <si>
    <t>Y Cyfnod Sylfaen</t>
  </si>
  <si>
    <t xml:space="preserve"> (lines 1 +2)</t>
  </si>
  <si>
    <t xml:space="preserve"> (llinellau 1 +2)</t>
  </si>
  <si>
    <t>COR4FIN</t>
  </si>
  <si>
    <t>General grants, bequests and donations</t>
  </si>
  <si>
    <t>Grantiau, cymynroddion a rhoddion cyffredinol</t>
  </si>
  <si>
    <t xml:space="preserve"> (lines 3+4.1 to 4.5+13)</t>
  </si>
  <si>
    <t xml:space="preserve"> (llinellau 3+4.1 i 4.5+13)</t>
  </si>
  <si>
    <t>COR 4: Capital outturn 4</t>
  </si>
  <si>
    <t>Grant is more than expenditure</t>
  </si>
  <si>
    <t>Grant yn fwy na'r gwariant</t>
  </si>
  <si>
    <t>Highways, Roads and Transport</t>
  </si>
  <si>
    <t>Priffyrdd, ffyrdd a thrafnidiaeth</t>
  </si>
  <si>
    <t xml:space="preserve"> (lines 18+19)</t>
  </si>
  <si>
    <t xml:space="preserve"> (llinellau 18+19)</t>
  </si>
  <si>
    <t>cyfanswm capital expenditure and receipts:</t>
  </si>
  <si>
    <t>Housing</t>
  </si>
  <si>
    <t>Tai</t>
  </si>
  <si>
    <t xml:space="preserve"> (lines 14+17+20)</t>
  </si>
  <si>
    <t xml:space="preserve"> (llinellau 14+17+20)</t>
  </si>
  <si>
    <t>cyfanswm capital expenditure (COR4, line 15, column 3)</t>
  </si>
  <si>
    <t>Housing benefit administration grant</t>
  </si>
  <si>
    <t>Grant gweinyddu budd-dal tai</t>
  </si>
  <si>
    <t xml:space="preserve"> (lines 22 to 28)</t>
  </si>
  <si>
    <t xml:space="preserve"> (llinellau 22 i 28)</t>
  </si>
  <si>
    <t>Resources to be used to finance capital expenditure:</t>
  </si>
  <si>
    <t>Housing Council Fund</t>
  </si>
  <si>
    <t>Tai Cronfa'r Cyngor</t>
  </si>
  <si>
    <t xml:space="preserve"> (included in line 21, column 1)</t>
  </si>
  <si>
    <t xml:space="preserve"> (Wedi’i cynnwys yn llinell 21, colofn 1)</t>
  </si>
  <si>
    <t>Capital grants from the Welsh Government and other UK Government Departments</t>
  </si>
  <si>
    <t>Housing revenue account reconciliation</t>
  </si>
  <si>
    <t>Cysoni'r cyfrif refeniw tai (HRA)</t>
  </si>
  <si>
    <t>RO(P), line 10</t>
  </si>
  <si>
    <t>RO(P), llinell 10</t>
  </si>
  <si>
    <t>Grants from European Community Structural Funds (including ERDF)</t>
  </si>
  <si>
    <t>HRA corporate and democratic core costs</t>
  </si>
  <si>
    <t>Costau craidd corfforaethol a democrataidd  HRA</t>
  </si>
  <si>
    <t xml:space="preserve"> (lines 60 to 71)</t>
  </si>
  <si>
    <t xml:space="preserve"> (llinellau 60 to 71)</t>
  </si>
  <si>
    <t>Grants and contributions from Welsh Government sponsored public bodies / non-departmental public bodies</t>
  </si>
  <si>
    <t>HRA expenditure and income (excluding interactions with the council fund)</t>
  </si>
  <si>
    <t>Gwariant ac incwm HRA (ac eithrio rhyngweithio gyda chronfa'r cyngor)</t>
  </si>
  <si>
    <t>RG, line 700, col 2</t>
  </si>
  <si>
    <t>RG, llinell 700, col 2</t>
  </si>
  <si>
    <t>Funding from National Lottery</t>
  </si>
  <si>
    <t xml:space="preserve">HRA 'item 8' interest payments/receipts </t>
  </si>
  <si>
    <t>Taliadau/derbyniadau llog 'eitem 8' HRA</t>
  </si>
  <si>
    <t xml:space="preserve"> (lines 72 to 85)</t>
  </si>
  <si>
    <t xml:space="preserve"> (llinellau 72 to 85)</t>
  </si>
  <si>
    <t>Other grants and contributions including those from private developers</t>
  </si>
  <si>
    <t>HRA unapportionable central overheads costs</t>
  </si>
  <si>
    <t>Costau gorbenion canolog HRA na ellir eu dosrannu</t>
  </si>
  <si>
    <t xml:space="preserve"> (lines 86 and 89.5)</t>
  </si>
  <si>
    <t xml:space="preserve"> (llinellau 86 and 89.5)</t>
  </si>
  <si>
    <t>Capital grants and contributions from other sources (lines 50 to 52)</t>
  </si>
  <si>
    <t>Icelandic bank impairment</t>
  </si>
  <si>
    <t>Amhariad banciau Gwlad yr Iâ</t>
  </si>
  <si>
    <t>To equal BR1/2 form, line 1</t>
  </si>
  <si>
    <t>i cyfartal ffurflen BR1/2, llinell 1</t>
  </si>
  <si>
    <t>Use of capital receipts</t>
  </si>
  <si>
    <t>In year council tax collection – difference from budget</t>
  </si>
  <si>
    <t>Casglu'r dreth gyngor yn ystod y flwyddyn - gwahaniaeth o'r gyllideb</t>
  </si>
  <si>
    <t>BR1 form, line 2</t>
  </si>
  <si>
    <t>ffurflen BR1, llinell 2</t>
  </si>
  <si>
    <t>Major Repairs Allowance (MRA)</t>
  </si>
  <si>
    <t>Induction</t>
  </si>
  <si>
    <t>Ymsefydlu</t>
  </si>
  <si>
    <t xml:space="preserve"> (line 94+line 99)</t>
  </si>
  <si>
    <t xml:space="preserve"> (llinell 94+llinell 99)</t>
  </si>
  <si>
    <t>Capital expenditure charged to a revenue account (non-HRA)</t>
  </si>
  <si>
    <t>Information specified on these returns must be submitted under section 168 of the 1972 Local Government Act.</t>
  </si>
  <si>
    <t>Rhaid cyflwyno'r wybodaeth y gofynnir amdani yn y ffurflenni hyn o dan adran 168 o Ddeddf Llywodraeth Leol 1972.</t>
  </si>
  <si>
    <t>BR2, line 4</t>
  </si>
  <si>
    <t>BR2, llinell 4</t>
  </si>
  <si>
    <t>Capital expenditure charged to a revenue account (HRA)</t>
  </si>
  <si>
    <t>Integrated family support team</t>
  </si>
  <si>
    <t>Tîm integredig cymorth i deuluoedd</t>
  </si>
  <si>
    <t>BR1 form, line 4 / BR2, line 3</t>
  </si>
  <si>
    <t>ffurflen BR1, llinell 4 / BR2, llinell 3</t>
  </si>
  <si>
    <t>Borrowing and credit arrangements that attract central government support (non-HRA)</t>
  </si>
  <si>
    <t>Investigation</t>
  </si>
  <si>
    <t>Ymchwilio</t>
  </si>
  <si>
    <t>BR1 form, line 3 / BR2, line 2</t>
  </si>
  <si>
    <t>ffurflen BR1, llinell 3 / BR2, llinell 2</t>
  </si>
  <si>
    <t>Borrowing and credit arrangements that attract central government support (HRA)</t>
  </si>
  <si>
    <t>Is a negative expenditure figure correct?</t>
  </si>
  <si>
    <t>A yw ffigur gwariant negyddol yn gywir?</t>
  </si>
  <si>
    <t>To equal BR1, line 5 / BR2, line 6</t>
  </si>
  <si>
    <t>i cyfartal BR1, llinell 5 / BR2, llinell 6</t>
  </si>
  <si>
    <t>Borrowing and credit arrangements that attract central government support (Lines 30.1 and 30.2)</t>
  </si>
  <si>
    <t>LA animal health and welfare framework funding</t>
  </si>
  <si>
    <t xml:space="preserve">Cyllid fframwaith iechyd a lles anifeiliaid yr ALl </t>
  </si>
  <si>
    <t xml:space="preserve"> (lines 106 and 107)</t>
  </si>
  <si>
    <t xml:space="preserve"> (llinellau 106 and 107)</t>
  </si>
  <si>
    <t>Other borrowing and credit arrangements (non-HRA)</t>
  </si>
  <si>
    <t>Land Reclaimation S16</t>
  </si>
  <si>
    <t>Adfer Tir A16</t>
  </si>
  <si>
    <t>2 decimal places</t>
  </si>
  <si>
    <t>2 le degol</t>
  </si>
  <si>
    <t>Other borrowing and credit arrangements (HRA)</t>
  </si>
  <si>
    <t>Language and play</t>
  </si>
  <si>
    <t>Iaith a chwarae</t>
  </si>
  <si>
    <t>Other borrowing and credit arrangements (Lines 31.1 and 31.2)</t>
  </si>
  <si>
    <t>Lead Local Flood Authorities (LLFA) Grant</t>
  </si>
  <si>
    <t>Grant Awdurdodau Llifogydd Lleol Arweiniol (LLFA)</t>
  </si>
  <si>
    <t>cyfanswm resources used to finance capital expenditure (the sum of the figures in the white cells above)</t>
  </si>
  <si>
    <t>Learning pathways (14-19)</t>
  </si>
  <si>
    <t>Llwybrau dysgu</t>
  </si>
  <si>
    <t>PLEASE COMPLETE THE LINES BELOW ON A PFI ON-BALANCE SHEET BASIS</t>
  </si>
  <si>
    <t>Leasing payments (excluding any capital financing element within PFI schemes)</t>
  </si>
  <si>
    <t>Taliadau prydlesu (ac eithrio unrhyw elfennau cyllido cyfalaf o fewn cylluniau PFI)</t>
  </si>
  <si>
    <t>Capital financing requirement:</t>
  </si>
  <si>
    <t>less council tax reduction scheme (including RSG element)</t>
  </si>
  <si>
    <t>wedi tynnu cynllun gostyngiadau'r dreth gyngor (gan gynnwys yr elfen Grant Cynnal Refeniw)</t>
  </si>
  <si>
    <t>Capital Financing Requirement as at 1 April</t>
  </si>
  <si>
    <t>less council tax reduction scheme grant</t>
  </si>
  <si>
    <t>wedi tynnu grant cynllun gostyngiadau'r dreth gyngor</t>
  </si>
  <si>
    <t>Capital expenditure resourced by means of credit (line 30 plus line 31)</t>
  </si>
  <si>
    <t>less specific and special grants (excluding council tax reduction scheme grant)</t>
  </si>
  <si>
    <t>wedi tynnu grantiau penodol ac arbennig (ac eithrio grant cynllun gostyngiadau'r dreth gyngor)</t>
  </si>
  <si>
    <t>Minimum Revenue Provision &amp; voluntary contributions</t>
  </si>
  <si>
    <t>Levies (Police)</t>
  </si>
  <si>
    <t>Ardollau (yr Heddlu)</t>
  </si>
  <si>
    <t>Change in Capital Financing Requirement (line 34 less line 35)</t>
  </si>
  <si>
    <t>Levies income from contributing County and County Borough Councils</t>
  </si>
  <si>
    <t>Incwm Ardollau gan gynghorau Sir a Chynghorau Bwrdeistref Sirol Sy'n Cyfrannu</t>
  </si>
  <si>
    <t>Capital Financing Requirement as at 31 March (line 33 plus line 36)</t>
  </si>
  <si>
    <t>Levies paid to the Environment Agency acting as an Internal Drainage Board</t>
  </si>
  <si>
    <t>Ardollau a dalwyd i Asiantaeth yr Amgylchedd yn gweithredu fel Bwrdd Draenio Mewnol</t>
  </si>
  <si>
    <t>Borrowing, credit and investments at start of year:</t>
  </si>
  <si>
    <t>Levies paid to the Environment Agency in respect of Local Flood Defence Committees</t>
  </si>
  <si>
    <t>Ardollau a dalwyd i Asiantaeth yr Amgylchedd mewn perthynas â Phwyllgorau Lleol Amddiffyn rhag Llifogydd</t>
  </si>
  <si>
    <t>Gross borrowing as at start of year</t>
  </si>
  <si>
    <t>Local Government Financial Statistics Unit,</t>
  </si>
  <si>
    <t>Uned Ystadegau Ariannol Llywodraeth Leol,</t>
  </si>
  <si>
    <t>Other long-term liabilities as at start of year</t>
  </si>
  <si>
    <t>Local land charges</t>
  </si>
  <si>
    <t>Pridiannau tir lleol</t>
  </si>
  <si>
    <t>Investments as at start of year</t>
  </si>
  <si>
    <t>Local Transport Fund (formerly Local Transport Grant)</t>
  </si>
  <si>
    <t>Cronfa Trafnidiaeth Leol (Grant Trafnidiaeth Leol yn flaenorol)</t>
  </si>
  <si>
    <t>Borrowing, credit and investments at end of year:</t>
  </si>
  <si>
    <t>Local Welfare Assistance Schemes</t>
  </si>
  <si>
    <t>Cynlluniau Cymorth Lles Lleol</t>
  </si>
  <si>
    <t>Gross borrowing as at year end</t>
  </si>
  <si>
    <t>Mandatory rent allowances</t>
  </si>
  <si>
    <t>Lwfansau rhent gorfodol</t>
  </si>
  <si>
    <t>Other long-term liabilities as at year end</t>
  </si>
  <si>
    <t>Mandatory rent rebates (HRA)</t>
  </si>
  <si>
    <t>Ad-daliadau rhent gorfodol (HRA)</t>
  </si>
  <si>
    <t>Investments as at year end</t>
  </si>
  <si>
    <t>Name:</t>
  </si>
  <si>
    <t>Enw:</t>
  </si>
  <si>
    <t>Operational boundary and authorised limit:</t>
  </si>
  <si>
    <t>Grant Parciau Cenedlaethol (awdurdodau parciau cenedlaethol yn unig)</t>
  </si>
  <si>
    <t>Operational boundary for external debt as at start of year</t>
  </si>
  <si>
    <t>Authorised limit for external debt as at start of year</t>
  </si>
  <si>
    <t>Operational boundary for external debt as at year end</t>
  </si>
  <si>
    <t>Authorised limit for external debt as at year end</t>
  </si>
  <si>
    <t>Natural Resources Wales (formerly Countryside Council for Wales)</t>
  </si>
  <si>
    <t>Cyfoeth Naturiol Cymru (Cyngor Cefn Gwlad Cymru yn flaenorol)</t>
  </si>
  <si>
    <t>cyfanswm receipts:</t>
  </si>
  <si>
    <t>NDC costs attributable to Carbon Reduction Commitment (CRC) transactions</t>
  </si>
  <si>
    <t>Costau heb eu dosbarthu yn ymwneud â thrafodiadau Ymrwymiad Lleihau Carbon</t>
  </si>
  <si>
    <t>cyfanswm in-year capital receipts - HRA (COR1-2, line 24, column 13)</t>
  </si>
  <si>
    <t>NDC costs attributable to council fund housing services</t>
  </si>
  <si>
    <t>Costau heb eu dosbarthuyn ymwneud â gwasanaethau tai cronfa'r cyngor</t>
  </si>
  <si>
    <t>cyfanswm in-year capital receipts non HRA (COR1-2, line 66 minus line 24, column 13)</t>
  </si>
  <si>
    <t>NDC costs attributable to courts' services</t>
  </si>
  <si>
    <t xml:space="preserve">Costau heb eu dosbarthu yn ymwneud â gwasanaethau llyosedd </t>
  </si>
  <si>
    <t>cyfanswm in-year capital receipts (lines 20 and 21)</t>
  </si>
  <si>
    <t>NDC costs attributable to cultural and related services</t>
  </si>
  <si>
    <t>Costau heb eu dosbarthu yn ymwneud â gwasanaethau diwylliannol a chysylltiedig</t>
  </si>
  <si>
    <t>Memorandum:</t>
  </si>
  <si>
    <t>NDC costs attributable to education services</t>
  </si>
  <si>
    <t xml:space="preserve">Costau heb eu dosbarthu yn ymwneud â gwasanaethau addysg </t>
  </si>
  <si>
    <t>Additional liabilities of Local Authority companies:</t>
  </si>
  <si>
    <t>NDC costs attributable to environmental services</t>
  </si>
  <si>
    <t xml:space="preserve">Costau heb eu dosbarthu yn ymwneud â gwasanaethau amgylcheddol </t>
  </si>
  <si>
    <t>Gross borrowing and other long-term liabilities as at start of year</t>
  </si>
  <si>
    <t>NDC costs attributable to highways, roads and transport services</t>
  </si>
  <si>
    <t xml:space="preserve">Costau heb eu dosbarthu yn ymwneud â gwasanaethau priffyrdd, ffyrdd a thrafnidiaeth </t>
  </si>
  <si>
    <t>Gross borrowing and other long-term liabilities as at end of year</t>
  </si>
  <si>
    <t>NDC costs attributable to personal social services</t>
  </si>
  <si>
    <t xml:space="preserve">Costau heb eu dosbarthu yn ymwneud â gwasanaethau cymdeithasol personol </t>
  </si>
  <si>
    <t>Gross HRA unsupported borrowing:</t>
  </si>
  <si>
    <t>NDC costs attributable to planning and development services</t>
  </si>
  <si>
    <t xml:space="preserve">Costau heb eu dosbarthu yn ymwneud â gwasanaethau datblygu </t>
  </si>
  <si>
    <t>At start of year</t>
  </si>
  <si>
    <t>Non-domestic rates collection</t>
  </si>
  <si>
    <t>Casglu ardrethi annomestig</t>
  </si>
  <si>
    <t>At end of year</t>
  </si>
  <si>
    <t>not used</t>
  </si>
  <si>
    <t>heb ei ddefnyddio</t>
  </si>
  <si>
    <t>The Authority’s figures for the LGBI for highways’ improvements</t>
  </si>
  <si>
    <t>NOTE: Only include components relating to Icelandic bank impairment on lines 140 to 142.</t>
  </si>
  <si>
    <t xml:space="preserve">SYLWCH: Defnyddiwch elfennau sy'n ymwneud ag amhariad banciau Gwlad yr Iâ ar linellau 140 i 142 yn unig, </t>
  </si>
  <si>
    <t>Amount included in line 31.1 above relating to the LGBI for highways’ improvements</t>
  </si>
  <si>
    <t>NOVUS</t>
  </si>
  <si>
    <t>Please use white cells for input only</t>
  </si>
  <si>
    <t>NOVUS grant</t>
  </si>
  <si>
    <t>Grant NOVUS</t>
  </si>
  <si>
    <t>Blue cells are calculated</t>
  </si>
  <si>
    <t>Number and extension:</t>
  </si>
  <si>
    <t>Rhif ac estyniad:</t>
  </si>
  <si>
    <t>Gold cells are not used</t>
  </si>
  <si>
    <t>Of which: transfers (#)</t>
  </si>
  <si>
    <t>Ac o hynny: trosglwyddiadau (#)</t>
  </si>
  <si>
    <t xml:space="preserve">Lines 32 and 19 should be equal.  Any difference is shown here:          </t>
  </si>
  <si>
    <t>One off equal pay costs  - falling on the schools budget</t>
  </si>
  <si>
    <t>Costau untro cyflog cyfartal - o gyllideb yr ysgolion</t>
  </si>
  <si>
    <t>On Balance Sheet PFI Financing</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</si>
  <si>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</si>
  <si>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</si>
  <si>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</si>
  <si>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</si>
  <si>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VALIDATIONS</t>
  </si>
  <si>
    <t>Other (please specify)</t>
  </si>
  <si>
    <t>Arall (rhowch fanylion)</t>
  </si>
  <si>
    <t>OTHER COUNCIL FUND HOUSING SERVICES</t>
  </si>
  <si>
    <t>GWASANAETHAU ERAILL TAI CRONFA'R CYNGOR</t>
  </si>
  <si>
    <t>Validation checks</t>
  </si>
  <si>
    <t>Other courts services</t>
  </si>
  <si>
    <t>Arall - gwasanaethau llysoedd</t>
  </si>
  <si>
    <t>CAPITAL FINANCING</t>
  </si>
  <si>
    <t>Other education (including emergency financial assistance) (specify in list below line 999)</t>
  </si>
  <si>
    <t>Arall - addysg (gan gynnwys cymorth ariannol brys) (rhowch fanylion yn y rhestr o dan llinell 999)</t>
  </si>
  <si>
    <t>Line 30.1 and 30.2 greater than 0</t>
  </si>
  <si>
    <t>Other education (please specify)</t>
  </si>
  <si>
    <t>Arall - addysg (rhowch fanylion)</t>
  </si>
  <si>
    <t>Line 35 as a percentage of line 33</t>
  </si>
  <si>
    <t xml:space="preserve">Other employee costs (included in line 109, column 1.20) </t>
  </si>
  <si>
    <t>Arall - costau cyflogeion (wedi'i gynnwys yn llinell 109, colofn 1.20)</t>
  </si>
  <si>
    <t>Line 38 + line 39 greater than 0</t>
  </si>
  <si>
    <t>Other highways, roads and transport (please specify)</t>
  </si>
  <si>
    <t>Arall - priffyrdd, ffyrdd a thranfnidiaeth (rhowch fanylion)</t>
  </si>
  <si>
    <t>Line 38 + line 39 as a percentage of line 33</t>
  </si>
  <si>
    <t>Other home office and Lord Chancellor's Department (please specify)</t>
  </si>
  <si>
    <t>Arall - y Swyddfa Gartref ac Adran yr Arglwydd Ganghellor (rhowch fanylion)</t>
  </si>
  <si>
    <t>Line 40 or 43 greater than 1</t>
  </si>
  <si>
    <t>Other Home Office, Department for Constitutional Affairs and Unified Courts Administration (specify on last page)</t>
  </si>
  <si>
    <t>Arall - y Swyddfa Gartref, yr Adran Materion Cyfansoddiadol a Gweinyddiaeth y Llysoedd Unedig (rhowch fanylion ar y dudalen olaf)</t>
  </si>
  <si>
    <t>Line 41 + line 42 greater than 0</t>
  </si>
  <si>
    <t>Other housing (including Bellwin scheme grants covering housing expenditure) (please specify)</t>
  </si>
  <si>
    <t xml:space="preserve">Arall - tai (gan gynnwys grantiau Cynllun Bellwin ar gyfer gwariant tai) (rhowch fanylion) </t>
  </si>
  <si>
    <t>Line 44 greater than or equal to line 38 + line 39</t>
  </si>
  <si>
    <t>Other housing (including Emergency Financial Assistance) (specify in list below line 999)</t>
  </si>
  <si>
    <t>Arall - tai (gan gynnwys Cymorth Ariannol Brys) (rhowch fanylion yn y rhestr o dan llinell 999)</t>
  </si>
  <si>
    <t>Line 45 greater than or equal to line 44</t>
  </si>
  <si>
    <t>Other NDC costs</t>
  </si>
  <si>
    <t>Arall - Costau heb eu dosbarthu</t>
  </si>
  <si>
    <t>Line 47 greater than or equal to line 46</t>
  </si>
  <si>
    <t>Other road and transport (specify on last page)</t>
  </si>
  <si>
    <t>Arall - ffyrdd a thrafnidiaeth (rhowch fanylion ar y dudalen olaf)</t>
  </si>
  <si>
    <t>Line 46 greater than or equal to line 41 + line 42</t>
  </si>
  <si>
    <t>Other Services</t>
  </si>
  <si>
    <t>Gwasanaethau Eraill</t>
  </si>
  <si>
    <t>Line 45 greater than or equal to line 37</t>
  </si>
  <si>
    <t>Other social service (including Bellwin scheme covering social service expenditure) (please specify)</t>
  </si>
  <si>
    <t>Arall - gwasanaethau cymdeithasol (gan gynnwys Cynllun Bellwin ar gyfer gwariant gwasanaethau cymdeithasol) (rhowch fanylion)</t>
  </si>
  <si>
    <t>Line 47 greater than or equal to line 37</t>
  </si>
  <si>
    <t>Other social services (including emergency financial assistance) (specify in list below line 999)</t>
  </si>
  <si>
    <t>Arall - gwasanaethau cymdeithasol (gan gynnwys cymorth ariannol brys) (rhowch fanylion yn y rhestr o dan llinell 999)</t>
  </si>
  <si>
    <t>Line 48 less than half of line 38 + line 39</t>
  </si>
  <si>
    <t>Other welfare services</t>
  </si>
  <si>
    <t>Arall - gwasanaethau lles</t>
  </si>
  <si>
    <t>Line 49 + less than half of line 41 + line 42</t>
  </si>
  <si>
    <t>Out of school child care</t>
  </si>
  <si>
    <t xml:space="preserve">Gofal plant y tu allan i oriau ysgol </t>
  </si>
  <si>
    <t>Line 43 greater than 0</t>
  </si>
  <si>
    <t>Out of School Childcare</t>
  </si>
  <si>
    <t xml:space="preserve">Gofal Plant y Tu Allan i Oriau Ysgol </t>
  </si>
  <si>
    <t>Line 44 greater than 0</t>
  </si>
  <si>
    <t>Outcome agreement grant (formally IAG)</t>
  </si>
  <si>
    <t>Grant cytundeb canlyniadau (Grant Cytundeb Gwella yn flaenorol)</t>
  </si>
  <si>
    <t>Line 45 greater than 0</t>
  </si>
  <si>
    <t>PE &amp; school sports (PESS)</t>
  </si>
  <si>
    <t>Addysg gorfforol a chwaraeon mewn ysgolion</t>
  </si>
  <si>
    <t>Line 46 greater than 0</t>
  </si>
  <si>
    <t>Planning improvement fund for local planning authorities</t>
  </si>
  <si>
    <t>Y gronfa gwella cynllunio ar gyfer awdurdodau cynllunio lleol</t>
  </si>
  <si>
    <t>Line 47 greater than 0</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</si>
  <si>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</si>
  <si>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</si>
  <si>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Difference</t>
  </si>
  <si>
    <t>Please give the name and telephone number of the person who we may contact in case of queries:-</t>
  </si>
  <si>
    <t>Rhowch enw a rhif ffôn y person y gallwn gysylltu â hwy ar gyfer ymholiadau:-</t>
  </si>
  <si>
    <t>cyfanswm</t>
  </si>
  <si>
    <t>Please select your authority from the dropdown box on the FrontPage</t>
  </si>
  <si>
    <t>Dewiswch eich awdurdod o'r gwymplen ar y dudalen flaen</t>
  </si>
  <si>
    <t>comment</t>
  </si>
  <si>
    <t>Police and Home Office</t>
  </si>
  <si>
    <t>Yr Heddlu a'r Swyddfa Gartref</t>
  </si>
  <si>
    <t>Please comment below if necessary</t>
  </si>
  <si>
    <t>Police community support officers grant from the Welsh Government (police only)</t>
  </si>
  <si>
    <t>Grant swyddogion cymorth cymunedol yr heddlu gan Lywodraeth Cymru (yr heddlu yn unig)</t>
  </si>
  <si>
    <t>Please comment</t>
  </si>
  <si>
    <t>Police innovation fund (police only)</t>
  </si>
  <si>
    <t>Cronfa arloesi yr heddlu (yr heddlu yn unig)</t>
  </si>
  <si>
    <t>Clear</t>
  </si>
  <si>
    <t>Post-16 provision in schools</t>
  </si>
  <si>
    <t>Darpariaeth ôl-16 mewn ysgolion</t>
  </si>
  <si>
    <t>NARRATIVE</t>
  </si>
  <si>
    <t>Public transport</t>
  </si>
  <si>
    <t>Trafnidiaeth gyhoeddus</t>
  </si>
  <si>
    <t>Please use the box below to give a brief supporting narrative of any major change in circumstances that might have an influence on</t>
  </si>
  <si>
    <t>Pupil deprivation grant</t>
  </si>
  <si>
    <t>Grant amddifadedd disgyblion</t>
  </si>
  <si>
    <t>forecast figures around this time.</t>
  </si>
  <si>
    <t>Recreation and sport (including sports council)</t>
  </si>
  <si>
    <t>Hamdden a chwaraeon (gan gynnwys cyngor chwaraeon)</t>
  </si>
  <si>
    <t>For example, significant changes or shifts in forecasts could be caused by: delays to projects, changing priorities for capital investment</t>
  </si>
  <si>
    <t>Regional collaboration grant</t>
  </si>
  <si>
    <t xml:space="preserve">Grant cydweithredu rhanbarthol </t>
  </si>
  <si>
    <t>or to tentatively identify any capital expenditure which may need to be covered by a capitalisation direction.</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</si>
  <si>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</si>
  <si>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</si>
  <si>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</si>
  <si>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</si>
  <si>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</si>
  <si>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</si>
  <si>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</si>
  <si>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</si>
  <si>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</si>
  <si>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</si>
  <si>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</si>
  <si>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</si>
  <si>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collection, analysis and aggregation of records and data required;</t>
  </si>
  <si>
    <t>Revised redistributed non-domestic rates income (after council tax was set)</t>
  </si>
  <si>
    <t>incwm diwygiedig ardrethi annomestig a ailddoabrthwyd (ar ôl pennu'r dreth gyngor)</t>
  </si>
  <si>
    <t>completing, checking, amending and approving the form.</t>
  </si>
  <si>
    <t>Revised revenue support grant (after council tax was set)</t>
  </si>
  <si>
    <t>Grant cynnal refeniw diwygiedig (ar ôl pennu'r dreth gyngor)</t>
  </si>
  <si>
    <t>Road Safety Grant</t>
  </si>
  <si>
    <t>Grant Diogelwch ar y Ffyrdd</t>
  </si>
  <si>
    <t>Running expenses</t>
  </si>
  <si>
    <t>Treuliau rhedeg</t>
  </si>
  <si>
    <t>Comments</t>
  </si>
  <si>
    <t>Safer communities fund</t>
  </si>
  <si>
    <t>Cronfa cymunedau mwy diogel</t>
  </si>
  <si>
    <t>School effectiveness grant</t>
  </si>
  <si>
    <t>Grant effeithiolrwydd ysgolion</t>
  </si>
  <si>
    <t>School uniform grant</t>
  </si>
  <si>
    <t>Grant gwisg ysgol</t>
  </si>
  <si>
    <t>We are continually striving to improve the form to make it easier to complete, whilst still ensuring data integrity and consistency across all authorities. If you have any comments or suggestions that may be useful,  please note them below:</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</si>
  <si>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</si>
  <si>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</si>
  <si>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</si>
  <si>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</si>
  <si>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</si>
  <si>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</si>
  <si>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</si>
  <si>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</si>
  <si>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General comments</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</si>
  <si>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</si>
  <si>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</si>
  <si>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</si>
  <si>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</si>
  <si>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</si>
  <si>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</si>
  <si>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</si>
  <si>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</si>
  <si>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</si>
  <si>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</si>
  <si>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</si>
  <si>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</si>
  <si>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</si>
  <si>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</si>
  <si>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</si>
  <si>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</si>
  <si>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</si>
  <si>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</si>
  <si>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</si>
  <si>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</si>
  <si>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</si>
  <si>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</si>
  <si>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</si>
  <si>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</si>
  <si>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</si>
  <si>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</si>
  <si>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</si>
  <si>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</si>
  <si>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</si>
  <si>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</si>
  <si>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</si>
  <si>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</si>
  <si>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</si>
  <si>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Ffôn: Cod STD:</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</si>
  <si>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</si>
  <si>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</si>
  <si>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</si>
  <si>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</si>
  <si>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</si>
  <si>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</si>
  <si>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</si>
  <si>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</si>
  <si>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</si>
  <si>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</si>
  <si>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</si>
  <si>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</si>
  <si>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</si>
  <si>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</si>
  <si>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</si>
  <si>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</si>
  <si>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</si>
  <si>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</si>
  <si>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</si>
  <si>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</si>
  <si>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</si>
  <si>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</si>
  <si>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</si>
  <si>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</si>
  <si>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</si>
  <si>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</si>
  <si>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</si>
  <si>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</si>
  <si>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</si>
  <si>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</si>
  <si>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</si>
  <si>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</si>
  <si>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</si>
  <si>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</si>
  <si>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</si>
  <si>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</si>
  <si>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</si>
  <si>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</si>
  <si>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</si>
  <si>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</si>
  <si>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</si>
  <si>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</si>
  <si>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</si>
  <si>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</si>
  <si>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</si>
  <si>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</si>
  <si>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</si>
  <si>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</si>
  <si>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</si>
  <si>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</si>
  <si>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</si>
  <si>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</si>
  <si>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</si>
  <si>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</si>
  <si>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</si>
  <si>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</si>
  <si>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</si>
  <si>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</si>
  <si>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</si>
  <si>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</si>
  <si>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</si>
  <si>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</si>
  <si>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</si>
  <si>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</si>
  <si>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</si>
  <si>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</si>
  <si>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</si>
  <si>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</si>
  <si>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</si>
  <si>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</si>
  <si>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</si>
  <si>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</si>
  <si>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</si>
  <si>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</si>
  <si>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</si>
  <si>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</si>
  <si>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</si>
  <si>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</si>
  <si>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</si>
  <si>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</si>
  <si>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</si>
  <si>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</si>
  <si>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</si>
  <si>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</si>
  <si>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</si>
  <si>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</si>
  <si>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</si>
  <si>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</si>
  <si>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</si>
  <si>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</si>
  <si>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</si>
  <si>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</si>
  <si>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</si>
  <si>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</si>
  <si>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</si>
  <si>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</si>
  <si>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</si>
  <si>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</si>
  <si>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</si>
  <si>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</si>
  <si>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</si>
  <si>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</si>
  <si>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</si>
  <si>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</si>
  <si>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</si>
  <si>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</si>
  <si>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</si>
  <si>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</si>
  <si>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</si>
  <si>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</si>
  <si>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</si>
  <si>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</si>
  <si>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</si>
  <si>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</si>
  <si>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</si>
  <si>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</si>
  <si>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</si>
  <si>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</si>
  <si>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</si>
  <si>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</si>
  <si>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</si>
  <si>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</si>
  <si>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</si>
  <si>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</si>
  <si>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</si>
  <si>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</si>
  <si>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</si>
  <si>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</si>
  <si>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</si>
  <si>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</si>
  <si>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</si>
  <si>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</si>
  <si>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</si>
  <si>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</si>
  <si>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</si>
  <si>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</si>
  <si>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</si>
  <si>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</si>
  <si>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</si>
  <si>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</si>
  <si>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</si>
  <si>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</si>
  <si>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</si>
  <si>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</si>
  <si>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</si>
  <si>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</si>
  <si>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</si>
  <si>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</si>
  <si>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</si>
  <si>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</si>
  <si>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</si>
  <si>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</si>
  <si>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</si>
  <si>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</si>
  <si>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</si>
  <si>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</si>
  <si>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</si>
  <si>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</si>
  <si>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</si>
  <si>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</si>
  <si>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</si>
  <si>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</si>
  <si>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</si>
  <si>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</si>
  <si>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</si>
  <si>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</si>
  <si>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</si>
  <si>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</si>
  <si>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</si>
  <si>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</si>
  <si>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</si>
  <si>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</si>
  <si>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</si>
  <si>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</si>
  <si>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</si>
  <si>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</si>
  <si>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</si>
  <si>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</si>
  <si>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</si>
  <si>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</si>
  <si>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</si>
  <si>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</si>
  <si>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</si>
  <si>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</si>
  <si>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</si>
  <si>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</si>
  <si>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</si>
  <si>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</si>
  <si>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</si>
  <si>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</si>
  <si>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</si>
  <si>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</si>
  <si>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</si>
  <si>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</si>
  <si>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</si>
  <si>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</si>
  <si>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</si>
  <si>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</si>
  <si>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</si>
  <si>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</si>
  <si>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</si>
  <si>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</si>
  <si>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</si>
  <si>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</si>
  <si>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</si>
  <si>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</si>
  <si>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</si>
  <si>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</si>
  <si>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</si>
  <si>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</si>
  <si>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</si>
  <si>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</si>
  <si>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</si>
  <si>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</si>
  <si>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</si>
  <si>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</si>
  <si>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</si>
  <si>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</si>
  <si>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</si>
  <si>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</si>
  <si>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</si>
  <si>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</si>
  <si>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</si>
  <si>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</si>
  <si>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</si>
  <si>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</si>
  <si>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</si>
  <si>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Enw'r person cyswllt:</t>
  </si>
  <si>
    <t>E-bost</t>
  </si>
  <si>
    <t>Ffôn:</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</si>
  <si>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</si>
  <si>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</si>
  <si>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</si>
  <si>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</si>
  <si>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</si>
  <si>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</si>
  <si>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</si>
  <si>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</si>
  <si>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</si>
  <si>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</si>
  <si>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</si>
  <si>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Ffôn: 029 2082 5673</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</si>
  <si>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</si>
  <si>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</si>
  <si>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</si>
  <si>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</si>
  <si>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</si>
  <si>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</si>
  <si>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</si>
  <si>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</si>
  <si>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</si>
  <si>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</si>
  <si>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</si>
  <si>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</si>
  <si>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</si>
  <si>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</si>
  <si>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</si>
  <si>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</si>
  <si>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</si>
  <si>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</si>
  <si>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</si>
  <si>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</si>
  <si>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</si>
  <si>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</si>
  <si>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</si>
  <si>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</si>
  <si>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</si>
  <si>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</si>
  <si>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</si>
  <si>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</si>
  <si>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</si>
  <si>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</si>
  <si>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</si>
  <si>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</si>
  <si>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</si>
  <si>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r>
      <t xml:space="preserve">Mae'r ffigurau mewn </t>
    </r>
    <r>
      <rPr>
        <b/>
        <sz val="10"/>
        <rFont val="Arial"/>
        <family val="2"/>
      </rPr>
      <t>glas</t>
    </r>
    <r>
      <rPr>
        <sz val="10"/>
        <rFont val="Arial"/>
        <family val="2"/>
      </rPr>
      <t xml:space="preserve"> yn cael eu cyfrifo, mae'r celloedd wedi'u diogelu</t>
    </r>
  </si>
  <si>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</si>
  <si>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</si>
  <si>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</si>
  <si>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</si>
  <si>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</si>
  <si>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</si>
  <si>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</si>
  <si>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</si>
  <si>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</si>
  <si>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</si>
  <si>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</si>
  <si>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</si>
  <si>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</si>
  <si>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</si>
  <si>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</si>
  <si>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</si>
  <si>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</si>
  <si>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</si>
  <si>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</si>
  <si>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</si>
  <si>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</si>
  <si>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</si>
  <si>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</si>
  <si>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</si>
  <si>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</si>
  <si>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</si>
  <si>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</si>
  <si>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</si>
  <si>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</si>
  <si>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</si>
  <si>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</si>
  <si>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</si>
  <si>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</si>
  <si>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</si>
  <si>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</si>
  <si>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</si>
  <si>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</si>
  <si>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</si>
  <si>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</si>
  <si>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</si>
  <si>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</si>
  <si>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</si>
  <si>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</si>
  <si>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</si>
  <si>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</si>
  <si>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</si>
  <si>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</si>
  <si>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</si>
  <si>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</si>
  <si>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</si>
  <si>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</si>
  <si>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</si>
  <si>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</si>
  <si>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</si>
  <si>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</si>
  <si>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</si>
  <si>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</si>
  <si>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</si>
  <si>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</si>
  <si>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</si>
  <si>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</si>
  <si>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Total receipts:</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</si>
  <si>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</si>
  <si>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</si>
  <si>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</si>
  <si>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</si>
  <si>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</si>
  <si>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</si>
  <si>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</si>
  <si>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</si>
  <si>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</si>
  <si>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</si>
  <si>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</si>
  <si>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</si>
  <si>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</si>
  <si>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</si>
  <si>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</si>
  <si>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</si>
  <si>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</si>
  <si>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</si>
  <si>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</si>
  <si>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</si>
  <si>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</si>
  <si>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</si>
  <si>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</si>
  <si>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</si>
  <si>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</si>
  <si>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</si>
  <si>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</si>
  <si>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</si>
  <si>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</si>
  <si>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</si>
  <si>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</si>
  <si>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</si>
  <si>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</si>
  <si>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</si>
  <si>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</si>
  <si>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</si>
  <si>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</si>
  <si>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</si>
  <si>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</si>
  <si>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</si>
  <si>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</si>
  <si>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</si>
  <si>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</si>
  <si>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</si>
  <si>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</si>
  <si>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</si>
  <si>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</si>
  <si>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</si>
  <si>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</si>
  <si>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</si>
  <si>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</si>
  <si>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</si>
  <si>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</si>
  <si>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</si>
  <si>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</si>
  <si>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</si>
  <si>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</si>
  <si>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</si>
  <si>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</si>
  <si>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</si>
  <si>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</si>
  <si>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</si>
  <si>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</si>
  <si>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</si>
  <si>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</si>
  <si>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</si>
  <si>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</si>
  <si>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</si>
  <si>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</si>
  <si>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</si>
  <si>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</si>
  <si>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</si>
  <si>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</si>
  <si>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</si>
  <si>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</si>
  <si>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</si>
  <si>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</si>
  <si>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</si>
  <si>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</si>
  <si>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gymunedol</t>
  </si>
  <si>
    <t>Addysg gynradd</t>
  </si>
  <si>
    <t>Adult education</t>
  </si>
  <si>
    <t>Addysg i oedolion</t>
  </si>
  <si>
    <t>Education of children looked after</t>
  </si>
  <si>
    <t>Addysg plant sy'n derbyn gofal</t>
  </si>
  <si>
    <t>Addysg uwchradd</t>
  </si>
  <si>
    <t>Education:</t>
  </si>
  <si>
    <t>Addysg:</t>
  </si>
  <si>
    <t>Private sector housing renewal</t>
  </si>
  <si>
    <t>Adnewyddu tai'r sector preifat</t>
  </si>
  <si>
    <t>SECTION A - Council tax</t>
  </si>
  <si>
    <t>ADRAN A – y Dreth Gyngor</t>
  </si>
  <si>
    <t>SECTION B - Non-domestic rates</t>
  </si>
  <si>
    <t>ADRAN B – Ardrethi annomestig</t>
  </si>
  <si>
    <t>Ailgylchu</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</si>
  <si>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</si>
  <si>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</si>
  <si>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</si>
  <si>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</si>
  <si>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</si>
  <si>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</si>
  <si>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</si>
  <si>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Amddiffyn yr arfordir</t>
  </si>
  <si>
    <t>Museums and art galleries</t>
  </si>
  <si>
    <t>Amgueddfeydd ac orielau celf</t>
  </si>
  <si>
    <t>Amgueddfeydd ac orielau</t>
  </si>
  <si>
    <t>Amrywiol</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</si>
  <si>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</si>
  <si>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</si>
  <si>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</si>
  <si>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</si>
  <si>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</si>
  <si>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Anghenion dysgu ychwanegol - Ysgolion arbennig</t>
  </si>
  <si>
    <t>Additional learning needs - middle</t>
  </si>
  <si>
    <t>Anghenion dysgu ychwanegol - Ysgolion canol</t>
  </si>
  <si>
    <t>Additional learning needs - primary</t>
  </si>
  <si>
    <t>Anghenion dysgu ychwanegol - Ysgolion cynradd</t>
  </si>
  <si>
    <t>Additional learning needs - nursery</t>
  </si>
  <si>
    <t>Anghenion dysgu ychwanegol - Ysgolion meithrin</t>
  </si>
  <si>
    <t>Additional learning needs - secondary</t>
  </si>
  <si>
    <t>Anghenion dysgu ychwanegol - Ysgolion uwchradd</t>
  </si>
  <si>
    <t>Arall</t>
  </si>
  <si>
    <t>Archives</t>
  </si>
  <si>
    <t>Archifau</t>
  </si>
  <si>
    <t>Levies</t>
  </si>
  <si>
    <t>Ardollau</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</si>
  <si>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</si>
  <si>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</si>
  <si>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</si>
  <si>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</si>
  <si>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</si>
  <si>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</si>
  <si>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</si>
  <si>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</si>
  <si>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</si>
  <si>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</si>
  <si>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</si>
  <si>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</si>
  <si>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</si>
  <si>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Costau heb eu dosbarthu</t>
  </si>
  <si>
    <t>adjustment account</t>
  </si>
  <si>
    <t>cyfrif addasiad</t>
  </si>
  <si>
    <t>Debt financing</t>
  </si>
  <si>
    <t>Ariannu dyled</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</si>
  <si>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</si>
  <si>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</si>
  <si>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</si>
  <si>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</si>
  <si>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</si>
  <si>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</si>
  <si>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</si>
  <si>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</si>
  <si>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</si>
  <si>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</si>
  <si>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</si>
  <si>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</si>
  <si>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</si>
  <si>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</si>
  <si>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</si>
  <si>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 xml:space="preserve">Atgyweirio a chynnal a chadw </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</si>
  <si>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</si>
  <si>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</si>
  <si>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</si>
  <si>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</si>
  <si>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</si>
  <si>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</si>
  <si>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</si>
  <si>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</si>
  <si>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</si>
  <si>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</si>
  <si>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</si>
  <si>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</si>
  <si>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</si>
  <si>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</si>
  <si>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</si>
  <si>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</si>
  <si>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</si>
  <si>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</si>
  <si>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</si>
  <si>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</si>
  <si>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</si>
  <si>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</si>
  <si>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</si>
  <si>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</si>
  <si>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</si>
  <si>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Percentage</t>
  </si>
  <si>
    <t>Canran</t>
  </si>
  <si>
    <t>Local tax collection</t>
  </si>
  <si>
    <t>Casglu'r dreth leol</t>
  </si>
  <si>
    <t>Casglu gwastraff</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</si>
  <si>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</si>
  <si>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</si>
  <si>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</si>
  <si>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</si>
  <si>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</si>
  <si>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</si>
  <si>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</si>
  <si>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</si>
  <si>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</si>
  <si>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</si>
  <si>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</si>
  <si>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</si>
  <si>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</si>
  <si>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</si>
  <si>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</si>
  <si>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</si>
  <si>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</si>
  <si>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</si>
  <si>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</si>
  <si>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</si>
  <si>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</si>
  <si>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</si>
  <si>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</si>
  <si>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</si>
  <si>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</si>
  <si>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</si>
  <si>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</si>
  <si>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</si>
  <si>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</si>
  <si>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</si>
  <si>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</si>
  <si>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</si>
  <si>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</si>
  <si>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</si>
  <si>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</si>
  <si>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</si>
  <si>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</si>
  <si>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</si>
  <si>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</si>
  <si>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</si>
  <si>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</si>
  <si>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</si>
  <si>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</si>
  <si>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</si>
  <si>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</si>
  <si>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</si>
  <si>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</si>
  <si>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</si>
  <si>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</si>
  <si>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</si>
  <si>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</si>
  <si>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</si>
  <si>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</si>
  <si>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</si>
  <si>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</si>
  <si>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Climate change costs</t>
  </si>
  <si>
    <t>Costau newid hinsawdd</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</si>
  <si>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</si>
  <si>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</si>
  <si>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</si>
  <si>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</si>
  <si>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</si>
  <si>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</si>
  <si>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</si>
  <si>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</si>
  <si>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</si>
  <si>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</si>
  <si>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</si>
  <si>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</si>
  <si>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</si>
  <si>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</si>
  <si>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</si>
  <si>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</si>
  <si>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</si>
  <si>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</si>
  <si>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</si>
  <si>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</si>
  <si>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Cyfanswm anghenion dysgu ychwanegol</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</si>
  <si>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</si>
  <si>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</si>
  <si>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</si>
  <si>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</si>
  <si>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</si>
  <si>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</si>
  <si>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</si>
  <si>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</si>
  <si>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</si>
  <si>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</si>
  <si>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</si>
  <si>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</si>
  <si>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</si>
  <si>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</si>
  <si>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</si>
  <si>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Total transport planning, highways, roads and transport</t>
  </si>
  <si>
    <t>Cyfanswm cynllunio trafnidiaeth, priffyrdd, ffyrdd a thrafnidiaeth</t>
  </si>
  <si>
    <t>Total Inter authority recoupment</t>
  </si>
  <si>
    <t>Cyfanswm digollediad rhwng awdurdodau</t>
  </si>
  <si>
    <t>Total expenditure delegated to middle schools</t>
  </si>
  <si>
    <t xml:space="preserve">Cyfanswm gwariant wedi ei ddirprwyo i ysgolion canol </t>
  </si>
  <si>
    <t>Total non-school education expenditure</t>
  </si>
  <si>
    <t>Cyfanswm gwariant addysg heblaw ysgolion</t>
  </si>
  <si>
    <t>Total service expenditure</t>
  </si>
  <si>
    <t>Cyfanswm gwariant ar wasanaethau</t>
  </si>
  <si>
    <t>Total Capital expenditure charged to revenue account</t>
  </si>
  <si>
    <t>Cyfanswm gwariant cyfalaf a roddwyd ar y cyfrif refeniw</t>
  </si>
  <si>
    <t>Total education revenue expenditure</t>
  </si>
  <si>
    <t>Cyfanswm gwariant refeniw ar addysg</t>
  </si>
  <si>
    <t>Total delegated schools expenditure</t>
  </si>
  <si>
    <t>Cyfanswm gwariant wedi'i ddirprwyo i ysgolion</t>
  </si>
  <si>
    <t>Total expenditure delegated to special schools</t>
  </si>
  <si>
    <t>Cyfanswm gwariant wedi'i ddirprwyo i ysgolion arbennig</t>
  </si>
  <si>
    <t>Total expenditure delegated to primary schools</t>
  </si>
  <si>
    <t>Cyfanswm gwariant wedi'i ddirprwyo i ysgolion cynradd</t>
  </si>
  <si>
    <t>Total expenditure delegated to nursery schools</t>
  </si>
  <si>
    <t>Cyfanswm gwariant wedi'i ddirprwyo i ysgolion meithrin</t>
  </si>
  <si>
    <t>Total expenditure delegated to secondary schools</t>
  </si>
  <si>
    <t>Cyfanswm gwariant wedi'i ddirprwyo i ysgolion uwchradd</t>
  </si>
  <si>
    <t>Total school expenditure</t>
  </si>
  <si>
    <t>Cyfanswm gwariant ysgol</t>
  </si>
  <si>
    <t>Total services for young people</t>
  </si>
  <si>
    <t>Cyfanswm gwasanaethau ar gyfer pobl ifanc</t>
  </si>
  <si>
    <t>Cyfanswm gwasanaeth ieuenctid</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</si>
  <si>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</si>
  <si>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</si>
  <si>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</si>
  <si>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</si>
  <si>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</si>
  <si>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</si>
  <si>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Other children's and families' services</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</si>
  <si>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</si>
  <si>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</si>
  <si>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</si>
  <si>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</si>
  <si>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</si>
  <si>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</si>
  <si>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</si>
  <si>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</si>
  <si>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</si>
  <si>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</si>
  <si>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</si>
  <si>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</si>
  <si>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</si>
  <si>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</si>
  <si>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</si>
  <si>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</si>
  <si>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</si>
  <si>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</si>
  <si>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</si>
  <si>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</si>
  <si>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</si>
  <si>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</si>
  <si>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</si>
  <si>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</si>
  <si>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</si>
  <si>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</si>
  <si>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Cyfanswm rheoli strategol</t>
  </si>
  <si>
    <t>Total traffic management and road safety</t>
  </si>
  <si>
    <t>Cyfanswm rheoli traffig a diogelwch ar y ffyrdd</t>
  </si>
  <si>
    <t>Total Staff</t>
  </si>
  <si>
    <t>Cyfanswm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</si>
  <si>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</si>
  <si>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</si>
  <si>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</si>
  <si>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</si>
  <si>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</si>
  <si>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</si>
  <si>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</si>
  <si>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Cyfarpar addysg</t>
  </si>
  <si>
    <t>Total LA budget</t>
  </si>
  <si>
    <t>Cyfaswm cyllideb ALl</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</si>
  <si>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</si>
  <si>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</si>
  <si>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</si>
  <si>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</si>
  <si>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</si>
  <si>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</si>
  <si>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</si>
  <si>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</si>
  <si>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</si>
  <si>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</si>
  <si>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</si>
  <si>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</si>
  <si>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</si>
  <si>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LA budget - special</t>
  </si>
  <si>
    <t>Cyllideb ALl - Ysgolion arbennig</t>
  </si>
  <si>
    <t>LA budget - middle</t>
  </si>
  <si>
    <t>Cyllideb ALl - Ysgolion canol</t>
  </si>
  <si>
    <t>LA budget - primary</t>
  </si>
  <si>
    <t>Cyllideb ALl - Ysgolion cynradd</t>
  </si>
  <si>
    <t>LA budget - nursery</t>
  </si>
  <si>
    <t>Cyllideb ALl - ysgolion meithrin</t>
  </si>
  <si>
    <t>LA budget - secondary</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</si>
  <si>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</si>
  <si>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</si>
  <si>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</si>
  <si>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</si>
  <si>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</si>
  <si>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</si>
  <si>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</si>
  <si>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</si>
  <si>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</si>
  <si>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</si>
  <si>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</si>
  <si>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</si>
  <si>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</si>
  <si>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</si>
  <si>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</si>
  <si>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</si>
  <si>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</si>
  <si>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</si>
  <si>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</si>
  <si>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</si>
  <si>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</si>
  <si>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</si>
  <si>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</si>
  <si>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</si>
  <si>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</si>
  <si>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</si>
  <si>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</si>
  <si>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School budget - special</t>
  </si>
  <si>
    <t>Cyllideb ysgol - Ysgolion arbennig</t>
  </si>
  <si>
    <t>School budget - middle</t>
  </si>
  <si>
    <t>Cyllideb ysgol - Ysgolion canol</t>
  </si>
  <si>
    <t>School budget - primary</t>
  </si>
  <si>
    <t>Cyllideb ysgol - Ysgolion cynradd</t>
  </si>
  <si>
    <t>School budget - nursery</t>
  </si>
  <si>
    <t>Cyllideb ysgol - Ysgolion meithrin</t>
  </si>
  <si>
    <t>School budget - secondary</t>
  </si>
  <si>
    <t>Cyllideb ysgol - Ysgolion uwchradd</t>
  </si>
  <si>
    <t>Schools budget</t>
  </si>
  <si>
    <t>Cyllideb ysgolion</t>
  </si>
  <si>
    <t>COMPARISONS WITH THE BUDGET REQUIREMENT RETURN (BR1), 2015-16</t>
  </si>
  <si>
    <t>Cymharu a'r ffurflen gofynion cyllidebol (BR1), 2015-16</t>
  </si>
  <si>
    <t>YEAR ON YEAR COMPARISON</t>
  </si>
  <si>
    <t>Cymharu'r naill flwyddyn a'r llall</t>
  </si>
  <si>
    <t>Other support for disabled children</t>
  </si>
  <si>
    <t>Cymorth arall ar gyfer plant anabl</t>
  </si>
  <si>
    <t>Business support</t>
  </si>
  <si>
    <t>Cymorth busnes</t>
  </si>
  <si>
    <t>Special guardianship support</t>
  </si>
  <si>
    <t>Cymorth gwarcheidiaeth arbennig</t>
  </si>
  <si>
    <t>Student support: discretionary awards</t>
  </si>
  <si>
    <t>Cymorth i fyfyrwyr: dyfarniadau dewisol</t>
  </si>
  <si>
    <t>Student support: mandatory awards</t>
  </si>
  <si>
    <t>Cymorth i fyfyrwyr: dyfarniadau gorfodol</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</si>
  <si>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</si>
  <si>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</si>
  <si>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</si>
  <si>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</si>
  <si>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</si>
  <si>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</si>
  <si>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</si>
  <si>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</si>
  <si>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</si>
  <si>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</si>
  <si>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</si>
  <si>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</si>
  <si>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</si>
  <si>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</si>
  <si>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</si>
  <si>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</si>
  <si>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</si>
  <si>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</si>
  <si>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</si>
  <si>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</si>
  <si>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</si>
  <si>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</si>
  <si>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</si>
  <si>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</si>
  <si>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</si>
  <si>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</si>
  <si>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</si>
  <si>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</si>
  <si>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</si>
  <si>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</si>
  <si>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</si>
  <si>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</si>
  <si>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</si>
  <si>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Cynrychiolaeth a rheolaeth ddemocrataidd</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</si>
  <si>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</si>
  <si>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</si>
  <si>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</si>
  <si>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</si>
  <si>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</si>
  <si>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</si>
  <si>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</si>
  <si>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</si>
  <si>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</si>
  <si>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Darpariaeth dan 5 oed heb fod mewn ysgol feithrin, ysgol gynradd nac ysgol arbennig</t>
  </si>
  <si>
    <t>Own provision (including joint arrangements)</t>
  </si>
  <si>
    <t>Darpariaeth eu hunain (gan gynnwys trefniadau ar y cyd)</t>
  </si>
  <si>
    <t>Provision by others
(including joint arrangements)</t>
  </si>
  <si>
    <t>Darpariaeth gan eraill (gan gynnwys trefniadau ar y cyd)</t>
  </si>
  <si>
    <t>Economic development</t>
  </si>
  <si>
    <t>Datblygu economaidd</t>
  </si>
  <si>
    <t>Arts development and support</t>
  </si>
  <si>
    <t>Datblygu a chynorthwyo'r celfyddydau</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</si>
  <si>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</si>
  <si>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</si>
  <si>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</si>
  <si>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</si>
  <si>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</si>
  <si>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</si>
  <si>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</si>
  <si>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</si>
  <si>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</si>
  <si>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</si>
  <si>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</si>
  <si>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</si>
  <si>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</si>
  <si>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</si>
  <si>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</si>
  <si>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Digollediad rhwng awdurdodau</t>
  </si>
  <si>
    <t>Inter authority recoupment - special</t>
  </si>
  <si>
    <t>Digollediad rhwng awdurdodau - Ysgolion arbennig</t>
  </si>
  <si>
    <t>Inter authority recoupment - middle</t>
  </si>
  <si>
    <t>Digollediad rhwng awdurdodau - Ysgolion canol</t>
  </si>
  <si>
    <t>Inter authority recoupment - primary</t>
  </si>
  <si>
    <t>Digollediad rhwng awdurdodau - Ysgolion cynradd</t>
  </si>
  <si>
    <t>Inter authority recoupment - nursery</t>
  </si>
  <si>
    <t>Digollediad rhwng awdurdodau - Ysgolion meithrin</t>
  </si>
  <si>
    <t>Inter authority recoupment - secondary</t>
  </si>
  <si>
    <t>Digollediad rhwng awdurdodau - Ysgolion uwchradd</t>
  </si>
  <si>
    <t>Diogelwch cymunedol</t>
  </si>
  <si>
    <t>Diogelwch cymunedol (teledu cylch cyfyng)</t>
  </si>
  <si>
    <t>Community fire safety</t>
  </si>
  <si>
    <t>Food safety</t>
  </si>
  <si>
    <t>Diolgelwch bwyd</t>
  </si>
  <si>
    <t>Council tax discounts</t>
  </si>
  <si>
    <t>Disgowntiau y dreth gyngor</t>
  </si>
  <si>
    <t>Diwydiannol a masnachol</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</si>
  <si>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</si>
  <si>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</si>
  <si>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</si>
  <si>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</si>
  <si>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</si>
  <si>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</si>
  <si>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</si>
  <si>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</si>
  <si>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</si>
  <si>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</si>
  <si>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</si>
  <si>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</si>
  <si>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</si>
  <si>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</si>
  <si>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</si>
  <si>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</si>
  <si>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</si>
  <si>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</si>
  <si>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</si>
  <si>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</si>
  <si>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</si>
  <si>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</si>
  <si>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</si>
  <si>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</si>
  <si>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</si>
  <si>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</si>
  <si>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</si>
  <si>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Tolerance</t>
  </si>
  <si>
    <t>Goddefiant</t>
  </si>
  <si>
    <t>Home care</t>
  </si>
  <si>
    <t>Gofal cartref</t>
  </si>
  <si>
    <t>Day care</t>
  </si>
  <si>
    <t>Gofal dydd</t>
  </si>
  <si>
    <t>Residential care</t>
  </si>
  <si>
    <t>Gofal preswyl</t>
  </si>
  <si>
    <t>Goleuadau stryd</t>
  </si>
  <si>
    <t>Street lighting (including energy costs)</t>
  </si>
  <si>
    <t>Goleuadau stryd (gan gynnwys costau ynni)</t>
  </si>
  <si>
    <t>Specific and special government grants</t>
  </si>
  <si>
    <t>Grantiau penodol ac arbennig gan y llywodraeth</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</si>
  <si>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</si>
  <si>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</si>
  <si>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</si>
  <si>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</si>
  <si>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</si>
  <si>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</si>
  <si>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</si>
  <si>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</si>
  <si>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</si>
  <si>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</si>
  <si>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</si>
  <si>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</si>
  <si>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</si>
  <si>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</si>
  <si>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Gwariant arall</t>
  </si>
  <si>
    <t>Other premises expenditure</t>
  </si>
  <si>
    <t>Gwariant arall ar safleoedd</t>
  </si>
  <si>
    <t>Capital expenditure charged to revenue account</t>
  </si>
  <si>
    <t>Gwariant cyfalaf a godwyd o'r cyfrif refeniw</t>
  </si>
  <si>
    <t>Capital expenditure charged to revenue account - special</t>
  </si>
  <si>
    <t>Gwariant cyfalaf a godwyd o'r cyfrif refeniw - Ysgolion arbennig</t>
  </si>
  <si>
    <t>Capital expenditure charged to revenue account - middle</t>
  </si>
  <si>
    <t>Gwariant cyfalaf a godwyd o'r cyfrif refeniw - Ysgolion canol</t>
  </si>
  <si>
    <t>Capital expenditure charged to revenue account - primary</t>
  </si>
  <si>
    <t>Gwariant cyfalaf a godwyd o'r cyfrif refeniw - Ysgolion cynradd</t>
  </si>
  <si>
    <t>Capital expenditure charged to revenue account - nursery</t>
  </si>
  <si>
    <t>Gwariant cyfalaf a godwyd o'r cyfrif refeniw - Ysgolion meithrin</t>
  </si>
  <si>
    <t>Capital expenditure charged to revenue account - secondary</t>
  </si>
  <si>
    <t>Gwariant cyfalaf a godwyd o'r cyfrif refeniw - Ysgolion uwchradd</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</si>
  <si>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</si>
  <si>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</si>
  <si>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</si>
  <si>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</si>
  <si>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</si>
  <si>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</si>
  <si>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</si>
  <si>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</si>
  <si>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</si>
  <si>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</si>
  <si>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</si>
  <si>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</si>
  <si>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</si>
  <si>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</si>
  <si>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</si>
  <si>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</si>
  <si>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Gwariant refeniw arall:</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</si>
  <si>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</si>
  <si>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</si>
  <si>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</si>
  <si>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</si>
  <si>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</si>
  <si>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</si>
  <si>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</si>
  <si>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</si>
  <si>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</si>
  <si>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</si>
  <si>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special</t>
  </si>
  <si>
    <t>Gwariant ysgol - Ysgolion arbennig</t>
  </si>
  <si>
    <t>School expenditure - middle</t>
  </si>
  <si>
    <t>Gwariant ysgol - Ysgolion canol</t>
  </si>
  <si>
    <t>School expenditure - primary</t>
  </si>
  <si>
    <t>Gwariant ysgol - Ysgolion cynradd</t>
  </si>
  <si>
    <t>School expenditure - nursery</t>
  </si>
  <si>
    <t>Gwariant ysgol - ysgolion meithrin</t>
  </si>
  <si>
    <t>School expenditure - secondary</t>
  </si>
  <si>
    <t>Gwariant ysgol - Ysgolion uwchradd</t>
  </si>
  <si>
    <t>Gwasanaeth addysg eraill ac addysg barhaus</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</si>
  <si>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</si>
  <si>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</si>
  <si>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</si>
  <si>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</si>
  <si>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</si>
  <si>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</si>
  <si>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</si>
  <si>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</si>
  <si>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Gwasanaethau amaethyddiaeth</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</si>
  <si>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</si>
  <si>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</si>
  <si>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</si>
  <si>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</si>
  <si>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</si>
  <si>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</si>
  <si>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</si>
  <si>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</si>
  <si>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</si>
  <si>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</si>
  <si>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</si>
  <si>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</si>
  <si>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</si>
  <si>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</si>
  <si>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</si>
  <si>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Gwasanaethau canolog eraill</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</si>
  <si>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</si>
  <si>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</si>
  <si>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</si>
  <si>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</si>
  <si>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</si>
  <si>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</si>
  <si>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</si>
  <si>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</si>
  <si>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</si>
  <si>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</si>
  <si>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</si>
  <si>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</si>
  <si>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</si>
  <si>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</si>
  <si>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</si>
  <si>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</si>
  <si>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</si>
  <si>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</si>
  <si>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</si>
  <si>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</si>
  <si>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</si>
  <si>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</si>
  <si>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</si>
  <si>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</si>
  <si>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</si>
  <si>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</si>
  <si>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</si>
  <si>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</si>
  <si>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</si>
  <si>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</si>
  <si>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</si>
  <si>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Police central services:</t>
  </si>
  <si>
    <t>Gwasanaethau heddlu canolog:</t>
  </si>
  <si>
    <t>Welfare services</t>
  </si>
  <si>
    <t>Gwasanaethau lles</t>
  </si>
  <si>
    <t>Adoption services</t>
  </si>
  <si>
    <t>Gwasanaethau mabwysiadu</t>
  </si>
  <si>
    <t>Fostering services</t>
  </si>
  <si>
    <t>Gwasanaethau maethu</t>
  </si>
  <si>
    <t>Gwasanaethau masnachu eraill</t>
  </si>
  <si>
    <t>Cemetery, cremation and mortuary services</t>
  </si>
  <si>
    <t xml:space="preserve">Gwasanaethau mynwentydd, amlosgfeydd a chorffdai </t>
  </si>
  <si>
    <t>National parks services</t>
  </si>
  <si>
    <t>Gwasanaethau parciau cenedlaethol</t>
  </si>
  <si>
    <t>Gwasanaethau rheoleiddio (Iechyd yr amgylchedd)</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</si>
  <si>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</si>
  <si>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</si>
  <si>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</si>
  <si>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</si>
  <si>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</si>
  <si>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</si>
  <si>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</si>
  <si>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</si>
  <si>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</si>
  <si>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</si>
  <si>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</si>
  <si>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</si>
  <si>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</si>
  <si>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</si>
  <si>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Gwastraff masnach</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</si>
  <si>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</si>
  <si>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</si>
  <si>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</si>
  <si>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</si>
  <si>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</si>
  <si>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</si>
  <si>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</si>
  <si>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</si>
  <si>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</si>
  <si>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</si>
  <si>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</si>
  <si>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</si>
  <si>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</si>
  <si>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Internal drainage board</t>
  </si>
  <si>
    <t xml:space="preserve">Bwrdd Draeniad Mewnol </t>
  </si>
  <si>
    <t>School improvement</t>
  </si>
  <si>
    <t>Gwella ysgolion</t>
  </si>
  <si>
    <t>School improvement - special</t>
  </si>
  <si>
    <t>Gwella ysgolion - Ysgolion arbennig</t>
  </si>
  <si>
    <t>School improvement - middle</t>
  </si>
  <si>
    <t>Gwella ysgolion - Ysgolion canol</t>
  </si>
  <si>
    <t>School improvement - primary</t>
  </si>
  <si>
    <t>Gwella ysgolion - Ysgolion cynradd</t>
  </si>
  <si>
    <t>School improvement - nursery</t>
  </si>
  <si>
    <t>Gwella ysgolion - Ysgolion meithrin</t>
  </si>
  <si>
    <t>School improvement - secondary</t>
  </si>
  <si>
    <t>Gwella ysgolion - Ysgolion uwchradd</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</si>
  <si>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</si>
  <si>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</si>
  <si>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</si>
  <si>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</si>
  <si>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</si>
  <si>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</si>
  <si>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</si>
  <si>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</si>
  <si>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</si>
  <si>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</si>
  <si>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</si>
  <si>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</si>
  <si>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</si>
  <si>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</si>
  <si>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</si>
  <si>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</si>
  <si>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</si>
  <si>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</si>
  <si>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</si>
  <si>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</si>
  <si>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</si>
  <si>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</si>
  <si>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</si>
  <si>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</si>
  <si>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</si>
  <si>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</si>
  <si>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</si>
  <si>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</si>
  <si>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</si>
  <si>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</si>
  <si>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</si>
  <si>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</si>
  <si>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</si>
  <si>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</si>
  <si>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</si>
  <si>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</si>
  <si>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</si>
  <si>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</si>
  <si>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</si>
  <si>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</si>
  <si>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</si>
  <si>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</si>
  <si>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</si>
  <si>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</si>
  <si>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</si>
  <si>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</si>
  <si>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</si>
  <si>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</si>
  <si>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</si>
  <si>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</si>
  <si>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</si>
  <si>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</si>
  <si>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</si>
  <si>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</si>
  <si>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</si>
  <si>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</si>
  <si>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</si>
  <si>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</si>
  <si>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</si>
  <si>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</si>
  <si>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</si>
  <si>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</si>
  <si>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</si>
  <si>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</si>
  <si>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</si>
  <si>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</si>
  <si>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</si>
  <si>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</si>
  <si>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</si>
  <si>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</si>
  <si>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</si>
  <si>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</si>
  <si>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</si>
  <si>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</si>
  <si>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Incwm arall (ac eithrio trefniadau ar y cyd)</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</si>
  <si>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</si>
  <si>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</si>
  <si>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</si>
  <si>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</si>
  <si>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Income from joint arrangements with other local authorities</t>
  </si>
  <si>
    <t>Incwm o drefniadau ar y cyd ag awdurdodau lleol eraill</t>
  </si>
  <si>
    <t>Income from sales, fees and charges</t>
  </si>
  <si>
    <t>Incwm o werthiannau, ffioedd a thaliadau</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</si>
  <si>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</si>
  <si>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</si>
  <si>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</si>
  <si>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</si>
  <si>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</si>
  <si>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</si>
  <si>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</si>
  <si>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</si>
  <si>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</si>
  <si>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</si>
  <si>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</si>
  <si>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</si>
  <si>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</si>
  <si>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</si>
  <si>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</si>
  <si>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</si>
  <si>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</si>
  <si>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</si>
  <si>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</si>
  <si>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</si>
  <si>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</si>
  <si>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</si>
  <si>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</si>
  <si>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</si>
  <si>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</si>
  <si>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</si>
  <si>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</si>
  <si>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Llog allanol</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</si>
  <si>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</si>
  <si>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</si>
  <si>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</si>
  <si>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</si>
  <si>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</si>
  <si>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</si>
  <si>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Llysoedd y crwneriaid</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</si>
  <si>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</si>
  <si>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</si>
  <si>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</si>
  <si>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</si>
  <si>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</si>
  <si>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</si>
  <si>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</si>
  <si>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Mentrau amgylcheddol</t>
  </si>
  <si>
    <t>Meysydd awyr</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</si>
  <si>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</si>
  <si>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</si>
  <si>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</si>
  <si>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</si>
  <si>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</si>
  <si>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</si>
  <si>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</si>
  <si>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</si>
  <si>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</si>
  <si>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</si>
  <si>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</si>
  <si>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</si>
  <si>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</si>
  <si>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</si>
  <si>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</si>
  <si>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</si>
  <si>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</si>
  <si>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</si>
  <si>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</si>
  <si>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</si>
  <si>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</si>
  <si>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</si>
  <si>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</si>
  <si>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</si>
  <si>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</si>
  <si>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</si>
  <si>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</si>
  <si>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</si>
  <si>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</si>
  <si>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</si>
  <si>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</si>
  <si>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</si>
  <si>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</si>
  <si>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</si>
  <si>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</si>
  <si>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</si>
  <si>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</si>
  <si>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</si>
  <si>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</si>
  <si>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</si>
  <si>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</si>
  <si>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</si>
  <si>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</si>
  <si>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</si>
  <si>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</si>
  <si>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</si>
  <si>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</si>
  <si>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</si>
  <si>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</si>
  <si>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</si>
  <si>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</si>
  <si>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</si>
  <si>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</si>
  <si>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</si>
  <si>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</si>
  <si>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</si>
  <si>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</si>
  <si>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</si>
  <si>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</si>
  <si>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</si>
  <si>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</si>
  <si>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</si>
  <si>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</si>
  <si>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</si>
  <si>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</si>
  <si>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</si>
  <si>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</si>
  <si>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</si>
  <si>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</si>
  <si>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Polisi cynllunio</t>
  </si>
  <si>
    <t>Bridges and culverts</t>
  </si>
  <si>
    <t>Pontydd a chwlfertau</t>
  </si>
  <si>
    <t xml:space="preserve">Tolled road bridges, tunnels and ferries, public </t>
  </si>
  <si>
    <t>Pontydd ffyrdd â tholl, twnneli a fferïau</t>
  </si>
  <si>
    <t>Local authorities ports and piers</t>
  </si>
  <si>
    <t>Porthladdoedd a phierau yr awdurdodau lleol</t>
  </si>
  <si>
    <t>Porthladdoedd a phierau yr awdurdod lleol</t>
  </si>
  <si>
    <t>Premia and discounts on debt rescheduling</t>
  </si>
  <si>
    <t>Premiymau a disgowntiau ar aildrefnu dyled</t>
  </si>
  <si>
    <t>Community council precepts</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</si>
  <si>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</si>
  <si>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</si>
  <si>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</si>
  <si>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</si>
  <si>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</si>
  <si>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</si>
  <si>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</si>
  <si>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</si>
  <si>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</si>
  <si>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</si>
  <si>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</si>
  <si>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</si>
  <si>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</si>
  <si>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</si>
  <si>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</si>
  <si>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</si>
  <si>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</si>
  <si>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</si>
  <si>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</si>
  <si>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</si>
  <si>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Rheoli strategol</t>
  </si>
  <si>
    <t>Strategic management of non-school services</t>
  </si>
  <si>
    <t>Rheoli strategol - heblaw gwasanaethau ysgolion</t>
  </si>
  <si>
    <t>Strategic management - special</t>
  </si>
  <si>
    <t>Rheoli strategol - Ysgolion arbennig</t>
  </si>
  <si>
    <t>Strategic management - middle</t>
  </si>
  <si>
    <t>Rheoli strategol - Ysgolion canol</t>
  </si>
  <si>
    <t>Strategic management - primary</t>
  </si>
  <si>
    <t>Rheoli strategol - Ysgolion cynradd</t>
  </si>
  <si>
    <t>Strategic management - nursery</t>
  </si>
  <si>
    <t>Rheoli strategol - Ysgolion meithrin</t>
  </si>
  <si>
    <t>Strategic management - secondary</t>
  </si>
  <si>
    <t>Rheoli strategol - Ysgolion uwchradd</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</si>
  <si>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</si>
  <si>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</si>
  <si>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</si>
  <si>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</si>
  <si>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</si>
  <si>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</si>
  <si>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</si>
  <si>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</si>
  <si>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</si>
  <si>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</si>
  <si>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</si>
  <si>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</si>
  <si>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Rhwymedigaethau pensiwn gweddilliol: addysg bellach</t>
  </si>
  <si>
    <t>Residual pension liabilities: other non-school services</t>
  </si>
  <si>
    <t>Rhwymedigaethau pensiwn gweddilliol: gwasanaethau eraill heb fod mewn ysgolion</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</si>
  <si>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</si>
  <si>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</si>
  <si>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</si>
  <si>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t>
  </si>
  <si>
    <t>Staff - special</t>
  </si>
  <si>
    <t>Staff - Ysgolion arbennig</t>
  </si>
  <si>
    <t>Staff - middle</t>
  </si>
  <si>
    <t>Staff - Ysgolion canol</t>
  </si>
  <si>
    <t>Staff - primary</t>
  </si>
  <si>
    <t>Staff - Ysgolion cynradd</t>
  </si>
  <si>
    <t>Staff - nursery</t>
  </si>
  <si>
    <t>Staff - Ysgolion meithrin</t>
  </si>
  <si>
    <t>Staff - secondary</t>
  </si>
  <si>
    <t>Staff - Ysgolion uwchradd</t>
  </si>
  <si>
    <t>Teaching staff</t>
  </si>
  <si>
    <t>Staff addysgu</t>
  </si>
  <si>
    <t>Support staff</t>
  </si>
  <si>
    <t>Staff cymorth</t>
  </si>
  <si>
    <t>Service strategy and regulation</t>
  </si>
  <si>
    <t>Strategaeth a gwaith rheoli gwasanaethau</t>
  </si>
  <si>
    <t>Service strategy - adult services</t>
  </si>
  <si>
    <t>Strategaeth gwasanaeth - gwasanaethau oedolion</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</si>
  <si>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</si>
  <si>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</si>
  <si>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</si>
  <si>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</si>
  <si>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</si>
  <si>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</si>
  <si>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</si>
  <si>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</si>
  <si>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</si>
  <si>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</si>
  <si>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</si>
  <si>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Tai cronfa'r cyngor arall</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</si>
  <si>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</si>
  <si>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</si>
  <si>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</si>
  <si>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</si>
  <si>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</si>
  <si>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</si>
  <si>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</si>
  <si>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</si>
  <si>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</si>
  <si>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</si>
  <si>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</si>
  <si>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</si>
  <si>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</si>
  <si>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</si>
  <si>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</si>
  <si>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</si>
  <si>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</si>
  <si>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</si>
  <si>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</si>
  <si>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</si>
  <si>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</si>
  <si>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Taliadau prydlesu</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</si>
  <si>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</si>
  <si>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</si>
  <si>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</si>
  <si>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</si>
  <si>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</si>
  <si>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</si>
  <si>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</si>
  <si>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</si>
  <si>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</si>
  <si>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</si>
  <si>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</si>
  <si>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</si>
  <si>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</si>
  <si>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</si>
  <si>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</si>
  <si>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</si>
  <si>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</si>
  <si>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</si>
  <si>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</si>
  <si>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</si>
  <si>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</si>
  <si>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</si>
  <si>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</si>
  <si>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</si>
  <si>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</si>
  <si>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</si>
  <si>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Treuliau anuniongyrchol gweithwyr cyflogedig</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</si>
  <si>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</si>
  <si>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</si>
  <si>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</si>
  <si>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</si>
  <si>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</si>
  <si>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</si>
  <si>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</si>
  <si>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</si>
  <si>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</si>
  <si>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</si>
  <si>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</si>
  <si>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</si>
  <si>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</si>
  <si>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</si>
  <si>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</si>
  <si>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</si>
  <si>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</si>
  <si>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</si>
  <si>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</si>
  <si>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 (lines 90 to 93)</t>
  </si>
  <si>
    <t>Gofyniad cyllidebol (llinell 90 i 93)</t>
  </si>
  <si>
    <t>Library service</t>
  </si>
  <si>
    <t>Y gwasanaeth llyfrgelloedd</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</si>
  <si>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</si>
  <si>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</si>
  <si>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</si>
  <si>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</si>
  <si>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</si>
  <si>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</si>
  <si>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</si>
  <si>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</si>
  <si>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</si>
  <si>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</si>
  <si>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</si>
  <si>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</si>
  <si>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</si>
  <si>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</si>
  <si>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</si>
  <si>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</si>
  <si>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</si>
  <si>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</si>
  <si>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</si>
  <si>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Ysgolion arbennig</t>
  </si>
  <si>
    <t>Middle schools</t>
  </si>
  <si>
    <t>Ysgolion canol</t>
  </si>
  <si>
    <t>Primary schools</t>
  </si>
  <si>
    <t>Ysgolion cynradd</t>
  </si>
  <si>
    <t>Nursery schools</t>
  </si>
  <si>
    <t>Ysgolion meithrin</t>
  </si>
  <si>
    <t>Secondary schools</t>
  </si>
  <si>
    <t>Ysgolion uwchradd</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</si>
  <si>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</si>
  <si>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</si>
  <si>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</si>
  <si>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</si>
  <si>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</si>
  <si>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</si>
  <si>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</si>
  <si>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</si>
  <si>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</si>
  <si>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</si>
  <si>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</si>
  <si>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</si>
  <si>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</si>
  <si>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</si>
  <si>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</si>
  <si>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</si>
  <si>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</si>
  <si>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</si>
  <si>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</si>
  <si>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</si>
  <si>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</si>
  <si>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</si>
  <si>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</si>
  <si>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</si>
  <si>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</si>
  <si>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</si>
  <si>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</si>
  <si>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</si>
  <si>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</si>
  <si>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</si>
  <si>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</si>
  <si>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</si>
  <si>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</si>
  <si>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</si>
  <si>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</si>
  <si>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</si>
  <si>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</si>
  <si>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</si>
  <si>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</si>
  <si>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</si>
  <si>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OK</t>
  </si>
  <si>
    <t>iawn</t>
  </si>
  <si>
    <t>Environmental and Regulatory Services</t>
  </si>
  <si>
    <t>gwasanaethau amgylcheddol a rheoleiddiol</t>
  </si>
  <si>
    <t>Fire and rescue services</t>
  </si>
  <si>
    <t xml:space="preserve">Gwasanaethau tan ac schub </t>
  </si>
  <si>
    <t>Record as negative</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</si>
  <si>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</si>
  <si>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</si>
  <si>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</si>
  <si>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</si>
  <si>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</si>
  <si>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</si>
  <si>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</si>
  <si>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</si>
  <si>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Provision for repayment of principal (before application of the commutation adjustment)</t>
  </si>
  <si>
    <t>Darpariaeth ar gyfer ad-daliad y prifswm (cyn gosod yr addasiad cyfnewid)</t>
  </si>
  <si>
    <t>Commutation adjustment (enter as a negative any adjustment which reduces MRP and vice versa)</t>
  </si>
  <si>
    <t>Addasiad cyfnewid (nodwch rhif negyddol ar gyfer unrhyw addasiad sy'n gostwng yr MRP ac i'r gwrthwyneb)</t>
  </si>
  <si>
    <t>Specific &amp; special govt grants</t>
  </si>
  <si>
    <t>Grantiau penodol ac arbennig y llywodraeth</t>
  </si>
  <si>
    <t>(£K 3 decimals)</t>
  </si>
  <si>
    <t>(£K i 3 lle degol)</t>
  </si>
  <si>
    <t>For information</t>
  </si>
  <si>
    <t>Er gwybodaeth</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</si>
  <si>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</si>
  <si>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</si>
  <si>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</si>
  <si>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</si>
  <si>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</si>
  <si>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</si>
  <si>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</si>
  <si>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</si>
  <si>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</si>
  <si>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</si>
  <si>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select your authority</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</si>
  <si>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</si>
  <si>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</si>
  <si>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</si>
  <si>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</si>
  <si>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</si>
  <si>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</si>
  <si>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</si>
  <si>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</si>
  <si>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</si>
  <si>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</si>
  <si>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Capital financing grants and capital element of PFI</t>
  </si>
  <si>
    <t>Grantiau ariannu cyfalaf ac elfen gyfalaf y fenter cyllid preifat</t>
  </si>
  <si>
    <t>Current grants</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</si>
  <si>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</si>
  <si>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</si>
  <si>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</si>
  <si>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</si>
  <si>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</si>
  <si>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</si>
  <si>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</si>
  <si>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</si>
  <si>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</si>
  <si>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</si>
  <si>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</si>
  <si>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</si>
  <si>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</si>
  <si>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</si>
  <si>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</si>
  <si>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</si>
  <si>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</si>
  <si>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</si>
  <si>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</si>
  <si>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</si>
  <si>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</si>
  <si>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</si>
  <si>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</si>
  <si>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select your authority and if necessary, amend any incorrect details</t>
  </si>
  <si>
    <t>Dewiswch eich awdurdod a cywirwch eich cyfeiriad os oes angen</t>
  </si>
  <si>
    <t>please amend any incorrect contact details below:</t>
  </si>
  <si>
    <t>Os oes ange,cywirwch enw a rhif ffôn ein cyswllt mewn achos ymholiadau:-</t>
  </si>
  <si>
    <t>E-bost (nodwch N/A os nad oes ar gael):</t>
  </si>
  <si>
    <t>Ffôn: Côd STD:</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</si>
  <si>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</si>
  <si>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</si>
  <si>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</si>
  <si>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</si>
  <si>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</si>
  <si>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</si>
  <si>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</si>
  <si>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</si>
  <si>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</si>
  <si>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</si>
  <si>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</si>
  <si>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CP2</t>
  </si>
  <si>
    <t>Queries on completion of the form or spreadsheet should be sent to:</t>
  </si>
  <si>
    <t>Dylid cyfeirio ymholiadau ynghylch cwblhau'r daenlen drwy ffôn neu e-bost,  fel a  ddangosir isod.</t>
  </si>
  <si>
    <t>E-bost:</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</si>
  <si>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</si>
  <si>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</si>
  <si>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</si>
  <si>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</si>
  <si>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</si>
  <si>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</si>
  <si>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</si>
  <si>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</si>
  <si>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</si>
  <si>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</si>
  <si>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</si>
  <si>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</si>
  <si>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</si>
  <si>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</si>
  <si>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</si>
  <si>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</si>
  <si>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</si>
  <si>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</si>
  <si>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</si>
  <si>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</si>
  <si>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</si>
  <si>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</si>
  <si>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</si>
  <si>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</si>
  <si>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</si>
  <si>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</si>
  <si>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</si>
  <si>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</si>
  <si>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</si>
  <si>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</si>
  <si>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</si>
  <si>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</si>
  <si>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</si>
  <si>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</si>
  <si>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</si>
  <si>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</si>
  <si>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</si>
  <si>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</si>
  <si>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</si>
  <si>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</si>
  <si>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</si>
  <si>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</si>
  <si>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</si>
  <si>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</si>
  <si>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</si>
  <si>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</si>
  <si>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</si>
  <si>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</si>
  <si>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</si>
  <si>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</si>
  <si>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</si>
  <si>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</si>
  <si>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</si>
  <si>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</si>
  <si>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</si>
  <si>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</si>
  <si>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</si>
  <si>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</si>
  <si>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For Welsh Government Administration only</t>
  </si>
  <si>
    <t>Am gweinyddu Llywodraeth Cymru yn unig</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</si>
  <si>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</si>
  <si>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</si>
  <si>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</si>
  <si>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</si>
  <si>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</si>
  <si>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</si>
  <si>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</si>
  <si>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</si>
  <si>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</si>
  <si>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</si>
  <si>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</si>
  <si>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</si>
  <si>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</si>
  <si>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</si>
  <si>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</si>
  <si>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</si>
  <si>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</si>
  <si>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</si>
  <si>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</si>
  <si>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</si>
  <si>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</si>
  <si>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</si>
  <si>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</si>
  <si>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</si>
  <si>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Validation check</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</si>
  <si>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</si>
  <si>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</si>
  <si>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</si>
  <si>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</si>
  <si>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</si>
  <si>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</si>
  <si>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</si>
  <si>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</si>
  <si>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</si>
  <si>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Certification of Chief Financial Officer</t>
  </si>
  <si>
    <t>Ardystuad Y Prif Swyddog Cyllid</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</si>
  <si>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</si>
  <si>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</si>
  <si>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</si>
  <si>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</si>
  <si>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</si>
  <si>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</si>
  <si>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</si>
  <si>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</si>
  <si>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</si>
  <si>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</si>
  <si>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</si>
  <si>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</si>
  <si>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</si>
  <si>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</si>
  <si>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Date:</t>
  </si>
  <si>
    <t>Dyddiad: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</si>
  <si>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</si>
  <si>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</si>
  <si>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</si>
  <si>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</si>
  <si>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</si>
  <si>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</si>
  <si>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</si>
  <si>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</si>
  <si>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</si>
  <si>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</si>
  <si>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</si>
  <si>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Rhowch sylwadau</t>
  </si>
  <si>
    <t>Part D: Memorandum items</t>
  </si>
  <si>
    <t>Rhan D: Eitemau Memorandwm</t>
  </si>
  <si>
    <t>Line</t>
  </si>
  <si>
    <t>Llinio</t>
  </si>
  <si>
    <t>Cod</t>
  </si>
  <si>
    <t>Blwyddyn</t>
  </si>
  <si>
    <t>final ratified taxbase</t>
  </si>
  <si>
    <t>Sylfaen treth derfynol wedi'i chadarnhau</t>
  </si>
  <si>
    <t>Any queries on completion of the form or spreadsheet should be directed in the first instance, via telephone or e-mail, as directed below:</t>
  </si>
  <si>
    <t>Dylech gyfeirio unrhyw ymholiadau ynghylch sut i gwblhau'r ffurflen, yn y lle cyntaf, drwy ffon neu e-bost, gan ddilyn y cyfarwyddyd isod:</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</si>
  <si>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</si>
  <si>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</si>
  <si>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</si>
  <si>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</si>
  <si>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</si>
  <si>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</si>
  <si>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</si>
  <si>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</si>
  <si>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</si>
  <si>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</si>
  <si>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</si>
  <si>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</si>
  <si>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</si>
  <si>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</si>
  <si>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</si>
  <si>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</si>
  <si>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</si>
  <si>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</si>
  <si>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</si>
  <si>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</si>
  <si>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</si>
  <si>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</si>
  <si>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</si>
  <si>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</si>
  <si>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</si>
  <si>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</si>
  <si>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</si>
  <si>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</si>
  <si>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</si>
  <si>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</si>
  <si>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</si>
  <si>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</si>
  <si>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</si>
  <si>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</si>
  <si>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</si>
  <si>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</si>
  <si>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</si>
  <si>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</si>
  <si>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</si>
  <si>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</si>
  <si>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</si>
  <si>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</si>
  <si>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</si>
  <si>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</si>
  <si>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</si>
  <si>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</si>
  <si>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</si>
  <si>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</si>
  <si>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</si>
  <si>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</si>
  <si>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</si>
  <si>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</si>
  <si>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</si>
  <si>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</si>
  <si>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</si>
  <si>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</si>
  <si>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</si>
  <si>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</si>
  <si>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</si>
  <si>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</si>
  <si>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</si>
  <si>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</si>
  <si>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</si>
  <si>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</si>
  <si>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</si>
  <si>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</si>
  <si>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</si>
  <si>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</si>
  <si>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</si>
  <si>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</si>
  <si>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</si>
  <si>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</si>
  <si>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</si>
  <si>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</si>
  <si>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</si>
  <si>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</si>
  <si>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</si>
  <si>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</si>
  <si>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</si>
  <si>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</si>
  <si>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</si>
  <si>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</si>
  <si>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</si>
  <si>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</si>
  <si>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</si>
  <si>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</si>
  <si>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Validation checks  -  please insert comments where requested</t>
  </si>
  <si>
    <t>Gwiriadau dilysu - ychwanegwch sylwadau lle gofynnir am hynny</t>
  </si>
  <si>
    <t>budget requirement</t>
  </si>
  <si>
    <t>Gwariant ac incwm</t>
  </si>
  <si>
    <t>discretionary non-domestic rate relief</t>
  </si>
  <si>
    <t>rhyddhad ardreth annomestig dewisiol</t>
  </si>
  <si>
    <t>Grant cynnal refeniw</t>
  </si>
  <si>
    <t>Band D equivalent dwellings</t>
  </si>
  <si>
    <t>Anheddau Cyfwerthoedd Band D</t>
  </si>
  <si>
    <t>Class O exempt dwellings</t>
  </si>
  <si>
    <t>Anheddau Dosbarth O wedi'u heithrio</t>
  </si>
  <si>
    <t>number</t>
  </si>
  <si>
    <t>nifer</t>
  </si>
  <si>
    <t>collection rate assumed</t>
  </si>
  <si>
    <t>Cyfradd gasglu tybio</t>
  </si>
  <si>
    <t>Council tax base before collection rate adjustment</t>
  </si>
  <si>
    <t>sylfaen y dreth gyngor cyn addasiad gyfradd casglu</t>
  </si>
  <si>
    <t>calculated</t>
  </si>
  <si>
    <t>excluding community council precepts</t>
  </si>
  <si>
    <t>including community council precepts</t>
  </si>
  <si>
    <t>gan gynnwys praeseptau cynghorau cymuned</t>
  </si>
  <si>
    <t>Council tax excluding community council precepts</t>
  </si>
  <si>
    <t>treth y cyngor heb gynnwys praeseptau'r cynghorau cymuned</t>
  </si>
  <si>
    <t>police authority precept</t>
  </si>
  <si>
    <t>praesept awdurdod heddlu</t>
  </si>
  <si>
    <t>Total Central government support (calculated)</t>
  </si>
  <si>
    <t>Cyfanswm Cymorth llywodraeth ganolog (cyfrifo)</t>
  </si>
  <si>
    <t>Amount to be collected from the council tax</t>
  </si>
  <si>
    <t>Swm i'w casglu o'r dreth gyngor</t>
  </si>
  <si>
    <t>Council tax base for tax-setting purposes</t>
  </si>
  <si>
    <t>Y sylfaen dreth gyngor at ddiben pennu'r dreth</t>
  </si>
  <si>
    <t>£ per band D equivalent dwelling</t>
  </si>
  <si>
    <t>£ am bob annedd Cyfwerthoedd Band D</t>
  </si>
  <si>
    <t>Council tax calculated under s33</t>
  </si>
  <si>
    <t>treth y cyngor a gyfrifir o dan adran 33</t>
  </si>
  <si>
    <t>Council tax of police authority in billing authority's area</t>
  </si>
  <si>
    <t>Mae'r dreth gyngor o awdurdod yr heddlu yn ardal yr awdurdod bilio</t>
  </si>
  <si>
    <t>Average council tax for area of billing authority</t>
  </si>
  <si>
    <t>treth y cyngor ar gyfartaledd ar gyfer ardal awdurdod bilio</t>
  </si>
  <si>
    <t>£ to nearest penny</t>
  </si>
  <si>
    <t>£ i geiniog agosaf</t>
  </si>
  <si>
    <t>input</t>
  </si>
  <si>
    <t>mewnbwn</t>
  </si>
  <si>
    <t>adjustable</t>
  </si>
  <si>
    <t>addasadwy</t>
  </si>
  <si>
    <t>locked</t>
  </si>
  <si>
    <t>Llofnod Y Prif Swyddog Cyllid:</t>
  </si>
  <si>
    <t>Text Conversion Tables</t>
  </si>
  <si>
    <t>Row Ref</t>
  </si>
  <si>
    <t>English Text</t>
  </si>
  <si>
    <t>Welsh Text</t>
  </si>
  <si>
    <t>Display Text</t>
  </si>
  <si>
    <t>FrontPage</t>
  </si>
  <si>
    <t>Budget Requirement Return</t>
  </si>
  <si>
    <t>This form must be returned within 7 days of calculating your Budget Requirement.</t>
  </si>
  <si>
    <t>The latest date for return is</t>
  </si>
  <si>
    <t>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t>
  </si>
  <si>
    <t>For Welsh Government administration only</t>
  </si>
  <si>
    <t>tolerance</t>
  </si>
  <si>
    <t>UANumber</t>
  </si>
  <si>
    <t>UA Drop-down box (FrontPage)</t>
  </si>
  <si>
    <t>DO NOT DELETE - List for Language Drop-Down</t>
  </si>
  <si>
    <t>Language Drop-down box (FrontPage)</t>
  </si>
  <si>
    <t>Selected Authority Name</t>
  </si>
  <si>
    <t>English / Saesneg</t>
  </si>
  <si>
    <t>UAName (W)</t>
  </si>
  <si>
    <t>List for Authority Drop-Down</t>
  </si>
  <si>
    <t>Swyddfa Comisiynydd Yr Heddlu a Throseddu Dyfed-Powys</t>
  </si>
  <si>
    <t>Swyddfa Comisiynydd Yr Heddlu a Throseddu Gwent</t>
  </si>
  <si>
    <t>Swyddfa Comisiynydd Heddlu a Throsedd Gogledd Cymru</t>
  </si>
  <si>
    <t>Swyddfa Comisiynydd Yr Heddlu a Throseddu cyntaf De Cymru</t>
  </si>
  <si>
    <t>Edwin Harries</t>
  </si>
  <si>
    <t>226395</t>
  </si>
  <si>
    <t>Total of lines 11 to 17 (to agree with lines 7 and 6 above)</t>
  </si>
  <si>
    <t>Taxbase (Band D equivalent)</t>
  </si>
  <si>
    <t>Council tax calculated under s44 (line 6 ÷ line 7)</t>
  </si>
  <si>
    <t>taxbase</t>
  </si>
  <si>
    <t>please read notes for guidance before completing the form</t>
  </si>
  <si>
    <t>please select your authority on Front Page</t>
  </si>
  <si>
    <t>Caerffili</t>
  </si>
  <si>
    <t>Ynys Môn</t>
  </si>
  <si>
    <t>Abertawe</t>
  </si>
  <si>
    <t>Castell-Nedd</t>
  </si>
  <si>
    <t>Pen-y-Bont</t>
  </si>
  <si>
    <t>Sir Fynwy</t>
  </si>
  <si>
    <t>Casnewydd</t>
  </si>
  <si>
    <t>Wrecsam</t>
  </si>
  <si>
    <t>Merthyr Tudful</t>
  </si>
  <si>
    <t>Caerdydd</t>
  </si>
  <si>
    <t>Blank</t>
  </si>
  <si>
    <t>blanc</t>
  </si>
  <si>
    <t>blank</t>
  </si>
  <si>
    <t>Sir Benfro</t>
  </si>
  <si>
    <t>Sir Gaerfyrddin</t>
  </si>
  <si>
    <t>Ffurflen Gofynion Cyllideb</t>
  </si>
  <si>
    <t>Mawrth</t>
  </si>
  <si>
    <t>March</t>
  </si>
  <si>
    <t>Gofynion y Gyllideb</t>
  </si>
  <si>
    <t>wedi cyfrifo</t>
  </si>
  <si>
    <t>heb gynnwys praeseptau cynghorau cymuned</t>
  </si>
  <si>
    <t>Swm i'w gasglu o'r dreth gyngor</t>
  </si>
  <si>
    <t>Ail-ddosbarthu ardrethi annomestig</t>
  </si>
  <si>
    <t>wedi cloi</t>
  </si>
  <si>
    <t>Sylfaen drethu (cyfwerth â Band D)</t>
  </si>
  <si>
    <t>darllenwch y canllawiau cyn llenwi'r ffurflen</t>
  </si>
  <si>
    <t>gwag</t>
  </si>
  <si>
    <t>Ffurflen Gofynion y Gyllideb</t>
  </si>
  <si>
    <t>Rhaid cyflwyno'r wybodaeth ar y ffurflen hon o dan adran 64 o Ddeddf Cyllid Llywodraeth Leol 1992, fel y'i diwygiwyd.</t>
  </si>
  <si>
    <t xml:space="preserve">Rhaid dychwelyd y ffurflen hon o fewn 7 diwrnod i gyfrifo Gofynion y Gyllideb. </t>
  </si>
  <si>
    <t>Y dyddiad hwyraf ar gyfer dychwelyd yw</t>
  </si>
  <si>
    <t>Dyraniad grant yr heddlu dan y brif fformiwla (gan gynnwys cyllido gwaelodol)</t>
  </si>
  <si>
    <t>Sylfaen y dreth gyngor ar gyfer yr ardal (cyfwerth â Band D)</t>
  </si>
  <si>
    <t xml:space="preserve">Praeseptau </t>
  </si>
  <si>
    <t>(Swm y praeseptau a roddwyd i awdurdodau bilio yn unol ag adran 40(2)b o Ddeddf Cyllid Llywodraeth Leol 1992)</t>
  </si>
  <si>
    <t>Enw'r awdurdod bilio</t>
  </si>
  <si>
    <t>Cyfanswm llinellau 11 i 17 (i gyfateb â llinellau 7 a 6 uchod)</t>
  </si>
  <si>
    <t>Praesept</t>
  </si>
  <si>
    <t xml:space="preserve">sylfaen drethu  </t>
  </si>
  <si>
    <t>rhyddhad ardrethi annomestig dewisiol</t>
  </si>
  <si>
    <t>Anheddau cyfwerth â Band D</t>
  </si>
  <si>
    <t>cyfradd gasglu dybiedig</t>
  </si>
  <si>
    <t>y dreth gyngor heb gynnwys praeseptau cynghorau cymuned</t>
  </si>
  <si>
    <t>praesept awdurdod yr heddlu</t>
  </si>
  <si>
    <t>Cyfanswm cymorth llywodraeth ganolog (wedi cyfrifo)</t>
  </si>
  <si>
    <t>sylfaen y dreth gyngor at ddiben pennu'r dreth</t>
  </si>
  <si>
    <t>£ am bob annedd cyfwerth â Band D</t>
  </si>
  <si>
    <t>y dreth gyngor a gyfrifwyd o dan adran 33</t>
  </si>
  <si>
    <t>treth gyngor awdurdod yr heddlu yn ardal yr awdurdod bilio</t>
  </si>
  <si>
    <t>y dreth gyngor gyfartalog ar gyfer ardal awdurdod bilio</t>
  </si>
  <si>
    <t>£ i'r geiniog agosaf</t>
  </si>
  <si>
    <t>Llofnod y Prif Swyddog Cyllid:</t>
  </si>
  <si>
    <t>Billing authorities only</t>
  </si>
  <si>
    <t>Awdurdodau bilio yn unig</t>
  </si>
  <si>
    <t>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t>
  </si>
  <si>
    <t>Cells J14 and J15 above come from our WG Local Government Finance policy colleagues, they must be repeated in cells G14 and G15 which is why those cells are locked.</t>
  </si>
  <si>
    <t>Daw celloedd J14 a J15 uchod oddi wrth ein cydweithwyr polisi Cyllid Llywodraeth Leol yn Llywodraeth Cymru. Rhaid eu hailadrodd yng nghelloedd G14 a G15, a dyna pam mae'r celloedd hynny wedi'u cloi.</t>
  </si>
  <si>
    <t>Cell J25 comes from your Authority's Council Tax Dwellings (CT1) return, 2017-18, cell G25 must match it.</t>
  </si>
  <si>
    <t>Daw cell J25 o ffurflen Anheddau Treth Gyngor eich Awdurdod (CT1), 2016-17, rhaid i gell G25 gyfateb â hi.</t>
  </si>
  <si>
    <t>Cell G32 is calculated but it can be over written to allow for minor rounding adjustments.</t>
  </si>
  <si>
    <t>Mae Cell G32 wedi'i chyfrifo ond gellir ysgrifennu drosti er mwyn caniatáu ar gyfer mân addasiadau talgrynnu.</t>
  </si>
  <si>
    <t>Police Authorities only</t>
  </si>
  <si>
    <t>Sir Ddinbych</t>
  </si>
  <si>
    <t>Bro Morgannwg</t>
  </si>
  <si>
    <t>Sir y Fflint</t>
  </si>
  <si>
    <t>Please select your region on the FrontPage</t>
  </si>
  <si>
    <t>Council Tax at Standard Spending</t>
  </si>
  <si>
    <t>Distributable Non Domestic Rates</t>
  </si>
  <si>
    <t>Revenue Support Grant</t>
  </si>
  <si>
    <t>Total Standard Spending Assessment</t>
  </si>
  <si>
    <t>Copy/paste values into this table from Police Settlement</t>
  </si>
  <si>
    <t>Confirmed by</t>
  </si>
  <si>
    <t>Date</t>
  </si>
  <si>
    <t>Edit Query and Update to correct year</t>
  </si>
  <si>
    <t>KEY</t>
  </si>
  <si>
    <t>Do Not Amend</t>
  </si>
  <si>
    <t>Update Fields (each year)</t>
  </si>
  <si>
    <t>Update Query (each year)</t>
  </si>
  <si>
    <t>Enter Return Year Below</t>
  </si>
  <si>
    <t>This adds precepting code for</t>
  </si>
  <si>
    <t>each entry in col 3, row 11 to 18</t>
  </si>
  <si>
    <t>Checked By</t>
  </si>
  <si>
    <t>Bruce</t>
  </si>
  <si>
    <t>Key for cells in columns F, G:</t>
  </si>
  <si>
    <t>Allwedd ar gyfer celloedd yng ngholofni F, G:</t>
  </si>
  <si>
    <t xml:space="preserve">Hyperddolen canllawiau / Notes for guidance hyperlink </t>
  </si>
  <si>
    <t>Cyfanswm llinellau 2, 3 a 4</t>
  </si>
  <si>
    <t>Y dreth gyngor a gyfrifwyd o dan adran 44 (llinell 6 ÷ llinell 7)</t>
  </si>
  <si>
    <t>Once certified, please send the following:</t>
  </si>
  <si>
    <t>Ar ôl ardystio dylech anfon y canlynol atom:</t>
  </si>
  <si>
    <t>An electronic copy of the spreadsheet for data processing.</t>
  </si>
  <si>
    <t>Copi electronig o'r daenlen ar gyfer prosesu data.</t>
  </si>
  <si>
    <t>A signed copy of the spreadsheet (preferably as a PDF) or by post.</t>
  </si>
  <si>
    <t>Copi wedi'i lofnodi o'r daenlen (yn ddelfrydol fel PDF) neu drwy'r post.</t>
  </si>
  <si>
    <t>●</t>
  </si>
  <si>
    <t>YCLLL.trosglwyddo@llyw.cymru</t>
  </si>
  <si>
    <t>030 0025 5673 / 030 0025 9169</t>
  </si>
  <si>
    <t>zero?</t>
  </si>
  <si>
    <t>YOY Figures</t>
  </si>
  <si>
    <t>difference</t>
  </si>
  <si>
    <t>type</t>
  </si>
  <si>
    <t>auto</t>
  </si>
  <si>
    <t>mark</t>
  </si>
  <si>
    <t>check</t>
  </si>
  <si>
    <t>status</t>
  </si>
  <si>
    <t>%</t>
  </si>
  <si>
    <t>Your Comments</t>
  </si>
  <si>
    <t>date</t>
  </si>
  <si>
    <t>DataY1</t>
  </si>
  <si>
    <t>DataY2</t>
  </si>
  <si>
    <t>DataY3</t>
  </si>
  <si>
    <t>Auto</t>
  </si>
  <si>
    <t>Mark</t>
  </si>
  <si>
    <t>Check</t>
  </si>
  <si>
    <t>Our Comments</t>
  </si>
  <si>
    <t>Initials</t>
  </si>
  <si>
    <t>AllRows Copy/pasted to filter out T/E rows from validations</t>
  </si>
  <si>
    <t>StandDesc</t>
  </si>
  <si>
    <t>Lookup</t>
  </si>
  <si>
    <t>DataIn</t>
  </si>
  <si>
    <t>YOYOut</t>
  </si>
  <si>
    <t>Police grant</t>
  </si>
  <si>
    <t>Sum of lines 2, 3, and 4</t>
  </si>
  <si>
    <t>Council tax calculated under s44</t>
  </si>
  <si>
    <t>Column1</t>
  </si>
  <si>
    <t>Y/Z</t>
  </si>
  <si>
    <t>Any totals not = zero in column "V" will be flagged in 'auto' column and highlighted in red</t>
  </si>
  <si>
    <t>"V"</t>
  </si>
  <si>
    <t>Displayed Text</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</si>
  <si>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</si>
  <si>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</si>
  <si>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</si>
  <si>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</si>
  <si>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</si>
  <si>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</si>
  <si>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</si>
  <si>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</si>
  <si>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STATUS FIELD KEY</t>
  </si>
  <si>
    <t>ALLWEDD STATWS MAES</t>
  </si>
  <si>
    <t>A - to be actioned by WG</t>
  </si>
  <si>
    <t>A - i gael eu gweithredu gan LlC</t>
  </si>
  <si>
    <t>C - Cleared</t>
  </si>
  <si>
    <t xml:space="preserve">C - wedi’i glirio </t>
  </si>
  <si>
    <t>NB - Important</t>
  </si>
  <si>
    <t>NB - pwysig</t>
  </si>
  <si>
    <t>U - Unresolved</t>
  </si>
  <si>
    <t xml:space="preserve">U - heb eu datrys </t>
  </si>
  <si>
    <t>W - Waiting for action from LA</t>
  </si>
  <si>
    <t>W - yn aros ar gyfer gweithrediad gan All</t>
  </si>
  <si>
    <t>TYPE FIELD KEY</t>
  </si>
  <si>
    <t xml:space="preserve">ALLWEDD MATH O FAES </t>
  </si>
  <si>
    <t>1. value only breach</t>
  </si>
  <si>
    <t xml:space="preserve">1. toriad gwerth unig </t>
  </si>
  <si>
    <t>2.  % only breach</t>
  </si>
  <si>
    <t xml:space="preserve">2.  toriad % yn unig </t>
  </si>
  <si>
    <t>3. both breached</t>
  </si>
  <si>
    <t>3. toriad yn y ddau</t>
  </si>
  <si>
    <t>9. either figure is zero</t>
  </si>
  <si>
    <t>9. Naill ai ffigur yn sero</t>
  </si>
  <si>
    <t>select</t>
  </si>
  <si>
    <t>dewiswch</t>
  </si>
  <si>
    <t>row</t>
  </si>
  <si>
    <t>rhes</t>
  </si>
  <si>
    <t>column</t>
  </si>
  <si>
    <t>colofn</t>
  </si>
  <si>
    <t>row description (sum lines shown in bold)</t>
  </si>
  <si>
    <t>disgrifiad rhes (Llinellau swm a ddangosir mewn print trwm)</t>
  </si>
  <si>
    <t>value</t>
  </si>
  <si>
    <t>prisio</t>
  </si>
  <si>
    <t>deipio</t>
  </si>
  <si>
    <t>awto</t>
  </si>
  <si>
    <t>marcio</t>
  </si>
  <si>
    <t>wirio</t>
  </si>
  <si>
    <t>statws</t>
  </si>
  <si>
    <t>ein sylwadau</t>
  </si>
  <si>
    <t>arwydd gan</t>
  </si>
  <si>
    <t>dyddiad</t>
  </si>
  <si>
    <t>gwahaniaeth</t>
  </si>
  <si>
    <t>sero?</t>
  </si>
  <si>
    <t>Please follow the instructions below when completing this page:</t>
  </si>
  <si>
    <t>Dilynwch y cyfarwyddiadau isod wrth lenwi'r dudalen hon:</t>
  </si>
  <si>
    <t>Bilingual text for BR2 sheet</t>
  </si>
  <si>
    <t>Bilingual text for text boxes on BR2 page</t>
  </si>
  <si>
    <t>LGFS.Transfer@gov.wales</t>
  </si>
  <si>
    <t>Your comments</t>
  </si>
  <si>
    <t>Our comments</t>
  </si>
  <si>
    <t>Eich sylwadau</t>
  </si>
  <si>
    <t>signed by</t>
  </si>
  <si>
    <t>Arithmetic Checks</t>
  </si>
  <si>
    <t>Gwiriadau Rhifyddol</t>
  </si>
  <si>
    <t>Bydd unrhyw gyfanswmiau nad sy’n = sero yng ngholofn ‘V’ yn  cael ei farcio yn y golofn ‘Awtomatig’ a’I amlinellu yn goch</t>
  </si>
  <si>
    <t>Ffigyrau blwyddyn-wrth-flwyddyn</t>
  </si>
  <si>
    <t>4. gyfanswmiau nad sy’n = sero</t>
  </si>
  <si>
    <t>4. total not = zero</t>
  </si>
  <si>
    <t>After completing the form - check any flagged figures (marked ‘1’ in the ‘Auto’ column) that are either outside tolerance (&gt;5%) or not equal to zero (see ‘Arithmetic Checks’ section)</t>
  </si>
  <si>
    <t xml:space="preserve">Ar ôl cwblhau’r ffurflen - gwiriwch unrhyw ffigurau sydd gyda fflag eu bod tu hwnt i’r goddefiant (&gt;5%) neu ddim yn hafal i sero wedi'i farcio '1' yn y golofn 'Awtomatig'(gweler yr adran ‘Gwiriadau Rhifyddol’). </t>
  </si>
  <si>
    <t>Cymraeg / Welsh</t>
  </si>
  <si>
    <t>CT1, part E, line 26, col. 11</t>
  </si>
  <si>
    <t>tolerance:</t>
  </si>
  <si>
    <t>goddefiant:</t>
  </si>
  <si>
    <t>Bydd unrhyw eitem sydd wedi'i glirio wedi’i marcio 'C' yn y golofn 'Statws' (Colofn AA).</t>
  </si>
  <si>
    <t>Any cleared item swill be marked 'C' in the 'Status' column (column AA).</t>
  </si>
  <si>
    <t>SQL</t>
  </si>
  <si>
    <t>Check the BR2 input figures against this spreadsheet:</t>
  </si>
  <si>
    <t>P:\stats\sd3\Formsandletters\1_RevenueForms\1.6  Council Tax Levels (BR1, BR2)\201920\Final police settlement + CT1 L.26 by LA 2019-20</t>
  </si>
  <si>
    <t>cyfanswm / expenditure 
COR 1-2, 
column 9</t>
  </si>
  <si>
    <t>cyfanswm / capital expenditure</t>
  </si>
  <si>
    <t>cyfanswm / receipts 
COR 1-2, 
column 13</t>
  </si>
  <si>
    <t>cyfanswm / capital receipts</t>
  </si>
  <si>
    <t>642105</t>
  </si>
  <si>
    <t>Helen Williams</t>
  </si>
  <si>
    <t>804401 / 804831</t>
  </si>
  <si>
    <t>Helen.Williams@nthwales.pnn.police.uk; guto.edwards@nthwales.pnn.police.uk</t>
  </si>
  <si>
    <t>https://gov.wales/police-settlement-final-2020-2021</t>
  </si>
  <si>
    <t>D P</t>
  </si>
  <si>
    <t>N W</t>
  </si>
  <si>
    <t>S W</t>
  </si>
  <si>
    <t xml:space="preserve">Year: </t>
  </si>
  <si>
    <t>Line 18 Col. 3 minus line 7</t>
  </si>
  <si>
    <t xml:space="preserve">Line 18 Col. 4 minus line 6 </t>
  </si>
  <si>
    <t>llinell 18, colofn 3 minws llinell 7</t>
  </si>
  <si>
    <t>llinell 18, colofn 4 minws llinell 6</t>
  </si>
  <si>
    <t>Cells J18, J19 and J20 above come from the Local Government Police Settlement, they must be repeated in cells G18, G19 and G20 which is why those cells are locked.</t>
  </si>
  <si>
    <t>Daw celloedd J18, J19 a J20 uchod oddi wrth y Setliad yr Heddlu Lywodraeth Leol, rhaid eu hailadrodd yng nghelloedd G18, G19 a G20, a dyna pam mae'r celloedd hynny wedi'u cloi.</t>
  </si>
  <si>
    <t>Dates</t>
  </si>
  <si>
    <t xml:space="preserve">The form must be completed by </t>
  </si>
  <si>
    <t xml:space="preserve"> and sent to the Welsh Government by </t>
  </si>
  <si>
    <t>An electronic copy of the spreadsheet, preferably with an image of the CFO signature and date added.</t>
  </si>
  <si>
    <t>Or an electronic copy and a separate, signed copy (preferably as a PDF, or a hard copy by post).</t>
  </si>
  <si>
    <t>N.B. The signed copy figures must match the electronic copy. We’ll need another signed copy if they don’t.</t>
  </si>
  <si>
    <t>Copi electronig o'r daenlen, yn ddelfrydol gyda delwedd o lofnod y PSC a'r dyddiad wedi'u hychwanegu.</t>
  </si>
  <si>
    <t>Neu gopi electronig a chopi ar wahân wedi'i lofnodi (fel PDF yn ddelfrydol, neu gopi caled trwy'r post).</t>
  </si>
  <si>
    <t>Noder. Rhaid i'r ffigurau ar y copi wedi'i lofnodi cyd-fynd â'r copi electronig. Bydd angen copi arall wedi'i lofnodi arnom os nad ydyn nhw.</t>
  </si>
  <si>
    <t xml:space="preserve">Rhaid llenwi'r ffurflen erbyn </t>
  </si>
  <si>
    <t xml:space="preserve"> a'i hanfon at Lywodraeth Cymru erbyn </t>
  </si>
  <si>
    <t xml:space="preserve">The latest date for return is </t>
  </si>
  <si>
    <t xml:space="preserve">Y dyddiad hwyraf ar gyfer dychwelyd yw </t>
  </si>
  <si>
    <t>Version</t>
  </si>
  <si>
    <t>tblCurrent</t>
  </si>
  <si>
    <t>Matthew Coe</t>
  </si>
  <si>
    <t>Matthew.coe@gwent.police.uk; HarPing.Boey@gwent.police.uk</t>
  </si>
  <si>
    <t>Peter Curran</t>
  </si>
  <si>
    <t>Neil Scourfield</t>
  </si>
  <si>
    <t>Neil.Scourfield@south-wales.police.uk</t>
  </si>
  <si>
    <t>Input / Output</t>
  </si>
  <si>
    <t>Protect and hide page?</t>
  </si>
  <si>
    <t>Updated</t>
  </si>
  <si>
    <t>Page</t>
  </si>
  <si>
    <t>Type (?)</t>
  </si>
  <si>
    <t>Action</t>
  </si>
  <si>
    <t>Range name</t>
  </si>
  <si>
    <t>Range</t>
  </si>
  <si>
    <t>By</t>
  </si>
  <si>
    <t>Date Updated</t>
  </si>
  <si>
    <t>Details</t>
  </si>
  <si>
    <t>active</t>
  </si>
  <si>
    <t>update</t>
  </si>
  <si>
    <t>year</t>
  </si>
  <si>
    <t>FK</t>
  </si>
  <si>
    <t>return date</t>
  </si>
  <si>
    <t>G5</t>
  </si>
  <si>
    <t>passive</t>
  </si>
  <si>
    <t>E12</t>
  </si>
  <si>
    <t>Text Box</t>
  </si>
  <si>
    <t>Transfer</t>
  </si>
  <si>
    <t>Text</t>
  </si>
  <si>
    <t>Translate</t>
  </si>
  <si>
    <t>ValData</t>
  </si>
  <si>
    <t>869293</t>
  </si>
  <si>
    <t>B7:M11</t>
  </si>
  <si>
    <t>LGF</t>
  </si>
  <si>
    <t>B37:G42</t>
  </si>
  <si>
    <t>J2</t>
  </si>
  <si>
    <t>CT1 Pivot</t>
  </si>
  <si>
    <t>H36:J62</t>
  </si>
  <si>
    <t>Links</t>
  </si>
  <si>
    <t>D12:E12</t>
  </si>
  <si>
    <t>J17:K40</t>
  </si>
  <si>
    <t>Linedata</t>
  </si>
  <si>
    <t>C17:AA37</t>
  </si>
  <si>
    <t>AD3:AJ67</t>
  </si>
  <si>
    <t>tblcurrent</t>
  </si>
  <si>
    <t>M2:X33</t>
  </si>
  <si>
    <t>Police Grant (table 3)</t>
  </si>
  <si>
    <t>Ian Williams, Nicola Davies</t>
  </si>
  <si>
    <t>ian.williams@dyfed-powys.police.uk; Nicola.davies@Dyfed-powys.police.uk</t>
  </si>
  <si>
    <t>DataIn (ValData)</t>
  </si>
  <si>
    <t>Query from Contacts DB - Query for BR2 form</t>
  </si>
  <si>
    <t/>
  </si>
  <si>
    <t>updated 24/01/24  fk</t>
  </si>
  <si>
    <t>Yr Heddlu yn unig</t>
  </si>
  <si>
    <t>Dedicated security posts (Police Authorities only)</t>
  </si>
  <si>
    <t>Swyddi diogelwch dynodedig (Awdurdodau'r Heddlu yn unig)</t>
  </si>
  <si>
    <t>National police coordination centre (Police Authorities only)</t>
  </si>
  <si>
    <t>National Parks' grant (National Park Authorities only)</t>
  </si>
  <si>
    <t>National Parks' revenue grant (National Park Authorities only)</t>
  </si>
  <si>
    <t>Grant refeniw Parciau Cenedlaethol (Awdurdodau Parciau Cenedlaethol yn unig)</t>
  </si>
  <si>
    <t>Canolfan gydgysylltu genedlaethol yr heddlu (Awdurdodau'r Heddlu yn unig)</t>
  </si>
  <si>
    <t>Gwasanaethau Heddlu</t>
  </si>
  <si>
    <t>Police Authority precept</t>
  </si>
  <si>
    <t>Dedicated security posts (Police only)</t>
  </si>
  <si>
    <t>Swyddi diogelwch dynodedig (yr Heddlu yn unig)</t>
  </si>
  <si>
    <t>https://www.gov.wales/police-settlement-2024-2025</t>
  </si>
  <si>
    <t>Worksheet 2: Police funding for 2024-25, Key Information (£ million)</t>
  </si>
  <si>
    <t>This worksheet contains one table.</t>
  </si>
  <si>
    <t>Some cells refer to notes which can be found on the notes worksheet.</t>
  </si>
  <si>
    <t>Distributable Non Domestic Rates
[note 1] [note 4]</t>
  </si>
  <si>
    <t>Revenue Support Grant
[note 1] [note 4]</t>
  </si>
  <si>
    <t>Total Standard Spending Assessment
[note 1]</t>
  </si>
  <si>
    <t>2019-20</t>
  </si>
  <si>
    <t>2020-21</t>
  </si>
  <si>
    <t>2021-22</t>
  </si>
  <si>
    <t>2022-23</t>
  </si>
  <si>
    <t>2023-24</t>
  </si>
  <si>
    <t>2024-25</t>
  </si>
  <si>
    <t>Dyfed-Powys</t>
  </si>
  <si>
    <t xml:space="preserve">Total </t>
  </si>
  <si>
    <t>Table 1c: Police Grant and Floor Funding (£ million)</t>
  </si>
  <si>
    <t>Provisional</t>
  </si>
  <si>
    <t>Pivot from CT1  E5</t>
  </si>
  <si>
    <t>https://gov.wales/police-settlement-provisional-2023-2024</t>
  </si>
  <si>
    <t>from CT1 DB, delete later, 27.2.24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</si>
</sst>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quot;£&quot;#,##0"/>
    <numFmt numFmtId="165" formatCode="#,##0_ ;[Red]\-#,##0\ "/>
    <numFmt numFmtId="166" formatCode="0.0000"/>
    <numFmt numFmtId="167" formatCode="#,##0.00_ ;[Red]\-#,##0.00\ "/>
    <numFmt numFmtId="168" formatCode="_-* #,##0_-;\-* #,##0_-;_-* &quot;-&quot;??_-;_-@_-"/>
    <numFmt numFmtId="169" formatCode="#,##0.000"/>
    <numFmt numFmtId="170" formatCode="d\ mmmm\ yyyy"/>
    <numFmt numFmtId="171" formatCode="[$-809]dd\ mmmm\ yyyy;@"/>
    <numFmt numFmtId="172" formatCode="#,##0.000_ ;[Red]\-#,##0.000\ "/>
    <numFmt numFmtId="173" formatCode="dd/mm/yy;@"/>
    <numFmt numFmtId="174" formatCode="0.0"/>
    <numFmt numFmtId="175" formatCode="#,##0.000000_ ;[Red]\-#,##0.000000\ "/>
  </numFmts>
  <fonts count="86" x14ac:knownFonts="1">
    <font>
      <sz val="12"/>
      <name val="Arial"/>
    </font>
    <font>
      <sz val="12"/>
      <name val="Arial"/>
      <family val="2"/>
    </font>
    <font>
      <b/>
      <sz val="10"/>
      <name val="Arial"/>
      <family val="2"/>
    </font>
    <font>
      <sz val="10"/>
      <name val="Arial"/>
      <family val="2"/>
    </font>
    <font>
      <sz val="11"/>
      <name val="Arial"/>
      <family val="2"/>
    </font>
    <font>
      <b/>
      <sz val="12"/>
      <name val="Arial"/>
      <family val="2"/>
    </font>
    <font>
      <sz val="10"/>
      <color indexed="8"/>
      <name val="MS Sans Serif"/>
      <family val="2"/>
    </font>
    <font>
      <sz val="10"/>
      <color indexed="9"/>
      <name val="Arial"/>
      <family val="2"/>
    </font>
    <font>
      <sz val="8"/>
      <name val="Arial"/>
      <family val="2"/>
    </font>
    <font>
      <b/>
      <sz val="12"/>
      <color indexed="62"/>
      <name val="Arial"/>
      <family val="2"/>
    </font>
    <font>
      <b/>
      <sz val="11"/>
      <name val="Arial"/>
      <family val="2"/>
    </font>
    <font>
      <u/>
      <sz val="6"/>
      <color indexed="12"/>
      <name val="Arial"/>
      <family val="2"/>
    </font>
    <font>
      <sz val="10"/>
      <color indexed="8"/>
      <name val="Arial"/>
      <family val="2"/>
    </font>
    <font>
      <sz val="12"/>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Wingdings"/>
      <charset val="2"/>
    </font>
    <font>
      <sz val="10"/>
      <color indexed="10"/>
      <name val="Arial"/>
      <family val="2"/>
    </font>
    <font>
      <b/>
      <sz val="10"/>
      <color indexed="18"/>
      <name val="Arial"/>
      <family val="2"/>
    </font>
    <font>
      <b/>
      <sz val="8"/>
      <name val="Arial"/>
      <family val="2"/>
    </font>
    <font>
      <b/>
      <u val="singleAccounting"/>
      <sz val="8"/>
      <name val="Arial"/>
      <family val="2"/>
    </font>
    <font>
      <u/>
      <sz val="12"/>
      <color indexed="12"/>
      <name val="Arial"/>
      <family val="2"/>
    </font>
    <font>
      <sz val="12"/>
      <name val="Times New Roman"/>
      <family val="1"/>
    </font>
    <font>
      <sz val="20"/>
      <name val="Arial"/>
      <family val="2"/>
    </font>
    <font>
      <u/>
      <sz val="9"/>
      <color indexed="12"/>
      <name val="Arial"/>
      <family val="2"/>
    </font>
    <font>
      <sz val="9"/>
      <name val="Arial"/>
      <family val="2"/>
    </font>
    <font>
      <b/>
      <sz val="9"/>
      <name val="Arial"/>
      <family val="2"/>
    </font>
    <font>
      <b/>
      <sz val="14"/>
      <name val="Arial"/>
      <family val="2"/>
    </font>
    <font>
      <i/>
      <sz val="11"/>
      <name val="Arial"/>
      <family val="2"/>
    </font>
    <font>
      <sz val="10"/>
      <name val="Arial"/>
      <family val="2"/>
    </font>
    <font>
      <sz val="10"/>
      <name val="Arial"/>
      <family val="2"/>
    </font>
    <font>
      <u/>
      <sz val="10"/>
      <color indexed="12"/>
      <name val="Arial"/>
      <family val="2"/>
    </font>
    <font>
      <sz val="16"/>
      <name val="Arial"/>
      <family val="2"/>
    </font>
    <font>
      <b/>
      <i/>
      <sz val="8"/>
      <name val="Arial"/>
      <family val="2"/>
    </font>
    <font>
      <sz val="11"/>
      <color indexed="23"/>
      <name val="Arial"/>
      <family val="2"/>
    </font>
    <font>
      <sz val="10"/>
      <name val="Arial"/>
      <family val="2"/>
    </font>
    <font>
      <b/>
      <sz val="12"/>
      <color indexed="18"/>
      <name val="Arial"/>
      <family val="2"/>
    </font>
    <font>
      <u/>
      <sz val="8"/>
      <color rgb="FF7030A0"/>
      <name val="Arial"/>
      <family val="2"/>
    </font>
    <font>
      <sz val="12"/>
      <color rgb="FF00B0F0"/>
      <name val="Arial"/>
      <family val="2"/>
    </font>
    <font>
      <sz val="10"/>
      <color theme="1"/>
      <name val="Arial"/>
      <family val="2"/>
    </font>
    <font>
      <sz val="10"/>
      <color rgb="FFFF0000"/>
      <name val="Arial"/>
      <family val="2"/>
    </font>
    <font>
      <sz val="10"/>
      <color rgb="FF00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sz val="10"/>
      <color rgb="FFCCFFFF"/>
      <name val="Arial"/>
      <family val="2"/>
    </font>
    <font>
      <b/>
      <sz val="8"/>
      <color rgb="FF7030A0"/>
      <name val="Arial"/>
      <family val="2"/>
    </font>
    <font>
      <b/>
      <sz val="10"/>
      <color rgb="FFFF0000"/>
      <name val="Arial"/>
      <family val="2"/>
    </font>
    <font>
      <b/>
      <sz val="12"/>
      <color rgb="FF0000FF"/>
      <name val="Arial"/>
      <family val="2"/>
    </font>
    <font>
      <b/>
      <sz val="8"/>
      <color rgb="FF0000FF"/>
      <name val="Arial"/>
      <family val="2"/>
    </font>
    <font>
      <u/>
      <sz val="12"/>
      <color rgb="FF7030A0"/>
      <name val="Arial"/>
      <family val="2"/>
    </font>
    <font>
      <u/>
      <sz val="10"/>
      <color rgb="FF0000FF"/>
      <name val="Arial"/>
      <family val="2"/>
    </font>
    <font>
      <b/>
      <sz val="11"/>
      <color rgb="FF7030A0"/>
      <name val="Arial"/>
      <family val="2"/>
    </font>
    <font>
      <b/>
      <sz val="12"/>
      <color rgb="FFFF0000"/>
      <name val="Arial"/>
      <family val="2"/>
    </font>
    <font>
      <sz val="10"/>
      <color indexed="81"/>
      <name val="Arial"/>
      <family val="2"/>
    </font>
    <font>
      <sz val="12"/>
      <color rgb="FF0000FF"/>
      <name val="Arial"/>
      <family val="2"/>
    </font>
    <font>
      <sz val="10"/>
      <color rgb="FF7030A0"/>
      <name val="Arial"/>
      <family val="2"/>
    </font>
    <font>
      <sz val="14"/>
      <name val="Arial"/>
      <family val="2"/>
    </font>
    <font>
      <sz val="10"/>
      <name val="Arial"/>
      <family val="2"/>
    </font>
    <font>
      <u/>
      <sz val="11"/>
      <color indexed="12"/>
      <name val="Arial"/>
      <family val="2"/>
    </font>
    <font>
      <sz val="8"/>
      <color rgb="FF0000FF"/>
      <name val="Arial"/>
      <family val="2"/>
    </font>
    <font>
      <sz val="10"/>
      <color theme="1"/>
      <name val="Arial"/>
      <family val="2"/>
    </font>
    <font>
      <b/>
      <sz val="11"/>
      <color indexed="18"/>
      <name val="Arial"/>
      <family val="2"/>
    </font>
    <font>
      <b/>
      <sz val="11"/>
      <color indexed="62"/>
      <name val="Arial"/>
      <family val="2"/>
    </font>
    <font>
      <sz val="12"/>
      <color indexed="81"/>
      <name val="Arial"/>
      <family val="2"/>
    </font>
    <font>
      <b/>
      <sz val="12"/>
      <color theme="1"/>
      <name val="Arial"/>
      <family val="2"/>
    </font>
    <font>
      <b/>
      <sz val="12"/>
      <color rgb="FF7030A0"/>
      <name val="Arial"/>
      <family val="2"/>
    </font>
    <font>
      <sz val="9"/>
      <color indexed="81"/>
      <name val="Tahoma"/>
      <charset val="1"/>
    </font>
    <font>
      <sz val="10"/>
      <name val="Arial"/>
    </font>
    <font>
      <sz val="11"/>
      <name val="Calibri"/>
      <family val="2"/>
    </font>
  </fonts>
  <fills count="38">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44"/>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9CCFF"/>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99FF99"/>
        <bgColor indexed="64"/>
      </patternFill>
    </fill>
    <fill>
      <patternFill patternType="solid">
        <fgColor rgb="FFCCFFFF"/>
        <bgColor indexed="64"/>
      </patternFill>
    </fill>
    <fill>
      <patternFill patternType="solid">
        <fgColor rgb="FF7030A0"/>
        <bgColor indexed="64"/>
      </patternFill>
    </fill>
    <fill>
      <patternFill patternType="solid">
        <fgColor rgb="FFE5F5FF"/>
        <bgColor indexed="64"/>
      </patternFill>
    </fill>
    <fill>
      <patternFill patternType="solid">
        <fgColor indexed="46"/>
        <bgColor indexed="64"/>
      </patternFill>
    </fill>
    <fill>
      <patternFill patternType="solid">
        <fgColor indexed="42"/>
        <bgColor indexed="64"/>
      </patternFill>
    </fill>
    <fill>
      <patternFill patternType="solid">
        <fgColor rgb="FFFFCC99"/>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CC"/>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18"/>
      </left>
      <right/>
      <top/>
      <bottom/>
      <diagonal/>
    </border>
    <border>
      <left/>
      <right style="thin">
        <color indexed="18"/>
      </right>
      <top/>
      <bottom/>
      <diagonal/>
    </border>
    <border>
      <left style="thin">
        <color indexed="64"/>
      </left>
      <right style="thin">
        <color indexed="64"/>
      </right>
      <top style="thin">
        <color indexed="64"/>
      </top>
      <bottom style="thin">
        <color indexed="64"/>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thin">
        <color indexed="64"/>
      </bottom>
      <diagonal/>
    </border>
    <border>
      <left/>
      <right style="thin">
        <color indexed="18"/>
      </right>
      <top style="thin">
        <color indexed="18"/>
      </top>
      <bottom style="thin">
        <color indexed="64"/>
      </bottom>
      <diagonal/>
    </border>
    <border>
      <left style="thin">
        <color indexed="18"/>
      </left>
      <right/>
      <top style="thin">
        <color indexed="1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80"/>
      </top>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style="thin">
        <color rgb="FFABABAB"/>
      </right>
      <top/>
      <bottom style="thin">
        <color indexed="64"/>
      </bottom>
      <diagonal/>
    </border>
    <border>
      <left style="thin">
        <color indexed="64"/>
      </left>
      <right style="thin">
        <color rgb="FFABABAB"/>
      </right>
      <top/>
      <bottom style="thin">
        <color indexed="64"/>
      </bottom>
      <diagonal/>
    </border>
    <border>
      <left/>
      <right/>
      <top style="thin">
        <color rgb="FFABABAB"/>
      </top>
      <bottom/>
      <diagonal/>
    </border>
  </borders>
  <cellStyleXfs count="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 applyNumberFormat="0" applyAlignment="0" applyProtection="0"/>
    <xf numFmtId="0" fontId="19" fillId="13" borderId="2" applyNumberForma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3" borderId="1" applyNumberFormat="0" applyAlignment="0" applyProtection="0"/>
    <xf numFmtId="0" fontId="26" fillId="0" borderId="6" applyNumberFormat="0" applyFill="0" applyAlignment="0" applyProtection="0"/>
    <xf numFmtId="0" fontId="27" fillId="3" borderId="0" applyNumberFormat="0" applyBorder="0" applyAlignment="0" applyProtection="0"/>
    <xf numFmtId="0" fontId="38" fillId="0" borderId="0"/>
    <xf numFmtId="0" fontId="1" fillId="0" borderId="0"/>
    <xf numFmtId="0" fontId="6" fillId="0" borderId="0"/>
    <xf numFmtId="0" fontId="1" fillId="0" borderId="0"/>
    <xf numFmtId="0" fontId="1" fillId="0" borderId="0"/>
    <xf numFmtId="0" fontId="14" fillId="0" borderId="0"/>
    <xf numFmtId="0" fontId="1" fillId="0" borderId="0"/>
    <xf numFmtId="0" fontId="3" fillId="0" borderId="0"/>
    <xf numFmtId="0" fontId="3" fillId="4" borderId="7" applyNumberFormat="0" applyFont="0" applyAlignment="0" applyProtection="0"/>
    <xf numFmtId="0" fontId="28" fillId="12"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2" fillId="0" borderId="0"/>
  </cellStyleXfs>
  <cellXfs count="709">
    <xf numFmtId="0" fontId="0" fillId="0" borderId="0" xfId="0"/>
    <xf numFmtId="0" fontId="3" fillId="0" borderId="0" xfId="0" applyFont="1"/>
    <xf numFmtId="0" fontId="8" fillId="0" borderId="0" xfId="0" applyFont="1"/>
    <xf numFmtId="1" fontId="8" fillId="0" borderId="0" xfId="0" applyNumberFormat="1" applyFont="1"/>
    <xf numFmtId="3" fontId="8" fillId="0" borderId="0" xfId="0" applyNumberFormat="1" applyFont="1"/>
    <xf numFmtId="0" fontId="8" fillId="0" borderId="0" xfId="0" applyFont="1" applyAlignment="1">
      <alignment vertical="top"/>
    </xf>
    <xf numFmtId="3" fontId="8" fillId="0" borderId="0" xfId="43" applyNumberFormat="1" applyFont="1"/>
    <xf numFmtId="168" fontId="8" fillId="0" borderId="0" xfId="28" applyNumberFormat="1" applyFont="1" applyFill="1" applyBorder="1"/>
    <xf numFmtId="0" fontId="8" fillId="0" borderId="0" xfId="0" applyFont="1" applyAlignment="1">
      <alignment horizontal="right"/>
    </xf>
    <xf numFmtId="168" fontId="8" fillId="0" borderId="0" xfId="0" applyNumberFormat="1" applyFont="1" applyAlignment="1">
      <alignment horizontal="right"/>
    </xf>
    <xf numFmtId="0" fontId="1" fillId="0" borderId="0" xfId="0" applyFont="1"/>
    <xf numFmtId="0" fontId="35" fillId="0" borderId="0" xfId="0" applyFont="1" applyAlignment="1">
      <alignment horizontal="center"/>
    </xf>
    <xf numFmtId="168" fontId="36" fillId="0" borderId="0" xfId="0" applyNumberFormat="1" applyFont="1"/>
    <xf numFmtId="0" fontId="53" fillId="0" borderId="0" xfId="0" applyFont="1" applyAlignment="1">
      <alignment horizontal="left"/>
    </xf>
    <xf numFmtId="0" fontId="35" fillId="0" borderId="0" xfId="0" applyFont="1"/>
    <xf numFmtId="0" fontId="35" fillId="17" borderId="0" xfId="0" applyFont="1" applyFill="1"/>
    <xf numFmtId="0" fontId="35" fillId="18" borderId="0" xfId="0" applyFont="1" applyFill="1"/>
    <xf numFmtId="0" fontId="8" fillId="18" borderId="0" xfId="0" applyFont="1" applyFill="1"/>
    <xf numFmtId="0" fontId="8" fillId="17" borderId="0" xfId="0" applyFont="1" applyFill="1"/>
    <xf numFmtId="0" fontId="8" fillId="0" borderId="0" xfId="45" applyFont="1" applyAlignment="1">
      <alignment wrapText="1"/>
    </xf>
    <xf numFmtId="165" fontId="8" fillId="0" borderId="0" xfId="0" applyNumberFormat="1" applyFont="1"/>
    <xf numFmtId="0" fontId="0" fillId="0" borderId="0" xfId="0" applyProtection="1">
      <protection locked="0"/>
    </xf>
    <xf numFmtId="0" fontId="3" fillId="15" borderId="11" xfId="0" applyFont="1" applyFill="1" applyBorder="1"/>
    <xf numFmtId="0" fontId="9" fillId="15" borderId="0" xfId="0" applyFont="1" applyFill="1" applyAlignment="1">
      <alignment horizontal="left"/>
    </xf>
    <xf numFmtId="0" fontId="2" fillId="15" borderId="0" xfId="0" applyFont="1" applyFill="1" applyAlignment="1">
      <alignment horizontal="left"/>
    </xf>
    <xf numFmtId="0" fontId="3" fillId="15" borderId="0" xfId="0" applyFont="1" applyFill="1"/>
    <xf numFmtId="0" fontId="33" fillId="15" borderId="12" xfId="0" applyFont="1" applyFill="1" applyBorder="1"/>
    <xf numFmtId="0" fontId="9" fillId="15" borderId="0" xfId="0" applyFont="1" applyFill="1" applyAlignment="1">
      <alignment horizontal="right" vertical="center"/>
    </xf>
    <xf numFmtId="0" fontId="3" fillId="15" borderId="12" xfId="0" applyFont="1" applyFill="1" applyBorder="1"/>
    <xf numFmtId="0" fontId="4" fillId="15" borderId="0" xfId="0" applyFont="1" applyFill="1" applyAlignment="1">
      <alignment horizontal="left"/>
    </xf>
    <xf numFmtId="0" fontId="34" fillId="15" borderId="12" xfId="0" quotePrefix="1" applyFont="1" applyFill="1" applyBorder="1" applyAlignment="1">
      <alignment horizontal="center"/>
    </xf>
    <xf numFmtId="0" fontId="3" fillId="15" borderId="11" xfId="0" applyFont="1" applyFill="1" applyBorder="1" applyAlignment="1">
      <alignment vertical="center"/>
    </xf>
    <xf numFmtId="0" fontId="34" fillId="15" borderId="0" xfId="0" quotePrefix="1" applyFont="1" applyFill="1" applyAlignment="1">
      <alignment horizontal="center"/>
    </xf>
    <xf numFmtId="3" fontId="3" fillId="15" borderId="12" xfId="0" applyNumberFormat="1" applyFont="1" applyFill="1" applyBorder="1" applyAlignment="1">
      <alignment horizontal="right" vertical="center"/>
    </xf>
    <xf numFmtId="3" fontId="3" fillId="15" borderId="12" xfId="0" quotePrefix="1" applyNumberFormat="1" applyFont="1" applyFill="1" applyBorder="1" applyAlignment="1">
      <alignment horizontal="right" vertical="center" wrapText="1"/>
    </xf>
    <xf numFmtId="3" fontId="3" fillId="15" borderId="12" xfId="0" applyNumberFormat="1" applyFont="1" applyFill="1" applyBorder="1" applyAlignment="1">
      <alignment horizontal="right" vertical="center" wrapText="1"/>
    </xf>
    <xf numFmtId="3" fontId="3" fillId="15" borderId="12" xfId="0" applyNumberFormat="1" applyFont="1" applyFill="1" applyBorder="1" applyAlignment="1">
      <alignment vertical="center" wrapText="1"/>
    </xf>
    <xf numFmtId="0" fontId="2" fillId="15" borderId="0" xfId="0" applyFont="1" applyFill="1" applyAlignment="1">
      <alignment horizontal="center"/>
    </xf>
    <xf numFmtId="4" fontId="3" fillId="15" borderId="12" xfId="0" applyNumberFormat="1" applyFont="1" applyFill="1" applyBorder="1" applyAlignment="1">
      <alignment horizontal="right" vertical="center"/>
    </xf>
    <xf numFmtId="10" fontId="3" fillId="15" borderId="12" xfId="0" applyNumberFormat="1" applyFont="1" applyFill="1" applyBorder="1" applyAlignment="1">
      <alignment horizontal="right" vertical="center"/>
    </xf>
    <xf numFmtId="0" fontId="3" fillId="15" borderId="0" xfId="0" applyFont="1" applyFill="1" applyAlignment="1">
      <alignment wrapText="1"/>
    </xf>
    <xf numFmtId="0" fontId="3" fillId="15" borderId="0" xfId="0" applyFont="1" applyFill="1" applyAlignment="1">
      <alignment horizontal="center" wrapText="1"/>
    </xf>
    <xf numFmtId="4" fontId="2" fillId="15" borderId="0" xfId="0" quotePrefix="1" applyNumberFormat="1" applyFont="1" applyFill="1" applyAlignment="1">
      <alignment horizontal="center" vertical="center" wrapText="1"/>
    </xf>
    <xf numFmtId="4" fontId="2" fillId="15" borderId="0" xfId="0" applyNumberFormat="1" applyFont="1" applyFill="1" applyAlignment="1">
      <alignment horizontal="center" vertical="center" wrapText="1"/>
    </xf>
    <xf numFmtId="0" fontId="12" fillId="15" borderId="11" xfId="0" applyFont="1" applyFill="1" applyBorder="1"/>
    <xf numFmtId="0" fontId="12" fillId="15" borderId="0" xfId="0" applyFont="1" applyFill="1"/>
    <xf numFmtId="1" fontId="12" fillId="15" borderId="0" xfId="0" applyNumberFormat="1" applyFont="1" applyFill="1" applyAlignment="1">
      <alignment horizontal="center" vertical="center" wrapText="1"/>
    </xf>
    <xf numFmtId="0" fontId="12" fillId="15" borderId="0" xfId="0" applyFont="1" applyFill="1" applyAlignment="1">
      <alignment vertical="center" wrapText="1"/>
    </xf>
    <xf numFmtId="4" fontId="12" fillId="15" borderId="0" xfId="0" applyNumberFormat="1" applyFont="1" applyFill="1" applyAlignment="1">
      <alignment vertical="center" wrapText="1"/>
    </xf>
    <xf numFmtId="3" fontId="12" fillId="15" borderId="0" xfId="0" applyNumberFormat="1" applyFont="1" applyFill="1" applyAlignment="1">
      <alignment vertical="center" wrapText="1"/>
    </xf>
    <xf numFmtId="0" fontId="13" fillId="15" borderId="11" xfId="0" applyFont="1" applyFill="1" applyBorder="1"/>
    <xf numFmtId="3" fontId="3" fillId="15" borderId="0" xfId="0" applyNumberFormat="1" applyFont="1" applyFill="1" applyAlignment="1">
      <alignment horizontal="right" vertical="center"/>
    </xf>
    <xf numFmtId="3" fontId="3" fillId="15" borderId="0" xfId="0" applyNumberFormat="1" applyFont="1" applyFill="1" applyAlignment="1">
      <alignment horizontal="left" vertical="center"/>
    </xf>
    <xf numFmtId="0" fontId="3" fillId="15" borderId="0" xfId="0" applyFont="1" applyFill="1" applyAlignment="1">
      <alignment horizontal="left" vertical="top" wrapText="1"/>
    </xf>
    <xf numFmtId="164" fontId="3" fillId="15" borderId="0" xfId="0" applyNumberFormat="1" applyFont="1" applyFill="1" applyAlignment="1">
      <alignment horizontal="right" vertical="center"/>
    </xf>
    <xf numFmtId="0" fontId="3" fillId="15" borderId="0" xfId="0" applyFont="1" applyFill="1" applyAlignment="1">
      <alignment horizontal="left"/>
    </xf>
    <xf numFmtId="0" fontId="3" fillId="15" borderId="0" xfId="0" applyFont="1" applyFill="1" applyAlignment="1">
      <alignment horizontal="right"/>
    </xf>
    <xf numFmtId="0" fontId="3" fillId="15" borderId="14" xfId="0" applyFont="1" applyFill="1" applyBorder="1"/>
    <xf numFmtId="0" fontId="3" fillId="15" borderId="15" xfId="0" applyFont="1" applyFill="1" applyBorder="1" applyAlignment="1">
      <alignment horizontal="right"/>
    </xf>
    <xf numFmtId="0" fontId="3" fillId="15" borderId="15" xfId="0" applyFont="1" applyFill="1" applyBorder="1"/>
    <xf numFmtId="0" fontId="3" fillId="15" borderId="15" xfId="0" applyFont="1" applyFill="1" applyBorder="1" applyAlignment="1">
      <alignment horizontal="left"/>
    </xf>
    <xf numFmtId="0" fontId="3" fillId="15" borderId="16" xfId="0" applyFont="1" applyFill="1" applyBorder="1"/>
    <xf numFmtId="0" fontId="2" fillId="0" borderId="0" xfId="0" applyFont="1" applyAlignment="1">
      <alignment horizontal="right"/>
    </xf>
    <xf numFmtId="3" fontId="3" fillId="0" borderId="0" xfId="0" applyNumberFormat="1" applyFont="1"/>
    <xf numFmtId="0" fontId="2" fillId="0" borderId="0" xfId="41" applyFont="1"/>
    <xf numFmtId="0" fontId="3" fillId="0" borderId="0" xfId="41" applyFont="1"/>
    <xf numFmtId="0" fontId="2" fillId="0" borderId="0" xfId="41" applyFont="1" applyAlignment="1">
      <alignment horizontal="left"/>
    </xf>
    <xf numFmtId="0" fontId="2" fillId="0" borderId="0" xfId="41" applyFont="1" applyAlignment="1">
      <alignment vertical="top"/>
    </xf>
    <xf numFmtId="0" fontId="3" fillId="0" borderId="0" xfId="41" applyFont="1" applyAlignment="1">
      <alignment horizontal="left"/>
    </xf>
    <xf numFmtId="0" fontId="55" fillId="0" borderId="0" xfId="41" applyFont="1" applyAlignment="1">
      <alignment vertical="top" wrapText="1"/>
    </xf>
    <xf numFmtId="0" fontId="3" fillId="0" borderId="0" xfId="41" applyFont="1" applyAlignment="1">
      <alignment vertical="top" wrapText="1"/>
    </xf>
    <xf numFmtId="0" fontId="0" fillId="0" borderId="0" xfId="41" applyFont="1" applyAlignment="1">
      <alignment vertical="top"/>
    </xf>
    <xf numFmtId="0" fontId="56" fillId="0" borderId="0" xfId="41" applyFont="1" applyAlignment="1">
      <alignment vertical="top" wrapText="1"/>
    </xf>
    <xf numFmtId="0" fontId="3" fillId="0" borderId="0" xfId="41" applyFont="1" applyAlignment="1">
      <alignment vertical="top"/>
    </xf>
    <xf numFmtId="0" fontId="3" fillId="0" borderId="0" xfId="41" applyFont="1" applyAlignment="1">
      <alignment wrapText="1"/>
    </xf>
    <xf numFmtId="0" fontId="57" fillId="0" borderId="0" xfId="41" applyFont="1" applyAlignment="1">
      <alignment horizontal="left" vertical="center" readingOrder="1"/>
    </xf>
    <xf numFmtId="0" fontId="3" fillId="0" borderId="0" xfId="0" applyFont="1" applyAlignment="1">
      <alignment vertical="top"/>
    </xf>
    <xf numFmtId="0" fontId="3" fillId="0" borderId="0" xfId="41" quotePrefix="1" applyFont="1" applyAlignment="1">
      <alignment vertical="top" wrapText="1"/>
    </xf>
    <xf numFmtId="0" fontId="3" fillId="0" borderId="0" xfId="0" applyFont="1" applyAlignment="1">
      <alignment wrapText="1"/>
    </xf>
    <xf numFmtId="0" fontId="2" fillId="0" borderId="0" xfId="0" applyFont="1" applyAlignment="1" applyProtection="1">
      <alignment horizontal="left" vertical="top"/>
      <protection hidden="1"/>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41" fillId="0" borderId="0" xfId="0" applyFont="1" applyAlignment="1" applyProtection="1">
      <alignment horizontal="left" vertical="top" wrapText="1"/>
      <protection hidden="1"/>
    </xf>
    <xf numFmtId="0" fontId="2" fillId="0" borderId="0" xfId="0" applyFont="1" applyAlignment="1">
      <alignment vertical="top"/>
    </xf>
    <xf numFmtId="0" fontId="2" fillId="0" borderId="0" xfId="0"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2" fillId="18" borderId="0" xfId="0" applyFont="1" applyFill="1" applyAlignment="1" applyProtection="1">
      <alignment horizontal="center" vertical="top" wrapText="1"/>
      <protection hidden="1"/>
    </xf>
    <xf numFmtId="0" fontId="3" fillId="18" borderId="0" xfId="0" applyFont="1" applyFill="1" applyAlignment="1" applyProtection="1">
      <alignment horizontal="left" vertical="top" wrapText="1"/>
      <protection hidden="1"/>
    </xf>
    <xf numFmtId="0" fontId="41" fillId="18" borderId="0" xfId="0" applyFont="1" applyFill="1" applyAlignment="1" applyProtection="1">
      <alignment horizontal="left" vertical="top" wrapText="1"/>
      <protection hidden="1"/>
    </xf>
    <xf numFmtId="0" fontId="2" fillId="0" borderId="0" xfId="0" applyFont="1" applyAlignment="1" applyProtection="1">
      <alignment horizontal="center" vertical="top" wrapText="1"/>
      <protection hidden="1"/>
    </xf>
    <xf numFmtId="0" fontId="3" fillId="0" borderId="0" xfId="0" applyFont="1" applyAlignment="1">
      <alignment horizontal="left" vertical="top" wrapText="1"/>
    </xf>
    <xf numFmtId="0" fontId="3" fillId="0" borderId="0" xfId="0" applyFont="1" applyAlignment="1">
      <alignment horizontal="left" vertical="top"/>
    </xf>
    <xf numFmtId="0" fontId="2" fillId="18" borderId="0" xfId="0" applyFont="1" applyFill="1" applyAlignment="1">
      <alignment horizontal="left"/>
    </xf>
    <xf numFmtId="0" fontId="3" fillId="18" borderId="0" xfId="0" applyFont="1" applyFill="1" applyAlignment="1">
      <alignment wrapText="1"/>
    </xf>
    <xf numFmtId="49" fontId="3" fillId="0" borderId="0" xfId="0" applyNumberFormat="1" applyFont="1" applyAlignment="1">
      <alignment wrapText="1"/>
    </xf>
    <xf numFmtId="0" fontId="2" fillId="18" borderId="0" xfId="0" applyFont="1" applyFill="1" applyAlignment="1">
      <alignment vertical="top"/>
    </xf>
    <xf numFmtId="0" fontId="3" fillId="18" borderId="0" xfId="0" applyFont="1" applyFill="1" applyAlignment="1">
      <alignment vertical="top" wrapText="1"/>
    </xf>
    <xf numFmtId="0" fontId="41" fillId="0" borderId="0" xfId="0" applyFont="1" applyAlignment="1">
      <alignment vertical="top" wrapText="1"/>
    </xf>
    <xf numFmtId="0" fontId="3" fillId="15" borderId="11" xfId="41" applyFont="1" applyFill="1" applyBorder="1"/>
    <xf numFmtId="0" fontId="3" fillId="15" borderId="0" xfId="41" applyFont="1" applyFill="1"/>
    <xf numFmtId="0" fontId="3" fillId="15" borderId="0" xfId="41" applyFont="1" applyFill="1" applyAlignment="1">
      <alignment vertical="center"/>
    </xf>
    <xf numFmtId="0" fontId="58" fillId="15" borderId="0" xfId="41" applyFont="1" applyFill="1"/>
    <xf numFmtId="0" fontId="58" fillId="15" borderId="0" xfId="41" applyFont="1" applyFill="1" applyAlignment="1">
      <alignment vertical="center"/>
    </xf>
    <xf numFmtId="0" fontId="59" fillId="15" borderId="0" xfId="41" applyFont="1" applyFill="1" applyAlignment="1">
      <alignment horizontal="right" vertical="center"/>
    </xf>
    <xf numFmtId="0" fontId="60" fillId="15" borderId="12" xfId="41" applyFont="1" applyFill="1" applyBorder="1"/>
    <xf numFmtId="0" fontId="3" fillId="15" borderId="0" xfId="41" applyFont="1" applyFill="1" applyProtection="1">
      <protection locked="0" hidden="1"/>
    </xf>
    <xf numFmtId="0" fontId="61" fillId="15" borderId="0" xfId="41" applyFont="1" applyFill="1" applyProtection="1">
      <protection locked="0"/>
    </xf>
    <xf numFmtId="0" fontId="3" fillId="15" borderId="12" xfId="41" applyFont="1" applyFill="1" applyBorder="1"/>
    <xf numFmtId="0" fontId="4" fillId="15" borderId="0" xfId="41" applyFont="1" applyFill="1"/>
    <xf numFmtId="0" fontId="4" fillId="15" borderId="0" xfId="41" applyFont="1" applyFill="1" applyProtection="1">
      <protection hidden="1"/>
    </xf>
    <xf numFmtId="0" fontId="44" fillId="15" borderId="0" xfId="41" applyFont="1" applyFill="1" applyProtection="1">
      <protection hidden="1"/>
    </xf>
    <xf numFmtId="0" fontId="4" fillId="15" borderId="0" xfId="41" applyFont="1" applyFill="1" applyAlignment="1">
      <alignment horizontal="right" vertical="center"/>
    </xf>
    <xf numFmtId="0" fontId="10" fillId="15" borderId="0" xfId="41" applyFont="1" applyFill="1" applyAlignment="1">
      <alignment horizontal="right" vertical="center"/>
    </xf>
    <xf numFmtId="0" fontId="7" fillId="21" borderId="0" xfId="41" applyFont="1" applyFill="1"/>
    <xf numFmtId="0" fontId="3" fillId="15" borderId="0" xfId="41" applyFont="1" applyFill="1" applyProtection="1">
      <protection hidden="1"/>
    </xf>
    <xf numFmtId="0" fontId="4" fillId="15" borderId="0" xfId="41" applyFont="1" applyFill="1" applyAlignment="1">
      <alignment horizontal="justify" vertical="center" wrapText="1"/>
    </xf>
    <xf numFmtId="0" fontId="3" fillId="15" borderId="0" xfId="41" applyFont="1" applyFill="1" applyAlignment="1" applyProtection="1">
      <alignment horizontal="left" wrapText="1"/>
      <protection hidden="1"/>
    </xf>
    <xf numFmtId="0" fontId="3" fillId="15" borderId="11" xfId="41" applyFont="1" applyFill="1" applyBorder="1" applyAlignment="1">
      <alignment vertical="center"/>
    </xf>
    <xf numFmtId="0" fontId="3" fillId="15" borderId="12" xfId="41" applyFont="1" applyFill="1" applyBorder="1" applyAlignment="1">
      <alignment vertical="center"/>
    </xf>
    <xf numFmtId="0" fontId="4" fillId="15" borderId="0" xfId="41" applyFont="1" applyFill="1" applyAlignment="1" applyProtection="1">
      <alignment horizontal="left" wrapText="1"/>
      <protection hidden="1"/>
    </xf>
    <xf numFmtId="0" fontId="4" fillId="15" borderId="0" xfId="41" applyFont="1" applyFill="1" applyAlignment="1">
      <alignment horizontal="left" wrapText="1"/>
    </xf>
    <xf numFmtId="0" fontId="3" fillId="15" borderId="0" xfId="41" applyFont="1" applyFill="1" applyAlignment="1">
      <alignment horizontal="left" wrapText="1"/>
    </xf>
    <xf numFmtId="0" fontId="3" fillId="15" borderId="14" xfId="41" applyFont="1" applyFill="1" applyBorder="1"/>
    <xf numFmtId="0" fontId="3" fillId="15" borderId="15" xfId="41" applyFont="1" applyFill="1" applyBorder="1"/>
    <xf numFmtId="0" fontId="3" fillId="15" borderId="16" xfId="41" applyFont="1" applyFill="1" applyBorder="1"/>
    <xf numFmtId="0" fontId="1" fillId="0" borderId="0" xfId="44"/>
    <xf numFmtId="0" fontId="3" fillId="15" borderId="11" xfId="47" applyFill="1" applyBorder="1" applyAlignment="1">
      <alignment vertical="center"/>
    </xf>
    <xf numFmtId="0" fontId="34" fillId="15" borderId="0" xfId="41" applyFont="1" applyFill="1" applyAlignment="1">
      <alignment horizontal="left"/>
    </xf>
    <xf numFmtId="0" fontId="2" fillId="15" borderId="0" xfId="47" applyFont="1" applyFill="1" applyAlignment="1">
      <alignment vertical="center"/>
    </xf>
    <xf numFmtId="0" fontId="3" fillId="15" borderId="12" xfId="47" applyFill="1" applyBorder="1" applyAlignment="1">
      <alignment vertical="center"/>
    </xf>
    <xf numFmtId="0" fontId="5" fillId="15" borderId="0" xfId="47" applyFont="1" applyFill="1" applyAlignment="1">
      <alignment vertical="center"/>
    </xf>
    <xf numFmtId="0" fontId="3" fillId="15" borderId="0" xfId="47" applyFill="1" applyAlignment="1">
      <alignment vertical="center"/>
    </xf>
    <xf numFmtId="0" fontId="3" fillId="0" borderId="0" xfId="44" applyFont="1"/>
    <xf numFmtId="0" fontId="3" fillId="15" borderId="0" xfId="47" applyFill="1" applyAlignment="1">
      <alignment horizontal="left" vertical="center" wrapText="1"/>
    </xf>
    <xf numFmtId="0" fontId="3" fillId="15" borderId="12" xfId="47" applyFill="1" applyBorder="1" applyAlignment="1">
      <alignment horizontal="left" vertical="center" wrapText="1"/>
    </xf>
    <xf numFmtId="0" fontId="3" fillId="15" borderId="0" xfId="47" applyFill="1" applyAlignment="1">
      <alignment horizontal="left" vertical="center"/>
    </xf>
    <xf numFmtId="0" fontId="3" fillId="0" borderId="13" xfId="47" applyBorder="1" applyAlignment="1" applyProtection="1">
      <alignment horizontal="right" vertical="center"/>
      <protection locked="0"/>
    </xf>
    <xf numFmtId="0" fontId="3" fillId="15" borderId="0" xfId="47" applyFill="1" applyAlignment="1">
      <alignment horizontal="center" vertical="center"/>
    </xf>
    <xf numFmtId="0" fontId="3" fillId="15" borderId="0" xfId="44" applyFont="1" applyFill="1"/>
    <xf numFmtId="0" fontId="3" fillId="15" borderId="0" xfId="47" applyFill="1" applyAlignment="1">
      <alignment horizontal="right" vertical="center"/>
    </xf>
    <xf numFmtId="0" fontId="32" fillId="15" borderId="12" xfId="47" applyFont="1" applyFill="1" applyBorder="1" applyAlignment="1">
      <alignment horizontal="center" vertical="center"/>
    </xf>
    <xf numFmtId="0" fontId="3" fillId="15" borderId="14" xfId="47" applyFill="1" applyBorder="1" applyAlignment="1">
      <alignment vertical="center"/>
    </xf>
    <xf numFmtId="0" fontId="3" fillId="15" borderId="15" xfId="47" applyFill="1" applyBorder="1" applyAlignment="1">
      <alignment vertical="center"/>
    </xf>
    <xf numFmtId="0" fontId="3" fillId="15" borderId="16" xfId="47" applyFill="1" applyBorder="1" applyAlignment="1">
      <alignment vertical="center"/>
    </xf>
    <xf numFmtId="0" fontId="3" fillId="15" borderId="20" xfId="47" applyFill="1" applyBorder="1" applyAlignment="1" applyProtection="1">
      <alignment horizontal="right" vertical="center"/>
      <protection hidden="1"/>
    </xf>
    <xf numFmtId="0" fontId="3" fillId="15" borderId="0" xfId="47" applyFill="1" applyAlignment="1" applyProtection="1">
      <alignment horizontal="right" vertical="center"/>
      <protection hidden="1"/>
    </xf>
    <xf numFmtId="0" fontId="2" fillId="15" borderId="0" xfId="47" applyFont="1" applyFill="1" applyAlignment="1" applyProtection="1">
      <alignment horizontal="left" vertical="center"/>
      <protection hidden="1"/>
    </xf>
    <xf numFmtId="0" fontId="3" fillId="15" borderId="22" xfId="47" applyFill="1" applyBorder="1" applyAlignment="1" applyProtection="1">
      <alignment horizontal="right" vertical="center"/>
      <protection hidden="1"/>
    </xf>
    <xf numFmtId="0" fontId="3" fillId="15" borderId="10" xfId="47" applyFill="1" applyBorder="1" applyAlignment="1" applyProtection="1">
      <alignment horizontal="right" vertical="center"/>
      <protection hidden="1"/>
    </xf>
    <xf numFmtId="0" fontId="62" fillId="0" borderId="0" xfId="0" applyFont="1"/>
    <xf numFmtId="0" fontId="35" fillId="0" borderId="0" xfId="0" applyFont="1" applyAlignment="1">
      <alignment horizontal="left"/>
    </xf>
    <xf numFmtId="0" fontId="5" fillId="22" borderId="24" xfId="0" applyFont="1" applyFill="1" applyBorder="1" applyAlignment="1">
      <alignment horizontal="center"/>
    </xf>
    <xf numFmtId="0" fontId="35" fillId="22" borderId="18" xfId="0" applyFont="1" applyFill="1" applyBorder="1"/>
    <xf numFmtId="0" fontId="35" fillId="22" borderId="17" xfId="0" applyFont="1" applyFill="1" applyBorder="1"/>
    <xf numFmtId="0" fontId="35" fillId="22" borderId="19" xfId="0" applyFont="1" applyFill="1" applyBorder="1"/>
    <xf numFmtId="0" fontId="8" fillId="22" borderId="20" xfId="0" applyFont="1" applyFill="1" applyBorder="1"/>
    <xf numFmtId="0" fontId="8" fillId="22" borderId="0" xfId="0" applyFont="1" applyFill="1"/>
    <xf numFmtId="0" fontId="8" fillId="22" borderId="21" xfId="0" applyFont="1" applyFill="1" applyBorder="1"/>
    <xf numFmtId="0" fontId="2" fillId="0" borderId="0" xfId="0" applyFont="1" applyAlignment="1">
      <alignment horizontal="left"/>
    </xf>
    <xf numFmtId="0" fontId="35" fillId="22" borderId="0" xfId="0" applyFont="1" applyFill="1"/>
    <xf numFmtId="0" fontId="8" fillId="22" borderId="17" xfId="0" applyFont="1" applyFill="1" applyBorder="1"/>
    <xf numFmtId="0" fontId="8" fillId="22" borderId="19" xfId="0" applyFont="1" applyFill="1" applyBorder="1"/>
    <xf numFmtId="0" fontId="8" fillId="22" borderId="22" xfId="0" applyFont="1" applyFill="1" applyBorder="1"/>
    <xf numFmtId="0" fontId="8" fillId="22" borderId="10" xfId="0" applyFont="1" applyFill="1" applyBorder="1"/>
    <xf numFmtId="0" fontId="8" fillId="22" borderId="23" xfId="0" applyFont="1" applyFill="1" applyBorder="1"/>
    <xf numFmtId="0" fontId="45" fillId="0" borderId="0" xfId="41" applyFont="1" applyAlignment="1">
      <alignment vertical="top"/>
    </xf>
    <xf numFmtId="0" fontId="8" fillId="22" borderId="0" xfId="0" applyFont="1" applyFill="1" applyAlignment="1">
      <alignment vertical="top"/>
    </xf>
    <xf numFmtId="0" fontId="3" fillId="15" borderId="0" xfId="41" applyFont="1" applyFill="1" applyProtection="1">
      <protection locked="0"/>
    </xf>
    <xf numFmtId="0" fontId="3" fillId="19" borderId="0" xfId="41" applyFont="1" applyFill="1" applyAlignment="1">
      <alignment horizontal="left" vertical="top" wrapText="1"/>
    </xf>
    <xf numFmtId="49" fontId="3" fillId="19" borderId="0" xfId="0" applyNumberFormat="1" applyFont="1" applyFill="1" applyAlignment="1">
      <alignment horizontal="left" vertical="top" wrapText="1"/>
    </xf>
    <xf numFmtId="0" fontId="3" fillId="0" borderId="0" xfId="41" applyFont="1" applyAlignment="1">
      <alignment horizontal="left" vertical="top" wrapText="1"/>
    </xf>
    <xf numFmtId="0" fontId="39" fillId="0" borderId="0" xfId="41" applyFont="1" applyAlignment="1">
      <alignment horizontal="left" vertical="top" wrapText="1"/>
    </xf>
    <xf numFmtId="49" fontId="3" fillId="0" borderId="0" xfId="41" applyNumberFormat="1" applyFont="1" applyAlignment="1">
      <alignment horizontal="left" vertical="top" wrapText="1"/>
    </xf>
    <xf numFmtId="0" fontId="46" fillId="0" borderId="0" xfId="41" applyFont="1" applyAlignment="1">
      <alignment horizontal="left" vertical="top" wrapText="1"/>
    </xf>
    <xf numFmtId="0" fontId="46" fillId="0" borderId="0" xfId="41" applyFont="1" applyAlignment="1">
      <alignment vertical="top"/>
    </xf>
    <xf numFmtId="0" fontId="8" fillId="22" borderId="17" xfId="0" applyFont="1" applyFill="1" applyBorder="1" applyAlignment="1">
      <alignment horizontal="left"/>
    </xf>
    <xf numFmtId="0" fontId="8" fillId="22" borderId="19" xfId="0" applyFont="1" applyFill="1" applyBorder="1" applyAlignment="1">
      <alignment horizontal="left"/>
    </xf>
    <xf numFmtId="0" fontId="8" fillId="22" borderId="0" xfId="0" applyFont="1" applyFill="1" applyAlignment="1">
      <alignment horizontal="left"/>
    </xf>
    <xf numFmtId="0" fontId="8" fillId="22" borderId="21" xfId="0" applyFont="1" applyFill="1" applyBorder="1" applyAlignment="1">
      <alignment horizontal="left"/>
    </xf>
    <xf numFmtId="0" fontId="8" fillId="22" borderId="10" xfId="0" applyFont="1" applyFill="1" applyBorder="1" applyAlignment="1">
      <alignment horizontal="left"/>
    </xf>
    <xf numFmtId="0" fontId="8" fillId="22" borderId="23" xfId="0" applyFont="1" applyFill="1" applyBorder="1" applyAlignment="1">
      <alignment horizontal="left"/>
    </xf>
    <xf numFmtId="0" fontId="8" fillId="22" borderId="17" xfId="0" applyFont="1" applyFill="1" applyBorder="1" applyAlignment="1">
      <alignment horizontal="left" vertical="top"/>
    </xf>
    <xf numFmtId="0" fontId="8" fillId="22" borderId="0" xfId="0" applyFont="1" applyFill="1" applyAlignment="1">
      <alignment horizontal="left" vertical="top"/>
    </xf>
    <xf numFmtId="166" fontId="8" fillId="22" borderId="17" xfId="0" applyNumberFormat="1" applyFont="1" applyFill="1" applyBorder="1" applyAlignment="1">
      <alignment horizontal="left" vertical="top"/>
    </xf>
    <xf numFmtId="0" fontId="8" fillId="22" borderId="19" xfId="0" applyFont="1" applyFill="1" applyBorder="1" applyAlignment="1">
      <alignment horizontal="left" vertical="top"/>
    </xf>
    <xf numFmtId="166" fontId="8" fillId="22" borderId="0" xfId="0" applyNumberFormat="1" applyFont="1" applyFill="1" applyAlignment="1">
      <alignment horizontal="left" vertical="top"/>
    </xf>
    <xf numFmtId="0" fontId="8" fillId="22" borderId="21" xfId="0" applyFont="1" applyFill="1" applyBorder="1" applyAlignment="1">
      <alignment horizontal="left" vertical="top"/>
    </xf>
    <xf numFmtId="0" fontId="8" fillId="22" borderId="10" xfId="0" applyFont="1" applyFill="1" applyBorder="1" applyAlignment="1">
      <alignment horizontal="left" vertical="top"/>
    </xf>
    <xf numFmtId="0" fontId="8" fillId="22" borderId="23" xfId="0" applyFont="1" applyFill="1" applyBorder="1" applyAlignment="1">
      <alignment horizontal="left" vertical="top"/>
    </xf>
    <xf numFmtId="0" fontId="48" fillId="0" borderId="0" xfId="0" applyFont="1" applyAlignment="1">
      <alignment horizontal="center" vertical="center"/>
    </xf>
    <xf numFmtId="3" fontId="3" fillId="18" borderId="0" xfId="0" applyNumberFormat="1" applyFont="1" applyFill="1" applyAlignment="1">
      <alignment horizontal="left"/>
    </xf>
    <xf numFmtId="3" fontId="3" fillId="18" borderId="0" xfId="0" applyNumberFormat="1" applyFont="1" applyFill="1"/>
    <xf numFmtId="0" fontId="8" fillId="22" borderId="18" xfId="0" applyFont="1" applyFill="1" applyBorder="1"/>
    <xf numFmtId="0" fontId="8" fillId="22" borderId="20" xfId="0" applyFont="1" applyFill="1" applyBorder="1" applyAlignment="1">
      <alignment horizontal="center" vertical="top"/>
    </xf>
    <xf numFmtId="0" fontId="8" fillId="22" borderId="0" xfId="45" applyFont="1" applyFill="1" applyAlignment="1">
      <alignment wrapText="1"/>
    </xf>
    <xf numFmtId="0" fontId="8" fillId="22" borderId="21" xfId="0" applyFont="1" applyFill="1" applyBorder="1" applyAlignment="1">
      <alignment vertical="top"/>
    </xf>
    <xf numFmtId="0" fontId="8" fillId="22" borderId="0" xfId="0" quotePrefix="1" applyFont="1" applyFill="1" applyAlignment="1">
      <alignment vertical="top"/>
    </xf>
    <xf numFmtId="0" fontId="8" fillId="22" borderId="22" xfId="0" applyFont="1" applyFill="1" applyBorder="1" applyAlignment="1">
      <alignment horizontal="center" vertical="top"/>
    </xf>
    <xf numFmtId="0" fontId="8" fillId="22" borderId="10" xfId="0" applyFont="1" applyFill="1" applyBorder="1" applyAlignment="1">
      <alignment vertical="top"/>
    </xf>
    <xf numFmtId="0" fontId="8" fillId="22" borderId="10" xfId="45" applyFont="1" applyFill="1" applyBorder="1" applyAlignment="1">
      <alignment wrapText="1"/>
    </xf>
    <xf numFmtId="0" fontId="8" fillId="22" borderId="10" xfId="0" quotePrefix="1" applyFont="1" applyFill="1" applyBorder="1" applyAlignment="1">
      <alignment vertical="top"/>
    </xf>
    <xf numFmtId="0" fontId="8" fillId="22" borderId="23" xfId="0" applyFont="1" applyFill="1" applyBorder="1" applyAlignment="1">
      <alignment vertical="top"/>
    </xf>
    <xf numFmtId="0" fontId="3" fillId="22" borderId="0" xfId="0" applyFont="1" applyFill="1"/>
    <xf numFmtId="0" fontId="8" fillId="23" borderId="13" xfId="0" applyFont="1" applyFill="1" applyBorder="1" applyAlignment="1">
      <alignment vertical="top"/>
    </xf>
    <xf numFmtId="3" fontId="3" fillId="19" borderId="0" xfId="0" applyNumberFormat="1" applyFont="1" applyFill="1"/>
    <xf numFmtId="0" fontId="3" fillId="19" borderId="0" xfId="0" applyFont="1" applyFill="1"/>
    <xf numFmtId="3" fontId="8" fillId="22" borderId="21" xfId="0" applyNumberFormat="1" applyFont="1" applyFill="1" applyBorder="1"/>
    <xf numFmtId="4" fontId="8" fillId="22" borderId="10" xfId="0" applyNumberFormat="1" applyFont="1" applyFill="1" applyBorder="1"/>
    <xf numFmtId="3" fontId="8" fillId="22" borderId="23" xfId="0" applyNumberFormat="1" applyFont="1" applyFill="1" applyBorder="1"/>
    <xf numFmtId="0" fontId="35" fillId="22" borderId="20" xfId="42" applyFont="1" applyFill="1" applyBorder="1" applyAlignment="1">
      <alignment horizontal="right"/>
    </xf>
    <xf numFmtId="0" fontId="8" fillId="22" borderId="0" xfId="42" applyFont="1" applyFill="1"/>
    <xf numFmtId="0" fontId="35" fillId="22" borderId="0" xfId="42" applyFont="1" applyFill="1" applyAlignment="1">
      <alignment horizontal="left"/>
    </xf>
    <xf numFmtId="0" fontId="35" fillId="22" borderId="22" xfId="42" applyFont="1" applyFill="1" applyBorder="1" applyAlignment="1">
      <alignment horizontal="right"/>
    </xf>
    <xf numFmtId="0" fontId="8" fillId="22" borderId="10" xfId="42" applyFont="1" applyFill="1" applyBorder="1"/>
    <xf numFmtId="0" fontId="35" fillId="22" borderId="10" xfId="42" applyFont="1" applyFill="1" applyBorder="1" applyAlignment="1">
      <alignment horizontal="left"/>
    </xf>
    <xf numFmtId="0" fontId="8" fillId="22" borderId="28" xfId="0" applyFont="1" applyFill="1" applyBorder="1"/>
    <xf numFmtId="168" fontId="8" fillId="22" borderId="29" xfId="0" applyNumberFormat="1" applyFont="1" applyFill="1" applyBorder="1" applyAlignment="1">
      <alignment horizontal="right"/>
    </xf>
    <xf numFmtId="3" fontId="8" fillId="22" borderId="29" xfId="0" applyNumberFormat="1" applyFont="1" applyFill="1" applyBorder="1" applyAlignment="1">
      <alignment horizontal="right"/>
    </xf>
    <xf numFmtId="3" fontId="35" fillId="22" borderId="30" xfId="0" applyNumberFormat="1" applyFont="1" applyFill="1" applyBorder="1"/>
    <xf numFmtId="0" fontId="5" fillId="22" borderId="31" xfId="0" applyFont="1" applyFill="1" applyBorder="1" applyAlignment="1">
      <alignment horizontal="center"/>
    </xf>
    <xf numFmtId="3" fontId="2" fillId="22" borderId="18" xfId="0" applyNumberFormat="1" applyFont="1" applyFill="1" applyBorder="1"/>
    <xf numFmtId="3" fontId="3" fillId="22" borderId="19" xfId="0" applyNumberFormat="1" applyFont="1" applyFill="1" applyBorder="1"/>
    <xf numFmtId="0" fontId="2" fillId="22" borderId="20" xfId="0" applyFont="1" applyFill="1" applyBorder="1"/>
    <xf numFmtId="3" fontId="2" fillId="22" borderId="21" xfId="0" applyNumberFormat="1" applyFont="1" applyFill="1" applyBorder="1"/>
    <xf numFmtId="0" fontId="2" fillId="22" borderId="22" xfId="0" applyFont="1" applyFill="1" applyBorder="1"/>
    <xf numFmtId="3" fontId="2" fillId="22" borderId="23" xfId="0" applyNumberFormat="1" applyFont="1" applyFill="1" applyBorder="1"/>
    <xf numFmtId="0" fontId="5" fillId="22" borderId="32" xfId="0" applyFont="1" applyFill="1" applyBorder="1"/>
    <xf numFmtId="2" fontId="2" fillId="22" borderId="33" xfId="0" applyNumberFormat="1" applyFont="1" applyFill="1" applyBorder="1" applyAlignment="1">
      <alignment horizontal="left"/>
    </xf>
    <xf numFmtId="2" fontId="3" fillId="22" borderId="31" xfId="0" applyNumberFormat="1" applyFont="1" applyFill="1" applyBorder="1" applyAlignment="1">
      <alignment horizontal="left"/>
    </xf>
    <xf numFmtId="0" fontId="8" fillId="22" borderId="31" xfId="0" applyFont="1" applyFill="1" applyBorder="1"/>
    <xf numFmtId="3" fontId="8" fillId="18" borderId="0" xfId="0" applyNumberFormat="1" applyFont="1" applyFill="1"/>
    <xf numFmtId="14" fontId="8" fillId="23" borderId="13" xfId="0" applyNumberFormat="1" applyFont="1" applyFill="1" applyBorder="1" applyAlignment="1">
      <alignment vertical="top"/>
    </xf>
    <xf numFmtId="0" fontId="2" fillId="0" borderId="34" xfId="0" applyFont="1" applyBorder="1"/>
    <xf numFmtId="0" fontId="1" fillId="22" borderId="35" xfId="0" applyFont="1" applyFill="1" applyBorder="1"/>
    <xf numFmtId="0" fontId="1" fillId="23" borderId="35" xfId="0" applyFont="1" applyFill="1" applyBorder="1"/>
    <xf numFmtId="0" fontId="1" fillId="19" borderId="32" xfId="0" applyFont="1" applyFill="1" applyBorder="1"/>
    <xf numFmtId="1" fontId="35" fillId="22" borderId="28" xfId="0" applyNumberFormat="1" applyFont="1" applyFill="1" applyBorder="1" applyAlignment="1">
      <alignment wrapText="1"/>
    </xf>
    <xf numFmtId="1" fontId="35" fillId="22" borderId="29" xfId="0" applyNumberFormat="1" applyFont="1" applyFill="1" applyBorder="1" applyAlignment="1">
      <alignment vertical="center" wrapText="1"/>
    </xf>
    <xf numFmtId="1" fontId="35" fillId="22" borderId="30" xfId="0" applyNumberFormat="1" applyFont="1" applyFill="1" applyBorder="1" applyAlignment="1">
      <alignment vertical="center" wrapText="1"/>
    </xf>
    <xf numFmtId="0" fontId="35" fillId="0" borderId="13" xfId="0" applyFont="1" applyBorder="1"/>
    <xf numFmtId="0" fontId="8" fillId="23" borderId="13" xfId="0" applyFont="1" applyFill="1" applyBorder="1"/>
    <xf numFmtId="14" fontId="8" fillId="23" borderId="13" xfId="0" applyNumberFormat="1" applyFont="1" applyFill="1" applyBorder="1"/>
    <xf numFmtId="169" fontId="8" fillId="0" borderId="0" xfId="0" applyNumberFormat="1" applyFont="1"/>
    <xf numFmtId="0" fontId="49" fillId="0" borderId="0" xfId="0" applyFont="1"/>
    <xf numFmtId="0" fontId="1" fillId="15" borderId="0" xfId="41" applyFill="1" applyAlignment="1">
      <alignment horizontal="justify" vertical="center" wrapText="1"/>
    </xf>
    <xf numFmtId="170" fontId="1" fillId="15" borderId="0" xfId="41" applyNumberFormat="1" applyFill="1" applyAlignment="1">
      <alignment horizontal="justify" vertical="center"/>
    </xf>
    <xf numFmtId="0" fontId="3" fillId="15" borderId="0" xfId="41" applyFont="1" applyFill="1" applyAlignment="1" applyProtection="1">
      <alignment horizontal="left" vertical="center" wrapText="1"/>
      <protection hidden="1"/>
    </xf>
    <xf numFmtId="0" fontId="4" fillId="15" borderId="0" xfId="41" applyFont="1" applyFill="1" applyAlignment="1" applyProtection="1">
      <alignment horizontal="left"/>
      <protection hidden="1"/>
    </xf>
    <xf numFmtId="0" fontId="50" fillId="15" borderId="0" xfId="41" applyFont="1" applyFill="1" applyProtection="1">
      <protection hidden="1"/>
    </xf>
    <xf numFmtId="0" fontId="2" fillId="21" borderId="37" xfId="41" applyFont="1" applyFill="1" applyBorder="1" applyAlignment="1">
      <alignment horizontal="left" vertical="center"/>
    </xf>
    <xf numFmtId="0" fontId="2" fillId="21" borderId="25" xfId="47" applyFont="1" applyFill="1" applyBorder="1" applyAlignment="1" applyProtection="1">
      <alignment horizontal="left" vertical="center"/>
      <protection hidden="1"/>
    </xf>
    <xf numFmtId="0" fontId="3" fillId="21" borderId="39" xfId="0" applyFont="1" applyFill="1" applyBorder="1" applyAlignment="1">
      <alignment vertical="center"/>
    </xf>
    <xf numFmtId="0" fontId="3" fillId="21" borderId="40" xfId="0" applyFont="1" applyFill="1" applyBorder="1" applyAlignment="1">
      <alignment vertical="center"/>
    </xf>
    <xf numFmtId="0" fontId="2" fillId="21" borderId="41" xfId="0" applyFont="1" applyFill="1" applyBorder="1" applyAlignment="1">
      <alignment vertical="center"/>
    </xf>
    <xf numFmtId="0" fontId="67" fillId="15" borderId="0" xfId="0" applyFont="1" applyFill="1"/>
    <xf numFmtId="172" fontId="41" fillId="23" borderId="0" xfId="0" applyNumberFormat="1" applyFont="1" applyFill="1"/>
    <xf numFmtId="172" fontId="41" fillId="23" borderId="26" xfId="0" applyNumberFormat="1" applyFont="1" applyFill="1" applyBorder="1"/>
    <xf numFmtId="0" fontId="1" fillId="15" borderId="0" xfId="0" applyFont="1" applyFill="1" applyAlignment="1">
      <alignment horizontal="left"/>
    </xf>
    <xf numFmtId="0" fontId="68" fillId="15" borderId="0" xfId="41" applyFont="1" applyFill="1" applyAlignment="1" applyProtection="1">
      <alignment horizontal="left"/>
      <protection hidden="1"/>
    </xf>
    <xf numFmtId="0" fontId="68" fillId="15" borderId="0" xfId="41" applyFont="1" applyFill="1" applyAlignment="1">
      <alignment horizontal="left"/>
    </xf>
    <xf numFmtId="0" fontId="2" fillId="0" borderId="0" xfId="0"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1" fillId="0" borderId="0" xfId="41" applyFont="1" applyAlignment="1">
      <alignment horizontal="left" vertical="top" wrapText="1"/>
    </xf>
    <xf numFmtId="0" fontId="51" fillId="0" borderId="0" xfId="41" applyFont="1" applyAlignment="1">
      <alignment vertical="top"/>
    </xf>
    <xf numFmtId="0" fontId="4" fillId="21" borderId="0" xfId="41" applyFont="1" applyFill="1" applyAlignment="1" applyProtection="1">
      <alignment horizontal="center" vertical="center" wrapText="1"/>
      <protection hidden="1"/>
    </xf>
    <xf numFmtId="0" fontId="2" fillId="22" borderId="34" xfId="0" applyFont="1" applyFill="1" applyBorder="1"/>
    <xf numFmtId="0" fontId="8" fillId="0" borderId="24" xfId="0" applyFont="1" applyBorder="1"/>
    <xf numFmtId="0" fontId="8" fillId="0" borderId="42" xfId="0" applyFont="1" applyBorder="1"/>
    <xf numFmtId="0" fontId="8" fillId="0" borderId="43" xfId="0" applyFont="1" applyBorder="1"/>
    <xf numFmtId="0" fontId="35" fillId="22" borderId="33" xfId="0" applyFont="1" applyFill="1" applyBorder="1"/>
    <xf numFmtId="0" fontId="1" fillId="15" borderId="0" xfId="47" applyFont="1" applyFill="1" applyAlignment="1" applyProtection="1">
      <alignment horizontal="right" vertical="center"/>
      <protection hidden="1"/>
    </xf>
    <xf numFmtId="0" fontId="3" fillId="15" borderId="21" xfId="47" applyFill="1" applyBorder="1" applyAlignment="1" applyProtection="1">
      <alignment horizontal="right" vertical="center"/>
      <protection hidden="1"/>
    </xf>
    <xf numFmtId="0" fontId="1" fillId="15" borderId="10" xfId="47" applyFont="1" applyFill="1" applyBorder="1" applyAlignment="1" applyProtection="1">
      <alignment horizontal="right" vertical="center"/>
      <protection hidden="1"/>
    </xf>
    <xf numFmtId="0" fontId="3" fillId="15" borderId="23" xfId="47" applyFill="1" applyBorder="1" applyAlignment="1" applyProtection="1">
      <alignment horizontal="right" vertical="center"/>
      <protection hidden="1"/>
    </xf>
    <xf numFmtId="3" fontId="3" fillId="0" borderId="0" xfId="0" applyNumberFormat="1" applyFont="1" applyProtection="1">
      <protection locked="0"/>
    </xf>
    <xf numFmtId="0" fontId="5" fillId="0" borderId="0" xfId="0" applyFont="1"/>
    <xf numFmtId="173" fontId="8" fillId="0" borderId="0" xfId="0" applyNumberFormat="1" applyFont="1"/>
    <xf numFmtId="0" fontId="69" fillId="0" borderId="0" xfId="0" applyFont="1"/>
    <xf numFmtId="0" fontId="42" fillId="0" borderId="0" xfId="0" applyFont="1"/>
    <xf numFmtId="0" fontId="2" fillId="0" borderId="0" xfId="0" applyFont="1"/>
    <xf numFmtId="0" fontId="2" fillId="0" borderId="0" xfId="0" applyFont="1" applyAlignment="1">
      <alignment vertical="center"/>
    </xf>
    <xf numFmtId="0" fontId="41" fillId="0" borderId="0" xfId="0" applyFont="1"/>
    <xf numFmtId="165" fontId="41" fillId="0" borderId="0" xfId="0" applyNumberFormat="1" applyFont="1"/>
    <xf numFmtId="0" fontId="37" fillId="0" borderId="0" xfId="35" applyFont="1" applyAlignment="1" applyProtection="1"/>
    <xf numFmtId="0" fontId="3" fillId="0" borderId="0" xfId="44" applyFont="1" applyProtection="1">
      <protection locked="0"/>
    </xf>
    <xf numFmtId="0" fontId="3" fillId="0" borderId="0" xfId="0" applyFont="1" applyAlignment="1">
      <alignment horizontal="right"/>
    </xf>
    <xf numFmtId="0" fontId="1" fillId="0" borderId="0" xfId="0" applyFont="1" applyAlignment="1">
      <alignment horizontal="center"/>
    </xf>
    <xf numFmtId="4" fontId="2" fillId="0" borderId="13" xfId="0" applyNumberFormat="1" applyFont="1" applyBorder="1" applyAlignment="1">
      <alignment horizontal="center" wrapText="1"/>
    </xf>
    <xf numFmtId="167" fontId="2" fillId="0" borderId="13" xfId="0" applyNumberFormat="1" applyFont="1" applyBorder="1" applyAlignment="1">
      <alignment horizontal="center" wrapText="1"/>
    </xf>
    <xf numFmtId="167" fontId="2" fillId="0" borderId="13" xfId="0" applyNumberFormat="1" applyFont="1" applyBorder="1" applyAlignment="1">
      <alignment horizontal="center" vertical="center" wrapText="1"/>
    </xf>
    <xf numFmtId="0" fontId="2" fillId="0" borderId="13" xfId="0" applyFont="1" applyBorder="1"/>
    <xf numFmtId="0" fontId="3" fillId="0" borderId="13" xfId="0" applyFont="1" applyBorder="1"/>
    <xf numFmtId="0" fontId="2" fillId="0" borderId="29" xfId="0" applyFont="1" applyBorder="1"/>
    <xf numFmtId="0" fontId="3" fillId="26" borderId="13" xfId="0" applyFont="1" applyFill="1" applyBorder="1"/>
    <xf numFmtId="0" fontId="4" fillId="15" borderId="0" xfId="41" applyFont="1" applyFill="1" applyAlignment="1">
      <alignment horizontal="left"/>
    </xf>
    <xf numFmtId="165" fontId="3" fillId="0" borderId="0" xfId="0" applyNumberFormat="1" applyFont="1"/>
    <xf numFmtId="167" fontId="3" fillId="0" borderId="0" xfId="0" applyNumberFormat="1" applyFont="1"/>
    <xf numFmtId="0" fontId="4" fillId="0" borderId="0" xfId="0" applyFont="1"/>
    <xf numFmtId="0" fontId="69" fillId="0" borderId="0" xfId="0" applyFont="1" applyAlignment="1">
      <alignment horizontal="center"/>
    </xf>
    <xf numFmtId="0" fontId="1" fillId="0" borderId="0" xfId="41" applyProtection="1">
      <protection locked="0"/>
    </xf>
    <xf numFmtId="0" fontId="1" fillId="0" borderId="0" xfId="44" applyProtection="1">
      <protection locked="0"/>
    </xf>
    <xf numFmtId="0" fontId="5" fillId="15" borderId="0" xfId="0" applyFont="1" applyFill="1" applyAlignment="1">
      <alignment vertical="center"/>
    </xf>
    <xf numFmtId="0" fontId="5" fillId="21" borderId="39" xfId="0" applyFont="1" applyFill="1" applyBorder="1" applyAlignment="1">
      <alignment horizontal="right" vertical="center"/>
    </xf>
    <xf numFmtId="0" fontId="52" fillId="15" borderId="0" xfId="0" applyFont="1" applyFill="1" applyAlignment="1">
      <alignment horizontal="left" vertical="center"/>
    </xf>
    <xf numFmtId="0" fontId="8" fillId="28" borderId="0" xfId="0" applyFont="1" applyFill="1"/>
    <xf numFmtId="0" fontId="71" fillId="0" borderId="13" xfId="0" applyFont="1" applyBorder="1" applyAlignment="1">
      <alignment horizontal="center"/>
    </xf>
    <xf numFmtId="0" fontId="5" fillId="0" borderId="0" xfId="0" applyFont="1" applyAlignment="1">
      <alignment horizontal="left" vertical="center"/>
    </xf>
    <xf numFmtId="0" fontId="5" fillId="28" borderId="0" xfId="0" applyFont="1" applyFill="1"/>
    <xf numFmtId="0" fontId="3" fillId="28" borderId="0" xfId="0" applyFont="1" applyFill="1" applyAlignment="1">
      <alignment wrapText="1"/>
    </xf>
    <xf numFmtId="0" fontId="3" fillId="30" borderId="0" xfId="0" applyFont="1" applyFill="1"/>
    <xf numFmtId="0" fontId="72" fillId="0" borderId="0" xfId="41" applyFont="1"/>
    <xf numFmtId="0" fontId="3" fillId="28" borderId="0" xfId="0" applyFont="1" applyFill="1" applyAlignment="1">
      <alignment horizontal="left" vertical="top" wrapText="1"/>
    </xf>
    <xf numFmtId="0" fontId="72" fillId="30" borderId="0" xfId="41" applyFont="1" applyFill="1"/>
    <xf numFmtId="0" fontId="2" fillId="0" borderId="27" xfId="0" applyFont="1" applyBorder="1" applyAlignment="1">
      <alignment horizontal="left"/>
    </xf>
    <xf numFmtId="167" fontId="2" fillId="29" borderId="27" xfId="0" applyNumberFormat="1" applyFont="1" applyFill="1" applyBorder="1" applyAlignment="1">
      <alignment horizontal="left"/>
    </xf>
    <xf numFmtId="165" fontId="2" fillId="20" borderId="27" xfId="0" applyNumberFormat="1" applyFont="1" applyFill="1" applyBorder="1" applyAlignment="1">
      <alignment horizontal="left" vertical="center" wrapText="1"/>
    </xf>
    <xf numFmtId="0" fontId="3" fillId="0" borderId="21" xfId="0" applyFont="1" applyBorder="1"/>
    <xf numFmtId="0" fontId="5" fillId="0" borderId="21" xfId="0" applyFont="1" applyBorder="1" applyAlignment="1" applyProtection="1">
      <alignment horizontal="center"/>
      <protection locked="0"/>
    </xf>
    <xf numFmtId="0" fontId="3" fillId="15" borderId="29" xfId="0" applyFont="1" applyFill="1" applyBorder="1" applyAlignment="1">
      <alignment horizontal="right"/>
    </xf>
    <xf numFmtId="0" fontId="3" fillId="24" borderId="13" xfId="0" applyFont="1" applyFill="1" applyBorder="1" applyProtection="1">
      <protection locked="0"/>
    </xf>
    <xf numFmtId="0" fontId="4" fillId="15" borderId="0" xfId="0" applyFont="1" applyFill="1"/>
    <xf numFmtId="0" fontId="4" fillId="15" borderId="0" xfId="0" applyFont="1" applyFill="1" applyAlignment="1">
      <alignment vertical="top"/>
    </xf>
    <xf numFmtId="0" fontId="33" fillId="0" borderId="0" xfId="0" applyFont="1" applyProtection="1">
      <protection locked="0"/>
    </xf>
    <xf numFmtId="0" fontId="34" fillId="0" borderId="0" xfId="0" quotePrefix="1" applyFont="1" applyAlignment="1" applyProtection="1">
      <alignment horizontal="center"/>
      <protection locked="0"/>
    </xf>
    <xf numFmtId="3" fontId="3" fillId="0" borderId="0" xfId="0" applyNumberFormat="1" applyFont="1" applyAlignment="1" applyProtection="1">
      <alignment horizontal="right" vertical="center"/>
      <protection locked="0"/>
    </xf>
    <xf numFmtId="3" fontId="3" fillId="0" borderId="0" xfId="0" quotePrefix="1" applyNumberFormat="1" applyFont="1" applyAlignment="1" applyProtection="1">
      <alignment horizontal="right" vertical="center" wrapText="1"/>
      <protection locked="0"/>
    </xf>
    <xf numFmtId="3" fontId="3" fillId="0" borderId="0" xfId="0" applyNumberFormat="1" applyFont="1" applyAlignment="1" applyProtection="1">
      <alignment horizontal="right" vertical="center" wrapText="1"/>
      <protection locked="0"/>
    </xf>
    <xf numFmtId="3" fontId="3" fillId="0" borderId="0" xfId="0" applyNumberFormat="1" applyFont="1" applyAlignment="1" applyProtection="1">
      <alignment vertical="center" wrapText="1"/>
      <protection locked="0"/>
    </xf>
    <xf numFmtId="4" fontId="3" fillId="0" borderId="0" xfId="0" applyNumberFormat="1" applyFont="1" applyAlignment="1" applyProtection="1">
      <alignment horizontal="right" vertical="center"/>
      <protection locked="0"/>
    </xf>
    <xf numFmtId="10" fontId="3" fillId="0" borderId="0" xfId="0" applyNumberFormat="1" applyFont="1" applyAlignment="1" applyProtection="1">
      <alignment horizontal="right" vertical="center"/>
      <protection locked="0"/>
    </xf>
    <xf numFmtId="0" fontId="5" fillId="0" borderId="0" xfId="0" applyFont="1" applyAlignment="1" applyProtection="1">
      <alignment wrapText="1"/>
      <protection locked="0"/>
    </xf>
    <xf numFmtId="4" fontId="2" fillId="0" borderId="0" xfId="0" applyNumberFormat="1" applyFont="1" applyAlignment="1" applyProtection="1">
      <alignment horizontal="center" wrapText="1"/>
      <protection locked="0"/>
    </xf>
    <xf numFmtId="165" fontId="3" fillId="0" borderId="0" xfId="0" applyNumberFormat="1" applyFont="1" applyAlignment="1" applyProtection="1">
      <alignment horizontal="right" vertical="center" wrapText="1"/>
      <protection locked="0"/>
    </xf>
    <xf numFmtId="0" fontId="41" fillId="0" borderId="0" xfId="0" applyFont="1" applyAlignment="1" applyProtection="1">
      <alignment horizontal="left" vertical="center" wrapText="1"/>
      <protection locked="0"/>
    </xf>
    <xf numFmtId="167" fontId="3" fillId="0" borderId="0" xfId="0" applyNumberFormat="1" applyFont="1" applyAlignment="1" applyProtection="1">
      <alignment horizontal="right" vertical="center" wrapText="1"/>
      <protection locked="0"/>
    </xf>
    <xf numFmtId="167" fontId="2" fillId="0" borderId="0" xfId="0" applyNumberFormat="1" applyFont="1" applyAlignment="1" applyProtection="1">
      <alignment horizontal="center" wrapText="1"/>
      <protection locked="0"/>
    </xf>
    <xf numFmtId="0" fontId="43" fillId="15" borderId="0" xfId="41" applyFont="1" applyFill="1"/>
    <xf numFmtId="0" fontId="5" fillId="24" borderId="17" xfId="41" applyFont="1" applyFill="1" applyBorder="1" applyAlignment="1" applyProtection="1">
      <alignment vertical="center"/>
      <protection locked="0"/>
    </xf>
    <xf numFmtId="0" fontId="4" fillId="24" borderId="18" xfId="41" applyFont="1" applyFill="1" applyBorder="1" applyProtection="1">
      <protection locked="0"/>
    </xf>
    <xf numFmtId="0" fontId="4" fillId="24" borderId="19" xfId="41" applyFont="1" applyFill="1" applyBorder="1" applyProtection="1">
      <protection locked="0"/>
    </xf>
    <xf numFmtId="0" fontId="4" fillId="24" borderId="20" xfId="41" applyFont="1" applyFill="1" applyBorder="1" applyProtection="1">
      <protection locked="0"/>
    </xf>
    <xf numFmtId="0" fontId="4" fillId="24" borderId="0" xfId="41" applyFont="1" applyFill="1" applyProtection="1">
      <protection locked="0"/>
    </xf>
    <xf numFmtId="0" fontId="4" fillId="24" borderId="21" xfId="41" applyFont="1" applyFill="1" applyBorder="1" applyProtection="1">
      <protection locked="0"/>
    </xf>
    <xf numFmtId="0" fontId="4" fillId="24" borderId="22" xfId="41" applyFont="1" applyFill="1" applyBorder="1" applyProtection="1">
      <protection locked="0"/>
    </xf>
    <xf numFmtId="0" fontId="4" fillId="24" borderId="10" xfId="41" applyFont="1" applyFill="1" applyBorder="1" applyProtection="1">
      <protection locked="0"/>
    </xf>
    <xf numFmtId="0" fontId="4" fillId="24" borderId="23" xfId="41" applyFont="1" applyFill="1" applyBorder="1" applyProtection="1">
      <protection locked="0"/>
    </xf>
    <xf numFmtId="0" fontId="3" fillId="15" borderId="10" xfId="41" applyFont="1" applyFill="1" applyBorder="1"/>
    <xf numFmtId="0" fontId="1" fillId="0" borderId="0" xfId="41" applyAlignment="1" applyProtection="1">
      <alignment vertical="center"/>
      <protection locked="0"/>
    </xf>
    <xf numFmtId="0" fontId="4" fillId="0" borderId="0" xfId="46" applyFont="1" applyProtection="1">
      <protection locked="0"/>
    </xf>
    <xf numFmtId="0" fontId="44" fillId="0" borderId="0" xfId="46" applyFont="1" applyProtection="1">
      <protection locked="0"/>
    </xf>
    <xf numFmtId="0" fontId="2" fillId="15" borderId="0" xfId="0" quotePrefix="1" applyFont="1" applyFill="1" applyAlignment="1">
      <alignment horizontal="center"/>
    </xf>
    <xf numFmtId="0" fontId="5" fillId="15" borderId="0" xfId="0" applyFont="1" applyFill="1" applyAlignment="1">
      <alignment horizontal="left"/>
    </xf>
    <xf numFmtId="0" fontId="5" fillId="21" borderId="36" xfId="41" applyFont="1" applyFill="1" applyBorder="1" applyAlignment="1">
      <alignment horizontal="right" vertical="center"/>
    </xf>
    <xf numFmtId="0" fontId="2" fillId="21" borderId="36" xfId="41" applyFont="1" applyFill="1" applyBorder="1" applyAlignment="1">
      <alignment vertical="center"/>
    </xf>
    <xf numFmtId="0" fontId="3" fillId="21" borderId="36" xfId="0" applyFont="1" applyFill="1" applyBorder="1" applyAlignment="1">
      <alignment vertical="center"/>
    </xf>
    <xf numFmtId="0" fontId="5" fillId="21" borderId="36" xfId="41" applyFont="1" applyFill="1" applyBorder="1" applyAlignment="1">
      <alignment horizontal="left" vertical="center"/>
    </xf>
    <xf numFmtId="0" fontId="5" fillId="21" borderId="26" xfId="47" applyFont="1" applyFill="1" applyBorder="1" applyAlignment="1" applyProtection="1">
      <alignment horizontal="right" vertical="center"/>
      <protection hidden="1"/>
    </xf>
    <xf numFmtId="0" fontId="2" fillId="21" borderId="26" xfId="47" applyFont="1" applyFill="1" applyBorder="1" applyAlignment="1" applyProtection="1">
      <alignment vertical="center"/>
      <protection hidden="1"/>
    </xf>
    <xf numFmtId="0" fontId="5" fillId="21" borderId="26" xfId="47" applyFont="1" applyFill="1" applyBorder="1" applyAlignment="1" applyProtection="1">
      <alignment vertical="center"/>
      <protection hidden="1"/>
    </xf>
    <xf numFmtId="3" fontId="71" fillId="0" borderId="13" xfId="0" applyNumberFormat="1" applyFont="1" applyBorder="1" applyAlignment="1">
      <alignment horizontal="center"/>
    </xf>
    <xf numFmtId="0" fontId="5" fillId="21" borderId="39" xfId="0" applyFont="1" applyFill="1" applyBorder="1" applyAlignment="1">
      <alignment vertical="center"/>
    </xf>
    <xf numFmtId="164" fontId="3" fillId="15" borderId="0" xfId="0" applyNumberFormat="1" applyFont="1" applyFill="1" applyAlignment="1">
      <alignment horizontal="left" wrapText="1"/>
    </xf>
    <xf numFmtId="0" fontId="4" fillId="15" borderId="0" xfId="41" applyFont="1" applyFill="1" applyAlignment="1">
      <alignment vertical="top"/>
    </xf>
    <xf numFmtId="0" fontId="4" fillId="15" borderId="21" xfId="41" applyFont="1" applyFill="1" applyBorder="1" applyAlignment="1">
      <alignment vertical="top"/>
    </xf>
    <xf numFmtId="0" fontId="4" fillId="15" borderId="0" xfId="41" applyFont="1" applyFill="1" applyAlignment="1">
      <alignment horizontal="right" vertical="top"/>
    </xf>
    <xf numFmtId="0" fontId="2" fillId="21" borderId="36" xfId="41" applyFont="1" applyFill="1" applyBorder="1" applyAlignment="1" applyProtection="1">
      <alignment horizontal="left" vertical="center"/>
      <protection hidden="1"/>
    </xf>
    <xf numFmtId="0" fontId="5" fillId="21" borderId="36" xfId="41" applyFont="1" applyFill="1" applyBorder="1" applyAlignment="1" applyProtection="1">
      <alignment horizontal="right" vertical="center"/>
      <protection hidden="1"/>
    </xf>
    <xf numFmtId="0" fontId="5" fillId="21" borderId="38" xfId="41" applyFont="1" applyFill="1" applyBorder="1" applyAlignment="1" applyProtection="1">
      <alignment horizontal="right" vertical="center"/>
      <protection hidden="1"/>
    </xf>
    <xf numFmtId="0" fontId="5" fillId="21" borderId="27" xfId="47" applyFont="1" applyFill="1" applyBorder="1" applyAlignment="1" applyProtection="1">
      <alignment horizontal="right" vertical="center"/>
      <protection hidden="1"/>
    </xf>
    <xf numFmtId="0" fontId="3" fillId="21" borderId="26" xfId="47" applyFill="1" applyBorder="1" applyAlignment="1" applyProtection="1">
      <alignment horizontal="right" vertical="center"/>
      <protection hidden="1"/>
    </xf>
    <xf numFmtId="0" fontId="2" fillId="24" borderId="13" xfId="0" applyFont="1" applyFill="1" applyBorder="1" applyAlignment="1">
      <alignment horizontal="center"/>
    </xf>
    <xf numFmtId="0" fontId="2" fillId="0" borderId="25" xfId="0" applyFont="1" applyBorder="1"/>
    <xf numFmtId="0" fontId="2" fillId="0" borderId="13" xfId="0" applyFont="1" applyBorder="1" applyAlignment="1">
      <alignment horizontal="center"/>
    </xf>
    <xf numFmtId="0" fontId="2" fillId="0" borderId="26" xfId="0" applyFont="1" applyBorder="1"/>
    <xf numFmtId="0" fontId="5" fillId="0" borderId="25" xfId="0" applyFont="1" applyBorder="1" applyAlignment="1">
      <alignment horizontal="center"/>
    </xf>
    <xf numFmtId="0" fontId="42" fillId="0" borderId="25" xfId="0" applyFont="1" applyBorder="1"/>
    <xf numFmtId="0" fontId="2" fillId="0" borderId="27" xfId="0" applyFont="1" applyBorder="1"/>
    <xf numFmtId="0" fontId="42" fillId="18" borderId="13" xfId="0" applyFont="1" applyFill="1" applyBorder="1" applyAlignment="1">
      <alignment horizontal="center"/>
    </xf>
    <xf numFmtId="0" fontId="35" fillId="25" borderId="25" xfId="0" applyFont="1" applyFill="1" applyBorder="1" applyAlignment="1">
      <alignment horizontal="center"/>
    </xf>
    <xf numFmtId="0" fontId="35" fillId="25" borderId="26" xfId="0" applyFont="1" applyFill="1" applyBorder="1" applyAlignment="1">
      <alignment horizontal="center"/>
    </xf>
    <xf numFmtId="0" fontId="35" fillId="25" borderId="27" xfId="0" applyFont="1" applyFill="1" applyBorder="1" applyAlignment="1">
      <alignment horizontal="center"/>
    </xf>
    <xf numFmtId="0" fontId="35" fillId="25" borderId="13" xfId="0" applyFont="1" applyFill="1" applyBorder="1" applyAlignment="1">
      <alignment horizontal="center"/>
    </xf>
    <xf numFmtId="0" fontId="64" fillId="25" borderId="28" xfId="0" applyFont="1" applyFill="1" applyBorder="1" applyAlignment="1">
      <alignment horizontal="center"/>
    </xf>
    <xf numFmtId="0" fontId="8" fillId="25" borderId="0" xfId="0" applyFont="1" applyFill="1"/>
    <xf numFmtId="173" fontId="2" fillId="0" borderId="13" xfId="0" applyNumberFormat="1" applyFont="1" applyBorder="1" applyAlignment="1">
      <alignment horizontal="center"/>
    </xf>
    <xf numFmtId="0" fontId="42" fillId="0" borderId="13" xfId="0" applyFont="1" applyBorder="1" applyAlignment="1">
      <alignment horizontal="center" vertical="center" wrapText="1"/>
    </xf>
    <xf numFmtId="0" fontId="2" fillId="0" borderId="13" xfId="0" applyFont="1" applyBorder="1" applyAlignment="1">
      <alignment horizontal="left"/>
    </xf>
    <xf numFmtId="0" fontId="5" fillId="18" borderId="13" xfId="0" applyFont="1" applyFill="1" applyBorder="1" applyAlignment="1">
      <alignment horizontal="center"/>
    </xf>
    <xf numFmtId="0" fontId="3" fillId="0" borderId="0" xfId="0" applyFont="1" applyAlignment="1">
      <alignment horizontal="left" wrapText="1"/>
    </xf>
    <xf numFmtId="165" fontId="3" fillId="24" borderId="30" xfId="0" applyNumberFormat="1" applyFont="1" applyFill="1" applyBorder="1"/>
    <xf numFmtId="167" fontId="3" fillId="20" borderId="13" xfId="0" applyNumberFormat="1" applyFont="1" applyFill="1" applyBorder="1" applyAlignment="1">
      <alignment horizontal="right"/>
    </xf>
    <xf numFmtId="167" fontId="3" fillId="20" borderId="30" xfId="0" applyNumberFormat="1" applyFont="1" applyFill="1" applyBorder="1" applyAlignment="1">
      <alignment horizontal="right"/>
    </xf>
    <xf numFmtId="167" fontId="3" fillId="29" borderId="13" xfId="0" quotePrefix="1" applyNumberFormat="1" applyFont="1" applyFill="1" applyBorder="1" applyAlignment="1" applyProtection="1">
      <alignment horizontal="right"/>
      <protection locked="0"/>
    </xf>
    <xf numFmtId="167" fontId="3" fillId="0" borderId="13" xfId="0" quotePrefix="1" applyNumberFormat="1" applyFont="1" applyBorder="1" applyAlignment="1" applyProtection="1">
      <alignment horizontal="right"/>
      <protection locked="0"/>
    </xf>
    <xf numFmtId="167" fontId="3" fillId="16" borderId="13" xfId="0" applyNumberFormat="1" applyFont="1" applyFill="1" applyBorder="1"/>
    <xf numFmtId="167" fontId="3" fillId="0" borderId="13" xfId="0" applyNumberFormat="1" applyFont="1" applyBorder="1" applyProtection="1">
      <protection locked="0"/>
    </xf>
    <xf numFmtId="165" fontId="3" fillId="20" borderId="13" xfId="0" applyNumberFormat="1" applyFont="1" applyFill="1" applyBorder="1" applyAlignment="1">
      <alignment horizontal="right"/>
    </xf>
    <xf numFmtId="165" fontId="3" fillId="16" borderId="13" xfId="0" applyNumberFormat="1" applyFont="1" applyFill="1" applyBorder="1"/>
    <xf numFmtId="3" fontId="3" fillId="15" borderId="0" xfId="0" applyNumberFormat="1" applyFont="1" applyFill="1" applyAlignment="1">
      <alignment horizontal="center"/>
    </xf>
    <xf numFmtId="1" fontId="3" fillId="15" borderId="0" xfId="0" applyNumberFormat="1" applyFont="1" applyFill="1" applyAlignment="1">
      <alignment horizontal="left"/>
    </xf>
    <xf numFmtId="0" fontId="3" fillId="15" borderId="0" xfId="0" applyFont="1" applyFill="1" applyAlignment="1">
      <alignment horizontal="center"/>
    </xf>
    <xf numFmtId="167" fontId="42" fillId="0" borderId="13" xfId="0" applyNumberFormat="1" applyFont="1" applyBorder="1" applyAlignment="1">
      <alignment horizontal="center" wrapText="1"/>
    </xf>
    <xf numFmtId="165" fontId="3" fillId="24" borderId="13" xfId="0" applyNumberFormat="1" applyFont="1" applyFill="1" applyBorder="1"/>
    <xf numFmtId="0" fontId="3" fillId="24" borderId="13" xfId="0" applyFont="1" applyFill="1" applyBorder="1"/>
    <xf numFmtId="0" fontId="3" fillId="0" borderId="30" xfId="0" applyFont="1" applyBorder="1" applyAlignment="1">
      <alignment horizontal="right"/>
    </xf>
    <xf numFmtId="0" fontId="63" fillId="0" borderId="30" xfId="0" applyFont="1" applyBorder="1" applyAlignment="1">
      <alignment horizontal="right"/>
    </xf>
    <xf numFmtId="0" fontId="3" fillId="0" borderId="13" xfId="0" applyFont="1" applyBorder="1" applyAlignment="1">
      <alignment horizontal="right"/>
    </xf>
    <xf numFmtId="0" fontId="63" fillId="0" borderId="13" xfId="0" applyFont="1" applyBorder="1" applyAlignment="1">
      <alignment horizontal="right"/>
    </xf>
    <xf numFmtId="173" fontId="1" fillId="0" borderId="0" xfId="0" applyNumberFormat="1" applyFont="1"/>
    <xf numFmtId="0" fontId="1" fillId="0" borderId="10" xfId="0" applyFont="1" applyBorder="1"/>
    <xf numFmtId="0" fontId="1" fillId="0" borderId="20" xfId="0" applyFont="1" applyBorder="1" applyProtection="1">
      <protection locked="0"/>
    </xf>
    <xf numFmtId="0" fontId="1" fillId="0" borderId="21" xfId="0" applyFont="1" applyBorder="1" applyProtection="1">
      <protection locked="0"/>
    </xf>
    <xf numFmtId="0" fontId="41" fillId="24" borderId="30" xfId="0" applyFont="1" applyFill="1" applyBorder="1" applyAlignment="1" applyProtection="1">
      <alignment horizontal="left"/>
      <protection locked="0"/>
    </xf>
    <xf numFmtId="173" fontId="41" fillId="24" borderId="13" xfId="0" applyNumberFormat="1" applyFont="1" applyFill="1" applyBorder="1"/>
    <xf numFmtId="0" fontId="41" fillId="24" borderId="27" xfId="0" applyFont="1" applyFill="1" applyBorder="1" applyAlignment="1" applyProtection="1">
      <alignment horizontal="left"/>
      <protection locked="0"/>
    </xf>
    <xf numFmtId="0" fontId="41" fillId="24" borderId="13" xfId="0" applyFont="1" applyFill="1" applyBorder="1" applyAlignment="1">
      <alignment horizontal="left"/>
    </xf>
    <xf numFmtId="167" fontId="1" fillId="0" borderId="0" xfId="0" applyNumberFormat="1" applyFont="1" applyProtection="1">
      <protection locked="0"/>
    </xf>
    <xf numFmtId="0" fontId="1" fillId="0" borderId="21" xfId="0" applyFont="1" applyBorder="1" applyAlignment="1">
      <alignment horizontal="center"/>
    </xf>
    <xf numFmtId="0" fontId="41" fillId="0" borderId="27" xfId="0" applyFont="1" applyBorder="1" applyAlignment="1" applyProtection="1">
      <alignment horizontal="left"/>
      <protection locked="0"/>
    </xf>
    <xf numFmtId="0" fontId="41" fillId="0" borderId="13" xfId="0" applyFont="1" applyBorder="1" applyAlignment="1">
      <alignment horizontal="left"/>
    </xf>
    <xf numFmtId="173" fontId="41" fillId="0" borderId="13" xfId="0" applyNumberFormat="1" applyFont="1" applyBorder="1"/>
    <xf numFmtId="0" fontId="41" fillId="0" borderId="19" xfId="0" applyFont="1" applyBorder="1" applyAlignment="1" applyProtection="1">
      <alignment horizontal="left"/>
      <protection locked="0"/>
    </xf>
    <xf numFmtId="0" fontId="41" fillId="0" borderId="13" xfId="0" applyFont="1" applyBorder="1" applyAlignment="1" applyProtection="1">
      <alignment horizontal="left"/>
      <protection locked="0"/>
    </xf>
    <xf numFmtId="0" fontId="41" fillId="0" borderId="27" xfId="0" applyFont="1" applyBorder="1" applyAlignment="1">
      <alignment horizontal="left"/>
    </xf>
    <xf numFmtId="167" fontId="1" fillId="0" borderId="20" xfId="0" applyNumberFormat="1" applyFont="1" applyBorder="1"/>
    <xf numFmtId="167" fontId="1" fillId="0" borderId="21" xfId="0" applyNumberFormat="1" applyFont="1" applyBorder="1"/>
    <xf numFmtId="0" fontId="41" fillId="0" borderId="13" xfId="0" applyFont="1" applyBorder="1"/>
    <xf numFmtId="173" fontId="1" fillId="0" borderId="0" xfId="0" applyNumberFormat="1" applyFont="1" applyProtection="1">
      <protection locked="0"/>
    </xf>
    <xf numFmtId="0" fontId="41" fillId="0" borderId="30" xfId="0" applyFont="1" applyBorder="1" applyAlignment="1">
      <alignment horizontal="left"/>
    </xf>
    <xf numFmtId="167" fontId="8" fillId="0" borderId="0" xfId="0" applyNumberFormat="1" applyFont="1"/>
    <xf numFmtId="0" fontId="8" fillId="0" borderId="18" xfId="0" applyFont="1" applyBorder="1"/>
    <xf numFmtId="0" fontId="8" fillId="0" borderId="17" xfId="0" applyFont="1" applyBorder="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10" xfId="0" applyFont="1" applyBorder="1"/>
    <xf numFmtId="167" fontId="8" fillId="0" borderId="10" xfId="0" applyNumberFormat="1" applyFont="1" applyBorder="1"/>
    <xf numFmtId="0" fontId="8" fillId="0" borderId="23" xfId="0" applyFont="1" applyBorder="1"/>
    <xf numFmtId="167" fontId="76" fillId="0" borderId="28" xfId="0" applyNumberFormat="1" applyFont="1" applyBorder="1"/>
    <xf numFmtId="167" fontId="76" fillId="0" borderId="29" xfId="0" applyNumberFormat="1" applyFont="1" applyBorder="1"/>
    <xf numFmtId="167" fontId="76" fillId="0" borderId="30" xfId="0" applyNumberFormat="1" applyFont="1" applyBorder="1"/>
    <xf numFmtId="167" fontId="8" fillId="0" borderId="18" xfId="0" applyNumberFormat="1" applyFont="1" applyBorder="1"/>
    <xf numFmtId="167" fontId="8" fillId="0" borderId="20" xfId="0" applyNumberFormat="1" applyFont="1" applyBorder="1"/>
    <xf numFmtId="167" fontId="8" fillId="0" borderId="22" xfId="0" applyNumberFormat="1" applyFont="1" applyBorder="1"/>
    <xf numFmtId="0" fontId="3" fillId="0" borderId="13" xfId="0" applyFont="1" applyBorder="1" applyAlignment="1">
      <alignment horizontal="center"/>
    </xf>
    <xf numFmtId="0" fontId="8" fillId="32" borderId="28" xfId="0" applyFont="1" applyFill="1" applyBorder="1" applyAlignment="1">
      <alignment horizontal="center"/>
    </xf>
    <xf numFmtId="0" fontId="8" fillId="32" borderId="29" xfId="0" applyFont="1" applyFill="1" applyBorder="1" applyAlignment="1">
      <alignment horizontal="center"/>
    </xf>
    <xf numFmtId="0" fontId="8" fillId="33" borderId="28" xfId="0" applyFont="1" applyFill="1" applyBorder="1" applyAlignment="1">
      <alignment horizontal="center"/>
    </xf>
    <xf numFmtId="0" fontId="8" fillId="33" borderId="29" xfId="0" applyFont="1" applyFill="1" applyBorder="1" applyAlignment="1">
      <alignment horizontal="center"/>
    </xf>
    <xf numFmtId="0" fontId="8" fillId="34" borderId="28" xfId="0" applyFont="1" applyFill="1" applyBorder="1" applyAlignment="1">
      <alignment horizontal="center"/>
    </xf>
    <xf numFmtId="0" fontId="8" fillId="34" borderId="29" xfId="0" applyFont="1" applyFill="1" applyBorder="1" applyAlignment="1">
      <alignment horizontal="center"/>
    </xf>
    <xf numFmtId="0" fontId="8" fillId="34" borderId="30" xfId="0" applyFont="1" applyFill="1" applyBorder="1" applyAlignment="1">
      <alignment horizontal="center"/>
    </xf>
    <xf numFmtId="0" fontId="8" fillId="35" borderId="29" xfId="0" applyFont="1" applyFill="1" applyBorder="1" applyAlignment="1">
      <alignment horizontal="center"/>
    </xf>
    <xf numFmtId="0" fontId="8" fillId="34" borderId="13" xfId="0" applyFont="1" applyFill="1" applyBorder="1" applyAlignment="1">
      <alignment horizontal="center"/>
    </xf>
    <xf numFmtId="0" fontId="8" fillId="32" borderId="13" xfId="0" applyFont="1" applyFill="1" applyBorder="1" applyAlignment="1">
      <alignment horizontal="center"/>
    </xf>
    <xf numFmtId="0" fontId="8" fillId="33" borderId="13" xfId="0" applyFont="1" applyFill="1" applyBorder="1" applyAlignment="1">
      <alignment horizontal="center"/>
    </xf>
    <xf numFmtId="0" fontId="1" fillId="0" borderId="0" xfId="0" applyFont="1" applyAlignment="1">
      <alignment horizontal="right"/>
    </xf>
    <xf numFmtId="165" fontId="3" fillId="20" borderId="28" xfId="0" applyNumberFormat="1" applyFont="1" applyFill="1" applyBorder="1" applyAlignment="1">
      <alignment horizontal="right"/>
    </xf>
    <xf numFmtId="0" fontId="3" fillId="15" borderId="10" xfId="0" applyFont="1" applyFill="1" applyBorder="1" applyAlignment="1">
      <alignment horizontal="left"/>
    </xf>
    <xf numFmtId="0" fontId="3" fillId="15" borderId="10" xfId="0" applyFont="1" applyFill="1" applyBorder="1" applyAlignment="1">
      <alignment horizontal="center" wrapText="1"/>
    </xf>
    <xf numFmtId="164" fontId="3" fillId="15" borderId="23" xfId="0" applyNumberFormat="1" applyFont="1" applyFill="1" applyBorder="1" applyAlignment="1">
      <alignment horizontal="left" wrapText="1"/>
    </xf>
    <xf numFmtId="0" fontId="3" fillId="36" borderId="30" xfId="0" applyFont="1" applyFill="1" applyBorder="1"/>
    <xf numFmtId="0" fontId="3" fillId="15" borderId="28" xfId="0" applyFont="1" applyFill="1" applyBorder="1" applyAlignment="1">
      <alignment horizontal="center" vertical="top" wrapText="1"/>
    </xf>
    <xf numFmtId="0" fontId="41" fillId="15" borderId="30" xfId="0" applyFont="1" applyFill="1" applyBorder="1" applyAlignment="1">
      <alignment horizontal="center" vertical="top" wrapText="1"/>
    </xf>
    <xf numFmtId="0" fontId="41" fillId="15" borderId="0" xfId="0" applyFont="1" applyFill="1" applyAlignment="1">
      <alignment horizontal="center" vertical="top" wrapText="1"/>
    </xf>
    <xf numFmtId="168" fontId="64" fillId="0" borderId="0" xfId="28" applyNumberFormat="1" applyFont="1" applyFill="1" applyBorder="1" applyAlignment="1"/>
    <xf numFmtId="0" fontId="1" fillId="0" borderId="0" xfId="0" applyFont="1" applyAlignment="1">
      <alignment vertical="center"/>
    </xf>
    <xf numFmtId="0" fontId="54" fillId="0" borderId="0" xfId="0" applyFont="1" applyAlignment="1">
      <alignment horizontal="right" vertical="center"/>
    </xf>
    <xf numFmtId="0" fontId="54" fillId="0" borderId="0" xfId="0" applyFont="1" applyAlignment="1">
      <alignment vertical="center"/>
    </xf>
    <xf numFmtId="169" fontId="1" fillId="0" borderId="0" xfId="40" applyNumberFormat="1" applyFont="1"/>
    <xf numFmtId="0" fontId="5" fillId="0" borderId="0" xfId="0" applyFont="1" applyAlignment="1">
      <alignment horizontal="right" vertical="center"/>
    </xf>
    <xf numFmtId="0" fontId="1" fillId="0" borderId="0" xfId="0" applyFont="1" applyAlignment="1">
      <alignment horizontal="center" vertical="center"/>
    </xf>
    <xf numFmtId="0" fontId="37" fillId="0" borderId="0" xfId="35" applyFont="1" applyFill="1" applyBorder="1" applyAlignment="1" applyProtection="1">
      <alignment vertical="top"/>
    </xf>
    <xf numFmtId="165" fontId="3" fillId="0" borderId="13" xfId="0" applyNumberFormat="1" applyFont="1" applyBorder="1" applyAlignment="1" applyProtection="1">
      <alignment horizontal="right"/>
      <protection locked="0"/>
    </xf>
    <xf numFmtId="0" fontId="35" fillId="23" borderId="18" xfId="42" applyFont="1" applyFill="1" applyBorder="1" applyAlignment="1">
      <alignment horizontal="right"/>
    </xf>
    <xf numFmtId="0" fontId="8" fillId="23" borderId="17" xfId="42" applyFont="1" applyFill="1" applyBorder="1"/>
    <xf numFmtId="0" fontId="35" fillId="23" borderId="17" xfId="42" applyFont="1" applyFill="1" applyBorder="1" applyAlignment="1">
      <alignment horizontal="left"/>
    </xf>
    <xf numFmtId="0" fontId="35" fillId="23" borderId="20" xfId="42" applyFont="1" applyFill="1" applyBorder="1" applyAlignment="1">
      <alignment horizontal="right"/>
    </xf>
    <xf numFmtId="0" fontId="8" fillId="23" borderId="0" xfId="42" applyFont="1" applyFill="1"/>
    <xf numFmtId="0" fontId="35" fillId="23" borderId="0" xfId="42" applyFont="1" applyFill="1" applyAlignment="1">
      <alignment horizontal="left"/>
    </xf>
    <xf numFmtId="0" fontId="35" fillId="23" borderId="22" xfId="42" applyFont="1" applyFill="1" applyBorder="1" applyAlignment="1">
      <alignment horizontal="right"/>
    </xf>
    <xf numFmtId="0" fontId="8" fillId="23" borderId="10" xfId="42" applyFont="1" applyFill="1" applyBorder="1"/>
    <xf numFmtId="0" fontId="35" fillId="23" borderId="10" xfId="42" applyFont="1" applyFill="1" applyBorder="1" applyAlignment="1">
      <alignment horizontal="left"/>
    </xf>
    <xf numFmtId="0" fontId="2" fillId="23" borderId="25" xfId="0" applyFont="1" applyFill="1" applyBorder="1" applyAlignment="1">
      <alignment horizontal="left" vertical="top" wrapText="1"/>
    </xf>
    <xf numFmtId="169" fontId="2" fillId="23" borderId="26" xfId="0" applyNumberFormat="1" applyFont="1" applyFill="1" applyBorder="1" applyAlignment="1">
      <alignment horizontal="center" vertical="top" wrapText="1"/>
    </xf>
    <xf numFmtId="169" fontId="2" fillId="23" borderId="27" xfId="0" applyNumberFormat="1" applyFont="1" applyFill="1" applyBorder="1" applyAlignment="1">
      <alignment horizontal="center" vertical="top" wrapText="1"/>
    </xf>
    <xf numFmtId="0" fontId="2" fillId="23" borderId="18" xfId="0" applyFont="1" applyFill="1" applyBorder="1"/>
    <xf numFmtId="0" fontId="2" fillId="23" borderId="20" xfId="0" applyFont="1" applyFill="1" applyBorder="1"/>
    <xf numFmtId="0" fontId="2" fillId="23" borderId="25" xfId="0" applyFont="1" applyFill="1" applyBorder="1"/>
    <xf numFmtId="0" fontId="35" fillId="23" borderId="13" xfId="0" applyFont="1" applyFill="1" applyBorder="1" applyAlignment="1">
      <alignment vertical="top"/>
    </xf>
    <xf numFmtId="0" fontId="8" fillId="23" borderId="17" xfId="0" applyFont="1" applyFill="1" applyBorder="1" applyAlignment="1">
      <alignment vertical="top"/>
    </xf>
    <xf numFmtId="0" fontId="2" fillId="23" borderId="22" xfId="0" applyFont="1" applyFill="1" applyBorder="1"/>
    <xf numFmtId="0" fontId="3" fillId="23" borderId="10" xfId="0" applyFont="1" applyFill="1" applyBorder="1"/>
    <xf numFmtId="0" fontId="5" fillId="21" borderId="0" xfId="41" applyFont="1" applyFill="1" applyAlignment="1" applyProtection="1">
      <alignment horizontal="center" vertical="center" wrapText="1"/>
      <protection hidden="1"/>
    </xf>
    <xf numFmtId="0" fontId="4" fillId="21" borderId="0" xfId="41" applyFont="1" applyFill="1" applyAlignment="1" applyProtection="1">
      <alignment horizontal="left" vertical="center" wrapText="1"/>
      <protection hidden="1"/>
    </xf>
    <xf numFmtId="165" fontId="3" fillId="0" borderId="0" xfId="0" applyNumberFormat="1" applyFont="1" applyAlignment="1">
      <alignment horizontal="right"/>
    </xf>
    <xf numFmtId="0" fontId="3" fillId="0" borderId="0" xfId="0" applyFont="1" applyAlignment="1">
      <alignment horizontal="center"/>
    </xf>
    <xf numFmtId="0" fontId="1" fillId="0" borderId="44" xfId="41" applyBorder="1" applyProtection="1">
      <protection locked="0"/>
    </xf>
    <xf numFmtId="0" fontId="3" fillId="21" borderId="45" xfId="41" applyFont="1" applyFill="1" applyBorder="1"/>
    <xf numFmtId="0" fontId="3" fillId="21" borderId="46" xfId="41" applyFont="1" applyFill="1" applyBorder="1"/>
    <xf numFmtId="0" fontId="58" fillId="21" borderId="46" xfId="41" applyFont="1" applyFill="1" applyBorder="1" applyAlignment="1">
      <alignment vertical="center"/>
    </xf>
    <xf numFmtId="0" fontId="43" fillId="21" borderId="46" xfId="41" applyFont="1" applyFill="1" applyBorder="1" applyAlignment="1" applyProtection="1">
      <alignment horizontal="center" vertical="center" wrapText="1"/>
      <protection hidden="1"/>
    </xf>
    <xf numFmtId="0" fontId="7" fillId="21" borderId="11" xfId="41" applyFont="1" applyFill="1" applyBorder="1"/>
    <xf numFmtId="0" fontId="3" fillId="21" borderId="12" xfId="41" applyFont="1" applyFill="1" applyBorder="1"/>
    <xf numFmtId="0" fontId="74" fillId="0" borderId="0" xfId="41" applyFont="1" applyAlignment="1">
      <alignment horizontal="left" vertical="top" wrapText="1"/>
    </xf>
    <xf numFmtId="0" fontId="77" fillId="0" borderId="0" xfId="41" applyFont="1" applyAlignment="1">
      <alignment vertical="top" wrapText="1"/>
    </xf>
    <xf numFmtId="0" fontId="74" fillId="0" borderId="0" xfId="41" applyFont="1" applyAlignment="1">
      <alignment vertical="top"/>
    </xf>
    <xf numFmtId="0" fontId="4" fillId="0" borderId="0" xfId="41" applyFont="1" applyAlignment="1" applyProtection="1">
      <alignment horizontal="center" vertical="center" wrapText="1"/>
      <protection hidden="1"/>
    </xf>
    <xf numFmtId="0" fontId="4" fillId="0" borderId="18" xfId="41" applyFont="1" applyBorder="1" applyAlignment="1" applyProtection="1">
      <alignment horizontal="left" vertical="center" wrapText="1"/>
      <protection hidden="1"/>
    </xf>
    <xf numFmtId="0" fontId="4" fillId="0" borderId="17" xfId="41" applyFont="1" applyBorder="1" applyAlignment="1" applyProtection="1">
      <alignment horizontal="left" vertical="center" wrapText="1"/>
      <protection hidden="1"/>
    </xf>
    <xf numFmtId="0" fontId="4" fillId="0" borderId="19" xfId="41" applyFont="1" applyBorder="1" applyAlignment="1" applyProtection="1">
      <alignment horizontal="left" vertical="center" wrapText="1"/>
      <protection hidden="1"/>
    </xf>
    <xf numFmtId="0" fontId="4" fillId="0" borderId="20" xfId="41" applyFont="1" applyBorder="1" applyAlignment="1" applyProtection="1">
      <alignment horizontal="left" vertical="center" wrapText="1"/>
      <protection hidden="1"/>
    </xf>
    <xf numFmtId="0" fontId="4" fillId="0" borderId="22" xfId="41" applyFont="1" applyBorder="1" applyAlignment="1" applyProtection="1">
      <alignment horizontal="left" vertical="center" wrapText="1"/>
      <protection hidden="1"/>
    </xf>
    <xf numFmtId="0" fontId="4" fillId="0" borderId="10" xfId="41" applyFont="1" applyBorder="1" applyAlignment="1" applyProtection="1">
      <alignment horizontal="center" vertical="center" wrapText="1"/>
      <protection hidden="1"/>
    </xf>
    <xf numFmtId="0" fontId="4" fillId="0" borderId="10" xfId="41" applyFont="1" applyBorder="1" applyAlignment="1" applyProtection="1">
      <alignment horizontal="left" vertical="center" wrapText="1"/>
      <protection hidden="1"/>
    </xf>
    <xf numFmtId="0" fontId="4" fillId="0" borderId="23" xfId="41" applyFont="1" applyBorder="1" applyAlignment="1" applyProtection="1">
      <alignment horizontal="left" vertical="center" wrapText="1"/>
      <protection hidden="1"/>
    </xf>
    <xf numFmtId="0" fontId="4" fillId="0" borderId="20" xfId="41" applyFont="1" applyBorder="1" applyAlignment="1" applyProtection="1">
      <alignment vertical="center"/>
      <protection hidden="1"/>
    </xf>
    <xf numFmtId="0" fontId="4" fillId="0" borderId="0" xfId="41" applyFont="1" applyAlignment="1" applyProtection="1">
      <alignment vertical="center"/>
      <protection hidden="1"/>
    </xf>
    <xf numFmtId="0" fontId="4" fillId="0" borderId="21" xfId="41" applyFont="1" applyBorder="1" applyAlignment="1" applyProtection="1">
      <alignment vertical="center"/>
      <protection hidden="1"/>
    </xf>
    <xf numFmtId="0" fontId="10" fillId="0" borderId="0" xfId="41" applyFont="1" applyAlignment="1" applyProtection="1">
      <alignment vertical="center"/>
      <protection hidden="1"/>
    </xf>
    <xf numFmtId="0" fontId="10" fillId="15" borderId="22" xfId="0" applyFont="1" applyFill="1" applyBorder="1" applyAlignment="1">
      <alignment horizontal="left"/>
    </xf>
    <xf numFmtId="0" fontId="4" fillId="15" borderId="23" xfId="0" applyFont="1" applyFill="1" applyBorder="1"/>
    <xf numFmtId="0" fontId="10" fillId="15" borderId="0" xfId="0" applyFont="1" applyFill="1" applyAlignment="1">
      <alignment horizontal="left"/>
    </xf>
    <xf numFmtId="0" fontId="4" fillId="15" borderId="22" xfId="0" applyFont="1" applyFill="1" applyBorder="1" applyAlignment="1">
      <alignment horizontal="left"/>
    </xf>
    <xf numFmtId="0" fontId="78" fillId="15" borderId="0" xfId="0" applyFont="1" applyFill="1" applyAlignment="1">
      <alignment horizontal="left" vertical="center"/>
    </xf>
    <xf numFmtId="0" fontId="79" fillId="15" borderId="0" xfId="0" applyFont="1" applyFill="1" applyAlignment="1">
      <alignment horizontal="right" vertical="center"/>
    </xf>
    <xf numFmtId="0" fontId="37" fillId="31" borderId="10" xfId="35" applyFont="1" applyFill="1" applyBorder="1" applyAlignment="1" applyProtection="1">
      <alignment horizontal="center" vertical="center"/>
    </xf>
    <xf numFmtId="0" fontId="4" fillId="15" borderId="0" xfId="0" applyFont="1" applyFill="1" applyAlignment="1">
      <alignment horizontal="right" vertical="center"/>
    </xf>
    <xf numFmtId="0" fontId="71" fillId="0" borderId="0" xfId="0" applyFont="1"/>
    <xf numFmtId="0" fontId="0" fillId="0" borderId="10" xfId="0" applyBorder="1"/>
    <xf numFmtId="0" fontId="0" fillId="0" borderId="0" xfId="0" applyAlignment="1">
      <alignment horizontal="center"/>
    </xf>
    <xf numFmtId="0" fontId="0" fillId="25" borderId="13" xfId="0" applyFill="1" applyBorder="1"/>
    <xf numFmtId="0" fontId="1" fillId="34" borderId="28" xfId="0" applyFont="1" applyFill="1" applyBorder="1" applyAlignment="1">
      <alignment horizontal="center"/>
    </xf>
    <xf numFmtId="0" fontId="1" fillId="34" borderId="29" xfId="0" applyFont="1" applyFill="1" applyBorder="1" applyAlignment="1">
      <alignment horizontal="center"/>
    </xf>
    <xf numFmtId="14" fontId="0" fillId="0" borderId="0" xfId="0" applyNumberFormat="1"/>
    <xf numFmtId="0" fontId="0" fillId="0" borderId="13" xfId="0" applyBorder="1"/>
    <xf numFmtId="0" fontId="0" fillId="34" borderId="29" xfId="0" applyFill="1" applyBorder="1"/>
    <xf numFmtId="0" fontId="0" fillId="34" borderId="30" xfId="0" applyFill="1" applyBorder="1"/>
    <xf numFmtId="0" fontId="0" fillId="37" borderId="28" xfId="0" applyFill="1" applyBorder="1" applyAlignment="1">
      <alignment horizontal="center"/>
    </xf>
    <xf numFmtId="0" fontId="0" fillId="37" borderId="29" xfId="0" applyFill="1" applyBorder="1" applyAlignment="1">
      <alignment horizontal="center"/>
    </xf>
    <xf numFmtId="0" fontId="0" fillId="37" borderId="30" xfId="0" applyFill="1" applyBorder="1" applyAlignment="1">
      <alignment horizontal="center"/>
    </xf>
    <xf numFmtId="0" fontId="0" fillId="0" borderId="10" xfId="0" applyBorder="1" applyAlignment="1">
      <alignment horizontal="center"/>
    </xf>
    <xf numFmtId="0" fontId="1" fillId="34" borderId="13" xfId="0" applyFont="1" applyFill="1" applyBorder="1" applyAlignment="1">
      <alignment horizontal="center"/>
    </xf>
    <xf numFmtId="0" fontId="0" fillId="0" borderId="30" xfId="0" applyBorder="1"/>
    <xf numFmtId="0" fontId="0" fillId="0" borderId="17" xfId="0" applyBorder="1"/>
    <xf numFmtId="0" fontId="1" fillId="0" borderId="17" xfId="0" applyFont="1" applyBorder="1"/>
    <xf numFmtId="0" fontId="1" fillId="0" borderId="17" xfId="0" applyFont="1" applyBorder="1" applyAlignment="1">
      <alignment horizontal="center"/>
    </xf>
    <xf numFmtId="3" fontId="81" fillId="0" borderId="0" xfId="0" applyNumberFormat="1" applyFont="1" applyAlignment="1">
      <alignment horizontal="left"/>
    </xf>
    <xf numFmtId="0" fontId="1" fillId="26" borderId="0" xfId="41" applyFill="1" applyProtection="1">
      <protection locked="0"/>
    </xf>
    <xf numFmtId="0" fontId="81" fillId="0" borderId="0" xfId="0" applyFont="1"/>
    <xf numFmtId="0" fontId="5" fillId="0" borderId="0" xfId="0" applyFont="1" applyAlignment="1">
      <alignment horizontal="center"/>
    </xf>
    <xf numFmtId="0" fontId="8" fillId="0" borderId="53" xfId="0" applyFont="1" applyBorder="1"/>
    <xf numFmtId="0" fontId="66" fillId="0" borderId="18" xfId="0" applyFont="1" applyBorder="1"/>
    <xf numFmtId="3" fontId="8" fillId="0" borderId="19" xfId="0" applyNumberFormat="1" applyFont="1" applyBorder="1"/>
    <xf numFmtId="0" fontId="64" fillId="0" borderId="0" xfId="0" applyFont="1" applyAlignment="1">
      <alignment horizontal="left"/>
    </xf>
    <xf numFmtId="3" fontId="8" fillId="0" borderId="21" xfId="0" applyNumberFormat="1" applyFont="1" applyBorder="1"/>
    <xf numFmtId="0" fontId="66" fillId="0" borderId="0" xfId="0" applyFont="1" applyAlignment="1">
      <alignment horizontal="left"/>
    </xf>
    <xf numFmtId="0" fontId="8" fillId="22" borderId="54" xfId="0" applyFont="1" applyFill="1" applyBorder="1"/>
    <xf numFmtId="0" fontId="82" fillId="25" borderId="0" xfId="0" applyFont="1" applyFill="1"/>
    <xf numFmtId="0" fontId="3" fillId="26" borderId="0" xfId="0" applyFont="1" applyFill="1" applyAlignment="1">
      <alignment vertical="top" wrapText="1"/>
    </xf>
    <xf numFmtId="0" fontId="3" fillId="26" borderId="0" xfId="0" applyFont="1" applyFill="1" applyAlignment="1" applyProtection="1">
      <alignment horizontal="left" vertical="top" wrapText="1"/>
      <protection hidden="1"/>
    </xf>
    <xf numFmtId="171" fontId="2" fillId="25" borderId="33" xfId="0" applyNumberFormat="1" applyFont="1" applyFill="1" applyBorder="1" applyAlignment="1">
      <alignment horizontal="center"/>
    </xf>
    <xf numFmtId="0" fontId="5" fillId="15" borderId="0" xfId="47" applyFont="1" applyFill="1" applyAlignment="1" applyProtection="1">
      <alignment horizontal="left" vertical="center"/>
      <protection hidden="1"/>
    </xf>
    <xf numFmtId="165" fontId="1" fillId="0" borderId="0" xfId="0" applyNumberFormat="1" applyFont="1"/>
    <xf numFmtId="175" fontId="1" fillId="0" borderId="0" xfId="0" applyNumberFormat="1" applyFont="1"/>
    <xf numFmtId="0" fontId="3" fillId="0" borderId="0" xfId="0" applyFont="1" applyAlignment="1">
      <alignment horizontal="center" wrapText="1"/>
    </xf>
    <xf numFmtId="172" fontId="41" fillId="23" borderId="21" xfId="0" applyNumberFormat="1" applyFont="1" applyFill="1" applyBorder="1"/>
    <xf numFmtId="172" fontId="41" fillId="23" borderId="27" xfId="0" applyNumberFormat="1" applyFont="1" applyFill="1" applyBorder="1"/>
    <xf numFmtId="0" fontId="71" fillId="26" borderId="0" xfId="0" applyFont="1" applyFill="1"/>
    <xf numFmtId="0" fontId="84" fillId="19" borderId="52" xfId="0" applyFont="1" applyFill="1" applyBorder="1"/>
    <xf numFmtId="0" fontId="84" fillId="19" borderId="52" xfId="0" applyFont="1" applyFill="1" applyBorder="1" applyAlignment="1">
      <alignment horizontal="left"/>
    </xf>
    <xf numFmtId="0" fontId="84" fillId="19" borderId="48" xfId="0" applyFont="1" applyFill="1" applyBorder="1"/>
    <xf numFmtId="0" fontId="84" fillId="19" borderId="49" xfId="0" applyFont="1" applyFill="1" applyBorder="1"/>
    <xf numFmtId="0" fontId="84" fillId="19" borderId="50" xfId="0" applyFont="1" applyFill="1" applyBorder="1"/>
    <xf numFmtId="0" fontId="84" fillId="19" borderId="51" xfId="0" applyFont="1" applyFill="1" applyBorder="1"/>
    <xf numFmtId="167" fontId="84" fillId="19" borderId="50" xfId="0" applyNumberFormat="1" applyFont="1" applyFill="1" applyBorder="1"/>
    <xf numFmtId="167" fontId="84" fillId="19" borderId="52" xfId="0" applyNumberFormat="1" applyFont="1" applyFill="1" applyBorder="1"/>
    <xf numFmtId="3" fontId="8" fillId="25" borderId="17" xfId="43" applyNumberFormat="1" applyFont="1" applyFill="1" applyBorder="1"/>
    <xf numFmtId="3" fontId="8" fillId="25" borderId="0" xfId="43" applyNumberFormat="1" applyFont="1" applyFill="1"/>
    <xf numFmtId="3" fontId="8" fillId="25" borderId="10" xfId="43" applyNumberFormat="1" applyFont="1" applyFill="1" applyBorder="1"/>
    <xf numFmtId="169" fontId="2" fillId="25" borderId="13" xfId="0" applyNumberFormat="1" applyFont="1" applyFill="1" applyBorder="1" applyAlignment="1">
      <alignment horizontal="center" wrapText="1"/>
    </xf>
    <xf numFmtId="172" fontId="41" fillId="25" borderId="13" xfId="0" applyNumberFormat="1" applyFont="1" applyFill="1" applyBorder="1"/>
    <xf numFmtId="167" fontId="76" fillId="0" borderId="17" xfId="0" applyNumberFormat="1" applyFont="1" applyBorder="1"/>
    <xf numFmtId="167" fontId="76" fillId="0" borderId="0" xfId="0" applyNumberFormat="1" applyFont="1"/>
    <xf numFmtId="167" fontId="76" fillId="0" borderId="10" xfId="0" applyNumberFormat="1" applyFont="1" applyBorder="1"/>
    <xf numFmtId="0" fontId="85" fillId="0" borderId="0" xfId="53" applyFont="1" applyAlignment="1">
      <alignment horizontal="right" wrapText="1"/>
    </xf>
    <xf numFmtId="0" fontId="85" fillId="0" borderId="0" xfId="53" applyFont="1" applyAlignment="1">
      <alignment wrapText="1"/>
    </xf>
    <xf numFmtId="167" fontId="85" fillId="0" borderId="0" xfId="53" applyNumberFormat="1" applyFont="1" applyAlignment="1">
      <alignment horizontal="right" wrapText="1"/>
    </xf>
    <xf numFmtId="0" fontId="85" fillId="0" borderId="18" xfId="53" applyFont="1" applyBorder="1" applyAlignment="1">
      <alignment horizontal="center"/>
    </xf>
    <xf numFmtId="0" fontId="85" fillId="0" borderId="17" xfId="53" applyFont="1" applyBorder="1" applyAlignment="1">
      <alignment horizontal="center"/>
    </xf>
    <xf numFmtId="0" fontId="85" fillId="0" borderId="20" xfId="53" applyFont="1" applyBorder="1" applyAlignment="1">
      <alignment horizontal="right" wrapText="1"/>
    </xf>
    <xf numFmtId="165" fontId="85" fillId="0" borderId="21" xfId="53" applyNumberFormat="1" applyFont="1" applyBorder="1" applyAlignment="1">
      <alignment horizontal="right" wrapText="1"/>
    </xf>
    <xf numFmtId="0" fontId="85" fillId="0" borderId="22" xfId="53" applyFont="1" applyBorder="1" applyAlignment="1">
      <alignment horizontal="right" wrapText="1"/>
    </xf>
    <xf numFmtId="0" fontId="85" fillId="0" borderId="10" xfId="53" applyFont="1" applyBorder="1" applyAlignment="1">
      <alignment wrapText="1"/>
    </xf>
    <xf numFmtId="0" fontId="85" fillId="0" borderId="10" xfId="53" applyFont="1" applyBorder="1" applyAlignment="1">
      <alignment horizontal="right" wrapText="1"/>
    </xf>
    <xf numFmtId="167" fontId="85" fillId="0" borderId="10" xfId="53" applyNumberFormat="1" applyFont="1" applyBorder="1" applyAlignment="1">
      <alignment horizontal="right" wrapText="1"/>
    </xf>
    <xf numFmtId="165" fontId="85" fillId="0" borderId="23" xfId="53" applyNumberFormat="1" applyFont="1" applyBorder="1" applyAlignment="1">
      <alignment horizontal="right" wrapText="1"/>
    </xf>
    <xf numFmtId="0" fontId="8" fillId="0" borderId="26" xfId="0" applyFont="1" applyBorder="1"/>
    <xf numFmtId="0" fontId="8" fillId="0" borderId="27" xfId="0" applyFont="1" applyBorder="1"/>
    <xf numFmtId="0" fontId="82" fillId="0" borderId="25" xfId="0" applyFont="1" applyBorder="1"/>
    <xf numFmtId="43" fontId="8" fillId="25" borderId="28" xfId="0" applyNumberFormat="1" applyFont="1" applyFill="1" applyBorder="1" applyAlignment="1">
      <alignment horizontal="right"/>
    </xf>
    <xf numFmtId="43" fontId="8" fillId="25" borderId="29" xfId="0" applyNumberFormat="1" applyFont="1" applyFill="1" applyBorder="1" applyAlignment="1">
      <alignment horizontal="right"/>
    </xf>
    <xf numFmtId="43" fontId="8" fillId="25" borderId="30" xfId="0" applyNumberFormat="1" applyFont="1" applyFill="1" applyBorder="1" applyAlignment="1">
      <alignment horizontal="right"/>
    </xf>
    <xf numFmtId="0" fontId="5" fillId="0" borderId="28" xfId="0" applyFont="1" applyBorder="1" applyAlignment="1">
      <alignment horizontal="center"/>
    </xf>
    <xf numFmtId="3" fontId="8" fillId="22" borderId="19" xfId="0" applyNumberFormat="1" applyFont="1" applyFill="1" applyBorder="1"/>
    <xf numFmtId="4" fontId="8" fillId="25" borderId="17" xfId="0" applyNumberFormat="1" applyFont="1" applyFill="1" applyBorder="1"/>
    <xf numFmtId="4" fontId="8" fillId="25" borderId="0" xfId="0" applyNumberFormat="1" applyFont="1" applyFill="1"/>
    <xf numFmtId="4" fontId="8" fillId="25" borderId="10" xfId="0" applyNumberFormat="1" applyFont="1" applyFill="1" applyBorder="1"/>
    <xf numFmtId="0" fontId="8" fillId="22" borderId="25" xfId="0" applyFont="1" applyFill="1" applyBorder="1"/>
    <xf numFmtId="3" fontId="8" fillId="22" borderId="27" xfId="0" applyNumberFormat="1" applyFont="1" applyFill="1" applyBorder="1"/>
    <xf numFmtId="4" fontId="8" fillId="25" borderId="26" xfId="0" applyNumberFormat="1" applyFont="1" applyFill="1" applyBorder="1"/>
    <xf numFmtId="0" fontId="35" fillId="25" borderId="18" xfId="0" applyFont="1" applyFill="1" applyBorder="1" applyAlignment="1">
      <alignment horizontal="center"/>
    </xf>
    <xf numFmtId="0" fontId="35" fillId="25" borderId="17" xfId="0" applyFont="1" applyFill="1" applyBorder="1" applyAlignment="1">
      <alignment horizontal="center"/>
    </xf>
    <xf numFmtId="0" fontId="35" fillId="25" borderId="19" xfId="0" applyFont="1" applyFill="1" applyBorder="1" applyAlignment="1">
      <alignment horizontal="center"/>
    </xf>
    <xf numFmtId="0" fontId="65" fillId="25" borderId="20" xfId="0" applyFont="1" applyFill="1" applyBorder="1" applyAlignment="1">
      <alignment horizontal="right"/>
    </xf>
    <xf numFmtId="0" fontId="65" fillId="25" borderId="0" xfId="0" applyFont="1" applyFill="1" applyAlignment="1">
      <alignment horizontal="right"/>
    </xf>
    <xf numFmtId="0" fontId="65" fillId="25" borderId="21" xfId="0" applyFont="1" applyFill="1" applyBorder="1" applyAlignment="1">
      <alignment horizontal="right"/>
    </xf>
    <xf numFmtId="3" fontId="8" fillId="25" borderId="20" xfId="43" applyNumberFormat="1" applyFont="1" applyFill="1" applyBorder="1"/>
    <xf numFmtId="3" fontId="8" fillId="25" borderId="21" xfId="43" applyNumberFormat="1" applyFont="1" applyFill="1" applyBorder="1"/>
    <xf numFmtId="3" fontId="8" fillId="25" borderId="22" xfId="43" applyNumberFormat="1" applyFont="1" applyFill="1" applyBorder="1"/>
    <xf numFmtId="3" fontId="8" fillId="25" borderId="23" xfId="43" applyNumberFormat="1" applyFont="1" applyFill="1" applyBorder="1"/>
    <xf numFmtId="169" fontId="2" fillId="25" borderId="25" xfId="0" applyNumberFormat="1" applyFont="1" applyFill="1" applyBorder="1" applyAlignment="1">
      <alignment horizontal="center" vertical="top" wrapText="1"/>
    </xf>
    <xf numFmtId="169" fontId="2" fillId="25" borderId="27" xfId="0" applyNumberFormat="1" applyFont="1" applyFill="1" applyBorder="1" applyAlignment="1">
      <alignment horizontal="center" vertical="top" wrapText="1"/>
    </xf>
    <xf numFmtId="172" fontId="41" fillId="25" borderId="20" xfId="0" applyNumberFormat="1" applyFont="1" applyFill="1" applyBorder="1"/>
    <xf numFmtId="172" fontId="41" fillId="25" borderId="21" xfId="0" applyNumberFormat="1" applyFont="1" applyFill="1" applyBorder="1"/>
    <xf numFmtId="172" fontId="41" fillId="25" borderId="25" xfId="0" applyNumberFormat="1" applyFont="1" applyFill="1" applyBorder="1"/>
    <xf numFmtId="172" fontId="41" fillId="25" borderId="27" xfId="0" applyNumberFormat="1" applyFont="1" applyFill="1" applyBorder="1"/>
    <xf numFmtId="0" fontId="84" fillId="19" borderId="55" xfId="0" applyFont="1" applyFill="1" applyBorder="1"/>
    <xf numFmtId="172" fontId="41" fillId="25" borderId="29" xfId="0" applyNumberFormat="1" applyFont="1" applyFill="1" applyBorder="1"/>
    <xf numFmtId="0" fontId="1" fillId="0" borderId="0" xfId="0" applyFont="1" applyAlignment="1">
      <alignment horizontal="center" wrapText="1"/>
    </xf>
    <xf numFmtId="0" fontId="1" fillId="0" borderId="10" xfId="0" applyFont="1" applyBorder="1" applyAlignment="1">
      <alignment horizontal="center" wrapText="1"/>
    </xf>
    <xf numFmtId="0" fontId="4" fillId="21" borderId="0" xfId="41" applyFont="1" applyFill="1" applyAlignment="1" applyProtection="1">
      <alignment horizontal="left" vertical="center" wrapText="1"/>
      <protection hidden="1"/>
    </xf>
    <xf numFmtId="0" fontId="4" fillId="21" borderId="0" xfId="41" applyFont="1" applyFill="1" applyAlignment="1">
      <alignment horizontal="left"/>
    </xf>
    <xf numFmtId="0" fontId="10" fillId="31" borderId="25" xfId="41" applyFont="1" applyFill="1" applyBorder="1" applyAlignment="1" applyProtection="1">
      <alignment horizontal="center" vertical="center" wrapText="1"/>
      <protection hidden="1"/>
    </xf>
    <xf numFmtId="0" fontId="10" fillId="31" borderId="26" xfId="0" applyFont="1" applyFill="1" applyBorder="1" applyAlignment="1">
      <alignment horizontal="center"/>
    </xf>
    <xf numFmtId="0" fontId="10" fillId="31" borderId="27" xfId="0" applyFont="1" applyFill="1" applyBorder="1" applyAlignment="1">
      <alignment horizontal="center"/>
    </xf>
    <xf numFmtId="0" fontId="4" fillId="15" borderId="0" xfId="41" applyFont="1" applyFill="1" applyAlignment="1" applyProtection="1">
      <alignment horizontal="left" vertical="top" wrapText="1"/>
      <protection hidden="1"/>
    </xf>
    <xf numFmtId="0" fontId="4" fillId="0" borderId="0" xfId="41" applyFont="1" applyAlignment="1">
      <alignment horizontal="left" vertical="top" wrapText="1"/>
    </xf>
    <xf numFmtId="0" fontId="4" fillId="15" borderId="0" xfId="41" applyFont="1" applyFill="1" applyAlignment="1" applyProtection="1">
      <alignment horizontal="left" vertical="center" wrapText="1"/>
      <protection hidden="1"/>
    </xf>
    <xf numFmtId="0" fontId="4" fillId="0" borderId="0" xfId="41" applyFont="1" applyAlignment="1">
      <alignment horizontal="left" vertical="center" wrapText="1"/>
    </xf>
    <xf numFmtId="0" fontId="4" fillId="0" borderId="0" xfId="41" applyFont="1" applyAlignment="1" applyProtection="1">
      <alignment horizontal="left" vertical="center" wrapText="1"/>
      <protection hidden="1"/>
    </xf>
    <xf numFmtId="0" fontId="4" fillId="0" borderId="21" xfId="41" applyFont="1" applyBorder="1" applyAlignment="1" applyProtection="1">
      <alignment horizontal="left" vertical="center" wrapText="1"/>
      <protection hidden="1"/>
    </xf>
    <xf numFmtId="0" fontId="10" fillId="0" borderId="25" xfId="41" applyFont="1" applyBorder="1" applyAlignment="1" applyProtection="1">
      <alignment horizontal="center" vertical="center" wrapText="1"/>
      <protection hidden="1"/>
    </xf>
    <xf numFmtId="0" fontId="10" fillId="0" borderId="26" xfId="41" applyFont="1" applyBorder="1" applyAlignment="1" applyProtection="1">
      <alignment horizontal="center" vertical="center" wrapText="1"/>
      <protection hidden="1"/>
    </xf>
    <xf numFmtId="0" fontId="10" fillId="0" borderId="27" xfId="41" applyFont="1" applyBorder="1" applyAlignment="1" applyProtection="1">
      <alignment horizontal="center" vertical="center" wrapText="1"/>
      <protection hidden="1"/>
    </xf>
    <xf numFmtId="0" fontId="5" fillId="21" borderId="0" xfId="41" applyFont="1" applyFill="1" applyAlignment="1" applyProtection="1">
      <alignment horizontal="center" vertical="center" wrapText="1"/>
      <protection hidden="1"/>
    </xf>
    <xf numFmtId="0" fontId="1" fillId="21" borderId="0" xfId="41" applyFill="1" applyAlignment="1">
      <alignment wrapText="1"/>
    </xf>
    <xf numFmtId="174" fontId="43" fillId="21" borderId="46" xfId="41" applyNumberFormat="1" applyFont="1" applyFill="1" applyBorder="1" applyAlignment="1" applyProtection="1">
      <alignment horizontal="center" vertical="center" wrapText="1"/>
      <protection hidden="1"/>
    </xf>
    <xf numFmtId="174" fontId="73" fillId="21" borderId="47" xfId="41" applyNumberFormat="1" applyFont="1" applyFill="1" applyBorder="1" applyAlignment="1">
      <alignment horizontal="center" vertical="center" wrapText="1"/>
    </xf>
    <xf numFmtId="0" fontId="43" fillId="21" borderId="46" xfId="41" applyFont="1" applyFill="1" applyBorder="1" applyAlignment="1" applyProtection="1">
      <alignment horizontal="left" vertical="center" wrapText="1"/>
      <protection hidden="1"/>
    </xf>
    <xf numFmtId="0" fontId="4" fillId="0" borderId="18" xfId="41" applyFont="1" applyBorder="1" applyAlignment="1" applyProtection="1">
      <alignment horizontal="left" vertical="top" wrapText="1"/>
      <protection locked="0"/>
    </xf>
    <xf numFmtId="0" fontId="4" fillId="0" borderId="17" xfId="41" applyFont="1" applyBorder="1" applyAlignment="1" applyProtection="1">
      <alignment horizontal="left" vertical="top" wrapText="1"/>
      <protection locked="0"/>
    </xf>
    <xf numFmtId="0" fontId="4" fillId="0" borderId="19" xfId="41" applyFont="1" applyBorder="1" applyAlignment="1" applyProtection="1">
      <alignment horizontal="left" vertical="top" wrapText="1"/>
      <protection locked="0"/>
    </xf>
    <xf numFmtId="0" fontId="4" fillId="0" borderId="22" xfId="41" applyFont="1" applyBorder="1" applyAlignment="1" applyProtection="1">
      <alignment horizontal="left" vertical="top" wrapText="1"/>
      <protection locked="0"/>
    </xf>
    <xf numFmtId="0" fontId="4" fillId="0" borderId="10" xfId="41" applyFont="1" applyBorder="1" applyAlignment="1" applyProtection="1">
      <alignment horizontal="left" vertical="top" wrapText="1"/>
      <protection locked="0"/>
    </xf>
    <xf numFmtId="0" fontId="4" fillId="0" borderId="23" xfId="41" applyFont="1" applyBorder="1" applyAlignment="1" applyProtection="1">
      <alignment horizontal="left" vertical="top" wrapText="1"/>
      <protection locked="0"/>
    </xf>
    <xf numFmtId="0" fontId="5" fillId="31" borderId="18" xfId="0" applyFont="1" applyFill="1" applyBorder="1" applyAlignment="1">
      <alignment horizontal="center" vertical="center"/>
    </xf>
    <xf numFmtId="0" fontId="5" fillId="31" borderId="17" xfId="0" applyFont="1" applyFill="1" applyBorder="1" applyAlignment="1">
      <alignment horizontal="center" vertical="center"/>
    </xf>
    <xf numFmtId="0" fontId="5" fillId="31" borderId="19" xfId="0" applyFont="1"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15" borderId="0" xfId="0" applyFont="1" applyFill="1" applyAlignment="1">
      <alignment vertical="center" wrapText="1"/>
    </xf>
    <xf numFmtId="0" fontId="1" fillId="0" borderId="0" xfId="0" applyFont="1"/>
    <xf numFmtId="0" fontId="3" fillId="15" borderId="0" xfId="0" applyFont="1" applyFill="1" applyAlignment="1">
      <alignment horizontal="left" wrapText="1"/>
    </xf>
    <xf numFmtId="0" fontId="3" fillId="15" borderId="21" xfId="0" applyFont="1" applyFill="1" applyBorder="1" applyAlignment="1">
      <alignment horizontal="left" wrapText="1"/>
    </xf>
    <xf numFmtId="0" fontId="3" fillId="15" borderId="18" xfId="0" applyFont="1" applyFill="1" applyBorder="1" applyAlignment="1">
      <alignment horizontal="left" vertical="top" wrapText="1"/>
    </xf>
    <xf numFmtId="0" fontId="3" fillId="15" borderId="17" xfId="0" applyFont="1" applyFill="1" applyBorder="1" applyAlignment="1">
      <alignment horizontal="left" vertical="top" wrapText="1"/>
    </xf>
    <xf numFmtId="0" fontId="3" fillId="15" borderId="19" xfId="0" applyFont="1" applyFill="1" applyBorder="1" applyAlignment="1">
      <alignment horizontal="left" vertical="top" wrapText="1"/>
    </xf>
    <xf numFmtId="0" fontId="3" fillId="15" borderId="20" xfId="0" applyFont="1" applyFill="1" applyBorder="1" applyAlignment="1">
      <alignment horizontal="left" vertical="top" wrapText="1"/>
    </xf>
    <xf numFmtId="0" fontId="3" fillId="15" borderId="0" xfId="0" applyFont="1" applyFill="1" applyAlignment="1">
      <alignment horizontal="left" vertical="top" wrapText="1"/>
    </xf>
    <xf numFmtId="0" fontId="3" fillId="15" borderId="21" xfId="0" applyFont="1" applyFill="1" applyBorder="1" applyAlignment="1">
      <alignment horizontal="left" vertical="top" wrapText="1"/>
    </xf>
    <xf numFmtId="0" fontId="3" fillId="15" borderId="22" xfId="0" applyFont="1" applyFill="1" applyBorder="1" applyAlignment="1">
      <alignment horizontal="left" vertical="top" wrapText="1"/>
    </xf>
    <xf numFmtId="0" fontId="3" fillId="15" borderId="10" xfId="0" applyFont="1" applyFill="1" applyBorder="1" applyAlignment="1">
      <alignment horizontal="left" vertical="top" wrapText="1"/>
    </xf>
    <xf numFmtId="0" fontId="3" fillId="15" borderId="23" xfId="0" applyFont="1" applyFill="1" applyBorder="1" applyAlignment="1">
      <alignment horizontal="left" vertical="top"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15" borderId="0" xfId="0" applyFont="1" applyFill="1" applyAlignment="1">
      <alignment horizontal="left" vertical="center" wrapText="1"/>
    </xf>
    <xf numFmtId="0" fontId="3" fillId="15" borderId="0" xfId="0" applyFont="1" applyFill="1" applyAlignment="1">
      <alignment wrapText="1"/>
    </xf>
    <xf numFmtId="0" fontId="1" fillId="0" borderId="21" xfId="0" applyFont="1" applyBorder="1"/>
    <xf numFmtId="0" fontId="41" fillId="24" borderId="18" xfId="0" applyFont="1" applyFill="1" applyBorder="1" applyAlignment="1">
      <alignment horizontal="left" wrapText="1"/>
    </xf>
    <xf numFmtId="0" fontId="41" fillId="24" borderId="19" xfId="0" applyFont="1" applyFill="1" applyBorder="1" applyAlignment="1">
      <alignment horizontal="left" wrapText="1"/>
    </xf>
    <xf numFmtId="0" fontId="41" fillId="24" borderId="20" xfId="0" applyFont="1" applyFill="1" applyBorder="1" applyAlignment="1">
      <alignment horizontal="left" wrapText="1"/>
    </xf>
    <xf numFmtId="0" fontId="41" fillId="24" borderId="21" xfId="0" applyFont="1" applyFill="1" applyBorder="1" applyAlignment="1">
      <alignment horizontal="left" wrapText="1"/>
    </xf>
    <xf numFmtId="0" fontId="41" fillId="24" borderId="22" xfId="0" applyFont="1" applyFill="1" applyBorder="1" applyAlignment="1">
      <alignment horizontal="left" wrapText="1"/>
    </xf>
    <xf numFmtId="0" fontId="41" fillId="24" borderId="23" xfId="0" applyFont="1" applyFill="1" applyBorder="1" applyAlignment="1">
      <alignment horizontal="left" wrapText="1"/>
    </xf>
    <xf numFmtId="0" fontId="2" fillId="23" borderId="13" xfId="0" applyFont="1" applyFill="1" applyBorder="1" applyAlignment="1">
      <alignment horizontal="left" vertical="center" textRotation="180"/>
    </xf>
    <xf numFmtId="0" fontId="1" fillId="0" borderId="13" xfId="0" applyFont="1" applyBorder="1"/>
    <xf numFmtId="0" fontId="2" fillId="22" borderId="13" xfId="0" applyFont="1" applyFill="1" applyBorder="1" applyAlignment="1">
      <alignment horizontal="center" vertical="center" textRotation="180"/>
    </xf>
    <xf numFmtId="0" fontId="35" fillId="36" borderId="25" xfId="0" applyFont="1" applyFill="1" applyBorder="1" applyAlignment="1">
      <alignment horizontal="center"/>
    </xf>
    <xf numFmtId="0" fontId="35" fillId="36" borderId="27" xfId="0" applyFont="1" applyFill="1" applyBorder="1" applyAlignment="1">
      <alignment horizontal="center"/>
    </xf>
    <xf numFmtId="0" fontId="42" fillId="36" borderId="13" xfId="0" applyFont="1" applyFill="1" applyBorder="1" applyAlignment="1">
      <alignment horizontal="center" vertical="center" textRotation="180"/>
    </xf>
    <xf numFmtId="0" fontId="1" fillId="36" borderId="13" xfId="0" applyFont="1" applyFill="1" applyBorder="1"/>
    <xf numFmtId="0" fontId="2" fillId="27" borderId="13" xfId="0" applyFont="1" applyFill="1" applyBorder="1" applyAlignment="1">
      <alignment horizontal="left" vertical="center" textRotation="180"/>
    </xf>
    <xf numFmtId="0" fontId="2" fillId="0" borderId="13" xfId="0" applyFont="1" applyBorder="1" applyAlignment="1">
      <alignment horizontal="left" vertical="center" textRotation="180"/>
    </xf>
    <xf numFmtId="0" fontId="3" fillId="15" borderId="0" xfId="47" applyFill="1" applyAlignment="1">
      <alignment horizontal="left" vertical="center" wrapText="1"/>
    </xf>
    <xf numFmtId="0" fontId="5" fillId="0" borderId="0" xfId="0" applyFont="1" applyAlignment="1">
      <alignment vertical="center"/>
    </xf>
    <xf numFmtId="0" fontId="0" fillId="0" borderId="0" xfId="0" applyAlignment="1">
      <alignment vertical="center"/>
    </xf>
    <xf numFmtId="0" fontId="47" fillId="0" borderId="0" xfId="35" applyFont="1" applyFill="1" applyBorder="1" applyAlignment="1" applyProtection="1">
      <alignment horizontal="left" vertical="top" wrapText="1"/>
    </xf>
    <xf numFmtId="0" fontId="75" fillId="25" borderId="17" xfId="35" applyFont="1" applyFill="1" applyBorder="1" applyAlignment="1" applyProtection="1">
      <alignment horizontal="left" vertical="top" wrapText="1"/>
    </xf>
    <xf numFmtId="0" fontId="75" fillId="25" borderId="19" xfId="35" applyFont="1" applyFill="1" applyBorder="1" applyAlignment="1" applyProtection="1">
      <alignment horizontal="left" vertical="top" wrapText="1"/>
    </xf>
    <xf numFmtId="0" fontId="75" fillId="25" borderId="10" xfId="35" applyFont="1" applyFill="1" applyBorder="1" applyAlignment="1" applyProtection="1">
      <alignment horizontal="left" vertical="top" wrapText="1"/>
    </xf>
    <xf numFmtId="0" fontId="75" fillId="25" borderId="23" xfId="35" applyFont="1" applyFill="1" applyBorder="1" applyAlignment="1" applyProtection="1">
      <alignment horizontal="lef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4"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_Addresses" xfId="42" xr:uid="{00000000-0005-0000-0000-00002A000000}"/>
    <cellStyle name="Normal_AppendixC" xfId="43" xr:uid="{00000000-0005-0000-0000-00002B000000}"/>
    <cellStyle name="Normal_BR1Form 201112" xfId="44" xr:uid="{00000000-0005-0000-0000-00002C000000}"/>
    <cellStyle name="Normal_Details" xfId="53" xr:uid="{8CAD07F6-CA63-4755-B8F9-FABFA58FDCD7}"/>
    <cellStyle name="Normal_Details_1" xfId="45" xr:uid="{00000000-0005-0000-0000-00002D000000}"/>
    <cellStyle name="Normal_In512" xfId="46" xr:uid="{00000000-0005-0000-0000-00002E000000}"/>
    <cellStyle name="Normal_STOCK_512_2009_10_001 2" xfId="47" xr:uid="{00000000-0005-0000-0000-00002F000000}"/>
    <cellStyle name="Note" xfId="48" builtinId="10" customBuiltin="1"/>
    <cellStyle name="Output" xfId="49" builtinId="21" customBuiltin="1"/>
    <cellStyle name="Title" xfId="50" builtinId="15" customBuiltin="1"/>
    <cellStyle name="Total" xfId="51" builtinId="25" customBuiltin="1"/>
    <cellStyle name="Warning Text" xfId="52" builtinId="11" customBuiltin="1"/>
  </cellStyles>
  <dxfs count="54">
    <dxf>
      <font>
        <b/>
        <i val="0"/>
        <strike val="0"/>
        <condense val="0"/>
        <extend val="0"/>
        <color indexed="10"/>
      </font>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ont>
        <color theme="0"/>
      </font>
      <fill>
        <patternFill patternType="none">
          <bgColor auto="1"/>
        </patternFill>
      </fill>
    </dxf>
    <dxf>
      <font>
        <color theme="0"/>
        <name val="Cambria"/>
        <scheme val="none"/>
      </font>
    </dxf>
    <dxf>
      <font>
        <b/>
        <i val="0"/>
        <color theme="0"/>
      </font>
      <fill>
        <patternFill>
          <bgColor rgb="FFFF0000"/>
        </patternFill>
      </fill>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color rgb="FFFF0000"/>
      </font>
      <fill>
        <patternFill patternType="solid">
          <bgColor rgb="FF99CCFF"/>
        </patternFill>
      </fill>
    </dxf>
    <dxf>
      <font>
        <b/>
        <i val="0"/>
        <condense val="0"/>
        <extend val="0"/>
        <color indexed="10"/>
      </font>
    </dxf>
    <dxf>
      <font>
        <b/>
        <i val="0"/>
        <condense val="0"/>
        <extend val="0"/>
        <color indexed="10"/>
      </font>
    </dxf>
    <dxf>
      <font>
        <b/>
        <i val="0"/>
        <strike val="0"/>
        <condense val="0"/>
        <extend val="0"/>
        <color indexed="18"/>
      </font>
    </dxf>
    <dxf>
      <font>
        <condense val="0"/>
        <extend val="0"/>
        <color indexed="63"/>
      </font>
      <border>
        <left style="thin">
          <color indexed="64"/>
        </left>
        <right style="thin">
          <color indexed="64"/>
        </right>
        <top style="thin">
          <color indexed="64"/>
        </top>
        <bottom/>
      </border>
    </dxf>
    <dxf>
      <font>
        <condense val="0"/>
        <extend val="0"/>
        <color indexed="63"/>
      </font>
      <border>
        <left style="thin">
          <color indexed="64"/>
        </left>
        <right style="thin">
          <color indexed="64"/>
        </right>
        <top style="thin">
          <color indexed="64"/>
        </top>
        <bottom/>
      </border>
    </dxf>
    <dxf>
      <font>
        <b/>
        <i val="0"/>
        <strike val="0"/>
        <condense val="0"/>
        <extend val="0"/>
        <color indexed="10"/>
      </font>
    </dxf>
    <dxf>
      <font>
        <strike val="0"/>
        <outline val="0"/>
        <shadow val="0"/>
        <u val="none"/>
        <vertAlign val="baseline"/>
        <sz val="9"/>
        <color auto="1"/>
        <name val="Arial"/>
        <family val="2"/>
        <scheme val="none"/>
      </font>
      <numFmt numFmtId="165" formatCode="#,##0_ ;[Red]\-#,##0\ "/>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numFmt numFmtId="0" formatCode="General"/>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ill>
        <patternFill patternType="solid">
          <fgColor rgb="FFE6B8B7"/>
          <bgColor rgb="FF000000"/>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numFmt numFmtId="167" formatCode="#,##0.00_ ;[Red]\-#,##0.00\ "/>
    </dxf>
    <dxf>
      <fill>
        <patternFill>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ont>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9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FFFFCC"/>
      <color rgb="FFFFFF99"/>
      <color rgb="FF99FF99"/>
      <color rgb="FFE5F5FF"/>
      <color rgb="FFCCFFFF"/>
      <color rgb="FFCCECFF"/>
      <color rgb="FF808080"/>
      <color rgb="FF99CC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Link="$F$11" fmlaRange="Details!$F$51:$F$55" noThreeD="1" sel="1" val="0"/>
</file>

<file path=xl/ctrlProps/ctrlProp2.xml><?xml version="1.0" encoding="utf-8"?>
<formControlPr xmlns="http://schemas.microsoft.com/office/spreadsheetml/2009/9/main" objectType="Drop" dropLines="2" dropStyle="combo" dx="16" fmlaLink="$E$7" fmlaRange="Details!$E$2:$E$3"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238125</xdr:colOff>
      <xdr:row>2</xdr:row>
      <xdr:rowOff>85725</xdr:rowOff>
    </xdr:from>
    <xdr:to>
      <xdr:col>14</xdr:col>
      <xdr:colOff>238125</xdr:colOff>
      <xdr:row>6</xdr:row>
      <xdr:rowOff>95250</xdr:rowOff>
    </xdr:to>
    <xdr:pic>
      <xdr:nvPicPr>
        <xdr:cNvPr id="24007" name="Picture 3">
          <a:extLst>
            <a:ext uri="{FF2B5EF4-FFF2-40B4-BE49-F238E27FC236}">
              <a16:creationId xmlns:a16="http://schemas.microsoft.com/office/drawing/2014/main" id="{00000000-0008-0000-0100-0000C75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581025"/>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438150</xdr:colOff>
      <xdr:row>45</xdr:row>
      <xdr:rowOff>114300</xdr:rowOff>
    </xdr:from>
    <xdr:to>
      <xdr:col>13</xdr:col>
      <xdr:colOff>85725</xdr:colOff>
      <xdr:row>53</xdr:row>
      <xdr:rowOff>123825</xdr:rowOff>
    </xdr:to>
    <xdr:pic>
      <xdr:nvPicPr>
        <xdr:cNvPr id="24008" name="Picture 37">
          <a:extLst>
            <a:ext uri="{FF2B5EF4-FFF2-40B4-BE49-F238E27FC236}">
              <a16:creationId xmlns:a16="http://schemas.microsoft.com/office/drawing/2014/main" id="{00000000-0008-0000-0100-0000C85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7875" y="8934450"/>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114300</xdr:rowOff>
        </xdr:from>
        <xdr:to>
          <xdr:col>7</xdr:col>
          <xdr:colOff>546100</xdr:colOff>
          <xdr:row>10</xdr:row>
          <xdr:rowOff>222250</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50800</xdr:rowOff>
        </xdr:from>
        <xdr:to>
          <xdr:col>5</xdr:col>
          <xdr:colOff>1238250</xdr:colOff>
          <xdr:row>6</xdr:row>
          <xdr:rowOff>152400</xdr:rowOff>
        </xdr:to>
        <xdr:sp macro="" textlink="">
          <xdr:nvSpPr>
            <xdr:cNvPr id="23554" name="Drop Down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15</xdr:col>
      <xdr:colOff>552460</xdr:colOff>
      <xdr:row>7</xdr:row>
      <xdr:rowOff>133351</xdr:rowOff>
    </xdr:from>
    <xdr:to>
      <xdr:col>24</xdr:col>
      <xdr:colOff>1085849</xdr:colOff>
      <xdr:row>11</xdr:row>
      <xdr:rowOff>190501</xdr:rowOff>
    </xdr:to>
    <xdr:grpSp>
      <xdr:nvGrpSpPr>
        <xdr:cNvPr id="30185" name="Group 14">
          <a:extLst>
            <a:ext uri="{FF2B5EF4-FFF2-40B4-BE49-F238E27FC236}">
              <a16:creationId xmlns:a16="http://schemas.microsoft.com/office/drawing/2014/main" id="{00000000-0008-0000-0200-0000E9750000}"/>
            </a:ext>
          </a:extLst>
        </xdr:cNvPr>
        <xdr:cNvGrpSpPr>
          <a:grpSpLocks/>
        </xdr:cNvGrpSpPr>
      </xdr:nvGrpSpPr>
      <xdr:grpSpPr bwMode="auto">
        <a:xfrm>
          <a:off x="11963410" y="1466851"/>
          <a:ext cx="2333614" cy="923925"/>
          <a:chOff x="22688551" y="1336129"/>
          <a:chExt cx="1661361" cy="533578"/>
        </a:xfrm>
      </xdr:grpSpPr>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2710050" y="1336129"/>
            <a:ext cx="1376701" cy="533578"/>
          </a:xfrm>
          <a:prstGeom prst="rect">
            <a:avLst/>
          </a:prstGeom>
          <a:solidFill>
            <a:schemeClr val="accent4">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N18">
        <xdr:nvSpPr>
          <xdr:cNvPr id="4" name="TextBox 3">
            <a:extLst>
              <a:ext uri="{FF2B5EF4-FFF2-40B4-BE49-F238E27FC236}">
                <a16:creationId xmlns:a16="http://schemas.microsoft.com/office/drawing/2014/main" id="{00000000-0008-0000-0200-000004000000}"/>
              </a:ext>
            </a:extLst>
          </xdr:cNvPr>
          <xdr:cNvSpPr txBox="1"/>
        </xdr:nvSpPr>
        <xdr:spPr>
          <a:xfrm>
            <a:off x="22688551" y="1388499"/>
            <a:ext cx="1414401" cy="14565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pPr algn="l" rtl="0">
              <a:defRPr sz="1000"/>
            </a:pPr>
            <a:fld id="{098AC1F4-E8EC-49E4-8A13-DF3A69D92BF3}" type="TxLink">
              <a:rPr lang="en-GB" sz="900" b="1" i="0" u="none" strike="noStrike" baseline="0">
                <a:solidFill>
                  <a:srgbClr val="010000"/>
                </a:solidFill>
                <a:latin typeface="Arial"/>
                <a:cs typeface="Arial"/>
              </a:rPr>
              <a:pPr algn="l" rtl="0">
                <a:defRPr sz="1000"/>
              </a:pPr>
              <a:t>ALLWEDD MATH O FAES </a:t>
            </a:fld>
            <a:endParaRPr lang="en-GB" sz="900" b="1" i="0" u="none" strike="noStrike" baseline="0">
              <a:solidFill>
                <a:srgbClr val="010000"/>
              </a:solidFill>
              <a:latin typeface="Arial"/>
              <a:cs typeface="Arial"/>
            </a:endParaRPr>
          </a:p>
        </xdr:txBody>
      </xdr:sp>
      <xdr:sp macro="" textlink="ValData!AN20">
        <xdr:nvSpPr>
          <xdr:cNvPr id="5" name="TextBox 4">
            <a:extLst>
              <a:ext uri="{FF2B5EF4-FFF2-40B4-BE49-F238E27FC236}">
                <a16:creationId xmlns:a16="http://schemas.microsoft.com/office/drawing/2014/main" id="{00000000-0008-0000-0200-000005000000}"/>
              </a:ext>
            </a:extLst>
          </xdr:cNvPr>
          <xdr:cNvSpPr txBox="1"/>
        </xdr:nvSpPr>
        <xdr:spPr>
          <a:xfrm>
            <a:off x="22710051" y="1539056"/>
            <a:ext cx="1493929" cy="941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57173998-ACFE-43B7-AB04-F260EE593B5B}" type="TxLink">
              <a:rPr lang="en-GB" sz="900" b="1" i="0" u="none" strike="noStrike" baseline="0">
                <a:solidFill>
                  <a:srgbClr val="010000"/>
                </a:solidFill>
                <a:latin typeface="Arial"/>
                <a:cs typeface="Arial"/>
              </a:rPr>
              <a:pPr algn="l" rtl="0">
                <a:defRPr sz="1000"/>
              </a:pPr>
              <a:t>2.  toriad % yn unig </a:t>
            </a:fld>
            <a:endParaRPr lang="en-GB" sz="900" b="1" i="0" u="none" strike="noStrike" baseline="0">
              <a:solidFill>
                <a:srgbClr val="010000"/>
              </a:solidFill>
              <a:latin typeface="Arial"/>
              <a:cs typeface="Arial"/>
            </a:endParaRPr>
          </a:p>
        </xdr:txBody>
      </xdr:sp>
      <xdr:sp macro="" textlink="ValData!AN22">
        <xdr:nvSpPr>
          <xdr:cNvPr id="6" name="TextBox 5">
            <a:extLst>
              <a:ext uri="{FF2B5EF4-FFF2-40B4-BE49-F238E27FC236}">
                <a16:creationId xmlns:a16="http://schemas.microsoft.com/office/drawing/2014/main" id="{00000000-0008-0000-0200-000006000000}"/>
              </a:ext>
            </a:extLst>
          </xdr:cNvPr>
          <xdr:cNvSpPr txBox="1"/>
        </xdr:nvSpPr>
        <xdr:spPr>
          <a:xfrm>
            <a:off x="22710051" y="1656607"/>
            <a:ext cx="1397262" cy="11408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151B7261-5069-4303-A205-CF587C41CF7C}" type="TxLink">
              <a:rPr lang="en-GB" sz="900" b="1" i="0" u="none" strike="noStrike" baseline="0">
                <a:solidFill>
                  <a:srgbClr val="010000"/>
                </a:solidFill>
                <a:latin typeface="Arial"/>
                <a:cs typeface="Arial"/>
              </a:rPr>
              <a:pPr algn="l" rtl="0">
                <a:defRPr sz="1000"/>
              </a:pPr>
              <a:t>4. gyfanswmiau nad sy’n = sero</a:t>
            </a:fld>
            <a:endParaRPr lang="en-GB" sz="900" b="1" i="0" u="none" strike="noStrike" baseline="0">
              <a:solidFill>
                <a:srgbClr val="010000"/>
              </a:solidFill>
              <a:latin typeface="Arial"/>
              <a:cs typeface="Arial"/>
            </a:endParaRPr>
          </a:p>
        </xdr:txBody>
      </xdr:sp>
      <xdr:sp macro="" textlink="ValData!AN23">
        <xdr:nvSpPr>
          <xdr:cNvPr id="7" name="TextBox 6">
            <a:extLst>
              <a:ext uri="{FF2B5EF4-FFF2-40B4-BE49-F238E27FC236}">
                <a16:creationId xmlns:a16="http://schemas.microsoft.com/office/drawing/2014/main" id="{00000000-0008-0000-0200-000007000000}"/>
              </a:ext>
            </a:extLst>
          </xdr:cNvPr>
          <xdr:cNvSpPr txBox="1"/>
        </xdr:nvSpPr>
        <xdr:spPr>
          <a:xfrm>
            <a:off x="22721277" y="1758152"/>
            <a:ext cx="1628635" cy="840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7CF0AD88-CAC6-4088-9C3F-C3A94B2ACFF5}" type="TxLink">
              <a:rPr lang="en-GB" sz="900" b="1" i="0" u="none" strike="noStrike" baseline="0">
                <a:solidFill>
                  <a:srgbClr val="010000"/>
                </a:solidFill>
                <a:latin typeface="Arial"/>
                <a:cs typeface="Arial"/>
              </a:rPr>
              <a:pPr algn="l" rtl="0">
                <a:defRPr sz="1000"/>
              </a:pPr>
              <a:t>9. Naill ai ffigur yn sero</a:t>
            </a:fld>
            <a:endParaRPr lang="en-GB" sz="900" b="1" i="0" u="none" strike="noStrike" baseline="0">
              <a:solidFill>
                <a:srgbClr val="010000"/>
              </a:solidFill>
              <a:latin typeface="Arial"/>
              <a:cs typeface="Arial"/>
            </a:endParaRPr>
          </a:p>
        </xdr:txBody>
      </xdr:sp>
    </xdr:grpSp>
    <xdr:clientData/>
  </xdr:twoCellAnchor>
  <xdr:twoCellAnchor>
    <xdr:from>
      <xdr:col>15</xdr:col>
      <xdr:colOff>19049</xdr:colOff>
      <xdr:row>1</xdr:row>
      <xdr:rowOff>66675</xdr:rowOff>
    </xdr:from>
    <xdr:to>
      <xdr:col>24</xdr:col>
      <xdr:colOff>5410199</xdr:colOff>
      <xdr:row>5</xdr:row>
      <xdr:rowOff>142875</xdr:rowOff>
    </xdr:to>
    <xdr:grpSp>
      <xdr:nvGrpSpPr>
        <xdr:cNvPr id="30186" name="Group 1">
          <a:extLst>
            <a:ext uri="{FF2B5EF4-FFF2-40B4-BE49-F238E27FC236}">
              <a16:creationId xmlns:a16="http://schemas.microsoft.com/office/drawing/2014/main" id="{00000000-0008-0000-0200-0000EA750000}"/>
            </a:ext>
          </a:extLst>
        </xdr:cNvPr>
        <xdr:cNvGrpSpPr>
          <a:grpSpLocks/>
        </xdr:cNvGrpSpPr>
      </xdr:nvGrpSpPr>
      <xdr:grpSpPr bwMode="auto">
        <a:xfrm>
          <a:off x="11429999" y="254000"/>
          <a:ext cx="7048500" cy="838200"/>
          <a:chOff x="11725275" y="209550"/>
          <a:chExt cx="8512441" cy="969309"/>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bwMode="auto">
          <a:xfrm>
            <a:off x="11725275" y="209550"/>
            <a:ext cx="8512441" cy="969309"/>
          </a:xfrm>
          <a:prstGeom prst="rect">
            <a:avLst/>
          </a:prstGeom>
          <a:solidFill>
            <a:schemeClr val="lt1"/>
          </a:solidFill>
          <a:ln w="1270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GB"/>
          </a:p>
        </xdr:txBody>
      </xdr:sp>
      <xdr:sp macro="" textlink="ValData!AN6" fLocksText="0">
        <xdr:nvSpPr>
          <xdr:cNvPr id="10" name="TextBox 9">
            <a:extLst>
              <a:ext uri="{FF2B5EF4-FFF2-40B4-BE49-F238E27FC236}">
                <a16:creationId xmlns:a16="http://schemas.microsoft.com/office/drawing/2014/main" id="{00000000-0008-0000-0200-00000A000000}"/>
              </a:ext>
            </a:extLst>
          </xdr:cNvPr>
          <xdr:cNvSpPr txBox="1"/>
        </xdr:nvSpPr>
        <xdr:spPr bwMode="auto">
          <a:xfrm>
            <a:off x="11779095" y="261663"/>
            <a:ext cx="8301530" cy="17718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02C5C7BD-C733-4E95-A44F-6CDAAB9BE0D1}" type="TxLink">
              <a:rPr lang="en-GB" sz="1000" b="0" i="0" u="none" strike="noStrike" baseline="0">
                <a:solidFill>
                  <a:srgbClr val="010000"/>
                </a:solidFill>
                <a:latin typeface="Arial"/>
                <a:cs typeface="Arial"/>
              </a:rPr>
              <a:pPr algn="l" rtl="0">
                <a:defRPr sz="1000"/>
              </a:pPr>
              <a:t>Ar ôl cwblhau’r ffurflen - gwiriwch unrhyw ffigurau sydd gyda fflag eu bod tu hwnt i’r goddefiant (&gt;5%) neu ddim yn hafal i sero wedi'i farcio '1' yn y golofn 'Awtomatig'(gweler yr adran ‘Gwiriadau Rhifyddol’). </a:t>
            </a:fld>
            <a:endParaRPr lang="en-GB" sz="1000" b="0" i="0" u="none" strike="noStrike" baseline="0">
              <a:solidFill>
                <a:srgbClr val="010000"/>
              </a:solidFill>
              <a:latin typeface="Arial"/>
              <a:cs typeface="Arial"/>
            </a:endParaRPr>
          </a:p>
        </xdr:txBody>
      </xdr:sp>
      <xdr:sp macro="" textlink="ValData!AN8" fLocksText="0">
        <xdr:nvSpPr>
          <xdr:cNvPr id="11" name="TextBox 10">
            <a:extLst>
              <a:ext uri="{FF2B5EF4-FFF2-40B4-BE49-F238E27FC236}">
                <a16:creationId xmlns:a16="http://schemas.microsoft.com/office/drawing/2014/main" id="{00000000-0008-0000-0200-00000B000000}"/>
              </a:ext>
            </a:extLst>
          </xdr:cNvPr>
          <xdr:cNvSpPr txBox="1"/>
        </xdr:nvSpPr>
        <xdr:spPr bwMode="auto">
          <a:xfrm>
            <a:off x="11785822" y="428426"/>
            <a:ext cx="7379885" cy="16676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D7E29EE8-6EC0-41CA-90B5-7B9EF5E84C1D}" type="TxLink">
              <a:rPr lang="en-GB" sz="1000" b="0" i="0" u="none" strike="noStrike" baseline="0">
                <a:solidFill>
                  <a:srgbClr val="010000"/>
                </a:solidFill>
                <a:latin typeface="Arial"/>
                <a:cs typeface="Arial"/>
              </a:rPr>
              <a:pPr algn="l" rtl="0">
                <a:defRPr sz="1000"/>
              </a:pPr>
              <a:t>Os ydych am ychwanegu gwybodaeth ategol i unrhyw res, rhowch yn 'Eich sylwadau', fel arall bydd e-bost yn cadarnhau eich bod yn fodlon ar y ffigurau yn ddigon. </a:t>
            </a:fld>
            <a:endParaRPr lang="en-GB" sz="1000" b="0" i="0" u="none" strike="noStrike" baseline="0">
              <a:solidFill>
                <a:srgbClr val="010000"/>
              </a:solidFill>
              <a:latin typeface="Arial"/>
              <a:cs typeface="Arial"/>
            </a:endParaRPr>
          </a:p>
        </xdr:txBody>
      </xdr:sp>
      <xdr:sp macro="" textlink="ValData!AN9" fLocksText="0">
        <xdr:nvSpPr>
          <xdr:cNvPr id="12" name="TextBox 11">
            <a:extLst>
              <a:ext uri="{FF2B5EF4-FFF2-40B4-BE49-F238E27FC236}">
                <a16:creationId xmlns:a16="http://schemas.microsoft.com/office/drawing/2014/main" id="{00000000-0008-0000-0200-00000C000000}"/>
              </a:ext>
            </a:extLst>
          </xdr:cNvPr>
          <xdr:cNvSpPr txBox="1"/>
        </xdr:nvSpPr>
        <xdr:spPr bwMode="auto">
          <a:xfrm>
            <a:off x="11792549" y="595189"/>
            <a:ext cx="7514432" cy="1980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DC838AFD-666C-4760-A4A6-F503A971E8AB}" type="TxLink">
              <a:rPr lang="en-GB" sz="1000" b="0" i="0" u="none" strike="noStrike" baseline="0">
                <a:solidFill>
                  <a:srgbClr val="010000"/>
                </a:solidFill>
                <a:latin typeface="Arial"/>
                <a:cs typeface="Arial"/>
              </a:rPr>
              <a:pPr algn="l" rtl="0">
                <a:defRPr sz="1000"/>
              </a:pPr>
              <a:t>Ar ôl derbyn y ffurflen wedi'i chwblhau - bydden yn nodi unrhyw rhesi y credwn y mae angen eu clirio gan ddefnyddio y golofn 'Gwirio' ynghyd ag ychwanegu unrhyw sylwadau a/neu </a:t>
            </a:fld>
            <a:endParaRPr lang="en-GB" sz="1000" b="0" i="0" u="none" strike="noStrike" baseline="0">
              <a:solidFill>
                <a:srgbClr val="010000"/>
              </a:solidFill>
              <a:latin typeface="Arial"/>
              <a:cs typeface="Arial"/>
            </a:endParaRPr>
          </a:p>
        </xdr:txBody>
      </xdr:sp>
      <xdr:sp macro="" textlink="ValData!AN11" fLocksText="0">
        <xdr:nvSpPr>
          <xdr:cNvPr id="13" name="TextBox 12">
            <a:extLst>
              <a:ext uri="{FF2B5EF4-FFF2-40B4-BE49-F238E27FC236}">
                <a16:creationId xmlns:a16="http://schemas.microsoft.com/office/drawing/2014/main" id="{00000000-0008-0000-0200-00000D000000}"/>
              </a:ext>
            </a:extLst>
          </xdr:cNvPr>
          <xdr:cNvSpPr txBox="1"/>
        </xdr:nvSpPr>
        <xdr:spPr bwMode="auto">
          <a:xfrm>
            <a:off x="11785822" y="939137"/>
            <a:ext cx="7440431" cy="1980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rtl="0">
              <a:defRPr sz="1000"/>
            </a:pPr>
            <a:fld id="{36E0DDC9-1C61-414D-9CAB-109216AA0A00}" type="TxLink">
              <a:rPr lang="en-GB" sz="1000" b="0" i="0" u="none" strike="noStrike" baseline="0">
                <a:solidFill>
                  <a:srgbClr val="010000"/>
                </a:solidFill>
                <a:latin typeface="Arial"/>
                <a:cs typeface="Arial"/>
              </a:rPr>
              <a:pPr algn="l" rtl="0">
                <a:defRPr sz="1000"/>
              </a:pPr>
              <a:t>Bydd unrhyw eitem sydd wedi'i glirio wedi’i marcio 'C' yn y golofn 'Statws' (Colofn AA).</a:t>
            </a:fld>
            <a:endParaRPr lang="en-GB" sz="1000" b="0" i="0" u="none" strike="noStrike" baseline="0">
              <a:solidFill>
                <a:srgbClr val="010000"/>
              </a:solidFill>
              <a:latin typeface="Arial"/>
              <a:cs typeface="Arial"/>
            </a:endParaRPr>
          </a:p>
        </xdr:txBody>
      </xdr:sp>
      <xdr:sp macro="" textlink="ValData!AN10" fLocksText="0">
        <xdr:nvSpPr>
          <xdr:cNvPr id="14" name="TextBox 13">
            <a:extLst>
              <a:ext uri="{FF2B5EF4-FFF2-40B4-BE49-F238E27FC236}">
                <a16:creationId xmlns:a16="http://schemas.microsoft.com/office/drawing/2014/main" id="{00000000-0008-0000-0200-00000E000000}"/>
              </a:ext>
            </a:extLst>
          </xdr:cNvPr>
          <xdr:cNvSpPr txBox="1"/>
        </xdr:nvSpPr>
        <xdr:spPr bwMode="auto">
          <a:xfrm>
            <a:off x="11779095" y="772375"/>
            <a:ext cx="6713879" cy="1563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rtl="0">
              <a:defRPr sz="1000"/>
            </a:pPr>
            <a:fld id="{4C455D15-27FD-4078-A27A-FCE5CB2D4362}" type="TxLink">
              <a:rPr lang="en-GB" sz="1000" b="0" i="0" u="none" strike="noStrike" baseline="0">
                <a:solidFill>
                  <a:srgbClr val="010000"/>
                </a:solidFill>
                <a:latin typeface="Arial"/>
                <a:cs typeface="Arial"/>
              </a:rPr>
              <a:pPr algn="l" rtl="0">
                <a:defRPr sz="1000"/>
              </a:pPr>
              <a:t>unrhyw sylwadau blaenorol perthnasol a ddarperir gan eich awdurdod yn y golofn 'Ein sylwadau’. Gallem ofyn i chi am ragor o wybodaeth os oes angen.</a:t>
            </a:fld>
            <a:endParaRPr lang="en-GB" sz="1000" b="0" i="0" u="none" strike="noStrike" baseline="0">
              <a:solidFill>
                <a:srgbClr val="010000"/>
              </a:solidFill>
              <a:latin typeface="Arial"/>
              <a:cs typeface="Arial"/>
            </a:endParaRPr>
          </a:p>
        </xdr:txBody>
      </xdr:sp>
    </xdr:grpSp>
    <xdr:clientData/>
  </xdr:twoCellAnchor>
  <xdr:twoCellAnchor editAs="absolute">
    <xdr:from>
      <xdr:col>24</xdr:col>
      <xdr:colOff>990595</xdr:colOff>
      <xdr:row>7</xdr:row>
      <xdr:rowOff>85725</xdr:rowOff>
    </xdr:from>
    <xdr:to>
      <xdr:col>24</xdr:col>
      <xdr:colOff>3076569</xdr:colOff>
      <xdr:row>11</xdr:row>
      <xdr:rowOff>257175</xdr:rowOff>
    </xdr:to>
    <xdr:grpSp>
      <xdr:nvGrpSpPr>
        <xdr:cNvPr id="30187" name="Group 24">
          <a:extLst>
            <a:ext uri="{FF2B5EF4-FFF2-40B4-BE49-F238E27FC236}">
              <a16:creationId xmlns:a16="http://schemas.microsoft.com/office/drawing/2014/main" id="{00000000-0008-0000-0200-0000EB750000}"/>
            </a:ext>
          </a:extLst>
        </xdr:cNvPr>
        <xdr:cNvGrpSpPr>
          <a:grpSpLocks/>
        </xdr:cNvGrpSpPr>
      </xdr:nvGrpSpPr>
      <xdr:grpSpPr bwMode="auto">
        <a:xfrm>
          <a:off x="14201770" y="1416050"/>
          <a:ext cx="2089149" cy="1038225"/>
          <a:chOff x="19831047" y="191775"/>
          <a:chExt cx="1606178" cy="1062082"/>
        </a:xfrm>
      </xdr:grpSpPr>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9831047" y="191775"/>
            <a:ext cx="1606178" cy="1062082"/>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N12">
        <xdr:nvSpPr>
          <xdr:cNvPr id="17" name="TextBox 16">
            <a:extLst>
              <a:ext uri="{FF2B5EF4-FFF2-40B4-BE49-F238E27FC236}">
                <a16:creationId xmlns:a16="http://schemas.microsoft.com/office/drawing/2014/main" id="{00000000-0008-0000-0200-000011000000}"/>
              </a:ext>
            </a:extLst>
          </xdr:cNvPr>
          <xdr:cNvSpPr txBox="1"/>
        </xdr:nvSpPr>
        <xdr:spPr>
          <a:xfrm>
            <a:off x="19843933" y="241275"/>
            <a:ext cx="1436801" cy="1648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5E971DE5-208C-4AB9-A39D-53D996BEA467}" type="TxLink">
              <a:rPr lang="en-GB" sz="900" b="1" i="0" u="none" strike="noStrike" baseline="0">
                <a:solidFill>
                  <a:srgbClr val="010000"/>
                </a:solidFill>
                <a:latin typeface="Arial"/>
                <a:cs typeface="Arial"/>
              </a:rPr>
              <a:pPr algn="l" rtl="0">
                <a:defRPr sz="1000"/>
              </a:pPr>
              <a:t>ALLWEDD STATWS MAES</a:t>
            </a:fld>
            <a:endParaRPr lang="en-GB" sz="900" b="1" i="0" u="none" strike="noStrike" baseline="0">
              <a:solidFill>
                <a:srgbClr val="010000"/>
              </a:solidFill>
              <a:latin typeface="Arial"/>
              <a:cs typeface="Arial"/>
            </a:endParaRPr>
          </a:p>
        </xdr:txBody>
      </xdr:sp>
      <xdr:sp macro="" textlink="ValData!AN13">
        <xdr:nvSpPr>
          <xdr:cNvPr id="18" name="TextBox 17">
            <a:extLst>
              <a:ext uri="{FF2B5EF4-FFF2-40B4-BE49-F238E27FC236}">
                <a16:creationId xmlns:a16="http://schemas.microsoft.com/office/drawing/2014/main" id="{00000000-0008-0000-0200-000012000000}"/>
              </a:ext>
            </a:extLst>
          </xdr:cNvPr>
          <xdr:cNvSpPr txBox="1"/>
        </xdr:nvSpPr>
        <xdr:spPr>
          <a:xfrm>
            <a:off x="19843934" y="431287"/>
            <a:ext cx="1494448" cy="1599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286AF76E-8E37-41EC-940D-1446E154E171}" type="TxLink">
              <a:rPr lang="en-GB" sz="900" b="1" i="0" u="none" strike="noStrike" baseline="0">
                <a:solidFill>
                  <a:srgbClr val="010000"/>
                </a:solidFill>
                <a:latin typeface="Arial"/>
                <a:cs typeface="Arial"/>
              </a:rPr>
              <a:pPr algn="l" rtl="0">
                <a:defRPr sz="1000"/>
              </a:pPr>
              <a:t>A - i gael eu gweithredu gan LlC</a:t>
            </a:fld>
            <a:endParaRPr lang="en-GB" sz="900" b="1" i="0" u="none" strike="noStrike" baseline="0">
              <a:solidFill>
                <a:srgbClr val="010000"/>
              </a:solidFill>
              <a:latin typeface="Arial"/>
              <a:cs typeface="Arial"/>
            </a:endParaRPr>
          </a:p>
        </xdr:txBody>
      </xdr:sp>
      <xdr:sp macro="" textlink="ValData!AN14">
        <xdr:nvSpPr>
          <xdr:cNvPr id="19" name="TextBox 18">
            <a:extLst>
              <a:ext uri="{FF2B5EF4-FFF2-40B4-BE49-F238E27FC236}">
                <a16:creationId xmlns:a16="http://schemas.microsoft.com/office/drawing/2014/main" id="{00000000-0008-0000-0200-000013000000}"/>
              </a:ext>
            </a:extLst>
          </xdr:cNvPr>
          <xdr:cNvSpPr txBox="1"/>
        </xdr:nvSpPr>
        <xdr:spPr>
          <a:xfrm>
            <a:off x="19843933" y="592970"/>
            <a:ext cx="1469737" cy="1237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FA710B93-D60D-4151-9378-845F74DA00E3}" type="TxLink">
              <a:rPr lang="en-GB" sz="900" b="1" i="0" u="none" strike="noStrike" baseline="0">
                <a:solidFill>
                  <a:srgbClr val="010000"/>
                </a:solidFill>
                <a:latin typeface="Arial"/>
                <a:cs typeface="Arial"/>
              </a:rPr>
              <a:pPr algn="l" rtl="0">
                <a:defRPr sz="1000"/>
              </a:pPr>
              <a:t>C - wedi’i glirio </a:t>
            </a:fld>
            <a:endParaRPr lang="en-GB" sz="900" b="1" i="0" u="none" strike="noStrike" baseline="0">
              <a:solidFill>
                <a:srgbClr val="010000"/>
              </a:solidFill>
              <a:latin typeface="Arial"/>
              <a:cs typeface="Arial"/>
            </a:endParaRPr>
          </a:p>
        </xdr:txBody>
      </xdr:sp>
      <xdr:sp macro="" textlink="ValData!AN15">
        <xdr:nvSpPr>
          <xdr:cNvPr id="20" name="TextBox 19">
            <a:extLst>
              <a:ext uri="{FF2B5EF4-FFF2-40B4-BE49-F238E27FC236}">
                <a16:creationId xmlns:a16="http://schemas.microsoft.com/office/drawing/2014/main" id="{00000000-0008-0000-0200-000014000000}"/>
              </a:ext>
            </a:extLst>
          </xdr:cNvPr>
          <xdr:cNvSpPr txBox="1"/>
        </xdr:nvSpPr>
        <xdr:spPr>
          <a:xfrm>
            <a:off x="19843934" y="737702"/>
            <a:ext cx="1445031" cy="126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6CA4FB32-F189-49B0-B83C-C62E140F1327}" type="TxLink">
              <a:rPr lang="en-GB" sz="900" b="1" i="0" u="none" strike="noStrike" baseline="0">
                <a:solidFill>
                  <a:srgbClr val="010000"/>
                </a:solidFill>
                <a:latin typeface="Arial"/>
                <a:cs typeface="Arial"/>
              </a:rPr>
              <a:pPr algn="l" rtl="0">
                <a:defRPr sz="1000"/>
              </a:pPr>
              <a:t>NB - pwysig</a:t>
            </a:fld>
            <a:endParaRPr lang="en-GB" sz="900" b="1" i="0" u="none" strike="noStrike" baseline="0">
              <a:solidFill>
                <a:srgbClr val="010000"/>
              </a:solidFill>
              <a:latin typeface="Arial"/>
              <a:cs typeface="Arial"/>
            </a:endParaRPr>
          </a:p>
        </xdr:txBody>
      </xdr:sp>
      <xdr:sp macro="" textlink="ValData!AN16">
        <xdr:nvSpPr>
          <xdr:cNvPr id="21" name="TextBox 20">
            <a:extLst>
              <a:ext uri="{FF2B5EF4-FFF2-40B4-BE49-F238E27FC236}">
                <a16:creationId xmlns:a16="http://schemas.microsoft.com/office/drawing/2014/main" id="{00000000-0008-0000-0200-000015000000}"/>
              </a:ext>
            </a:extLst>
          </xdr:cNvPr>
          <xdr:cNvSpPr txBox="1"/>
        </xdr:nvSpPr>
        <xdr:spPr>
          <a:xfrm>
            <a:off x="19852170" y="897454"/>
            <a:ext cx="1453267" cy="1517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CA24830E-D72B-4918-BA32-42B9F19B03B5}" type="TxLink">
              <a:rPr lang="en-GB" sz="900" b="1" i="0" u="none" strike="noStrike" baseline="0">
                <a:solidFill>
                  <a:srgbClr val="010000"/>
                </a:solidFill>
                <a:latin typeface="Arial"/>
                <a:cs typeface="Arial"/>
              </a:rPr>
              <a:pPr algn="l" rtl="0">
                <a:defRPr sz="1000"/>
              </a:pPr>
              <a:t>U - heb eu datrys </a:t>
            </a:fld>
            <a:endParaRPr lang="en-GB" sz="900" b="1" i="0" u="none" strike="noStrike" baseline="0">
              <a:solidFill>
                <a:srgbClr val="010000"/>
              </a:solidFill>
              <a:latin typeface="Arial"/>
              <a:cs typeface="Arial"/>
            </a:endParaRPr>
          </a:p>
        </xdr:txBody>
      </xdr:sp>
      <xdr:sp macro="" textlink="ValData!AN17">
        <xdr:nvSpPr>
          <xdr:cNvPr id="22" name="TextBox 21">
            <a:extLst>
              <a:ext uri="{FF2B5EF4-FFF2-40B4-BE49-F238E27FC236}">
                <a16:creationId xmlns:a16="http://schemas.microsoft.com/office/drawing/2014/main" id="{00000000-0008-0000-0200-000016000000}"/>
              </a:ext>
            </a:extLst>
          </xdr:cNvPr>
          <xdr:cNvSpPr txBox="1"/>
        </xdr:nvSpPr>
        <xdr:spPr>
          <a:xfrm>
            <a:off x="19852171" y="1041144"/>
            <a:ext cx="1552113" cy="1445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BDE1F4F2-E478-4CE4-985D-B273023792BA}" type="TxLink">
              <a:rPr lang="en-GB" sz="900" b="1" i="0" u="none" strike="noStrike" baseline="0">
                <a:solidFill>
                  <a:srgbClr val="010000"/>
                </a:solidFill>
                <a:latin typeface="Arial"/>
                <a:cs typeface="Arial"/>
              </a:rPr>
              <a:pPr algn="l" rtl="0">
                <a:defRPr sz="1000"/>
              </a:pPr>
              <a:t>W - yn aros ar gyfer gweithrediad gan All</a:t>
            </a:fld>
            <a:endParaRPr lang="en-GB" sz="900" b="1" i="0" u="none" strike="noStrike" baseline="0">
              <a:solidFill>
                <a:srgbClr val="01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14</xdr:row>
      <xdr:rowOff>1</xdr:rowOff>
    </xdr:from>
    <xdr:to>
      <xdr:col>12</xdr:col>
      <xdr:colOff>85725</xdr:colOff>
      <xdr:row>20</xdr:row>
      <xdr:rowOff>28576</xdr:rowOff>
    </xdr:to>
    <xdr:sp macro="" textlink="" fLocksText="0">
      <xdr:nvSpPr>
        <xdr:cNvPr id="2" name="Text Box 4">
          <a:extLst>
            <a:ext uri="{FF2B5EF4-FFF2-40B4-BE49-F238E27FC236}">
              <a16:creationId xmlns:a16="http://schemas.microsoft.com/office/drawing/2014/main" id="{00000000-0008-0000-0300-000002000000}"/>
            </a:ext>
          </a:extLst>
        </xdr:cNvPr>
        <xdr:cNvSpPr txBox="1">
          <a:spLocks noChangeArrowheads="1"/>
        </xdr:cNvSpPr>
      </xdr:nvSpPr>
      <xdr:spPr bwMode="auto">
        <a:xfrm>
          <a:off x="1057275" y="3181351"/>
          <a:ext cx="6486525" cy="1171575"/>
        </a:xfrm>
        <a:prstGeom prst="rect">
          <a:avLst/>
        </a:prstGeom>
        <a:solidFill>
          <a:srgbClr val="FFFFFF"/>
        </a:solidFill>
        <a:ln w="9525">
          <a:solidFill>
            <a:srgbClr val="000000"/>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190499</xdr:rowOff>
    </xdr:from>
    <xdr:to>
      <xdr:col>10</xdr:col>
      <xdr:colOff>0</xdr:colOff>
      <xdr:row>12</xdr:row>
      <xdr:rowOff>142874</xdr:rowOff>
    </xdr:to>
    <xdr:sp macro="" textlink="" fLocksText="0">
      <xdr:nvSpPr>
        <xdr:cNvPr id="2" name="Text Box 1">
          <a:extLst>
            <a:ext uri="{FF2B5EF4-FFF2-40B4-BE49-F238E27FC236}">
              <a16:creationId xmlns:a16="http://schemas.microsoft.com/office/drawing/2014/main" id="{00000000-0008-0000-0400-000002000000}"/>
            </a:ext>
          </a:extLst>
        </xdr:cNvPr>
        <xdr:cNvSpPr txBox="1">
          <a:spLocks noChangeAspect="1" noChangeArrowheads="1"/>
        </xdr:cNvSpPr>
      </xdr:nvSpPr>
      <xdr:spPr bwMode="auto">
        <a:xfrm>
          <a:off x="1047750" y="1609724"/>
          <a:ext cx="6124575" cy="1285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1</xdr:col>
      <xdr:colOff>257175</xdr:colOff>
      <xdr:row>32</xdr:row>
      <xdr:rowOff>180975</xdr:rowOff>
    </xdr:from>
    <xdr:to>
      <xdr:col>9</xdr:col>
      <xdr:colOff>561975</xdr:colOff>
      <xdr:row>39</xdr:row>
      <xdr:rowOff>152400</xdr:rowOff>
    </xdr:to>
    <xdr:sp macro="" textlink="" fLocksText="0">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1019175" y="6743700"/>
          <a:ext cx="6124575" cy="1304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28800" tIns="0"/>
        <a:lstStyle/>
        <a:p>
          <a:endParaRPr lang="en-GB"/>
        </a:p>
      </xdr:txBody>
    </xdr:sp>
    <xdr:clientData/>
  </xdr:twoCellAnchor>
  <xdr:twoCellAnchor>
    <xdr:from>
      <xdr:col>2</xdr:col>
      <xdr:colOff>28575</xdr:colOff>
      <xdr:row>3</xdr:row>
      <xdr:rowOff>38100</xdr:rowOff>
    </xdr:from>
    <xdr:to>
      <xdr:col>9</xdr:col>
      <xdr:colOff>600075</xdr:colOff>
      <xdr:row>3</xdr:row>
      <xdr:rowOff>590550</xdr:rowOff>
    </xdr:to>
    <xdr:sp macro="" textlink="Text!F78">
      <xdr:nvSpPr>
        <xdr:cNvPr id="4" name="Text Box 5">
          <a:extLst>
            <a:ext uri="{FF2B5EF4-FFF2-40B4-BE49-F238E27FC236}">
              <a16:creationId xmlns:a16="http://schemas.microsoft.com/office/drawing/2014/main" id="{00000000-0008-0000-0400-000004000000}"/>
            </a:ext>
          </a:extLst>
        </xdr:cNvPr>
        <xdr:cNvSpPr txBox="1">
          <a:spLocks noChangeAspect="1" noChangeArrowheads="1"/>
        </xdr:cNvSpPr>
      </xdr:nvSpPr>
      <xdr:spPr bwMode="auto">
        <a:xfrm>
          <a:off x="466725" y="800100"/>
          <a:ext cx="5362575"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04DE3E4F-6EB4-4C41-8D8F-612781486E65}" type="TxLink">
            <a:rPr lang="en-GB" sz="1000" b="0" i="0" u="none" strike="noStrike" baseline="0">
              <a:solidFill>
                <a:srgbClr val="010000"/>
              </a:solidFill>
              <a:latin typeface="Arial"/>
              <a:cs typeface="Arial"/>
            </a:rPr>
            <a:pPr algn="l" rtl="0">
              <a:defRPr sz="1000"/>
            </a:pPr>
            <a:t>Rydym bob amser yn ceisio gwella'r ffurflen i'w gwneud yn haws i'w llenwi, gan barhau i sicrhau cywirdeb data a chysondeb ar gyfer yr holl awdurdodau. Os oes gennych unrhyw sylwadau neu awgrymiadau a allai fod yn ddefnyddiol, nodwch nhw isod: </a:t>
          </a:fld>
          <a:endParaRPr lang="en-GB" sz="1000" b="0" i="0" u="none" strike="noStrike" baseline="0">
            <a:solidFill>
              <a:srgbClr val="010000"/>
            </a:solidFill>
            <a:latin typeface="Arial"/>
            <a:cs typeface="Arial"/>
          </a:endParaRPr>
        </a:p>
      </xdr:txBody>
    </xdr:sp>
    <xdr:clientData/>
  </xdr:twoCellAnchor>
  <xdr:twoCellAnchor>
    <xdr:from>
      <xdr:col>2</xdr:col>
      <xdr:colOff>9525</xdr:colOff>
      <xdr:row>15</xdr:row>
      <xdr:rowOff>19050</xdr:rowOff>
    </xdr:from>
    <xdr:to>
      <xdr:col>9</xdr:col>
      <xdr:colOff>581025</xdr:colOff>
      <xdr:row>21</xdr:row>
      <xdr:rowOff>171450</xdr:rowOff>
    </xdr:to>
    <xdr:sp macro="" textlink="" fLocksText="0">
      <xdr:nvSpPr>
        <xdr:cNvPr id="5" name="Text Box 1">
          <a:extLst>
            <a:ext uri="{FF2B5EF4-FFF2-40B4-BE49-F238E27FC236}">
              <a16:creationId xmlns:a16="http://schemas.microsoft.com/office/drawing/2014/main" id="{00000000-0008-0000-0400-000005000000}"/>
            </a:ext>
          </a:extLst>
        </xdr:cNvPr>
        <xdr:cNvSpPr txBox="1">
          <a:spLocks noChangeAspect="1" noChangeArrowheads="1"/>
        </xdr:cNvSpPr>
      </xdr:nvSpPr>
      <xdr:spPr bwMode="auto">
        <a:xfrm>
          <a:off x="1038225" y="3457575"/>
          <a:ext cx="6124575" cy="1295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2</xdr:col>
      <xdr:colOff>0</xdr:colOff>
      <xdr:row>24</xdr:row>
      <xdr:rowOff>0</xdr:rowOff>
    </xdr:from>
    <xdr:to>
      <xdr:col>9</xdr:col>
      <xdr:colOff>571500</xdr:colOff>
      <xdr:row>30</xdr:row>
      <xdr:rowOff>152400</xdr:rowOff>
    </xdr:to>
    <xdr:sp macro="" textlink="" fLocksText="0">
      <xdr:nvSpPr>
        <xdr:cNvPr id="6" name="Text Box 1">
          <a:extLst>
            <a:ext uri="{FF2B5EF4-FFF2-40B4-BE49-F238E27FC236}">
              <a16:creationId xmlns:a16="http://schemas.microsoft.com/office/drawing/2014/main" id="{00000000-0008-0000-0400-000006000000}"/>
            </a:ext>
          </a:extLst>
        </xdr:cNvPr>
        <xdr:cNvSpPr txBox="1">
          <a:spLocks noChangeAspect="1" noChangeArrowheads="1"/>
        </xdr:cNvSpPr>
      </xdr:nvSpPr>
      <xdr:spPr bwMode="auto">
        <a:xfrm>
          <a:off x="1028700" y="5038725"/>
          <a:ext cx="6124575" cy="1295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21.652032060185" createdVersion="4" refreshedVersion="8" recordCount="23" xr:uid="{00000000-000A-0000-FFFF-FFFF0E000000}">
  <cacheSource type="external" connectionId="2"/>
  <cacheFields count="10">
    <cacheField name="AuthCode" numFmtId="0" sqlType="4">
      <sharedItems containsSemiMixedTypes="0" containsString="0" containsNumber="1" containsInteger="1" minValue="512" maxValue="600" count="38">
        <n v="596"/>
        <n v="552"/>
        <n v="550"/>
        <n v="548"/>
        <n v="546"/>
        <n v="545"/>
        <n v="544"/>
        <n v="542"/>
        <n v="540"/>
        <n v="538"/>
        <n v="536"/>
        <n v="534"/>
        <n v="532"/>
        <n v="530"/>
        <n v="528"/>
        <n v="526"/>
        <n v="524"/>
        <n v="522"/>
        <n v="520"/>
        <n v="518"/>
        <n v="516"/>
        <n v="514"/>
        <n v="512"/>
        <n v="568" u="1"/>
        <n v="600" u="1"/>
        <n v="574" u="1"/>
        <n v="599" u="1"/>
        <n v="586" u="1"/>
        <n v="566" u="1"/>
        <n v="598" u="1"/>
        <n v="572" u="1"/>
        <n v="597" u="1"/>
        <n v="584" u="1"/>
        <n v="564" u="1"/>
        <n v="576" u="1"/>
        <n v="595" u="1"/>
        <n v="582" u="1"/>
        <n v="562" u="1"/>
      </sharedItems>
    </cacheField>
    <cacheField name="Authority name" numFmtId="0" sqlType="-9">
      <sharedItems count="38">
        <s v="Total Unitary Authorities"/>
        <s v="Cardiff"/>
        <s v="Newport"/>
        <s v="Monmouthshire"/>
        <s v="Torfaen"/>
        <s v="Blaenau Gwent"/>
        <s v="Caerphilly"/>
        <s v="Merthyr Tydfil"/>
        <s v="Rhondda Cynon Taf"/>
        <s v="Vale of Glamorgan"/>
        <s v="Bridgend"/>
        <s v="Neath Port Talbot"/>
        <s v="Swansea"/>
        <s v="Carmarthenshire"/>
        <s v="Pembrokeshire"/>
        <s v="Ceredigion"/>
        <s v="Powys"/>
        <s v="Wrexham"/>
        <s v="Flintshire"/>
        <s v="Denbighshire"/>
        <s v="Conwy"/>
        <s v="Gwynedd"/>
        <s v="Isle of Anglesey"/>
        <s v="Pembrokeshire Coast NPA" u="1"/>
        <s v="Total Wales" u="1"/>
        <s v="North Wales Fire Authority" u="1"/>
        <s v="Brecon Beacons NPA" u="1"/>
        <s v="South Wales Fire Authority" u="1"/>
        <s v="Total National Park Authorities" u="1"/>
        <s v="Total Fire Authorities" u="1"/>
        <s v="Total Police Authorities" u="1"/>
        <s v="Mid and West Wales Fire Authority" u="1"/>
        <s v="Gwent Police Authority" u="1"/>
        <s v="North Wales Police Authority" u="1"/>
        <s v="Snowdonia NPA" u="1"/>
        <s v="Dyfed Powys Police Authority" u="1"/>
        <s v="Total Wales (exc NPAs)" u="1"/>
        <s v="South Wales Police Authority" u="1"/>
      </sharedItems>
    </cacheField>
    <cacheField name="Authority name Welsh" numFmtId="0" sqlType="-9">
      <sharedItems count="23">
        <s v="Cyfanswm Awdurdodau Unedol"/>
        <s v="Caerdydd"/>
        <s v="Casnewydd"/>
        <s v="Sir Fynwy"/>
        <s v="Torfaen"/>
        <s v="Blaenau Gwent"/>
        <s v="Caerffili"/>
        <s v="Merthyr Tudful"/>
        <s v="Rhondda Cynon Taf"/>
        <s v="Bro Morgannwg"/>
        <s v="Pen-y-bont ar Ogwr"/>
        <s v="Castell-nedd Port Talbot"/>
        <s v="Abertawe"/>
        <s v="Sir Gaerfyrddin"/>
        <s v="Sir Benfro"/>
        <s v="Ceredigion"/>
        <s v="Powys"/>
        <s v="Wrecsam"/>
        <s v="Sir y Fflint"/>
        <s v="Sir Ddinbych"/>
        <s v="Conwy"/>
        <s v="Gwynedd"/>
        <s v="Ynys Môn"/>
      </sharedItems>
    </cacheField>
    <cacheField name="ColumnRef" numFmtId="0" sqlType="3">
      <sharedItems containsSemiMixedTypes="0" containsString="0" containsNumber="1" containsInteger="1" minValue="11" maxValue="11" count="1">
        <n v="11"/>
      </sharedItems>
    </cacheField>
    <cacheField name="ColumnDesc" numFmtId="0" sqlType="-9">
      <sharedItems count="1">
        <s v="TOTAL"/>
      </sharedItems>
    </cacheField>
    <cacheField name="Data" numFmtId="0" sqlType="6">
      <sharedItems containsSemiMixedTypes="0" containsString="0" containsNumber="1" minValue="18943.919999999995" maxValue="1280944.0631849999" count="23">
        <n v="1280944.0631849999"/>
        <n v="151372.00277777779"/>
        <n v="61328.998888888891"/>
        <n v="48465.532500000008"/>
        <n v="34457.262777777782"/>
        <n v="20936.358888888888"/>
        <n v="61292.661083333325"/>
        <n v="18943.919999999995"/>
        <n v="79696.88826388889"/>
        <n v="63396.529694444442"/>
        <n v="55465.691666666673"/>
        <n v="48827.465555555551"/>
        <n v="93802.826666666675"/>
        <n v="76460.399166666655"/>
        <n v="64261.611666666679"/>
        <n v="33768.508750000008"/>
        <n v="64536.477638888893"/>
        <n v="54260.009249999996"/>
        <n v="66081.002288888863"/>
        <n v="41868.064333333336"/>
        <n v="52442.549444444448"/>
        <n v="56109.267160000003"/>
        <n v="33170.034722222219"/>
      </sharedItems>
    </cacheField>
    <cacheField name="FormRef" numFmtId="0" sqlType="12">
      <sharedItems count="1">
        <s v="CT1"/>
      </sharedItems>
    </cacheField>
    <cacheField name="RowRef" numFmtId="0" sqlType="3">
      <sharedItems containsSemiMixedTypes="0" containsString="0" containsNumber="1" containsInteger="1" minValue="26" maxValue="26" count="1">
        <n v="26"/>
      </sharedItems>
    </cacheField>
    <cacheField name="RowDesc" numFmtId="0" sqlType="-9">
      <sharedItems count="1">
        <s v="E5 - Council tax base for tax-setting purposes (=E3+E4)"/>
      </sharedItems>
    </cacheField>
    <cacheField name="YearCode" numFmtId="0" sqlType="4">
      <sharedItems containsSemiMixedTypes="0" containsString="0" containsNumber="1" containsInteger="1" minValue="200708" maxValue="202425" count="18">
        <n v="202425"/>
        <n v="202324" u="1"/>
        <n v="201415" u="1"/>
        <n v="202223" u="1"/>
        <n v="200910" u="1"/>
        <n v="201718" u="1"/>
        <n v="201213" u="1"/>
        <n v="202021" u="1"/>
        <n v="200708" u="1"/>
        <n v="201516" u="1"/>
        <n v="201011" u="1"/>
        <n v="201819" u="1"/>
        <n v="201314" u="1"/>
        <n v="202122" u="1"/>
        <n v="200809" u="1"/>
        <n v="201617" u="1"/>
        <n v="201112" u="1"/>
        <n v="20192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x v="0"/>
    <x v="0"/>
    <x v="0"/>
    <x v="0"/>
    <x v="0"/>
  </r>
  <r>
    <x v="1"/>
    <x v="1"/>
    <x v="1"/>
    <x v="0"/>
    <x v="0"/>
    <x v="1"/>
    <x v="0"/>
    <x v="0"/>
    <x v="0"/>
    <x v="0"/>
  </r>
  <r>
    <x v="2"/>
    <x v="2"/>
    <x v="2"/>
    <x v="0"/>
    <x v="0"/>
    <x v="2"/>
    <x v="0"/>
    <x v="0"/>
    <x v="0"/>
    <x v="0"/>
  </r>
  <r>
    <x v="3"/>
    <x v="3"/>
    <x v="3"/>
    <x v="0"/>
    <x v="0"/>
    <x v="3"/>
    <x v="0"/>
    <x v="0"/>
    <x v="0"/>
    <x v="0"/>
  </r>
  <r>
    <x v="4"/>
    <x v="4"/>
    <x v="4"/>
    <x v="0"/>
    <x v="0"/>
    <x v="4"/>
    <x v="0"/>
    <x v="0"/>
    <x v="0"/>
    <x v="0"/>
  </r>
  <r>
    <x v="5"/>
    <x v="5"/>
    <x v="5"/>
    <x v="0"/>
    <x v="0"/>
    <x v="5"/>
    <x v="0"/>
    <x v="0"/>
    <x v="0"/>
    <x v="0"/>
  </r>
  <r>
    <x v="6"/>
    <x v="6"/>
    <x v="6"/>
    <x v="0"/>
    <x v="0"/>
    <x v="6"/>
    <x v="0"/>
    <x v="0"/>
    <x v="0"/>
    <x v="0"/>
  </r>
  <r>
    <x v="7"/>
    <x v="7"/>
    <x v="7"/>
    <x v="0"/>
    <x v="0"/>
    <x v="7"/>
    <x v="0"/>
    <x v="0"/>
    <x v="0"/>
    <x v="0"/>
  </r>
  <r>
    <x v="8"/>
    <x v="8"/>
    <x v="8"/>
    <x v="0"/>
    <x v="0"/>
    <x v="8"/>
    <x v="0"/>
    <x v="0"/>
    <x v="0"/>
    <x v="0"/>
  </r>
  <r>
    <x v="9"/>
    <x v="9"/>
    <x v="9"/>
    <x v="0"/>
    <x v="0"/>
    <x v="9"/>
    <x v="0"/>
    <x v="0"/>
    <x v="0"/>
    <x v="0"/>
  </r>
  <r>
    <x v="10"/>
    <x v="10"/>
    <x v="10"/>
    <x v="0"/>
    <x v="0"/>
    <x v="10"/>
    <x v="0"/>
    <x v="0"/>
    <x v="0"/>
    <x v="0"/>
  </r>
  <r>
    <x v="11"/>
    <x v="11"/>
    <x v="11"/>
    <x v="0"/>
    <x v="0"/>
    <x v="11"/>
    <x v="0"/>
    <x v="0"/>
    <x v="0"/>
    <x v="0"/>
  </r>
  <r>
    <x v="12"/>
    <x v="12"/>
    <x v="12"/>
    <x v="0"/>
    <x v="0"/>
    <x v="12"/>
    <x v="0"/>
    <x v="0"/>
    <x v="0"/>
    <x v="0"/>
  </r>
  <r>
    <x v="13"/>
    <x v="13"/>
    <x v="13"/>
    <x v="0"/>
    <x v="0"/>
    <x v="13"/>
    <x v="0"/>
    <x v="0"/>
    <x v="0"/>
    <x v="0"/>
  </r>
  <r>
    <x v="14"/>
    <x v="14"/>
    <x v="14"/>
    <x v="0"/>
    <x v="0"/>
    <x v="14"/>
    <x v="0"/>
    <x v="0"/>
    <x v="0"/>
    <x v="0"/>
  </r>
  <r>
    <x v="15"/>
    <x v="15"/>
    <x v="15"/>
    <x v="0"/>
    <x v="0"/>
    <x v="15"/>
    <x v="0"/>
    <x v="0"/>
    <x v="0"/>
    <x v="0"/>
  </r>
  <r>
    <x v="16"/>
    <x v="16"/>
    <x v="16"/>
    <x v="0"/>
    <x v="0"/>
    <x v="16"/>
    <x v="0"/>
    <x v="0"/>
    <x v="0"/>
    <x v="0"/>
  </r>
  <r>
    <x v="17"/>
    <x v="17"/>
    <x v="17"/>
    <x v="0"/>
    <x v="0"/>
    <x v="17"/>
    <x v="0"/>
    <x v="0"/>
    <x v="0"/>
    <x v="0"/>
  </r>
  <r>
    <x v="18"/>
    <x v="18"/>
    <x v="18"/>
    <x v="0"/>
    <x v="0"/>
    <x v="18"/>
    <x v="0"/>
    <x v="0"/>
    <x v="0"/>
    <x v="0"/>
  </r>
  <r>
    <x v="19"/>
    <x v="19"/>
    <x v="19"/>
    <x v="0"/>
    <x v="0"/>
    <x v="19"/>
    <x v="0"/>
    <x v="0"/>
    <x v="0"/>
    <x v="0"/>
  </r>
  <r>
    <x v="20"/>
    <x v="20"/>
    <x v="20"/>
    <x v="0"/>
    <x v="0"/>
    <x v="20"/>
    <x v="0"/>
    <x v="0"/>
    <x v="0"/>
    <x v="0"/>
  </r>
  <r>
    <x v="21"/>
    <x v="21"/>
    <x v="21"/>
    <x v="0"/>
    <x v="0"/>
    <x v="21"/>
    <x v="0"/>
    <x v="0"/>
    <x v="0"/>
    <x v="0"/>
  </r>
  <r>
    <x v="22"/>
    <x v="22"/>
    <x v="22"/>
    <x v="0"/>
    <x v="0"/>
    <x v="22"/>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H38:J62" firstHeaderRow="2" firstDataRow="2" firstDataCol="2" rowPageCount="1" colPageCount="1"/>
  <pivotFields count="10">
    <pivotField axis="axisRow" compact="0" outline="0" subtotalTop="0" showAll="0" includeNewItemsInFilter="1" sortType="ascending" defaultSubtotal="0">
      <items count="38">
        <item x="22"/>
        <item x="21"/>
        <item x="20"/>
        <item x="19"/>
        <item x="18"/>
        <item x="17"/>
        <item x="16"/>
        <item x="15"/>
        <item x="14"/>
        <item x="13"/>
        <item x="12"/>
        <item x="11"/>
        <item x="10"/>
        <item x="9"/>
        <item x="8"/>
        <item x="7"/>
        <item x="6"/>
        <item x="5"/>
        <item x="4"/>
        <item x="3"/>
        <item x="2"/>
        <item x="1"/>
        <item m="1" x="37"/>
        <item m="1" x="33"/>
        <item m="1" x="28"/>
        <item m="1" x="23"/>
        <item m="1" x="30"/>
        <item m="1" x="25"/>
        <item m="1" x="34"/>
        <item m="1" x="36"/>
        <item m="1" x="32"/>
        <item m="1" x="27"/>
        <item m="1" x="35"/>
        <item x="0"/>
        <item m="1" x="31"/>
        <item m="1" x="29"/>
        <item m="1" x="26"/>
        <item m="1" x="24"/>
      </items>
    </pivotField>
    <pivotField axis="axisRow" compact="0" outline="0" subtotalTop="0" showAll="0" includeNewItemsInFilter="1" defaultSubtotal="0">
      <items count="38">
        <item x="5"/>
        <item m="1" x="26"/>
        <item x="10"/>
        <item x="6"/>
        <item x="1"/>
        <item x="13"/>
        <item x="15"/>
        <item x="20"/>
        <item x="19"/>
        <item m="1" x="35"/>
        <item x="18"/>
        <item m="1" x="32"/>
        <item x="21"/>
        <item x="22"/>
        <item x="7"/>
        <item m="1" x="31"/>
        <item x="3"/>
        <item x="11"/>
        <item x="2"/>
        <item m="1" x="25"/>
        <item m="1" x="33"/>
        <item x="14"/>
        <item m="1" x="23"/>
        <item x="16"/>
        <item x="8"/>
        <item m="1" x="34"/>
        <item m="1" x="27"/>
        <item m="1" x="37"/>
        <item x="12"/>
        <item x="4"/>
        <item m="1" x="29"/>
        <item m="1" x="28"/>
        <item m="1" x="30"/>
        <item x="0"/>
        <item m="1" x="24"/>
        <item m="1" x="36"/>
        <item x="9"/>
        <item x="17"/>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name="Data2" dataField="1"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Page" compact="0" outline="0" subtotalTop="0" showAll="0" includeNewItemsInFilter="1" sortType="ascending">
      <items count="19">
        <item h="1" m="1" x="8"/>
        <item h="1" m="1" x="14"/>
        <item h="1" m="1" x="4"/>
        <item h="1" m="1" x="10"/>
        <item h="1" m="1" x="16"/>
        <item h="1" m="1" x="6"/>
        <item h="1" m="1" x="12"/>
        <item h="1" m="1" x="2"/>
        <item h="1" m="1" x="9"/>
        <item h="1" m="1" x="15"/>
        <item h="1" m="1" x="5"/>
        <item m="1" x="11"/>
        <item m="1" x="17"/>
        <item m="1" x="7"/>
        <item m="1" x="13"/>
        <item m="1" x="3"/>
        <item m="1" x="1"/>
        <item x="0"/>
        <item t="default"/>
      </items>
    </pivotField>
  </pivotFields>
  <rowFields count="2">
    <field x="0"/>
    <field x="1"/>
  </rowFields>
  <rowItems count="23">
    <i>
      <x/>
      <x v="13"/>
    </i>
    <i>
      <x v="1"/>
      <x v="12"/>
    </i>
    <i>
      <x v="2"/>
      <x v="7"/>
    </i>
    <i>
      <x v="3"/>
      <x v="8"/>
    </i>
    <i>
      <x v="4"/>
      <x v="10"/>
    </i>
    <i>
      <x v="5"/>
      <x v="37"/>
    </i>
    <i>
      <x v="6"/>
      <x v="23"/>
    </i>
    <i>
      <x v="7"/>
      <x v="6"/>
    </i>
    <i>
      <x v="8"/>
      <x v="21"/>
    </i>
    <i>
      <x v="9"/>
      <x v="5"/>
    </i>
    <i>
      <x v="10"/>
      <x v="28"/>
    </i>
    <i>
      <x v="11"/>
      <x v="17"/>
    </i>
    <i>
      <x v="12"/>
      <x v="2"/>
    </i>
    <i>
      <x v="13"/>
      <x v="36"/>
    </i>
    <i>
      <x v="14"/>
      <x v="24"/>
    </i>
    <i>
      <x v="15"/>
      <x v="14"/>
    </i>
    <i>
      <x v="16"/>
      <x v="3"/>
    </i>
    <i>
      <x v="17"/>
      <x/>
    </i>
    <i>
      <x v="18"/>
      <x v="29"/>
    </i>
    <i>
      <x v="19"/>
      <x v="16"/>
    </i>
    <i>
      <x v="20"/>
      <x v="18"/>
    </i>
    <i>
      <x v="21"/>
      <x v="4"/>
    </i>
    <i>
      <x v="33"/>
      <x v="33"/>
    </i>
  </rowItems>
  <colItems count="1">
    <i/>
  </colItems>
  <pageFields count="1">
    <pageField fld="9" item="17" hier="0"/>
  </pageFields>
  <dataFields count="1">
    <dataField name="Sum of Data2" fld="5" baseField="0" baseItem="0"/>
  </dataFields>
  <formats count="5">
    <format dxfId="53">
      <pivotArea type="all" dataOnly="0" outline="0" fieldPosition="0"/>
    </format>
    <format dxfId="52">
      <pivotArea field="9" type="button" dataOnly="0" labelOnly="1" outline="0" axis="axisPage" fieldPosition="0"/>
    </format>
    <format dxfId="51">
      <pivotArea dataOnly="0" labelOnly="1" outline="0" fieldPosition="0">
        <references count="1">
          <reference field="9" count="1">
            <x v="11"/>
          </reference>
        </references>
      </pivotArea>
    </format>
    <format dxfId="50">
      <pivotArea type="all" dataOnly="0" outline="0" fieldPosition="0"/>
    </format>
    <format dxfId="49">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800-000001000000}" autoFormatId="16" applyNumberFormats="0" applyBorderFormats="0" applyFontFormats="0" applyPatternFormats="0" applyAlignmentFormats="0" applyWidthHeightFormats="0">
  <queryTableRefresh nextId="11" unboundColumnsLeft="1">
    <queryTableFields count="7">
      <queryTableField id="10" dataBound="0" tableColumnId="9"/>
      <queryTableField id="1" name="YearCode" tableColumnId="1"/>
      <queryTableField id="2" name="FormRef" tableColumnId="2"/>
      <queryTableField id="3" name="AuthCode" tableColumnId="3"/>
      <queryTableField id="4" name="RowRef" tableColumnId="4"/>
      <queryTableField id="5" name="StandDesc" tableColumnId="5"/>
      <queryTableField id="7" name="Data" tableColumnId="7"/>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Translate" displayName="tblTranslate" ref="B2:E1437" totalsRowShown="0" headerRowDxfId="48" dataDxfId="47">
  <autoFilter ref="B2:E1437" xr:uid="{00000000-0009-0000-0100-000001000000}">
    <filterColumn colId="0">
      <filters>
        <filter val="Cells J10, J11 and J12 above come from the Local Government Police Settlement, they must be repeated in cells G10, G11 and G12 which is why those cells are locked."/>
      </filters>
    </filterColumn>
  </autoFilter>
  <sortState xmlns:xlrd2="http://schemas.microsoft.com/office/spreadsheetml/2017/richdata2" ref="B3:E1391">
    <sortCondition sortBy="cellColor" ref="B2:B1391" dxfId="46"/>
  </sortState>
  <tableColumns count="4">
    <tableColumn id="1" xr3:uid="{00000000-0010-0000-0000-000001000000}" name="English" dataDxfId="45"/>
    <tableColumn id="3" xr3:uid="{00000000-0010-0000-0000-000003000000}" name="Line Info E" dataDxfId="44"/>
    <tableColumn id="2" xr3:uid="{00000000-0010-0000-0000-000002000000}" name="Welsh" dataDxfId="43"/>
    <tableColumn id="4" xr3:uid="{00000000-0010-0000-0000-000004000000}" name="Line Info W"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Lines" displayName="tblLines" ref="H2:I169" totalsRowShown="0" headerRowDxfId="41" dataDxfId="40">
  <autoFilter ref="H2:I169" xr:uid="{00000000-0009-0000-0100-000002000000}"/>
  <tableColumns count="2">
    <tableColumn id="1" xr3:uid="{00000000-0010-0000-0100-000001000000}" name="Line Info E" dataDxfId="39"/>
    <tableColumn id="2" xr3:uid="{00000000-0010-0000-0100-000002000000}" name="Line Info W" dataDxfId="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02000000}" name="AllRows" displayName="AllRows" ref="T3:W19" totalsRowShown="0" headerRowDxfId="37" tableBorderDxfId="36">
  <autoFilter ref="T3:W19" xr:uid="{00000000-0009-0000-0100-000052000000}"/>
  <tableColumns count="4">
    <tableColumn id="1" xr3:uid="{00000000-0010-0000-0200-000001000000}" name="Row" dataDxfId="35"/>
    <tableColumn id="2" xr3:uid="{00000000-0010-0000-0200-000002000000}" name="Col" dataDxfId="34"/>
    <tableColumn id="3" xr3:uid="{00000000-0010-0000-0200-000003000000}" name="Y/Z" dataDxfId="33"/>
    <tableColumn id="7" xr3:uid="{00000000-0010-0000-0200-000007000000}" name="Column1" dataDxfId="3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3000000}" name="DataIn" displayName="DataIn" ref="AD3:AJ67" tableType="queryTable" totalsRowShown="0" headerRowDxfId="31" dataDxfId="30">
  <autoFilter ref="AD3:AJ67" xr:uid="{00000000-0009-0000-0100-000054000000}"/>
  <tableColumns count="7">
    <tableColumn id="9" xr3:uid="{00000000-0010-0000-0300-000009000000}" uniqueName="9" name="Lookup" queryTableFieldId="10" dataDxfId="29">
      <calculatedColumnFormula>AG4&amp;"_"&amp;AH4&amp;"_"&amp;AE4</calculatedColumnFormula>
    </tableColumn>
    <tableColumn id="1" xr3:uid="{00000000-0010-0000-0300-000001000000}" uniqueName="1" name="YearCode" queryTableFieldId="1" dataDxfId="28"/>
    <tableColumn id="2" xr3:uid="{00000000-0010-0000-0300-000002000000}" uniqueName="2" name="FormRef" queryTableFieldId="2" dataDxfId="27"/>
    <tableColumn id="3" xr3:uid="{00000000-0010-0000-0300-000003000000}" uniqueName="3" name="AuthCode" queryTableFieldId="3" dataDxfId="26"/>
    <tableColumn id="4" xr3:uid="{00000000-0010-0000-0300-000004000000}" uniqueName="4" name="RowRef" queryTableFieldId="4" dataDxfId="25"/>
    <tableColumn id="5" xr3:uid="{00000000-0010-0000-0300-000005000000}" uniqueName="5" name="StandDesc" queryTableFieldId="5" dataDxfId="24"/>
    <tableColumn id="7" xr3:uid="{00000000-0010-0000-0300-000007000000}" uniqueName="7" name="Data" queryTableFieldId="7" dataDxfId="2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gov.wales/statistics-and-research/council-tax-levels/budget-requirements-data-collection/?skip=1&amp;lang=en" TargetMode="External"/><Relationship Id="rId2" Type="http://schemas.openxmlformats.org/officeDocument/2006/relationships/hyperlink" Target="https://llyw.cymru/setliad-yr-heddlu-dros-dro-2021-i-2022" TargetMode="External"/><Relationship Id="rId1" Type="http://schemas.openxmlformats.org/officeDocument/2006/relationships/hyperlink" Target="https://gov.wales/police-settlement-provisional-2021-2022"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gov.wales/statistics-and-research/council-tax-levels/budget-requirements-data-collection/?skip=1&amp;lang=c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gov.wales/police-settlement-final-2023-2024" TargetMode="External"/><Relationship Id="rId7" Type="http://schemas.openxmlformats.org/officeDocument/2006/relationships/vmlDrawing" Target="../drawings/vmlDrawing3.vml"/><Relationship Id="rId2" Type="http://schemas.openxmlformats.org/officeDocument/2006/relationships/hyperlink" Target="file:///D:\Users\CoxJ\AppData\Local\Microsoft\Windows\coxj\Final%20police%20settlement%20+%20CT1%20L.26%20by%20LA%202019-20" TargetMode="External"/><Relationship Id="rId1" Type="http://schemas.openxmlformats.org/officeDocument/2006/relationships/pivotTable" Target="../pivotTables/pivotTable1.xml"/><Relationship Id="rId6" Type="http://schemas.openxmlformats.org/officeDocument/2006/relationships/printerSettings" Target="../printerSettings/printerSettings7.bin"/><Relationship Id="rId5" Type="http://schemas.openxmlformats.org/officeDocument/2006/relationships/hyperlink" Target="https://www.gov.wales/police-settlement-2024-2025" TargetMode="External"/><Relationship Id="rId4" Type="http://schemas.openxmlformats.org/officeDocument/2006/relationships/hyperlink" Target="https://gov.wales/police-settlement-final-2020-202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38E1-00A5-4051-91FE-98137F244CCB}">
  <sheetPr>
    <tabColor rgb="FFFFCC99"/>
  </sheetPr>
  <dimension ref="A2:R40"/>
  <sheetViews>
    <sheetView workbookViewId="0">
      <pane xSplit="2" ySplit="3" topLeftCell="C4" activePane="bottomRight" state="frozen"/>
      <selection pane="topRight" activeCell="C1" sqref="C1"/>
      <selection pane="bottomLeft" activeCell="A4" sqref="A4"/>
      <selection pane="bottomRight" activeCell="S22" sqref="S22"/>
    </sheetView>
  </sheetViews>
  <sheetFormatPr defaultRowHeight="15.5" x14ac:dyDescent="0.35"/>
  <cols>
    <col min="2" max="2" width="20.765625" bestFit="1" customWidth="1"/>
    <col min="3" max="3" width="2.765625" customWidth="1"/>
    <col min="4" max="4" width="8.07421875" bestFit="1" customWidth="1"/>
    <col min="5" max="5" width="2.765625" customWidth="1"/>
    <col min="6" max="6" width="25.53515625" bestFit="1" customWidth="1"/>
    <col min="7" max="7" width="2.765625" customWidth="1"/>
    <col min="8" max="8" width="15.3046875" bestFit="1" customWidth="1"/>
    <col min="9" max="9" width="2.765625" hidden="1" customWidth="1"/>
    <col min="10" max="10" width="12.23046875" bestFit="1" customWidth="1"/>
    <col min="11" max="11" width="2.765625" customWidth="1"/>
    <col min="13" max="13" width="2.765625" customWidth="1"/>
    <col min="14" max="14" width="9.4609375" bestFit="1" customWidth="1"/>
    <col min="15" max="15" width="2.765625" customWidth="1"/>
    <col min="16" max="16" width="11.765625" customWidth="1"/>
    <col min="18" max="18" width="11.69140625" customWidth="1"/>
    <col min="19" max="19" width="10.07421875" bestFit="1" customWidth="1"/>
    <col min="20" max="20" width="8.07421875" bestFit="1" customWidth="1"/>
  </cols>
  <sheetData>
    <row r="2" spans="1:18" x14ac:dyDescent="0.35">
      <c r="L2" s="631" t="s">
        <v>3487</v>
      </c>
      <c r="P2" s="631" t="s">
        <v>3488</v>
      </c>
      <c r="Q2" s="10" t="s">
        <v>3489</v>
      </c>
    </row>
    <row r="3" spans="1:18" ht="15" customHeight="1" x14ac:dyDescent="0.35">
      <c r="B3" s="531" t="s">
        <v>3490</v>
      </c>
      <c r="C3" s="531"/>
      <c r="D3" s="410" t="s">
        <v>3491</v>
      </c>
      <c r="E3" s="531"/>
      <c r="F3" s="531" t="s">
        <v>3492</v>
      </c>
      <c r="G3" s="531"/>
      <c r="H3" s="531" t="s">
        <v>3493</v>
      </c>
      <c r="I3" s="531"/>
      <c r="J3" s="531" t="s">
        <v>3494</v>
      </c>
      <c r="K3" s="531"/>
      <c r="L3" s="632"/>
      <c r="M3" s="531"/>
      <c r="N3" s="531" t="s">
        <v>1293</v>
      </c>
      <c r="O3" s="531"/>
      <c r="P3" s="632"/>
      <c r="Q3" s="10" t="s">
        <v>3495</v>
      </c>
      <c r="R3" s="10" t="s">
        <v>3496</v>
      </c>
    </row>
    <row r="5" spans="1:18" x14ac:dyDescent="0.35">
      <c r="A5">
        <v>1</v>
      </c>
      <c r="B5" t="s">
        <v>3497</v>
      </c>
      <c r="D5" s="10" t="s">
        <v>3498</v>
      </c>
      <c r="F5" t="s">
        <v>3499</v>
      </c>
      <c r="H5" t="s">
        <v>3500</v>
      </c>
      <c r="J5" t="s">
        <v>3515</v>
      </c>
      <c r="L5" s="532" t="s">
        <v>121</v>
      </c>
      <c r="N5" s="533"/>
      <c r="P5" s="534" t="s">
        <v>137</v>
      </c>
      <c r="Q5" s="10" t="s">
        <v>3501</v>
      </c>
    </row>
    <row r="6" spans="1:18" x14ac:dyDescent="0.35">
      <c r="D6" s="10"/>
      <c r="H6" t="s">
        <v>3502</v>
      </c>
      <c r="J6" t="s">
        <v>3503</v>
      </c>
      <c r="L6" s="532" t="s">
        <v>121</v>
      </c>
      <c r="N6" s="533"/>
      <c r="P6" s="535"/>
      <c r="Q6" s="10" t="s">
        <v>3501</v>
      </c>
      <c r="R6" s="536"/>
    </row>
    <row r="7" spans="1:18" x14ac:dyDescent="0.35">
      <c r="H7" t="s">
        <v>225</v>
      </c>
      <c r="J7" t="s">
        <v>3512</v>
      </c>
      <c r="L7" s="532" t="s">
        <v>121</v>
      </c>
      <c r="N7" s="537"/>
      <c r="P7" s="538"/>
      <c r="Q7" s="10" t="s">
        <v>165</v>
      </c>
      <c r="R7" s="536">
        <v>44944</v>
      </c>
    </row>
    <row r="8" spans="1:18" x14ac:dyDescent="0.35">
      <c r="H8" t="s">
        <v>3513</v>
      </c>
      <c r="J8" t="s">
        <v>3514</v>
      </c>
      <c r="L8" s="532" t="s">
        <v>121</v>
      </c>
      <c r="N8" s="537"/>
      <c r="P8" s="538"/>
      <c r="Q8" s="10"/>
      <c r="R8" s="536"/>
    </row>
    <row r="9" spans="1:18" x14ac:dyDescent="0.35">
      <c r="H9" t="s">
        <v>3516</v>
      </c>
      <c r="J9" s="10" t="s">
        <v>3517</v>
      </c>
      <c r="L9" s="287" t="s">
        <v>121</v>
      </c>
      <c r="N9" s="537"/>
      <c r="P9" s="539"/>
      <c r="Q9" s="10" t="s">
        <v>3501</v>
      </c>
    </row>
    <row r="10" spans="1:18" x14ac:dyDescent="0.35">
      <c r="B10" s="531"/>
      <c r="C10" s="531"/>
      <c r="D10" s="531"/>
      <c r="E10" s="531"/>
      <c r="F10" s="531"/>
      <c r="G10" s="531"/>
      <c r="H10" s="531"/>
      <c r="I10" s="531"/>
      <c r="J10" s="531"/>
      <c r="K10" s="531"/>
      <c r="L10" s="531"/>
      <c r="M10" s="531"/>
      <c r="N10" s="531"/>
      <c r="O10" s="531"/>
      <c r="P10" s="531"/>
    </row>
    <row r="12" spans="1:18" x14ac:dyDescent="0.35">
      <c r="A12">
        <v>2</v>
      </c>
      <c r="B12" t="s">
        <v>29</v>
      </c>
      <c r="D12" t="s">
        <v>3504</v>
      </c>
      <c r="F12" s="10" t="s">
        <v>3499</v>
      </c>
      <c r="H12" t="s">
        <v>3518</v>
      </c>
      <c r="J12" t="s">
        <v>3519</v>
      </c>
      <c r="L12" s="532" t="s">
        <v>121</v>
      </c>
      <c r="N12" s="537"/>
      <c r="P12" s="540" t="s">
        <v>126</v>
      </c>
    </row>
    <row r="13" spans="1:18" x14ac:dyDescent="0.35">
      <c r="F13" s="10" t="s">
        <v>3346</v>
      </c>
      <c r="J13" t="s">
        <v>3520</v>
      </c>
      <c r="L13" s="532" t="s">
        <v>127</v>
      </c>
      <c r="N13" s="537"/>
      <c r="P13" s="541"/>
      <c r="Q13" t="s">
        <v>165</v>
      </c>
      <c r="R13" s="536">
        <v>44944</v>
      </c>
    </row>
    <row r="14" spans="1:18" x14ac:dyDescent="0.35">
      <c r="F14" s="10"/>
      <c r="H14" t="s">
        <v>3521</v>
      </c>
      <c r="J14" t="s">
        <v>3522</v>
      </c>
      <c r="L14" s="532" t="s">
        <v>127</v>
      </c>
      <c r="N14" s="537"/>
      <c r="P14" s="541"/>
      <c r="Q14" t="s">
        <v>165</v>
      </c>
      <c r="R14" s="536">
        <v>44944</v>
      </c>
    </row>
    <row r="15" spans="1:18" x14ac:dyDescent="0.35">
      <c r="L15" s="532"/>
      <c r="N15" s="537"/>
      <c r="P15" s="541"/>
    </row>
    <row r="16" spans="1:18" x14ac:dyDescent="0.35">
      <c r="B16" s="10"/>
      <c r="L16" s="532"/>
      <c r="N16" s="537"/>
      <c r="P16" s="542"/>
    </row>
    <row r="18" spans="1:18" s="546" customFormat="1" x14ac:dyDescent="0.35">
      <c r="F18" s="547"/>
      <c r="J18" s="432"/>
      <c r="L18" s="548"/>
      <c r="M18" s="548"/>
      <c r="N18" s="548"/>
      <c r="O18" s="548"/>
      <c r="P18" s="548"/>
    </row>
    <row r="19" spans="1:18" x14ac:dyDescent="0.35">
      <c r="A19">
        <v>3</v>
      </c>
      <c r="B19" t="s">
        <v>95</v>
      </c>
      <c r="D19" t="s">
        <v>3504</v>
      </c>
      <c r="J19" s="10" t="s">
        <v>3505</v>
      </c>
      <c r="L19" s="287" t="s">
        <v>127</v>
      </c>
      <c r="N19" s="537"/>
      <c r="P19" s="540" t="s">
        <v>126</v>
      </c>
    </row>
    <row r="20" spans="1:18" x14ac:dyDescent="0.35">
      <c r="J20" s="10" t="s">
        <v>3506</v>
      </c>
      <c r="L20" s="287" t="s">
        <v>127</v>
      </c>
      <c r="N20" s="545"/>
      <c r="P20" s="542"/>
    </row>
    <row r="21" spans="1:18" x14ac:dyDescent="0.35">
      <c r="B21" s="531"/>
      <c r="C21" s="531"/>
      <c r="D21" s="531"/>
      <c r="E21" s="531"/>
      <c r="F21" s="531"/>
      <c r="G21" s="531"/>
      <c r="H21" s="531"/>
      <c r="I21" s="531"/>
      <c r="J21" s="531"/>
      <c r="K21" s="531"/>
      <c r="L21" s="531"/>
      <c r="M21" s="531"/>
      <c r="N21" s="531"/>
      <c r="O21" s="531"/>
      <c r="P21" s="531"/>
    </row>
    <row r="23" spans="1:18" x14ac:dyDescent="0.35">
      <c r="A23">
        <v>4</v>
      </c>
      <c r="B23" t="s">
        <v>1293</v>
      </c>
      <c r="D23" t="s">
        <v>3504</v>
      </c>
      <c r="J23" s="10" t="s">
        <v>3506</v>
      </c>
      <c r="N23" s="537"/>
      <c r="P23" s="540" t="s">
        <v>126</v>
      </c>
    </row>
    <row r="24" spans="1:18" x14ac:dyDescent="0.35">
      <c r="J24" s="10" t="s">
        <v>3506</v>
      </c>
      <c r="N24" s="537"/>
      <c r="P24" s="541"/>
    </row>
    <row r="25" spans="1:18" x14ac:dyDescent="0.35">
      <c r="J25" s="10" t="s">
        <v>3506</v>
      </c>
      <c r="N25" s="537"/>
      <c r="P25" s="541"/>
    </row>
    <row r="26" spans="1:18" x14ac:dyDescent="0.35">
      <c r="J26" s="10" t="s">
        <v>3506</v>
      </c>
      <c r="L26" s="532"/>
      <c r="N26" s="537"/>
      <c r="P26" s="542"/>
    </row>
    <row r="27" spans="1:18" x14ac:dyDescent="0.35">
      <c r="B27" s="531"/>
      <c r="C27" s="531"/>
      <c r="D27" s="531"/>
      <c r="E27" s="531"/>
      <c r="F27" s="531"/>
      <c r="G27" s="531"/>
      <c r="H27" s="531"/>
      <c r="I27" s="531"/>
      <c r="J27" s="531"/>
      <c r="K27" s="531"/>
      <c r="L27" s="543"/>
      <c r="M27" s="531"/>
      <c r="N27" s="531"/>
      <c r="O27" s="531"/>
      <c r="P27" s="543"/>
    </row>
    <row r="28" spans="1:18" x14ac:dyDescent="0.35">
      <c r="L28" s="532"/>
      <c r="P28" s="532"/>
    </row>
    <row r="29" spans="1:18" x14ac:dyDescent="0.35">
      <c r="A29">
        <v>5</v>
      </c>
      <c r="B29" t="s">
        <v>3507</v>
      </c>
      <c r="D29" t="s">
        <v>3498</v>
      </c>
      <c r="F29" t="s">
        <v>3499</v>
      </c>
      <c r="H29" t="s">
        <v>3524</v>
      </c>
      <c r="J29" t="s">
        <v>3525</v>
      </c>
      <c r="L29" s="532" t="s">
        <v>121</v>
      </c>
      <c r="N29" s="537"/>
      <c r="P29" s="544" t="s">
        <v>137</v>
      </c>
      <c r="Q29" s="10" t="s">
        <v>165</v>
      </c>
      <c r="R29" s="536">
        <v>44944</v>
      </c>
    </row>
    <row r="30" spans="1:18" x14ac:dyDescent="0.35">
      <c r="L30" s="532"/>
    </row>
    <row r="31" spans="1:18" x14ac:dyDescent="0.35">
      <c r="L31" s="532"/>
    </row>
    <row r="33" spans="1:17" x14ac:dyDescent="0.35">
      <c r="A33">
        <v>6</v>
      </c>
      <c r="B33" t="s">
        <v>3508</v>
      </c>
      <c r="P33" s="544" t="s">
        <v>137</v>
      </c>
    </row>
    <row r="37" spans="1:17" x14ac:dyDescent="0.35">
      <c r="A37">
        <v>7</v>
      </c>
      <c r="B37" t="s">
        <v>3509</v>
      </c>
      <c r="P37" s="544" t="s">
        <v>137</v>
      </c>
    </row>
    <row r="40" spans="1:17" x14ac:dyDescent="0.35">
      <c r="A40">
        <v>8</v>
      </c>
      <c r="B40" t="s">
        <v>3510</v>
      </c>
      <c r="F40" t="s">
        <v>3499</v>
      </c>
      <c r="H40" t="s">
        <v>3362</v>
      </c>
      <c r="J40" t="s">
        <v>3523</v>
      </c>
      <c r="L40" s="532" t="s">
        <v>121</v>
      </c>
      <c r="P40" s="544" t="s">
        <v>137</v>
      </c>
      <c r="Q40" t="s">
        <v>3501</v>
      </c>
    </row>
  </sheetData>
  <sheetProtection sheet="1" objects="1" scenarios="1"/>
  <mergeCells count="2">
    <mergeCell ref="L2:L3"/>
    <mergeCell ref="P2:P3"/>
  </mergeCells>
  <pageMargins left="0.7" right="0.7" top="0.75" bottom="0.75" header="0.3" footer="0.3"/>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99"/>
  </sheetPr>
  <dimension ref="B1:AN67"/>
  <sheetViews>
    <sheetView workbookViewId="0">
      <selection activeCell="Z4" sqref="Z4"/>
    </sheetView>
  </sheetViews>
  <sheetFormatPr defaultRowHeight="15.5" x14ac:dyDescent="0.35"/>
  <cols>
    <col min="1" max="1" width="2.765625" customWidth="1"/>
    <col min="2" max="2" width="7.53515625" bestFit="1" customWidth="1"/>
    <col min="3" max="3" width="5.3046875" bestFit="1" customWidth="1"/>
    <col min="4" max="4" width="5.23046875" bestFit="1" customWidth="1"/>
    <col min="5" max="5" width="6.53515625" bestFit="1" customWidth="1"/>
    <col min="6" max="6" width="6.07421875" bestFit="1" customWidth="1"/>
    <col min="10" max="11" width="3.3046875" bestFit="1" customWidth="1"/>
    <col min="12" max="12" width="4.07421875" bestFit="1" customWidth="1"/>
    <col min="13" max="13" width="4.23046875" bestFit="1" customWidth="1"/>
    <col min="14" max="14" width="9.3046875" bestFit="1" customWidth="1"/>
    <col min="15" max="15" width="8.69140625" bestFit="1" customWidth="1"/>
    <col min="16" max="16" width="4" bestFit="1" customWidth="1"/>
    <col min="17" max="17" width="5.4609375" bestFit="1" customWidth="1"/>
    <col min="18" max="18" width="2.765625" customWidth="1"/>
    <col min="19" max="19" width="7.23046875" customWidth="1"/>
    <col min="20" max="20" width="5.4609375" customWidth="1"/>
    <col min="21" max="21" width="4.4609375" customWidth="1"/>
    <col min="22" max="22" width="4.07421875" customWidth="1"/>
    <col min="23" max="23" width="39.84375" bestFit="1" customWidth="1"/>
    <col min="24" max="29" width="1.69140625" customWidth="1"/>
    <col min="30" max="30" width="10.07421875" bestFit="1" customWidth="1"/>
    <col min="31" max="31" width="5.4609375" customWidth="1"/>
    <col min="32" max="32" width="5.53515625" customWidth="1"/>
    <col min="33" max="33" width="5.23046875" customWidth="1"/>
    <col min="34" max="34" width="5.07421875" customWidth="1"/>
    <col min="35" max="35" width="30.23046875" customWidth="1"/>
    <col min="36" max="36" width="9.53515625" customWidth="1"/>
    <col min="37" max="37" width="2.765625" customWidth="1"/>
    <col min="38" max="40" width="56" style="1" customWidth="1"/>
  </cols>
  <sheetData>
    <row r="1" spans="2:40" x14ac:dyDescent="0.35">
      <c r="S1" s="276" t="s">
        <v>3359</v>
      </c>
      <c r="AI1" s="530" t="str">
        <f>"&gt;="&amp;Year-202</f>
        <v>&gt;=202223</v>
      </c>
      <c r="AJ1" s="306" t="s">
        <v>3445</v>
      </c>
    </row>
    <row r="2" spans="2:40" x14ac:dyDescent="0.35">
      <c r="B2" s="278" t="s">
        <v>3363</v>
      </c>
      <c r="AD2" s="278" t="s">
        <v>3529</v>
      </c>
    </row>
    <row r="3" spans="2:40" x14ac:dyDescent="0.35">
      <c r="B3" s="2" t="s">
        <v>56</v>
      </c>
      <c r="C3" s="2" t="s">
        <v>49</v>
      </c>
      <c r="D3" s="2" t="s">
        <v>50</v>
      </c>
      <c r="E3" s="2" t="s">
        <v>51</v>
      </c>
      <c r="F3" s="2" t="s">
        <v>55</v>
      </c>
      <c r="G3" s="2" t="s">
        <v>3351</v>
      </c>
      <c r="H3" s="2" t="s">
        <v>3352</v>
      </c>
      <c r="I3" s="2" t="s">
        <v>3353</v>
      </c>
      <c r="J3" s="2" t="s">
        <v>3354</v>
      </c>
      <c r="K3" s="2" t="s">
        <v>3355</v>
      </c>
      <c r="L3" s="2" t="s">
        <v>3356</v>
      </c>
      <c r="M3" s="2" t="s">
        <v>3082</v>
      </c>
      <c r="N3" s="2" t="s">
        <v>3349</v>
      </c>
      <c r="O3" s="2" t="s">
        <v>3357</v>
      </c>
      <c r="P3" s="2" t="s">
        <v>3358</v>
      </c>
      <c r="Q3" s="2" t="s">
        <v>3315</v>
      </c>
      <c r="S3" s="10"/>
      <c r="T3" s="280" t="s">
        <v>230</v>
      </c>
      <c r="U3" s="281" t="s">
        <v>231</v>
      </c>
      <c r="V3" s="279" t="s">
        <v>3368</v>
      </c>
      <c r="W3" s="276" t="s">
        <v>3367</v>
      </c>
      <c r="X3" s="276"/>
      <c r="Y3" s="276"/>
      <c r="Z3" s="4"/>
      <c r="AA3" s="4"/>
      <c r="AB3" s="4"/>
      <c r="AC3" s="4"/>
      <c r="AD3" s="282" t="s">
        <v>3361</v>
      </c>
      <c r="AE3" s="282" t="s">
        <v>56</v>
      </c>
      <c r="AF3" s="282" t="s">
        <v>49</v>
      </c>
      <c r="AG3" s="282" t="s">
        <v>55</v>
      </c>
      <c r="AH3" s="282" t="s">
        <v>50</v>
      </c>
      <c r="AI3" s="282" t="s">
        <v>3360</v>
      </c>
      <c r="AJ3" s="282" t="s">
        <v>14</v>
      </c>
    </row>
    <row r="4" spans="2:40" x14ac:dyDescent="0.35">
      <c r="B4" s="2" t="str">
        <f t="shared" ref="B4:B17" si="0">LEFT(Year,4)&amp;RIGHT(Year,2)</f>
        <v>202425</v>
      </c>
      <c r="C4" s="2" t="s">
        <v>29</v>
      </c>
      <c r="D4" s="2">
        <f t="shared" ref="D4:D19" si="1">T4</f>
        <v>1</v>
      </c>
      <c r="E4" s="2">
        <f t="shared" ref="E4:E19" si="2">U4</f>
        <v>1</v>
      </c>
      <c r="F4" s="2">
        <f t="shared" ref="F4:F17" si="3">UANumber</f>
        <v>0</v>
      </c>
      <c r="G4" s="20" t="str">
        <f t="shared" ref="G4:G19" si="4">VLOOKUP($D4,LineData,12,FALSE)</f>
        <v/>
      </c>
      <c r="H4" s="20" t="str">
        <f t="shared" ref="H4:H19" si="5">VLOOKUP($D4,LineData,13,FALSE)</f>
        <v/>
      </c>
      <c r="I4" s="20" t="str">
        <f t="shared" ref="I4:I19" si="6">VLOOKUP($D4,LineData,14,FALSE)</f>
        <v/>
      </c>
      <c r="J4" s="20">
        <f t="shared" ref="J4:Q13" si="7">VLOOKUP($D4,LineData,20,FALSE)</f>
        <v>0</v>
      </c>
      <c r="K4" s="20">
        <f t="shared" si="7"/>
        <v>0</v>
      </c>
      <c r="L4" s="20">
        <f t="shared" si="7"/>
        <v>0</v>
      </c>
      <c r="M4" s="20">
        <f t="shared" si="7"/>
        <v>0</v>
      </c>
      <c r="N4" s="20">
        <f t="shared" si="7"/>
        <v>0</v>
      </c>
      <c r="O4" s="20">
        <f t="shared" si="7"/>
        <v>0</v>
      </c>
      <c r="P4" s="20">
        <f t="shared" si="7"/>
        <v>0</v>
      </c>
      <c r="Q4" s="277">
        <f t="shared" si="7"/>
        <v>0</v>
      </c>
      <c r="T4" s="1">
        <v>1</v>
      </c>
      <c r="U4" s="1">
        <v>1</v>
      </c>
      <c r="V4" t="s">
        <v>137</v>
      </c>
      <c r="W4" s="1" t="s">
        <v>30</v>
      </c>
      <c r="X4" s="1"/>
      <c r="Z4" s="4"/>
      <c r="AA4" s="4"/>
      <c r="AB4" s="277"/>
      <c r="AC4" s="277"/>
      <c r="AD4" s="282" t="str">
        <f t="shared" ref="AD4:AD35" si="8">AG4&amp;"_"&amp;AH4&amp;"_"&amp;AE4</f>
        <v>562_1_202223</v>
      </c>
      <c r="AE4" s="282">
        <v>202223</v>
      </c>
      <c r="AF4" s="282" t="s">
        <v>29</v>
      </c>
      <c r="AG4" s="282">
        <v>562</v>
      </c>
      <c r="AH4" s="282">
        <v>1</v>
      </c>
      <c r="AI4" s="282" t="s">
        <v>30</v>
      </c>
      <c r="AJ4" s="283">
        <v>127521110</v>
      </c>
      <c r="AL4" s="280" t="s">
        <v>3425</v>
      </c>
    </row>
    <row r="5" spans="2:40" x14ac:dyDescent="0.35">
      <c r="B5" s="2" t="str">
        <f t="shared" si="0"/>
        <v>202425</v>
      </c>
      <c r="C5" s="2" t="s">
        <v>29</v>
      </c>
      <c r="D5" s="2">
        <f t="shared" si="1"/>
        <v>2</v>
      </c>
      <c r="E5" s="2">
        <f t="shared" si="2"/>
        <v>1</v>
      </c>
      <c r="F5" s="2">
        <f t="shared" si="3"/>
        <v>0</v>
      </c>
      <c r="G5" s="20">
        <f t="shared" si="4"/>
        <v>0</v>
      </c>
      <c r="H5" s="20">
        <f t="shared" si="5"/>
        <v>0</v>
      </c>
      <c r="I5" s="20">
        <f t="shared" si="6"/>
        <v>0</v>
      </c>
      <c r="J5" s="20">
        <f t="shared" si="7"/>
        <v>0</v>
      </c>
      <c r="K5" s="20">
        <f t="shared" si="7"/>
        <v>0</v>
      </c>
      <c r="L5" s="20">
        <f t="shared" si="7"/>
        <v>0</v>
      </c>
      <c r="M5" s="20">
        <f t="shared" si="7"/>
        <v>0</v>
      </c>
      <c r="N5" s="20">
        <f t="shared" si="7"/>
        <v>0</v>
      </c>
      <c r="O5" s="20">
        <f t="shared" si="7"/>
        <v>0</v>
      </c>
      <c r="P5" s="20">
        <f t="shared" si="7"/>
        <v>0</v>
      </c>
      <c r="Q5" s="277">
        <f t="shared" si="7"/>
        <v>0</v>
      </c>
      <c r="T5" s="1">
        <v>2</v>
      </c>
      <c r="U5" s="1">
        <v>1</v>
      </c>
      <c r="W5" s="1" t="s">
        <v>1</v>
      </c>
      <c r="X5" s="1"/>
      <c r="Z5" s="4"/>
      <c r="AA5" s="4"/>
      <c r="AB5" s="277"/>
      <c r="AC5" s="277"/>
      <c r="AD5" s="282" t="str">
        <f t="shared" si="8"/>
        <v>564_1_202223</v>
      </c>
      <c r="AE5" s="282">
        <v>202223</v>
      </c>
      <c r="AF5" s="282" t="s">
        <v>29</v>
      </c>
      <c r="AG5" s="282">
        <v>564</v>
      </c>
      <c r="AH5" s="282">
        <v>1</v>
      </c>
      <c r="AI5" s="282" t="s">
        <v>30</v>
      </c>
      <c r="AJ5" s="283">
        <v>156426778</v>
      </c>
      <c r="AL5" s="291" t="s">
        <v>248</v>
      </c>
      <c r="AM5" s="291" t="s">
        <v>250</v>
      </c>
      <c r="AN5" s="291" t="s">
        <v>3371</v>
      </c>
    </row>
    <row r="6" spans="2:40" x14ac:dyDescent="0.35">
      <c r="B6" s="2" t="str">
        <f t="shared" si="0"/>
        <v>202425</v>
      </c>
      <c r="C6" s="2" t="s">
        <v>29</v>
      </c>
      <c r="D6" s="2">
        <f t="shared" si="1"/>
        <v>3</v>
      </c>
      <c r="E6" s="2">
        <f t="shared" si="2"/>
        <v>1</v>
      </c>
      <c r="F6" s="2">
        <f t="shared" si="3"/>
        <v>0</v>
      </c>
      <c r="G6" s="20">
        <f t="shared" si="4"/>
        <v>0</v>
      </c>
      <c r="H6" s="20">
        <f t="shared" si="5"/>
        <v>0</v>
      </c>
      <c r="I6" s="20">
        <f t="shared" si="6"/>
        <v>0</v>
      </c>
      <c r="J6" s="20">
        <f t="shared" si="7"/>
        <v>0</v>
      </c>
      <c r="K6" s="20">
        <f t="shared" si="7"/>
        <v>0</v>
      </c>
      <c r="L6" s="20">
        <f t="shared" si="7"/>
        <v>0</v>
      </c>
      <c r="M6" s="20">
        <f t="shared" si="7"/>
        <v>0</v>
      </c>
      <c r="N6" s="20">
        <f t="shared" si="7"/>
        <v>0</v>
      </c>
      <c r="O6" s="20">
        <f t="shared" si="7"/>
        <v>0</v>
      </c>
      <c r="P6" s="20">
        <f t="shared" si="7"/>
        <v>0</v>
      </c>
      <c r="Q6" s="277">
        <f t="shared" si="7"/>
        <v>0</v>
      </c>
      <c r="T6" s="1">
        <v>3</v>
      </c>
      <c r="U6" s="1">
        <v>1</v>
      </c>
      <c r="W6" s="1" t="s">
        <v>2</v>
      </c>
      <c r="X6" s="1"/>
      <c r="Z6" s="4"/>
      <c r="AA6" s="4"/>
      <c r="AB6" s="277"/>
      <c r="AC6" s="277"/>
      <c r="AD6" s="282" t="str">
        <f t="shared" si="8"/>
        <v>566_1_202223</v>
      </c>
      <c r="AE6" s="282">
        <v>202223</v>
      </c>
      <c r="AF6" s="282" t="s">
        <v>29</v>
      </c>
      <c r="AG6" s="282">
        <v>566</v>
      </c>
      <c r="AH6" s="282">
        <v>1</v>
      </c>
      <c r="AI6" s="282" t="s">
        <v>30</v>
      </c>
      <c r="AJ6" s="283">
        <v>182268351</v>
      </c>
      <c r="AL6" s="292" t="s">
        <v>3437</v>
      </c>
      <c r="AM6" s="292" t="s">
        <v>3438</v>
      </c>
      <c r="AN6" s="292" t="str">
        <f>IF(Details!$G$2=2,AL6,AM6)</f>
        <v xml:space="preserve">Ar ôl cwblhau’r ffurflen - gwiriwch unrhyw ffigurau sydd gyda fflag eu bod tu hwnt i’r goddefiant (&gt;5%) neu ddim yn hafal i sero wedi'i farcio '1' yn y golofn 'Awtomatig'(gweler yr adran ‘Gwiriadau Rhifyddol’). </v>
      </c>
    </row>
    <row r="7" spans="2:40" x14ac:dyDescent="0.35">
      <c r="B7" s="2" t="str">
        <f t="shared" si="0"/>
        <v>202425</v>
      </c>
      <c r="C7" s="2" t="s">
        <v>29</v>
      </c>
      <c r="D7" s="2">
        <f t="shared" si="1"/>
        <v>4</v>
      </c>
      <c r="E7" s="2">
        <f t="shared" si="2"/>
        <v>1</v>
      </c>
      <c r="F7" s="2">
        <f t="shared" si="3"/>
        <v>0</v>
      </c>
      <c r="G7" s="20">
        <f t="shared" si="4"/>
        <v>0</v>
      </c>
      <c r="H7" s="20">
        <f t="shared" si="5"/>
        <v>0</v>
      </c>
      <c r="I7" s="20">
        <f t="shared" si="6"/>
        <v>0</v>
      </c>
      <c r="J7" s="20">
        <f t="shared" si="7"/>
        <v>0</v>
      </c>
      <c r="K7" s="20">
        <f t="shared" si="7"/>
        <v>0</v>
      </c>
      <c r="L7" s="20">
        <f t="shared" si="7"/>
        <v>0</v>
      </c>
      <c r="M7" s="20">
        <f t="shared" si="7"/>
        <v>0</v>
      </c>
      <c r="N7" s="20">
        <f t="shared" si="7"/>
        <v>0</v>
      </c>
      <c r="O7" s="20">
        <f t="shared" si="7"/>
        <v>0</v>
      </c>
      <c r="P7" s="20">
        <f t="shared" si="7"/>
        <v>0</v>
      </c>
      <c r="Q7" s="277">
        <f t="shared" si="7"/>
        <v>0</v>
      </c>
      <c r="T7" s="1">
        <v>4</v>
      </c>
      <c r="U7" s="1">
        <v>1</v>
      </c>
      <c r="W7" s="1" t="s">
        <v>3364</v>
      </c>
      <c r="X7" s="1"/>
      <c r="Z7" s="4"/>
      <c r="AA7" s="4"/>
      <c r="AB7" s="277"/>
      <c r="AC7" s="277"/>
      <c r="AD7" s="282" t="str">
        <f t="shared" si="8"/>
        <v>568_1_202223</v>
      </c>
      <c r="AE7" s="282">
        <v>202223</v>
      </c>
      <c r="AF7" s="282" t="s">
        <v>29</v>
      </c>
      <c r="AG7" s="282">
        <v>568</v>
      </c>
      <c r="AH7" s="282">
        <v>1</v>
      </c>
      <c r="AI7" s="282" t="s">
        <v>30</v>
      </c>
      <c r="AJ7" s="283">
        <v>346368222</v>
      </c>
      <c r="AL7" s="292" t="s">
        <v>3372</v>
      </c>
      <c r="AM7" s="292" t="s">
        <v>3373</v>
      </c>
      <c r="AN7" s="292" t="str">
        <f>IF(Details!$G$2=2,AL7,AM7)</f>
        <v xml:space="preserve">Mae’r terfynau goddefiant llinell (colofnau M ac N) naill ai wedi eu bennu ymlaen llaw, neu gellir addasu eich hun (ar hyn o bryd wedi eu gosod at 50 a 5%-celloedd M7 a N7).   </v>
      </c>
    </row>
    <row r="8" spans="2:40" x14ac:dyDescent="0.35">
      <c r="B8" s="2" t="str">
        <f t="shared" si="0"/>
        <v>202425</v>
      </c>
      <c r="C8" s="2" t="s">
        <v>29</v>
      </c>
      <c r="D8" s="2">
        <f t="shared" si="1"/>
        <v>5</v>
      </c>
      <c r="E8" s="2">
        <f t="shared" si="2"/>
        <v>1</v>
      </c>
      <c r="F8" s="2">
        <f t="shared" si="3"/>
        <v>0</v>
      </c>
      <c r="G8" s="20">
        <f t="shared" si="4"/>
        <v>0</v>
      </c>
      <c r="H8" s="20">
        <f t="shared" si="5"/>
        <v>0</v>
      </c>
      <c r="I8" s="20">
        <f t="shared" si="6"/>
        <v>0</v>
      </c>
      <c r="J8" s="20">
        <f t="shared" si="7"/>
        <v>0</v>
      </c>
      <c r="K8" s="20">
        <f t="shared" si="7"/>
        <v>0</v>
      </c>
      <c r="L8" s="20">
        <f t="shared" si="7"/>
        <v>0</v>
      </c>
      <c r="M8" s="20">
        <f t="shared" si="7"/>
        <v>0</v>
      </c>
      <c r="N8" s="20">
        <f t="shared" si="7"/>
        <v>0</v>
      </c>
      <c r="O8" s="20">
        <f t="shared" si="7"/>
        <v>0</v>
      </c>
      <c r="P8" s="20">
        <f t="shared" si="7"/>
        <v>0</v>
      </c>
      <c r="Q8" s="277">
        <f t="shared" si="7"/>
        <v>0</v>
      </c>
      <c r="T8" s="1">
        <v>5</v>
      </c>
      <c r="U8" s="1">
        <v>1</v>
      </c>
      <c r="W8" s="1" t="s">
        <v>3365</v>
      </c>
      <c r="X8" s="1"/>
      <c r="Z8" s="4"/>
      <c r="AA8" s="4"/>
      <c r="AB8" s="277"/>
      <c r="AC8" s="277"/>
      <c r="AD8" s="282" t="str">
        <f t="shared" si="8"/>
        <v>562_2_202223</v>
      </c>
      <c r="AE8" s="282">
        <v>202223</v>
      </c>
      <c r="AF8" s="282" t="s">
        <v>29</v>
      </c>
      <c r="AG8" s="282">
        <v>562</v>
      </c>
      <c r="AH8" s="282">
        <v>2</v>
      </c>
      <c r="AI8" s="282" t="s">
        <v>1</v>
      </c>
      <c r="AJ8" s="283">
        <v>190112</v>
      </c>
      <c r="AL8" s="292" t="s">
        <v>3374</v>
      </c>
      <c r="AM8" s="292" t="s">
        <v>3375</v>
      </c>
      <c r="AN8" s="292" t="str">
        <f>IF(Details!$G$2=2,AL8,AM8)</f>
        <v xml:space="preserve">Os ydych am ychwanegu gwybodaeth ategol i unrhyw res, rhowch yn 'Eich sylwadau', fel arall bydd e-bost yn cadarnhau eich bod yn fodlon ar y ffigurau yn ddigon. </v>
      </c>
    </row>
    <row r="9" spans="2:40" x14ac:dyDescent="0.35">
      <c r="B9" s="2" t="str">
        <f t="shared" si="0"/>
        <v>202425</v>
      </c>
      <c r="C9" s="2" t="s">
        <v>29</v>
      </c>
      <c r="D9" s="2">
        <f t="shared" si="1"/>
        <v>6</v>
      </c>
      <c r="E9" s="2">
        <f t="shared" si="2"/>
        <v>1</v>
      </c>
      <c r="F9" s="2">
        <f t="shared" si="3"/>
        <v>0</v>
      </c>
      <c r="G9" s="20" t="str">
        <f t="shared" si="4"/>
        <v/>
      </c>
      <c r="H9" s="20" t="str">
        <f t="shared" si="5"/>
        <v/>
      </c>
      <c r="I9" s="20" t="str">
        <f t="shared" si="6"/>
        <v/>
      </c>
      <c r="J9" s="20">
        <f t="shared" si="7"/>
        <v>0</v>
      </c>
      <c r="K9" s="20">
        <f t="shared" si="7"/>
        <v>0</v>
      </c>
      <c r="L9" s="20">
        <f t="shared" si="7"/>
        <v>0</v>
      </c>
      <c r="M9" s="20">
        <f t="shared" si="7"/>
        <v>0</v>
      </c>
      <c r="N9" s="20">
        <f t="shared" si="7"/>
        <v>0</v>
      </c>
      <c r="O9" s="20">
        <f t="shared" si="7"/>
        <v>0</v>
      </c>
      <c r="P9" s="20">
        <f t="shared" si="7"/>
        <v>0</v>
      </c>
      <c r="Q9" s="277">
        <f t="shared" si="7"/>
        <v>0</v>
      </c>
      <c r="T9" s="1">
        <v>6</v>
      </c>
      <c r="U9" s="1">
        <v>1</v>
      </c>
      <c r="V9" t="s">
        <v>137</v>
      </c>
      <c r="W9" s="1" t="s">
        <v>3191</v>
      </c>
      <c r="X9" s="1"/>
      <c r="Z9" s="4"/>
      <c r="AA9" s="4"/>
      <c r="AB9" s="277"/>
      <c r="AC9" s="277"/>
      <c r="AD9" s="282" t="str">
        <f t="shared" si="8"/>
        <v>564_2_202223</v>
      </c>
      <c r="AE9" s="282">
        <v>202223</v>
      </c>
      <c r="AF9" s="282" t="s">
        <v>29</v>
      </c>
      <c r="AG9" s="282">
        <v>564</v>
      </c>
      <c r="AH9" s="282">
        <v>2</v>
      </c>
      <c r="AI9" s="282" t="s">
        <v>1</v>
      </c>
      <c r="AJ9" s="283">
        <v>212065</v>
      </c>
      <c r="AL9" s="292" t="s">
        <v>3376</v>
      </c>
      <c r="AM9" s="292" t="s">
        <v>3377</v>
      </c>
      <c r="AN9" s="292" t="str">
        <f>IF(Details!$G$2=2,AL9,AM9)</f>
        <v xml:space="preserve">Ar ôl derbyn y ffurflen wedi'i chwblhau - bydden yn nodi unrhyw rhesi y credwn y mae angen eu clirio gan ddefnyddio y golofn 'Gwirio' ynghyd ag ychwanegu unrhyw sylwadau a/neu </v>
      </c>
    </row>
    <row r="10" spans="2:40" x14ac:dyDescent="0.35">
      <c r="B10" s="2" t="str">
        <f t="shared" si="0"/>
        <v>202425</v>
      </c>
      <c r="C10" s="2" t="s">
        <v>29</v>
      </c>
      <c r="D10" s="2">
        <f t="shared" si="1"/>
        <v>7</v>
      </c>
      <c r="E10" s="2">
        <f t="shared" si="2"/>
        <v>1</v>
      </c>
      <c r="F10" s="2">
        <f t="shared" si="3"/>
        <v>0</v>
      </c>
      <c r="G10" s="20" t="str">
        <f t="shared" si="4"/>
        <v/>
      </c>
      <c r="H10" s="20" t="str">
        <f t="shared" si="5"/>
        <v/>
      </c>
      <c r="I10" s="20" t="str">
        <f t="shared" si="6"/>
        <v/>
      </c>
      <c r="J10" s="20">
        <f t="shared" si="7"/>
        <v>0</v>
      </c>
      <c r="K10" s="20">
        <f t="shared" si="7"/>
        <v>0</v>
      </c>
      <c r="L10" s="20">
        <f t="shared" si="7"/>
        <v>0</v>
      </c>
      <c r="M10" s="20">
        <f t="shared" si="7"/>
        <v>0</v>
      </c>
      <c r="N10" s="20">
        <f t="shared" si="7"/>
        <v>0</v>
      </c>
      <c r="O10" s="20">
        <f t="shared" si="7"/>
        <v>0</v>
      </c>
      <c r="P10" s="20">
        <f t="shared" si="7"/>
        <v>0</v>
      </c>
      <c r="Q10" s="277">
        <f t="shared" si="7"/>
        <v>0</v>
      </c>
      <c r="T10" s="1">
        <v>7</v>
      </c>
      <c r="U10" s="1">
        <v>1</v>
      </c>
      <c r="V10" t="s">
        <v>137</v>
      </c>
      <c r="W10" s="1" t="s">
        <v>48</v>
      </c>
      <c r="X10" s="1"/>
      <c r="Z10" s="4"/>
      <c r="AA10" s="4"/>
      <c r="AB10" s="277"/>
      <c r="AC10" s="277"/>
      <c r="AD10" s="282" t="str">
        <f t="shared" si="8"/>
        <v>566_2_202223</v>
      </c>
      <c r="AE10" s="282">
        <v>202223</v>
      </c>
      <c r="AF10" s="282" t="s">
        <v>29</v>
      </c>
      <c r="AG10" s="282">
        <v>566</v>
      </c>
      <c r="AH10" s="282">
        <v>2</v>
      </c>
      <c r="AI10" s="282" t="s">
        <v>1</v>
      </c>
      <c r="AJ10" s="283">
        <v>252504.99999999997</v>
      </c>
      <c r="AL10" s="292" t="s">
        <v>3378</v>
      </c>
      <c r="AM10" s="292" t="s">
        <v>3379</v>
      </c>
      <c r="AN10" s="292" t="str">
        <f>IF(Details!$G$2=2,AL10,AM10)</f>
        <v>unrhyw sylwadau blaenorol perthnasol a ddarperir gan eich awdurdod yn y golofn 'Ein sylwadau’. Gallem ofyn i chi am ragor o wybodaeth os oes angen.</v>
      </c>
    </row>
    <row r="11" spans="2:40" x14ac:dyDescent="0.35">
      <c r="B11" s="2" t="str">
        <f t="shared" si="0"/>
        <v>202425</v>
      </c>
      <c r="C11" s="2" t="s">
        <v>29</v>
      </c>
      <c r="D11" s="2">
        <f t="shared" si="1"/>
        <v>8</v>
      </c>
      <c r="E11" s="2">
        <f t="shared" si="2"/>
        <v>1</v>
      </c>
      <c r="F11" s="2">
        <f t="shared" si="3"/>
        <v>0</v>
      </c>
      <c r="G11" s="20" t="str">
        <f t="shared" si="4"/>
        <v/>
      </c>
      <c r="H11" s="20" t="str">
        <f t="shared" si="5"/>
        <v/>
      </c>
      <c r="I11" s="20" t="str">
        <f t="shared" si="6"/>
        <v/>
      </c>
      <c r="J11" s="20">
        <f t="shared" si="7"/>
        <v>0</v>
      </c>
      <c r="K11" s="20">
        <f t="shared" si="7"/>
        <v>0</v>
      </c>
      <c r="L11" s="20">
        <f t="shared" si="7"/>
        <v>0</v>
      </c>
      <c r="M11" s="20">
        <f t="shared" si="7"/>
        <v>0</v>
      </c>
      <c r="N11" s="20">
        <f t="shared" si="7"/>
        <v>0</v>
      </c>
      <c r="O11" s="20">
        <f t="shared" si="7"/>
        <v>0</v>
      </c>
      <c r="P11" s="20">
        <f t="shared" si="7"/>
        <v>0</v>
      </c>
      <c r="Q11" s="277">
        <f t="shared" si="7"/>
        <v>0</v>
      </c>
      <c r="T11" s="1">
        <v>8</v>
      </c>
      <c r="U11" s="1">
        <v>1</v>
      </c>
      <c r="V11" t="s">
        <v>137</v>
      </c>
      <c r="W11" s="1" t="s">
        <v>3366</v>
      </c>
      <c r="X11" s="1"/>
      <c r="Z11" s="4"/>
      <c r="AA11" s="4"/>
      <c r="AB11" s="277"/>
      <c r="AC11" s="277"/>
      <c r="AD11" s="282" t="str">
        <f t="shared" si="8"/>
        <v>568_2_202223</v>
      </c>
      <c r="AE11" s="282">
        <v>202223</v>
      </c>
      <c r="AF11" s="282" t="s">
        <v>29</v>
      </c>
      <c r="AG11" s="282">
        <v>568</v>
      </c>
      <c r="AH11" s="282">
        <v>2</v>
      </c>
      <c r="AI11" s="282" t="s">
        <v>1</v>
      </c>
      <c r="AJ11" s="283">
        <v>480318</v>
      </c>
      <c r="AL11" s="292" t="s">
        <v>3444</v>
      </c>
      <c r="AM11" s="292" t="s">
        <v>3443</v>
      </c>
      <c r="AN11" s="292" t="str">
        <f>IF(Details!$G$2=2,AL11,AM11)</f>
        <v>Bydd unrhyw eitem sydd wedi'i glirio wedi’i marcio 'C' yn y golofn 'Statws' (Colofn AA).</v>
      </c>
    </row>
    <row r="12" spans="2:40" x14ac:dyDescent="0.35">
      <c r="B12" s="2" t="str">
        <f t="shared" si="0"/>
        <v>202425</v>
      </c>
      <c r="C12" s="2" t="s">
        <v>29</v>
      </c>
      <c r="D12" s="2">
        <f t="shared" si="1"/>
        <v>11</v>
      </c>
      <c r="E12" s="2">
        <f t="shared" si="2"/>
        <v>4</v>
      </c>
      <c r="F12" s="2">
        <f t="shared" si="3"/>
        <v>0</v>
      </c>
      <c r="G12" s="20">
        <f t="shared" si="4"/>
        <v>0</v>
      </c>
      <c r="H12" s="20">
        <f t="shared" si="5"/>
        <v>0</v>
      </c>
      <c r="I12" s="20">
        <f t="shared" si="6"/>
        <v>0</v>
      </c>
      <c r="J12" s="20">
        <f t="shared" si="7"/>
        <v>0</v>
      </c>
      <c r="K12" s="20">
        <f t="shared" si="7"/>
        <v>0</v>
      </c>
      <c r="L12" s="20">
        <f t="shared" si="7"/>
        <v>0</v>
      </c>
      <c r="M12" s="20">
        <f t="shared" si="7"/>
        <v>0</v>
      </c>
      <c r="N12" s="20">
        <f t="shared" si="7"/>
        <v>0</v>
      </c>
      <c r="O12" s="20">
        <f t="shared" si="7"/>
        <v>0</v>
      </c>
      <c r="P12" s="20">
        <f t="shared" si="7"/>
        <v>0</v>
      </c>
      <c r="Q12" s="277">
        <f t="shared" si="7"/>
        <v>0</v>
      </c>
      <c r="T12" s="1">
        <v>11</v>
      </c>
      <c r="U12" s="1">
        <v>4</v>
      </c>
      <c r="W12" s="1" t="str">
        <f>'BR2'!D30</f>
        <v xml:space="preserve">Awdurdod: </v>
      </c>
      <c r="X12" s="1"/>
      <c r="Z12" s="4"/>
      <c r="AA12" s="4"/>
      <c r="AB12" s="277"/>
      <c r="AC12" s="277"/>
      <c r="AD12" s="282" t="str">
        <f t="shared" si="8"/>
        <v>562_3_202223</v>
      </c>
      <c r="AE12" s="282">
        <v>202223</v>
      </c>
      <c r="AF12" s="282" t="s">
        <v>29</v>
      </c>
      <c r="AG12" s="282">
        <v>562</v>
      </c>
      <c r="AH12" s="282">
        <v>3</v>
      </c>
      <c r="AI12" s="282" t="s">
        <v>2</v>
      </c>
      <c r="AJ12" s="283">
        <v>8476562.9999999981</v>
      </c>
      <c r="AL12" s="1" t="s">
        <v>3380</v>
      </c>
      <c r="AM12" s="1" t="s">
        <v>3381</v>
      </c>
      <c r="AN12" s="292" t="str">
        <f>IF(Details!$G$2=2,AL12,AM12)</f>
        <v>ALLWEDD STATWS MAES</v>
      </c>
    </row>
    <row r="13" spans="2:40" x14ac:dyDescent="0.35">
      <c r="B13" s="2" t="str">
        <f t="shared" si="0"/>
        <v>202425</v>
      </c>
      <c r="C13" s="2" t="s">
        <v>29</v>
      </c>
      <c r="D13" s="2">
        <f t="shared" si="1"/>
        <v>12</v>
      </c>
      <c r="E13" s="2">
        <f t="shared" si="2"/>
        <v>4</v>
      </c>
      <c r="F13" s="2">
        <f t="shared" si="3"/>
        <v>0</v>
      </c>
      <c r="G13" s="20">
        <f t="shared" si="4"/>
        <v>0</v>
      </c>
      <c r="H13" s="20">
        <f t="shared" si="5"/>
        <v>0</v>
      </c>
      <c r="I13" s="20">
        <f t="shared" si="6"/>
        <v>0</v>
      </c>
      <c r="J13" s="20">
        <f t="shared" si="7"/>
        <v>0</v>
      </c>
      <c r="K13" s="20">
        <f t="shared" si="7"/>
        <v>0</v>
      </c>
      <c r="L13" s="20">
        <f t="shared" si="7"/>
        <v>0</v>
      </c>
      <c r="M13" s="20">
        <f t="shared" si="7"/>
        <v>0</v>
      </c>
      <c r="N13" s="20">
        <f t="shared" si="7"/>
        <v>0</v>
      </c>
      <c r="O13" s="20">
        <f t="shared" si="7"/>
        <v>0</v>
      </c>
      <c r="P13" s="20">
        <f t="shared" si="7"/>
        <v>0</v>
      </c>
      <c r="Q13" s="277">
        <f t="shared" si="7"/>
        <v>0</v>
      </c>
      <c r="T13" s="1">
        <v>12</v>
      </c>
      <c r="U13" s="1">
        <v>4</v>
      </c>
      <c r="W13" s="1" t="str">
        <f>'BR2'!D31</f>
        <v xml:space="preserve">Awdurdod: </v>
      </c>
      <c r="X13" s="1"/>
      <c r="Z13" s="4"/>
      <c r="AA13" s="4"/>
      <c r="AB13" s="277"/>
      <c r="AC13" s="277"/>
      <c r="AD13" s="282" t="str">
        <f t="shared" si="8"/>
        <v>564_3_202223</v>
      </c>
      <c r="AE13" s="282">
        <v>202223</v>
      </c>
      <c r="AF13" s="282" t="s">
        <v>29</v>
      </c>
      <c r="AG13" s="282">
        <v>564</v>
      </c>
      <c r="AH13" s="282">
        <v>3</v>
      </c>
      <c r="AI13" s="282" t="s">
        <v>2</v>
      </c>
      <c r="AJ13" s="283">
        <v>25727167</v>
      </c>
      <c r="AL13" s="1" t="s">
        <v>3382</v>
      </c>
      <c r="AM13" s="1" t="s">
        <v>3383</v>
      </c>
      <c r="AN13" s="292" t="str">
        <f>IF(Details!$G$2=2,AL13,AM13)</f>
        <v>A - i gael eu gweithredu gan LlC</v>
      </c>
    </row>
    <row r="14" spans="2:40" x14ac:dyDescent="0.35">
      <c r="B14" s="2" t="str">
        <f t="shared" si="0"/>
        <v>202425</v>
      </c>
      <c r="C14" s="2" t="s">
        <v>29</v>
      </c>
      <c r="D14" s="2">
        <f t="shared" si="1"/>
        <v>13</v>
      </c>
      <c r="E14" s="2">
        <f t="shared" si="2"/>
        <v>4</v>
      </c>
      <c r="F14" s="2">
        <f t="shared" si="3"/>
        <v>0</v>
      </c>
      <c r="G14" s="20">
        <f t="shared" si="4"/>
        <v>0</v>
      </c>
      <c r="H14" s="20">
        <f t="shared" si="5"/>
        <v>0</v>
      </c>
      <c r="I14" s="20">
        <f t="shared" si="6"/>
        <v>0</v>
      </c>
      <c r="J14" s="20">
        <f t="shared" ref="J14:Q19" si="9">VLOOKUP($D14,LineData,20,FALSE)</f>
        <v>0</v>
      </c>
      <c r="K14" s="20">
        <f t="shared" si="9"/>
        <v>0</v>
      </c>
      <c r="L14" s="20">
        <f t="shared" si="9"/>
        <v>0</v>
      </c>
      <c r="M14" s="20">
        <f t="shared" si="9"/>
        <v>0</v>
      </c>
      <c r="N14" s="20">
        <f t="shared" si="9"/>
        <v>0</v>
      </c>
      <c r="O14" s="20">
        <f t="shared" si="9"/>
        <v>0</v>
      </c>
      <c r="P14" s="20">
        <f t="shared" si="9"/>
        <v>0</v>
      </c>
      <c r="Q14" s="277">
        <f t="shared" si="9"/>
        <v>0</v>
      </c>
      <c r="T14" s="1">
        <v>13</v>
      </c>
      <c r="U14" s="286">
        <v>4</v>
      </c>
      <c r="V14" s="1"/>
      <c r="W14" s="1" t="str">
        <f>'BR2'!D32</f>
        <v xml:space="preserve">Awdurdod: </v>
      </c>
      <c r="X14" s="1"/>
      <c r="Z14" s="4"/>
      <c r="AA14" s="4"/>
      <c r="AB14" s="277"/>
      <c r="AC14" s="277"/>
      <c r="AD14" s="282" t="str">
        <f t="shared" si="8"/>
        <v>566_3_202223</v>
      </c>
      <c r="AE14" s="282">
        <v>202223</v>
      </c>
      <c r="AF14" s="282" t="s">
        <v>29</v>
      </c>
      <c r="AG14" s="282">
        <v>566</v>
      </c>
      <c r="AH14" s="282">
        <v>3</v>
      </c>
      <c r="AI14" s="282" t="s">
        <v>2</v>
      </c>
      <c r="AJ14" s="283">
        <v>16260071</v>
      </c>
      <c r="AL14" s="1" t="s">
        <v>3384</v>
      </c>
      <c r="AM14" s="1" t="s">
        <v>3385</v>
      </c>
      <c r="AN14" s="292" t="str">
        <f>IF(Details!$G$2=2,AL14,AM14)</f>
        <v xml:space="preserve">C - wedi’i glirio </v>
      </c>
    </row>
    <row r="15" spans="2:40" x14ac:dyDescent="0.35">
      <c r="B15" s="2" t="str">
        <f t="shared" si="0"/>
        <v>202425</v>
      </c>
      <c r="C15" s="2" t="s">
        <v>29</v>
      </c>
      <c r="D15" s="2">
        <f t="shared" si="1"/>
        <v>14</v>
      </c>
      <c r="E15" s="2">
        <f t="shared" si="2"/>
        <v>4</v>
      </c>
      <c r="F15" s="2">
        <f t="shared" si="3"/>
        <v>0</v>
      </c>
      <c r="G15" s="20">
        <f t="shared" si="4"/>
        <v>0</v>
      </c>
      <c r="H15" s="20">
        <f t="shared" si="5"/>
        <v>0</v>
      </c>
      <c r="I15" s="20">
        <f t="shared" si="6"/>
        <v>0</v>
      </c>
      <c r="J15" s="20">
        <f t="shared" si="9"/>
        <v>0</v>
      </c>
      <c r="K15" s="20">
        <f t="shared" si="9"/>
        <v>0</v>
      </c>
      <c r="L15" s="20">
        <f t="shared" si="9"/>
        <v>0</v>
      </c>
      <c r="M15" s="20">
        <f t="shared" si="9"/>
        <v>0</v>
      </c>
      <c r="N15" s="20">
        <f t="shared" si="9"/>
        <v>0</v>
      </c>
      <c r="O15" s="20">
        <f t="shared" si="9"/>
        <v>0</v>
      </c>
      <c r="P15" s="20">
        <f t="shared" si="9"/>
        <v>0</v>
      </c>
      <c r="Q15" s="277">
        <f t="shared" si="9"/>
        <v>0</v>
      </c>
      <c r="T15" s="1">
        <v>14</v>
      </c>
      <c r="U15" s="286">
        <v>4</v>
      </c>
      <c r="V15" s="1"/>
      <c r="W15" s="1" t="str">
        <f>'BR2'!D33</f>
        <v xml:space="preserve">Awdurdod: </v>
      </c>
      <c r="X15" s="1"/>
      <c r="Z15" s="4"/>
      <c r="AA15" s="4"/>
      <c r="AB15" s="277"/>
      <c r="AC15" s="277"/>
      <c r="AD15" s="282" t="str">
        <f t="shared" si="8"/>
        <v>568_3_202223</v>
      </c>
      <c r="AE15" s="282">
        <v>202223</v>
      </c>
      <c r="AF15" s="282" t="s">
        <v>29</v>
      </c>
      <c r="AG15" s="282">
        <v>568</v>
      </c>
      <c r="AH15" s="282">
        <v>3</v>
      </c>
      <c r="AI15" s="282" t="s">
        <v>2</v>
      </c>
      <c r="AJ15" s="283">
        <v>61871199</v>
      </c>
      <c r="AL15" s="1" t="s">
        <v>3386</v>
      </c>
      <c r="AM15" s="1" t="s">
        <v>3387</v>
      </c>
      <c r="AN15" s="292" t="str">
        <f>IF(Details!$G$2=2,AL15,AM15)</f>
        <v>NB - pwysig</v>
      </c>
    </row>
    <row r="16" spans="2:40" x14ac:dyDescent="0.35">
      <c r="B16" s="2" t="str">
        <f t="shared" si="0"/>
        <v>202425</v>
      </c>
      <c r="C16" s="2" t="s">
        <v>29</v>
      </c>
      <c r="D16" s="2">
        <f t="shared" si="1"/>
        <v>15</v>
      </c>
      <c r="E16" s="2">
        <f t="shared" si="2"/>
        <v>4</v>
      </c>
      <c r="F16" s="2">
        <f t="shared" si="3"/>
        <v>0</v>
      </c>
      <c r="G16" s="20">
        <f t="shared" si="4"/>
        <v>0</v>
      </c>
      <c r="H16" s="20">
        <f t="shared" si="5"/>
        <v>0</v>
      </c>
      <c r="I16" s="20">
        <f t="shared" si="6"/>
        <v>0</v>
      </c>
      <c r="J16" s="20">
        <f t="shared" si="9"/>
        <v>0</v>
      </c>
      <c r="K16" s="20">
        <f t="shared" si="9"/>
        <v>0</v>
      </c>
      <c r="L16" s="20">
        <f t="shared" si="9"/>
        <v>0</v>
      </c>
      <c r="M16" s="20">
        <f t="shared" si="9"/>
        <v>0</v>
      </c>
      <c r="N16" s="20">
        <f t="shared" si="9"/>
        <v>0</v>
      </c>
      <c r="O16" s="20">
        <f t="shared" si="9"/>
        <v>0</v>
      </c>
      <c r="P16" s="20">
        <f t="shared" si="9"/>
        <v>0</v>
      </c>
      <c r="Q16" s="277">
        <f t="shared" si="9"/>
        <v>0</v>
      </c>
      <c r="T16" s="1">
        <v>15</v>
      </c>
      <c r="U16" s="1">
        <v>4</v>
      </c>
      <c r="W16" s="1" t="str">
        <f>'BR2'!D34</f>
        <v xml:space="preserve">Awdurdod: </v>
      </c>
      <c r="X16" s="1"/>
      <c r="Z16" s="4"/>
      <c r="AA16" s="4"/>
      <c r="AB16" s="277"/>
      <c r="AC16" s="277"/>
      <c r="AD16" s="282" t="str">
        <f t="shared" si="8"/>
        <v>562_4_202223</v>
      </c>
      <c r="AE16" s="282">
        <v>202223</v>
      </c>
      <c r="AF16" s="282" t="s">
        <v>29</v>
      </c>
      <c r="AG16" s="282">
        <v>562</v>
      </c>
      <c r="AH16" s="282">
        <v>4</v>
      </c>
      <c r="AI16" s="282" t="s">
        <v>53</v>
      </c>
      <c r="AJ16" s="283">
        <v>52017701</v>
      </c>
      <c r="AL16" s="1" t="s">
        <v>3388</v>
      </c>
      <c r="AM16" s="1" t="s">
        <v>3389</v>
      </c>
      <c r="AN16" s="292" t="str">
        <f>IF(Details!$G$2=2,AL16,AM16)</f>
        <v xml:space="preserve">U - heb eu datrys </v>
      </c>
    </row>
    <row r="17" spans="2:40" x14ac:dyDescent="0.35">
      <c r="B17" s="2" t="str">
        <f t="shared" si="0"/>
        <v>202425</v>
      </c>
      <c r="C17" s="2" t="s">
        <v>29</v>
      </c>
      <c r="D17" s="2">
        <f t="shared" si="1"/>
        <v>16</v>
      </c>
      <c r="E17" s="2">
        <f t="shared" si="2"/>
        <v>4</v>
      </c>
      <c r="F17" s="2">
        <f t="shared" si="3"/>
        <v>0</v>
      </c>
      <c r="G17" s="20">
        <f t="shared" si="4"/>
        <v>0</v>
      </c>
      <c r="H17" s="20">
        <f t="shared" si="5"/>
        <v>0</v>
      </c>
      <c r="I17" s="20">
        <f t="shared" si="6"/>
        <v>0</v>
      </c>
      <c r="J17" s="20">
        <f t="shared" si="9"/>
        <v>0</v>
      </c>
      <c r="K17" s="20">
        <f t="shared" si="9"/>
        <v>0</v>
      </c>
      <c r="L17" s="20">
        <f t="shared" si="9"/>
        <v>0</v>
      </c>
      <c r="M17" s="20">
        <f t="shared" si="9"/>
        <v>0</v>
      </c>
      <c r="N17" s="20">
        <f t="shared" si="9"/>
        <v>0</v>
      </c>
      <c r="O17" s="20">
        <f t="shared" si="9"/>
        <v>0</v>
      </c>
      <c r="P17" s="20">
        <f t="shared" si="9"/>
        <v>0</v>
      </c>
      <c r="Q17" s="277">
        <f t="shared" si="9"/>
        <v>0</v>
      </c>
      <c r="T17" s="1">
        <v>16</v>
      </c>
      <c r="U17" s="1">
        <v>4</v>
      </c>
      <c r="W17" s="1" t="str">
        <f>'BR2'!D35</f>
        <v xml:space="preserve">Awdurdod: </v>
      </c>
      <c r="X17" s="1"/>
      <c r="Z17" s="4"/>
      <c r="AA17" s="4"/>
      <c r="AB17" s="277"/>
      <c r="AC17" s="277"/>
      <c r="AD17" s="282" t="str">
        <f t="shared" si="8"/>
        <v>564_4_202223</v>
      </c>
      <c r="AE17" s="282">
        <v>202223</v>
      </c>
      <c r="AF17" s="282" t="s">
        <v>29</v>
      </c>
      <c r="AG17" s="282">
        <v>564</v>
      </c>
      <c r="AH17" s="282">
        <v>4</v>
      </c>
      <c r="AI17" s="282" t="s">
        <v>53</v>
      </c>
      <c r="AJ17" s="283">
        <v>62342724</v>
      </c>
      <c r="AL17" s="1" t="s">
        <v>3390</v>
      </c>
      <c r="AM17" s="1" t="s">
        <v>3391</v>
      </c>
      <c r="AN17" s="292" t="str">
        <f>IF(Details!$G$2=2,AL17,AM17)</f>
        <v>W - yn aros ar gyfer gweithrediad gan All</v>
      </c>
    </row>
    <row r="18" spans="2:40" x14ac:dyDescent="0.35">
      <c r="B18" s="2" t="str">
        <f>LEFT(Year,4)&amp;RIGHT(Year,2)</f>
        <v>202425</v>
      </c>
      <c r="C18" s="2" t="s">
        <v>29</v>
      </c>
      <c r="D18" s="2">
        <f t="shared" si="1"/>
        <v>17</v>
      </c>
      <c r="E18" s="2">
        <f t="shared" si="2"/>
        <v>4</v>
      </c>
      <c r="F18" s="2">
        <f>UANumber</f>
        <v>0</v>
      </c>
      <c r="G18" s="20">
        <f t="shared" si="4"/>
        <v>0</v>
      </c>
      <c r="H18" s="20">
        <f t="shared" si="5"/>
        <v>0</v>
      </c>
      <c r="I18" s="20">
        <f t="shared" si="6"/>
        <v>0</v>
      </c>
      <c r="J18" s="20">
        <f t="shared" si="9"/>
        <v>0</v>
      </c>
      <c r="K18" s="20">
        <f t="shared" si="9"/>
        <v>0</v>
      </c>
      <c r="L18" s="20">
        <f t="shared" si="9"/>
        <v>0</v>
      </c>
      <c r="M18" s="20">
        <f t="shared" si="9"/>
        <v>0</v>
      </c>
      <c r="N18" s="20">
        <f t="shared" si="9"/>
        <v>0</v>
      </c>
      <c r="O18" s="20">
        <f t="shared" si="9"/>
        <v>0</v>
      </c>
      <c r="P18" s="20">
        <f t="shared" si="9"/>
        <v>0</v>
      </c>
      <c r="Q18" s="277">
        <f t="shared" si="9"/>
        <v>0</v>
      </c>
      <c r="T18" s="1">
        <v>17</v>
      </c>
      <c r="U18" s="1">
        <v>4</v>
      </c>
      <c r="W18" s="1" t="str">
        <f>'BR2'!D36</f>
        <v xml:space="preserve">Awdurdod: </v>
      </c>
      <c r="X18" s="1"/>
      <c r="Z18" s="4"/>
      <c r="AA18" s="4"/>
      <c r="AB18" s="277"/>
      <c r="AC18" s="277"/>
      <c r="AD18" s="282" t="str">
        <f t="shared" si="8"/>
        <v>566_4_202223</v>
      </c>
      <c r="AE18" s="282">
        <v>202223</v>
      </c>
      <c r="AF18" s="282" t="s">
        <v>29</v>
      </c>
      <c r="AG18" s="282">
        <v>566</v>
      </c>
      <c r="AH18" s="282">
        <v>4</v>
      </c>
      <c r="AI18" s="282" t="s">
        <v>53</v>
      </c>
      <c r="AJ18" s="283">
        <v>71894556</v>
      </c>
      <c r="AL18" s="1" t="s">
        <v>3392</v>
      </c>
      <c r="AM18" s="1" t="s">
        <v>3393</v>
      </c>
      <c r="AN18" s="292" t="str">
        <f>IF(Details!$G$2=2,AL18,AM18)</f>
        <v xml:space="preserve">ALLWEDD MATH O FAES </v>
      </c>
    </row>
    <row r="19" spans="2:40" x14ac:dyDescent="0.35">
      <c r="B19" s="2" t="str">
        <f>LEFT(Year,4)&amp;RIGHT(Year,2)</f>
        <v>202425</v>
      </c>
      <c r="C19" s="2" t="s">
        <v>29</v>
      </c>
      <c r="D19" s="2">
        <f t="shared" si="1"/>
        <v>18</v>
      </c>
      <c r="E19" s="2">
        <f t="shared" si="2"/>
        <v>4</v>
      </c>
      <c r="F19" s="2">
        <f>UANumber</f>
        <v>0</v>
      </c>
      <c r="G19" s="20">
        <f t="shared" si="4"/>
        <v>0</v>
      </c>
      <c r="H19" s="20">
        <f t="shared" si="5"/>
        <v>0</v>
      </c>
      <c r="I19" s="20">
        <f t="shared" si="6"/>
        <v>0</v>
      </c>
      <c r="J19" s="20" t="str">
        <f t="shared" si="9"/>
        <v/>
      </c>
      <c r="K19" s="20" t="str">
        <f t="shared" si="9"/>
        <v/>
      </c>
      <c r="L19" s="20" t="str">
        <f t="shared" si="9"/>
        <v/>
      </c>
      <c r="M19" s="20" t="str">
        <f t="shared" si="9"/>
        <v/>
      </c>
      <c r="N19" s="20" t="str">
        <f t="shared" si="9"/>
        <v/>
      </c>
      <c r="O19" s="20" t="str">
        <f t="shared" si="9"/>
        <v/>
      </c>
      <c r="P19" s="20" t="str">
        <f t="shared" si="9"/>
        <v/>
      </c>
      <c r="Q19" s="277" t="str">
        <f t="shared" si="9"/>
        <v/>
      </c>
      <c r="T19" s="1">
        <v>18</v>
      </c>
      <c r="U19" s="1">
        <v>4</v>
      </c>
      <c r="W19" s="1" t="str">
        <f>'BR2'!D37</f>
        <v>Cyfanswm llinellau 11 i 17 (i gyfateb â llinellau 7 a 6 uchod)</v>
      </c>
      <c r="X19" s="1"/>
      <c r="Z19" s="4"/>
      <c r="AA19" s="4"/>
      <c r="AB19" s="277"/>
      <c r="AC19" s="277"/>
      <c r="AD19" s="282" t="str">
        <f t="shared" si="8"/>
        <v>568_4_202223</v>
      </c>
      <c r="AE19" s="282">
        <v>202223</v>
      </c>
      <c r="AF19" s="282" t="s">
        <v>29</v>
      </c>
      <c r="AG19" s="282">
        <v>568</v>
      </c>
      <c r="AH19" s="282">
        <v>4</v>
      </c>
      <c r="AI19" s="282" t="s">
        <v>53</v>
      </c>
      <c r="AJ19" s="283">
        <v>131917723</v>
      </c>
      <c r="AL19" s="1" t="s">
        <v>3394</v>
      </c>
      <c r="AM19" s="1" t="s">
        <v>3395</v>
      </c>
      <c r="AN19" s="292" t="str">
        <f>IF(Details!$G$2=2,AL19,AM19)</f>
        <v xml:space="preserve">1. toriad gwerth unig </v>
      </c>
    </row>
    <row r="20" spans="2:40" x14ac:dyDescent="0.35">
      <c r="AD20" s="282" t="str">
        <f t="shared" si="8"/>
        <v>562_5_202223</v>
      </c>
      <c r="AE20" s="282">
        <v>202223</v>
      </c>
      <c r="AF20" s="282" t="s">
        <v>29</v>
      </c>
      <c r="AG20" s="282">
        <v>562</v>
      </c>
      <c r="AH20" s="282">
        <v>5</v>
      </c>
      <c r="AI20" s="282" t="s">
        <v>3365</v>
      </c>
      <c r="AJ20" s="283">
        <v>60684376</v>
      </c>
      <c r="AL20" s="1" t="s">
        <v>3396</v>
      </c>
      <c r="AM20" s="1" t="s">
        <v>3397</v>
      </c>
      <c r="AN20" s="292" t="str">
        <f>IF(Details!$G$2=2,AL20,AM20)</f>
        <v xml:space="preserve">2.  toriad % yn unig </v>
      </c>
    </row>
    <row r="21" spans="2:40" x14ac:dyDescent="0.35">
      <c r="AD21" s="282" t="str">
        <f t="shared" si="8"/>
        <v>564_5_202223</v>
      </c>
      <c r="AE21" s="282">
        <v>202223</v>
      </c>
      <c r="AF21" s="282" t="s">
        <v>29</v>
      </c>
      <c r="AG21" s="282">
        <v>564</v>
      </c>
      <c r="AH21" s="282">
        <v>5</v>
      </c>
      <c r="AI21" s="282" t="s">
        <v>3365</v>
      </c>
      <c r="AJ21" s="283">
        <v>88281956</v>
      </c>
      <c r="AL21" s="1" t="s">
        <v>3398</v>
      </c>
      <c r="AM21" s="1" t="s">
        <v>3399</v>
      </c>
      <c r="AN21" s="292" t="str">
        <f>IF(Details!$G$2=2,AL21,AM21)</f>
        <v>3. toriad yn y ddau</v>
      </c>
    </row>
    <row r="22" spans="2:40" x14ac:dyDescent="0.35">
      <c r="AD22" s="282" t="str">
        <f t="shared" si="8"/>
        <v>566_5_202223</v>
      </c>
      <c r="AE22" s="282">
        <v>202223</v>
      </c>
      <c r="AF22" s="282" t="s">
        <v>29</v>
      </c>
      <c r="AG22" s="282">
        <v>566</v>
      </c>
      <c r="AH22" s="282">
        <v>5</v>
      </c>
      <c r="AI22" s="282" t="s">
        <v>3365</v>
      </c>
      <c r="AJ22" s="283">
        <v>88407132</v>
      </c>
      <c r="AL22" s="1" t="s">
        <v>3436</v>
      </c>
      <c r="AM22" s="1" t="s">
        <v>3435</v>
      </c>
      <c r="AN22" s="292" t="str">
        <f>IF(Details!$G$2=2,AL22,AM22)</f>
        <v>4. gyfanswmiau nad sy’n = sero</v>
      </c>
    </row>
    <row r="23" spans="2:40" x14ac:dyDescent="0.35">
      <c r="AD23" s="282" t="str">
        <f t="shared" si="8"/>
        <v>568_5_202223</v>
      </c>
      <c r="AE23" s="282">
        <v>202223</v>
      </c>
      <c r="AF23" s="282" t="s">
        <v>29</v>
      </c>
      <c r="AG23" s="282">
        <v>568</v>
      </c>
      <c r="AH23" s="282">
        <v>5</v>
      </c>
      <c r="AI23" s="282" t="s">
        <v>3365</v>
      </c>
      <c r="AJ23" s="283">
        <v>194269240</v>
      </c>
      <c r="AL23" s="1" t="s">
        <v>3400</v>
      </c>
      <c r="AM23" s="1" t="s">
        <v>3401</v>
      </c>
      <c r="AN23" s="292" t="str">
        <f>IF(Details!$G$2=2,AL23,AM23)</f>
        <v>9. Naill ai ffigur yn sero</v>
      </c>
    </row>
    <row r="24" spans="2:40" x14ac:dyDescent="0.35">
      <c r="AD24" s="282" t="str">
        <f t="shared" si="8"/>
        <v>562_6_202223</v>
      </c>
      <c r="AE24" s="282">
        <v>202223</v>
      </c>
      <c r="AF24" s="282" t="s">
        <v>29</v>
      </c>
      <c r="AG24" s="282">
        <v>562</v>
      </c>
      <c r="AH24" s="282">
        <v>6</v>
      </c>
      <c r="AI24" s="282" t="s">
        <v>3191</v>
      </c>
      <c r="AJ24" s="283">
        <v>66836734</v>
      </c>
    </row>
    <row r="25" spans="2:40" x14ac:dyDescent="0.35">
      <c r="AD25" s="282" t="str">
        <f t="shared" si="8"/>
        <v>564_6_202223</v>
      </c>
      <c r="AE25" s="282">
        <v>202223</v>
      </c>
      <c r="AF25" s="282" t="s">
        <v>29</v>
      </c>
      <c r="AG25" s="282">
        <v>564</v>
      </c>
      <c r="AH25" s="282">
        <v>6</v>
      </c>
      <c r="AI25" s="282" t="s">
        <v>3191</v>
      </c>
      <c r="AJ25" s="283">
        <v>68144822</v>
      </c>
    </row>
    <row r="26" spans="2:40" x14ac:dyDescent="0.35">
      <c r="AD26" s="282" t="str">
        <f t="shared" si="8"/>
        <v>566_6_202223</v>
      </c>
      <c r="AE26" s="282">
        <v>202223</v>
      </c>
      <c r="AF26" s="282" t="s">
        <v>29</v>
      </c>
      <c r="AG26" s="282">
        <v>566</v>
      </c>
      <c r="AH26" s="282">
        <v>6</v>
      </c>
      <c r="AI26" s="282" t="s">
        <v>3191</v>
      </c>
      <c r="AJ26" s="283">
        <v>93861219</v>
      </c>
      <c r="AL26" s="280" t="s">
        <v>3424</v>
      </c>
    </row>
    <row r="27" spans="2:40" x14ac:dyDescent="0.35">
      <c r="AD27" s="282" t="str">
        <f t="shared" si="8"/>
        <v>568_6_202223</v>
      </c>
      <c r="AE27" s="282">
        <v>202223</v>
      </c>
      <c r="AF27" s="282" t="s">
        <v>29</v>
      </c>
      <c r="AG27" s="282">
        <v>568</v>
      </c>
      <c r="AH27" s="282">
        <v>6</v>
      </c>
      <c r="AI27" s="282" t="s">
        <v>3191</v>
      </c>
      <c r="AJ27" s="283">
        <v>152098982</v>
      </c>
      <c r="AL27" s="280" t="s">
        <v>248</v>
      </c>
      <c r="AM27" s="280" t="s">
        <v>250</v>
      </c>
      <c r="AN27" s="293" t="s">
        <v>3371</v>
      </c>
    </row>
    <row r="28" spans="2:40" x14ac:dyDescent="0.35">
      <c r="AD28" s="282" t="str">
        <f t="shared" si="8"/>
        <v>562_7_202223</v>
      </c>
      <c r="AE28" s="282">
        <v>202223</v>
      </c>
      <c r="AF28" s="282" t="s">
        <v>29</v>
      </c>
      <c r="AG28" s="282">
        <v>562</v>
      </c>
      <c r="AH28" s="282">
        <v>7</v>
      </c>
      <c r="AI28" s="282" t="s">
        <v>48</v>
      </c>
      <c r="AJ28" s="283">
        <v>230344.41</v>
      </c>
      <c r="AL28" s="292" t="s">
        <v>3402</v>
      </c>
      <c r="AM28" s="292" t="s">
        <v>3403</v>
      </c>
      <c r="AN28" s="292" t="str">
        <f>IF(Details!$G$2=2,AL28,AM28)</f>
        <v>dewiswch</v>
      </c>
    </row>
    <row r="29" spans="2:40" x14ac:dyDescent="0.35">
      <c r="AD29" s="282" t="str">
        <f t="shared" si="8"/>
        <v>564_7_202223</v>
      </c>
      <c r="AE29" s="282">
        <v>202223</v>
      </c>
      <c r="AF29" s="282" t="s">
        <v>29</v>
      </c>
      <c r="AG29" s="282">
        <v>564</v>
      </c>
      <c r="AH29" s="282">
        <v>7</v>
      </c>
      <c r="AI29" s="282" t="s">
        <v>48</v>
      </c>
      <c r="AJ29" s="283">
        <v>224308.17</v>
      </c>
      <c r="AL29" s="292" t="s">
        <v>3404</v>
      </c>
      <c r="AM29" s="292" t="s">
        <v>3405</v>
      </c>
      <c r="AN29" s="292" t="str">
        <f>IF(Details!$G$2=2,AL29,AM29)</f>
        <v>rhes</v>
      </c>
    </row>
    <row r="30" spans="2:40" x14ac:dyDescent="0.35">
      <c r="AD30" s="282" t="str">
        <f t="shared" si="8"/>
        <v>566_7_202223</v>
      </c>
      <c r="AE30" s="282">
        <v>202223</v>
      </c>
      <c r="AF30" s="282" t="s">
        <v>29</v>
      </c>
      <c r="AG30" s="282">
        <v>566</v>
      </c>
      <c r="AH30" s="282">
        <v>7</v>
      </c>
      <c r="AI30" s="282" t="s">
        <v>48</v>
      </c>
      <c r="AJ30" s="283">
        <v>296279.09999999998</v>
      </c>
      <c r="AL30" s="292" t="s">
        <v>3406</v>
      </c>
      <c r="AM30" s="292" t="s">
        <v>3407</v>
      </c>
      <c r="AN30" s="292" t="str">
        <f>IF(Details!$G$2=2,AL30,AM30)</f>
        <v>colofn</v>
      </c>
    </row>
    <row r="31" spans="2:40" x14ac:dyDescent="0.35">
      <c r="AD31" s="282" t="str">
        <f t="shared" si="8"/>
        <v>568_7_202223</v>
      </c>
      <c r="AE31" s="282">
        <v>202223</v>
      </c>
      <c r="AF31" s="282" t="s">
        <v>29</v>
      </c>
      <c r="AG31" s="282">
        <v>568</v>
      </c>
      <c r="AH31" s="282">
        <v>7</v>
      </c>
      <c r="AI31" s="282" t="s">
        <v>48</v>
      </c>
      <c r="AJ31" s="283">
        <v>503455.63</v>
      </c>
      <c r="AL31" s="292" t="s">
        <v>3408</v>
      </c>
      <c r="AM31" s="292" t="s">
        <v>3409</v>
      </c>
      <c r="AN31" s="292" t="str">
        <f>IF(Details!$G$2=2,AL31,AM31)</f>
        <v>disgrifiad rhes (Llinellau swm a ddangosir mewn print trwm)</v>
      </c>
    </row>
    <row r="32" spans="2:40" x14ac:dyDescent="0.35">
      <c r="AD32" s="282" t="str">
        <f t="shared" si="8"/>
        <v>562_8_202223</v>
      </c>
      <c r="AE32" s="282">
        <v>202223</v>
      </c>
      <c r="AF32" s="282" t="s">
        <v>29</v>
      </c>
      <c r="AG32" s="282">
        <v>562</v>
      </c>
      <c r="AH32" s="282">
        <v>8</v>
      </c>
      <c r="AI32" s="282" t="s">
        <v>3366</v>
      </c>
      <c r="AJ32" s="283">
        <v>290.16000000000003</v>
      </c>
      <c r="AL32" s="292" t="s">
        <v>3410</v>
      </c>
      <c r="AM32" s="292" t="s">
        <v>3411</v>
      </c>
      <c r="AN32" s="292" t="str">
        <f>IF(Details!$G$2=2,AL32,AM32)</f>
        <v>prisio</v>
      </c>
    </row>
    <row r="33" spans="24:40" x14ac:dyDescent="0.35">
      <c r="AD33" s="282" t="str">
        <f t="shared" si="8"/>
        <v>564_8_202223</v>
      </c>
      <c r="AE33" s="282">
        <v>202223</v>
      </c>
      <c r="AF33" s="282" t="s">
        <v>29</v>
      </c>
      <c r="AG33" s="282">
        <v>564</v>
      </c>
      <c r="AH33" s="282">
        <v>8</v>
      </c>
      <c r="AI33" s="282" t="s">
        <v>3366</v>
      </c>
      <c r="AJ33" s="283">
        <v>303.8</v>
      </c>
      <c r="AL33" s="292" t="s">
        <v>3343</v>
      </c>
      <c r="AM33" s="292" t="s">
        <v>3412</v>
      </c>
      <c r="AN33" s="292" t="str">
        <f>IF(Details!$G$2=2,AL33,AM33)</f>
        <v>deipio</v>
      </c>
    </row>
    <row r="34" spans="24:40" x14ac:dyDescent="0.35">
      <c r="AD34" s="282" t="str">
        <f t="shared" si="8"/>
        <v>566_8_202223</v>
      </c>
      <c r="AE34" s="282">
        <v>202223</v>
      </c>
      <c r="AF34" s="282" t="s">
        <v>29</v>
      </c>
      <c r="AG34" s="282">
        <v>566</v>
      </c>
      <c r="AH34" s="282">
        <v>8</v>
      </c>
      <c r="AI34" s="282" t="s">
        <v>3366</v>
      </c>
      <c r="AJ34" s="283">
        <v>316.8</v>
      </c>
      <c r="AL34" s="292" t="s">
        <v>3344</v>
      </c>
      <c r="AM34" s="292" t="s">
        <v>3413</v>
      </c>
      <c r="AN34" s="292" t="str">
        <f>IF(Details!$G$2=2,AL34,AM34)</f>
        <v>awto</v>
      </c>
    </row>
    <row r="35" spans="24:40" x14ac:dyDescent="0.35">
      <c r="AD35" s="282" t="str">
        <f t="shared" si="8"/>
        <v>568_8_202223</v>
      </c>
      <c r="AE35" s="282">
        <v>202223</v>
      </c>
      <c r="AF35" s="282" t="s">
        <v>29</v>
      </c>
      <c r="AG35" s="282">
        <v>568</v>
      </c>
      <c r="AH35" s="282">
        <v>8</v>
      </c>
      <c r="AI35" s="282" t="s">
        <v>3366</v>
      </c>
      <c r="AJ35" s="283">
        <v>302.11</v>
      </c>
      <c r="AL35" s="292" t="s">
        <v>3345</v>
      </c>
      <c r="AM35" s="292" t="s">
        <v>3414</v>
      </c>
      <c r="AN35" s="292" t="str">
        <f>IF(Details!$G$2=2,AL35,AM35)</f>
        <v>marcio</v>
      </c>
    </row>
    <row r="36" spans="24:40" x14ac:dyDescent="0.35">
      <c r="AD36" s="282" t="str">
        <f t="shared" ref="AD36:AD67" si="10">AG36&amp;"_"&amp;AH36&amp;"_"&amp;AE36</f>
        <v>562_1_202324</v>
      </c>
      <c r="AE36" s="282">
        <v>202324</v>
      </c>
      <c r="AF36" s="282" t="s">
        <v>29</v>
      </c>
      <c r="AG36" s="282">
        <v>562</v>
      </c>
      <c r="AH36" s="282">
        <v>1</v>
      </c>
      <c r="AI36" s="282" t="s">
        <v>30</v>
      </c>
      <c r="AJ36" s="283">
        <v>133414409.23</v>
      </c>
      <c r="AL36" s="292" t="s">
        <v>3346</v>
      </c>
      <c r="AM36" s="292" t="s">
        <v>3415</v>
      </c>
      <c r="AN36" s="292" t="str">
        <f>IF(Details!$G$2=2,AL36,AM36)</f>
        <v>wirio</v>
      </c>
    </row>
    <row r="37" spans="24:40" x14ac:dyDescent="0.35">
      <c r="AD37" s="282" t="str">
        <f t="shared" si="10"/>
        <v>564_1_202324</v>
      </c>
      <c r="AE37" s="282">
        <v>202324</v>
      </c>
      <c r="AF37" s="282" t="s">
        <v>29</v>
      </c>
      <c r="AG37" s="282">
        <v>564</v>
      </c>
      <c r="AH37" s="282">
        <v>1</v>
      </c>
      <c r="AI37" s="282" t="s">
        <v>30</v>
      </c>
      <c r="AJ37" s="283">
        <v>161586891</v>
      </c>
      <c r="AL37" s="292" t="s">
        <v>3347</v>
      </c>
      <c r="AM37" s="292" t="s">
        <v>3416</v>
      </c>
      <c r="AN37" s="292" t="str">
        <f>IF(Details!$G$2=2,AL37,AM37)</f>
        <v>statws</v>
      </c>
    </row>
    <row r="38" spans="24:40" x14ac:dyDescent="0.35">
      <c r="AD38" s="282" t="str">
        <f t="shared" si="10"/>
        <v>566_1_202324</v>
      </c>
      <c r="AE38" s="282">
        <v>202324</v>
      </c>
      <c r="AF38" s="282" t="s">
        <v>29</v>
      </c>
      <c r="AG38" s="282">
        <v>566</v>
      </c>
      <c r="AH38" s="282">
        <v>1</v>
      </c>
      <c r="AI38" s="282" t="s">
        <v>30</v>
      </c>
      <c r="AJ38" s="283">
        <v>188959206</v>
      </c>
      <c r="AL38" s="292" t="s">
        <v>3427</v>
      </c>
      <c r="AM38" s="292" t="s">
        <v>3429</v>
      </c>
      <c r="AN38" s="292" t="str">
        <f>IF(Details!$G$2=2,AL38,AM38)</f>
        <v>Eich sylwadau</v>
      </c>
    </row>
    <row r="39" spans="24:40" x14ac:dyDescent="0.35">
      <c r="X39" s="1"/>
      <c r="AD39" s="282" t="str">
        <f t="shared" si="10"/>
        <v>568_1_202324</v>
      </c>
      <c r="AE39" s="282">
        <v>202324</v>
      </c>
      <c r="AF39" s="282" t="s">
        <v>29</v>
      </c>
      <c r="AG39" s="282">
        <v>568</v>
      </c>
      <c r="AH39" s="282">
        <v>1</v>
      </c>
      <c r="AI39" s="282" t="s">
        <v>30</v>
      </c>
      <c r="AJ39" s="283">
        <v>358698700</v>
      </c>
      <c r="AL39" s="292" t="s">
        <v>3428</v>
      </c>
      <c r="AM39" s="292" t="s">
        <v>3417</v>
      </c>
      <c r="AN39" s="292" t="str">
        <f>IF(Details!$G$2=2,AL39,AM39)</f>
        <v>ein sylwadau</v>
      </c>
    </row>
    <row r="40" spans="24:40" x14ac:dyDescent="0.35">
      <c r="X40" s="1"/>
      <c r="AD40" s="282" t="str">
        <f t="shared" si="10"/>
        <v>562_2_202324</v>
      </c>
      <c r="AE40" s="282">
        <v>202324</v>
      </c>
      <c r="AF40" s="282" t="s">
        <v>29</v>
      </c>
      <c r="AG40" s="282">
        <v>562</v>
      </c>
      <c r="AH40" s="282">
        <v>2</v>
      </c>
      <c r="AI40" s="282" t="s">
        <v>1</v>
      </c>
      <c r="AJ40" s="283">
        <v>172693.57934498193</v>
      </c>
      <c r="AL40" s="292" t="s">
        <v>3430</v>
      </c>
      <c r="AM40" s="292" t="s">
        <v>3418</v>
      </c>
      <c r="AN40" s="292" t="str">
        <f>IF(Details!$G$2=2,AL40,AM40)</f>
        <v>arwydd gan</v>
      </c>
    </row>
    <row r="41" spans="24:40" x14ac:dyDescent="0.35">
      <c r="AD41" s="282" t="str">
        <f t="shared" si="10"/>
        <v>564_2_202324</v>
      </c>
      <c r="AE41" s="282">
        <v>202324</v>
      </c>
      <c r="AF41" s="282" t="s">
        <v>29</v>
      </c>
      <c r="AG41" s="282">
        <v>564</v>
      </c>
      <c r="AH41" s="282">
        <v>2</v>
      </c>
      <c r="AI41" s="282" t="s">
        <v>1</v>
      </c>
      <c r="AJ41" s="283">
        <v>191241.29156115514</v>
      </c>
      <c r="AL41" s="292" t="s">
        <v>3350</v>
      </c>
      <c r="AM41" s="292" t="s">
        <v>3419</v>
      </c>
      <c r="AN41" s="292" t="str">
        <f>IF(Details!$G$2=2,AL41,AM41)</f>
        <v>dyddiad</v>
      </c>
    </row>
    <row r="42" spans="24:40" x14ac:dyDescent="0.35">
      <c r="AD42" s="282" t="str">
        <f t="shared" si="10"/>
        <v>566_2_202324</v>
      </c>
      <c r="AE42" s="282">
        <v>202324</v>
      </c>
      <c r="AF42" s="282" t="s">
        <v>29</v>
      </c>
      <c r="AG42" s="282">
        <v>566</v>
      </c>
      <c r="AH42" s="282">
        <v>2</v>
      </c>
      <c r="AI42" s="282" t="s">
        <v>1</v>
      </c>
      <c r="AJ42" s="283">
        <v>226957.14087768164</v>
      </c>
      <c r="AL42" s="292" t="s">
        <v>3342</v>
      </c>
      <c r="AM42" s="292" t="s">
        <v>3420</v>
      </c>
      <c r="AN42" s="292" t="str">
        <f>IF(Details!$G$2=2,AL42,AM42)</f>
        <v>gwahaniaeth</v>
      </c>
    </row>
    <row r="43" spans="24:40" x14ac:dyDescent="0.35">
      <c r="AD43" s="282" t="str">
        <f t="shared" si="10"/>
        <v>568_2_202324</v>
      </c>
      <c r="AE43" s="282">
        <v>202324</v>
      </c>
      <c r="AF43" s="282" t="s">
        <v>29</v>
      </c>
      <c r="AG43" s="282">
        <v>568</v>
      </c>
      <c r="AH43" s="282">
        <v>2</v>
      </c>
      <c r="AI43" s="282" t="s">
        <v>1</v>
      </c>
      <c r="AJ43" s="283">
        <v>431107.98821618129</v>
      </c>
      <c r="AL43" s="292" t="s">
        <v>3441</v>
      </c>
      <c r="AM43" s="292" t="s">
        <v>3442</v>
      </c>
      <c r="AN43" s="292" t="str">
        <f>IF(Details!$G$2=2,AL43,AM43)</f>
        <v>goddefiant:</v>
      </c>
    </row>
    <row r="44" spans="24:40" x14ac:dyDescent="0.35">
      <c r="AD44" s="282" t="str">
        <f t="shared" si="10"/>
        <v>562_3_202324</v>
      </c>
      <c r="AE44" s="282">
        <v>202324</v>
      </c>
      <c r="AF44" s="282" t="s">
        <v>29</v>
      </c>
      <c r="AG44" s="282">
        <v>562</v>
      </c>
      <c r="AH44" s="282">
        <v>3</v>
      </c>
      <c r="AI44" s="282" t="s">
        <v>2</v>
      </c>
      <c r="AJ44" s="283">
        <v>8319003</v>
      </c>
      <c r="AL44" s="292" t="s">
        <v>3340</v>
      </c>
      <c r="AM44" s="292" t="s">
        <v>3421</v>
      </c>
      <c r="AN44" s="292" t="str">
        <f>IF(Details!$G$2=2,AL44,AM44)</f>
        <v>sero?</v>
      </c>
    </row>
    <row r="45" spans="24:40" x14ac:dyDescent="0.35">
      <c r="AD45" s="282" t="str">
        <f t="shared" si="10"/>
        <v>564_3_202324</v>
      </c>
      <c r="AE45" s="282">
        <v>202324</v>
      </c>
      <c r="AF45" s="282" t="s">
        <v>29</v>
      </c>
      <c r="AG45" s="282">
        <v>564</v>
      </c>
      <c r="AH45" s="282">
        <v>3</v>
      </c>
      <c r="AI45" s="282" t="s">
        <v>2</v>
      </c>
      <c r="AJ45" s="283">
        <v>25877481</v>
      </c>
      <c r="AL45" s="292" t="s">
        <v>1946</v>
      </c>
      <c r="AM45" s="292" t="s">
        <v>1947</v>
      </c>
      <c r="AN45" s="292" t="str">
        <f>IF(Details!$G$2=2,AL45,AM45)</f>
        <v>Cyfansymiau</v>
      </c>
    </row>
    <row r="46" spans="24:40" x14ac:dyDescent="0.35">
      <c r="AD46" s="282" t="str">
        <f t="shared" si="10"/>
        <v>566_3_202324</v>
      </c>
      <c r="AE46" s="282">
        <v>202324</v>
      </c>
      <c r="AF46" s="282" t="s">
        <v>29</v>
      </c>
      <c r="AG46" s="282">
        <v>566</v>
      </c>
      <c r="AH46" s="282">
        <v>3</v>
      </c>
      <c r="AI46" s="282" t="s">
        <v>2</v>
      </c>
      <c r="AJ46" s="283">
        <v>16107303.000000002</v>
      </c>
      <c r="AL46" s="292" t="s">
        <v>3422</v>
      </c>
      <c r="AM46" s="292" t="s">
        <v>3423</v>
      </c>
      <c r="AN46" s="292" t="str">
        <f>IF(Details!$G$2=2,AL46,AM46)</f>
        <v>Dilynwch y cyfarwyddiadau isod wrth lenwi'r dudalen hon:</v>
      </c>
    </row>
    <row r="47" spans="24:40" x14ac:dyDescent="0.35">
      <c r="AD47" s="282" t="str">
        <f t="shared" si="10"/>
        <v>568_3_202324</v>
      </c>
      <c r="AE47" s="282">
        <v>202324</v>
      </c>
      <c r="AF47" s="282" t="s">
        <v>29</v>
      </c>
      <c r="AG47" s="282">
        <v>568</v>
      </c>
      <c r="AH47" s="282">
        <v>3</v>
      </c>
      <c r="AI47" s="282" t="s">
        <v>2</v>
      </c>
      <c r="AJ47" s="283">
        <v>62144213</v>
      </c>
      <c r="AL47" s="294" t="s">
        <v>3369</v>
      </c>
      <c r="AM47" s="292" t="s">
        <v>3433</v>
      </c>
      <c r="AN47" s="292" t="str">
        <f>IF(Details!$G$2=2,AL47,AM47)</f>
        <v>Bydd unrhyw gyfanswmiau nad sy’n = sero yng ngholofn ‘V’ yn  cael ei farcio yn y golofn ‘Awtomatig’ a’I amlinellu yn goch</v>
      </c>
    </row>
    <row r="48" spans="24:40" x14ac:dyDescent="0.35">
      <c r="AD48" s="282" t="str">
        <f t="shared" si="10"/>
        <v>562_4_202324</v>
      </c>
      <c r="AE48" s="282">
        <v>202324</v>
      </c>
      <c r="AF48" s="282" t="s">
        <v>29</v>
      </c>
      <c r="AG48" s="282">
        <v>562</v>
      </c>
      <c r="AH48" s="282">
        <v>4</v>
      </c>
      <c r="AI48" s="282" t="s">
        <v>53</v>
      </c>
      <c r="AJ48" s="283">
        <v>52404283</v>
      </c>
      <c r="AL48" s="294" t="s">
        <v>3431</v>
      </c>
      <c r="AM48" s="292" t="s">
        <v>3432</v>
      </c>
      <c r="AN48" s="292" t="str">
        <f>IF(Details!$G$2=2,AL48,AM48)</f>
        <v>Gwiriadau Rhifyddol</v>
      </c>
    </row>
    <row r="49" spans="30:40" x14ac:dyDescent="0.35">
      <c r="AD49" s="282" t="str">
        <f t="shared" si="10"/>
        <v>564_4_202324</v>
      </c>
      <c r="AE49" s="282">
        <v>202324</v>
      </c>
      <c r="AF49" s="282" t="s">
        <v>29</v>
      </c>
      <c r="AG49" s="282">
        <v>564</v>
      </c>
      <c r="AH49" s="282">
        <v>4</v>
      </c>
      <c r="AI49" s="282" t="s">
        <v>53</v>
      </c>
      <c r="AJ49" s="283">
        <v>62519988</v>
      </c>
      <c r="AL49" s="294" t="s">
        <v>3341</v>
      </c>
      <c r="AM49" s="292" t="s">
        <v>3434</v>
      </c>
      <c r="AN49" s="292" t="str">
        <f>IF(Details!$G$2=2,AL49,AM49)</f>
        <v>Ffigyrau blwyddyn-wrth-flwyddyn</v>
      </c>
    </row>
    <row r="50" spans="30:40" x14ac:dyDescent="0.35">
      <c r="AD50" s="282" t="str">
        <f t="shared" si="10"/>
        <v>566_4_202324</v>
      </c>
      <c r="AE50" s="282">
        <v>202324</v>
      </c>
      <c r="AF50" s="282" t="s">
        <v>29</v>
      </c>
      <c r="AG50" s="282">
        <v>566</v>
      </c>
      <c r="AH50" s="282">
        <v>4</v>
      </c>
      <c r="AI50" s="282" t="s">
        <v>53</v>
      </c>
      <c r="AJ50" s="283">
        <v>72380659</v>
      </c>
      <c r="AL50" s="292"/>
      <c r="AM50" s="292"/>
      <c r="AN50" s="292">
        <f>IF(Details!$G$2=2,AL50,AM50)</f>
        <v>0</v>
      </c>
    </row>
    <row r="51" spans="30:40" x14ac:dyDescent="0.35">
      <c r="AD51" s="282" t="str">
        <f t="shared" si="10"/>
        <v>568_4_202324</v>
      </c>
      <c r="AE51" s="282">
        <v>202324</v>
      </c>
      <c r="AF51" s="282" t="s">
        <v>29</v>
      </c>
      <c r="AG51" s="282">
        <v>568</v>
      </c>
      <c r="AH51" s="282">
        <v>4</v>
      </c>
      <c r="AI51" s="282" t="s">
        <v>53</v>
      </c>
      <c r="AJ51" s="283">
        <v>132369360</v>
      </c>
      <c r="AL51" s="292"/>
      <c r="AM51" s="292"/>
      <c r="AN51" s="292">
        <f>IF(Details!$G$2=2,AL51,AM51)</f>
        <v>0</v>
      </c>
    </row>
    <row r="52" spans="30:40" x14ac:dyDescent="0.35">
      <c r="AD52" s="282" t="str">
        <f t="shared" si="10"/>
        <v>562_5_202324</v>
      </c>
      <c r="AE52" s="282">
        <v>202324</v>
      </c>
      <c r="AF52" s="282" t="s">
        <v>29</v>
      </c>
      <c r="AG52" s="282">
        <v>562</v>
      </c>
      <c r="AH52" s="282">
        <v>5</v>
      </c>
      <c r="AI52" s="282" t="s">
        <v>3365</v>
      </c>
      <c r="AJ52" s="283">
        <v>60895979.57934498</v>
      </c>
      <c r="AL52" s="292"/>
      <c r="AM52" s="292"/>
      <c r="AN52" s="292">
        <f>IF(Details!$G$2=2,AL52,AM52)</f>
        <v>0</v>
      </c>
    </row>
    <row r="53" spans="30:40" x14ac:dyDescent="0.35">
      <c r="AD53" s="282" t="str">
        <f t="shared" si="10"/>
        <v>564_5_202324</v>
      </c>
      <c r="AE53" s="282">
        <v>202324</v>
      </c>
      <c r="AF53" s="282" t="s">
        <v>29</v>
      </c>
      <c r="AG53" s="282">
        <v>564</v>
      </c>
      <c r="AH53" s="282">
        <v>5</v>
      </c>
      <c r="AI53" s="282" t="s">
        <v>3365</v>
      </c>
      <c r="AJ53" s="283">
        <v>88588710.291561157</v>
      </c>
      <c r="AL53" s="292"/>
      <c r="AM53" s="292"/>
      <c r="AN53" s="292">
        <f>IF(Details!$G$2=2,AL53,AM53)</f>
        <v>0</v>
      </c>
    </row>
    <row r="54" spans="30:40" x14ac:dyDescent="0.35">
      <c r="AD54" s="282" t="str">
        <f t="shared" si="10"/>
        <v>566_5_202324</v>
      </c>
      <c r="AE54" s="282">
        <v>202324</v>
      </c>
      <c r="AF54" s="282" t="s">
        <v>29</v>
      </c>
      <c r="AG54" s="282">
        <v>566</v>
      </c>
      <c r="AH54" s="282">
        <v>5</v>
      </c>
      <c r="AI54" s="282" t="s">
        <v>3365</v>
      </c>
      <c r="AJ54" s="283">
        <v>88714919.140877679</v>
      </c>
      <c r="AL54" s="292"/>
      <c r="AM54" s="292"/>
      <c r="AN54" s="292">
        <f>IF(Details!$G$2=2,AL54,AM54)</f>
        <v>0</v>
      </c>
    </row>
    <row r="55" spans="30:40" x14ac:dyDescent="0.35">
      <c r="AD55" s="282" t="str">
        <f t="shared" si="10"/>
        <v>568_5_202324</v>
      </c>
      <c r="AE55" s="282">
        <v>202324</v>
      </c>
      <c r="AF55" s="282" t="s">
        <v>29</v>
      </c>
      <c r="AG55" s="282">
        <v>568</v>
      </c>
      <c r="AH55" s="282">
        <v>5</v>
      </c>
      <c r="AI55" s="282" t="s">
        <v>3365</v>
      </c>
      <c r="AJ55" s="283">
        <v>194944680.98821619</v>
      </c>
    </row>
    <row r="56" spans="30:40" x14ac:dyDescent="0.35">
      <c r="AD56" s="282" t="str">
        <f t="shared" si="10"/>
        <v>562_6_202324</v>
      </c>
      <c r="AE56" s="282">
        <v>202324</v>
      </c>
      <c r="AF56" s="282" t="s">
        <v>29</v>
      </c>
      <c r="AG56" s="282">
        <v>562</v>
      </c>
      <c r="AH56" s="282">
        <v>6</v>
      </c>
      <c r="AI56" s="282" t="s">
        <v>3191</v>
      </c>
      <c r="AJ56" s="283">
        <v>72518429.650655031</v>
      </c>
    </row>
    <row r="57" spans="30:40" x14ac:dyDescent="0.35">
      <c r="AD57" s="282" t="str">
        <f t="shared" si="10"/>
        <v>564_6_202324</v>
      </c>
      <c r="AE57" s="282">
        <v>202324</v>
      </c>
      <c r="AF57" s="282" t="s">
        <v>29</v>
      </c>
      <c r="AG57" s="282">
        <v>564</v>
      </c>
      <c r="AH57" s="282">
        <v>6</v>
      </c>
      <c r="AI57" s="282" t="s">
        <v>3191</v>
      </c>
      <c r="AJ57" s="283">
        <v>72998180.708438843</v>
      </c>
    </row>
    <row r="58" spans="30:40" x14ac:dyDescent="0.35">
      <c r="AD58" s="282" t="str">
        <f t="shared" si="10"/>
        <v>566_6_202324</v>
      </c>
      <c r="AE58" s="282">
        <v>202324</v>
      </c>
      <c r="AF58" s="282" t="s">
        <v>29</v>
      </c>
      <c r="AG58" s="282">
        <v>566</v>
      </c>
      <c r="AH58" s="282">
        <v>6</v>
      </c>
      <c r="AI58" s="282" t="s">
        <v>3191</v>
      </c>
      <c r="AJ58" s="283">
        <v>100244286.85912232</v>
      </c>
    </row>
    <row r="59" spans="30:40" x14ac:dyDescent="0.35">
      <c r="AD59" s="282" t="str">
        <f t="shared" si="10"/>
        <v>568_6_202324</v>
      </c>
      <c r="AE59" s="282">
        <v>202324</v>
      </c>
      <c r="AF59" s="282" t="s">
        <v>29</v>
      </c>
      <c r="AG59" s="282">
        <v>568</v>
      </c>
      <c r="AH59" s="282">
        <v>6</v>
      </c>
      <c r="AI59" s="282" t="s">
        <v>3191</v>
      </c>
      <c r="AJ59" s="283">
        <v>163754019.01178381</v>
      </c>
    </row>
    <row r="60" spans="30:40" x14ac:dyDescent="0.35">
      <c r="AD60" s="282" t="str">
        <f t="shared" si="10"/>
        <v>562_7_202324</v>
      </c>
      <c r="AE60" s="282">
        <v>202324</v>
      </c>
      <c r="AF60" s="282" t="s">
        <v>29</v>
      </c>
      <c r="AG60" s="282">
        <v>562</v>
      </c>
      <c r="AH60" s="282">
        <v>7</v>
      </c>
      <c r="AI60" s="282" t="s">
        <v>48</v>
      </c>
      <c r="AJ60" s="283">
        <v>231947.64</v>
      </c>
    </row>
    <row r="61" spans="30:40" x14ac:dyDescent="0.35">
      <c r="AD61" s="282" t="str">
        <f t="shared" si="10"/>
        <v>564_7_202324</v>
      </c>
      <c r="AE61" s="282">
        <v>202324</v>
      </c>
      <c r="AF61" s="282" t="s">
        <v>29</v>
      </c>
      <c r="AG61" s="282">
        <v>564</v>
      </c>
      <c r="AH61" s="282">
        <v>7</v>
      </c>
      <c r="AI61" s="282" t="s">
        <v>48</v>
      </c>
      <c r="AJ61" s="283">
        <v>224942.01</v>
      </c>
    </row>
    <row r="62" spans="30:40" x14ac:dyDescent="0.35">
      <c r="AD62" s="282" t="str">
        <f t="shared" si="10"/>
        <v>566_7_202324</v>
      </c>
      <c r="AE62" s="282">
        <v>202324</v>
      </c>
      <c r="AF62" s="282" t="s">
        <v>29</v>
      </c>
      <c r="AG62" s="282">
        <v>566</v>
      </c>
      <c r="AH62" s="282">
        <v>7</v>
      </c>
      <c r="AI62" s="282" t="s">
        <v>48</v>
      </c>
      <c r="AJ62" s="283">
        <v>300952.56</v>
      </c>
    </row>
    <row r="63" spans="30:40" x14ac:dyDescent="0.35">
      <c r="AD63" s="282" t="str">
        <f t="shared" si="10"/>
        <v>568_7_202324</v>
      </c>
      <c r="AE63" s="282">
        <v>202324</v>
      </c>
      <c r="AF63" s="282" t="s">
        <v>29</v>
      </c>
      <c r="AG63" s="282">
        <v>568</v>
      </c>
      <c r="AH63" s="282">
        <v>7</v>
      </c>
      <c r="AI63" s="282" t="s">
        <v>48</v>
      </c>
      <c r="AJ63" s="283">
        <v>504681.53999999992</v>
      </c>
    </row>
    <row r="64" spans="30:40" x14ac:dyDescent="0.35">
      <c r="AD64" s="282" t="str">
        <f t="shared" si="10"/>
        <v>562_8_202324</v>
      </c>
      <c r="AE64" s="282">
        <v>202324</v>
      </c>
      <c r="AF64" s="282" t="s">
        <v>29</v>
      </c>
      <c r="AG64" s="282">
        <v>562</v>
      </c>
      <c r="AH64" s="282">
        <v>8</v>
      </c>
      <c r="AI64" s="282" t="s">
        <v>3366</v>
      </c>
      <c r="AJ64" s="283">
        <v>312.64999999999998</v>
      </c>
    </row>
    <row r="65" spans="30:36" x14ac:dyDescent="0.35">
      <c r="AD65" s="282" t="str">
        <f t="shared" si="10"/>
        <v>564_8_202324</v>
      </c>
      <c r="AE65" s="282">
        <v>202324</v>
      </c>
      <c r="AF65" s="282" t="s">
        <v>29</v>
      </c>
      <c r="AG65" s="282">
        <v>564</v>
      </c>
      <c r="AH65" s="282">
        <v>8</v>
      </c>
      <c r="AI65" s="282" t="s">
        <v>3366</v>
      </c>
      <c r="AJ65" s="283">
        <v>324.52</v>
      </c>
    </row>
    <row r="66" spans="30:36" x14ac:dyDescent="0.35">
      <c r="AD66" s="282" t="str">
        <f t="shared" si="10"/>
        <v>566_8_202324</v>
      </c>
      <c r="AE66" s="282">
        <v>202324</v>
      </c>
      <c r="AF66" s="282" t="s">
        <v>29</v>
      </c>
      <c r="AG66" s="282">
        <v>566</v>
      </c>
      <c r="AH66" s="282">
        <v>8</v>
      </c>
      <c r="AI66" s="282" t="s">
        <v>3366</v>
      </c>
      <c r="AJ66" s="283">
        <v>333.09</v>
      </c>
    </row>
    <row r="67" spans="30:36" x14ac:dyDescent="0.35">
      <c r="AD67" s="282" t="str">
        <f t="shared" si="10"/>
        <v>568_8_202324</v>
      </c>
      <c r="AE67" s="282">
        <v>202324</v>
      </c>
      <c r="AF67" s="282" t="s">
        <v>29</v>
      </c>
      <c r="AG67" s="282">
        <v>568</v>
      </c>
      <c r="AH67" s="282">
        <v>8</v>
      </c>
      <c r="AI67" s="282" t="s">
        <v>3366</v>
      </c>
      <c r="AJ67" s="283">
        <v>324.47000000000003</v>
      </c>
    </row>
  </sheetData>
  <sheetProtection sheet="1" objects="1" scenarios="1"/>
  <pageMargins left="0.7" right="0.7" top="0.75" bottom="0.75" header="0.3" footer="0.3"/>
  <pageSetup paperSize="9" orientation="portrait" horizontalDpi="300" verticalDpi="300"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B56"/>
  <sheetViews>
    <sheetView showGridLines="0" tabSelected="1" zoomScaleNormal="100" workbookViewId="0"/>
  </sheetViews>
  <sheetFormatPr defaultColWidth="8.84375" defaultRowHeight="15" customHeight="1" x14ac:dyDescent="0.35"/>
  <cols>
    <col min="1" max="1" width="2.4609375" style="21" customWidth="1"/>
    <col min="2" max="2" width="3.23046875" style="21" customWidth="1"/>
    <col min="3" max="3" width="2.23046875" style="21" customWidth="1"/>
    <col min="4" max="4" width="3.3046875" style="21" customWidth="1"/>
    <col min="5" max="5" width="5.69140625" style="21" customWidth="1"/>
    <col min="6" max="6" width="22" style="21" customWidth="1"/>
    <col min="7" max="7" width="8.3046875" style="21" customWidth="1"/>
    <col min="8" max="8" width="6.765625" style="21" customWidth="1"/>
    <col min="9" max="9" width="2.765625" style="21" customWidth="1"/>
    <col min="10" max="10" width="6.4609375" style="21" customWidth="1"/>
    <col min="11" max="12" width="8.765625" style="21" customWidth="1"/>
    <col min="13" max="13" width="7.07421875" style="21" customWidth="1"/>
    <col min="14" max="14" width="2.23046875" style="21" customWidth="1"/>
    <col min="15" max="15" width="6.3046875" style="21" customWidth="1"/>
    <col min="16" max="16" width="2.84375" style="21" customWidth="1"/>
    <col min="17" max="16384" width="8.84375" style="21"/>
  </cols>
  <sheetData>
    <row r="1" spans="1:17" ht="15" customHeight="1" x14ac:dyDescent="0.35">
      <c r="A1" s="300"/>
      <c r="B1" s="499"/>
      <c r="C1" s="499"/>
      <c r="D1" s="499"/>
      <c r="E1" s="499"/>
      <c r="F1" s="499"/>
      <c r="G1" s="499"/>
      <c r="H1" s="499"/>
      <c r="I1" s="499"/>
      <c r="J1" s="300"/>
      <c r="K1" s="300"/>
      <c r="L1" s="300"/>
      <c r="M1" s="300"/>
      <c r="N1" s="300"/>
      <c r="O1" s="300"/>
      <c r="P1" s="300"/>
      <c r="Q1" s="300"/>
    </row>
    <row r="2" spans="1:17" ht="24" customHeight="1" x14ac:dyDescent="0.35">
      <c r="A2" s="300"/>
      <c r="B2" s="500"/>
      <c r="C2" s="501"/>
      <c r="D2" s="651" t="str">
        <f>Text!F4&amp;", "&amp;Details!J3</f>
        <v>Ffurflen Gofynion y Gyllideb, 2024-25</v>
      </c>
      <c r="E2" s="651"/>
      <c r="F2" s="651"/>
      <c r="G2" s="651"/>
      <c r="H2" s="502" t="s">
        <v>3148</v>
      </c>
      <c r="I2" s="502"/>
      <c r="J2" s="502"/>
      <c r="K2" s="502"/>
      <c r="L2" s="502"/>
      <c r="M2" s="503" t="s">
        <v>29</v>
      </c>
      <c r="N2" s="649">
        <v>1</v>
      </c>
      <c r="O2" s="650"/>
      <c r="P2" s="300"/>
      <c r="Q2" s="300"/>
    </row>
    <row r="3" spans="1:17" ht="15" customHeight="1" x14ac:dyDescent="0.4">
      <c r="A3" s="300"/>
      <c r="B3" s="98"/>
      <c r="C3" s="99"/>
      <c r="D3" s="337"/>
      <c r="E3" s="337"/>
      <c r="F3" s="337"/>
      <c r="G3" s="337"/>
      <c r="H3" s="337"/>
      <c r="I3" s="99"/>
      <c r="J3" s="99"/>
      <c r="K3" s="99"/>
      <c r="L3" s="99"/>
      <c r="M3" s="99"/>
      <c r="N3" s="99"/>
      <c r="O3" s="107"/>
      <c r="P3" s="300"/>
      <c r="Q3" s="300"/>
    </row>
    <row r="4" spans="1:17" ht="16.5" customHeight="1" x14ac:dyDescent="0.4">
      <c r="A4" s="300"/>
      <c r="B4" s="98"/>
      <c r="C4" s="99"/>
      <c r="D4" s="337" t="str">
        <f>Text!F5</f>
        <v>Yr Heddlu yn unig</v>
      </c>
      <c r="E4" s="102"/>
      <c r="F4" s="102"/>
      <c r="G4" s="102"/>
      <c r="H4" s="102"/>
      <c r="I4" s="102"/>
      <c r="J4" s="102"/>
      <c r="K4" s="102"/>
      <c r="L4" s="102"/>
      <c r="M4" s="102"/>
      <c r="N4" s="102"/>
      <c r="O4" s="107"/>
      <c r="P4" s="300"/>
      <c r="Q4" s="300"/>
    </row>
    <row r="5" spans="1:17" ht="15" customHeight="1" x14ac:dyDescent="0.4">
      <c r="A5" s="300"/>
      <c r="B5" s="98"/>
      <c r="C5" s="337"/>
      <c r="D5" s="102"/>
      <c r="E5" s="102"/>
      <c r="F5" s="102"/>
      <c r="G5" s="102"/>
      <c r="H5" s="102"/>
      <c r="I5" s="102"/>
      <c r="J5" s="102"/>
      <c r="K5" s="102"/>
      <c r="L5" s="102"/>
      <c r="M5" s="102"/>
      <c r="N5" s="102"/>
      <c r="O5" s="107"/>
      <c r="P5" s="300"/>
      <c r="Q5" s="300"/>
    </row>
    <row r="6" spans="1:17" ht="15" customHeight="1" x14ac:dyDescent="0.35">
      <c r="A6" s="300"/>
      <c r="B6" s="98"/>
      <c r="C6" s="99"/>
      <c r="D6" s="99"/>
      <c r="E6" s="100"/>
      <c r="F6" s="99"/>
      <c r="G6" s="100"/>
      <c r="H6" s="99"/>
      <c r="I6" s="99"/>
      <c r="J6" s="99"/>
      <c r="K6" s="101"/>
      <c r="L6" s="102"/>
      <c r="M6" s="101"/>
      <c r="N6" s="103"/>
      <c r="O6" s="104"/>
      <c r="P6" s="300"/>
      <c r="Q6" s="300"/>
    </row>
    <row r="7" spans="1:17" ht="15" customHeight="1" x14ac:dyDescent="0.35">
      <c r="A7" s="300"/>
      <c r="B7" s="98"/>
      <c r="C7" s="99"/>
      <c r="D7" s="99"/>
      <c r="E7" s="105">
        <v>1</v>
      </c>
      <c r="F7" s="99"/>
      <c r="G7" s="99"/>
      <c r="H7" s="99"/>
      <c r="I7" s="99"/>
      <c r="J7" s="99"/>
      <c r="K7" s="99"/>
      <c r="L7" s="106">
        <v>0</v>
      </c>
      <c r="M7" s="99"/>
      <c r="N7" s="99"/>
      <c r="O7" s="107"/>
      <c r="P7" s="300"/>
      <c r="Q7" s="300"/>
    </row>
    <row r="8" spans="1:17" ht="15" customHeight="1" x14ac:dyDescent="0.35">
      <c r="A8" s="300"/>
      <c r="B8" s="98"/>
      <c r="C8" s="99"/>
      <c r="D8" s="99"/>
      <c r="E8" s="105"/>
      <c r="F8" s="99"/>
      <c r="G8" s="99"/>
      <c r="H8" s="99"/>
      <c r="I8" s="99"/>
      <c r="J8" s="99"/>
      <c r="K8" s="99"/>
      <c r="L8" s="106"/>
      <c r="M8" s="99"/>
      <c r="N8" s="99"/>
      <c r="O8" s="107"/>
      <c r="P8" s="300"/>
      <c r="Q8" s="300"/>
    </row>
    <row r="9" spans="1:17" ht="15" customHeight="1" x14ac:dyDescent="0.35">
      <c r="A9" s="300"/>
      <c r="B9" s="98"/>
      <c r="C9" s="99"/>
      <c r="D9" s="110" t="str">
        <f>Text!F6</f>
        <v>Dewiswch eich awdurdod a cywirwch eich cyfeiriad os oes angen</v>
      </c>
      <c r="E9" s="105"/>
      <c r="F9" s="99"/>
      <c r="G9" s="99"/>
      <c r="H9" s="99"/>
      <c r="I9" s="99"/>
      <c r="J9" s="99"/>
      <c r="K9" s="99"/>
      <c r="L9" s="106"/>
      <c r="M9" s="99"/>
      <c r="N9" s="99"/>
      <c r="O9" s="107"/>
      <c r="P9" s="300"/>
      <c r="Q9" s="300"/>
    </row>
    <row r="10" spans="1:17" ht="15" customHeight="1" x14ac:dyDescent="0.35">
      <c r="A10" s="300"/>
      <c r="B10" s="98"/>
      <c r="C10" s="99"/>
      <c r="D10" s="99"/>
      <c r="E10" s="105"/>
      <c r="F10" s="99"/>
      <c r="G10" s="99"/>
      <c r="H10" s="99"/>
      <c r="I10" s="99"/>
      <c r="J10" s="99"/>
      <c r="K10" s="99"/>
      <c r="L10" s="106"/>
      <c r="M10" s="99"/>
      <c r="N10" s="99"/>
      <c r="O10" s="107"/>
      <c r="P10" s="300"/>
      <c r="Q10" s="300"/>
    </row>
    <row r="11" spans="1:17" ht="18" customHeight="1" x14ac:dyDescent="0.35">
      <c r="A11" s="300"/>
      <c r="B11" s="98"/>
      <c r="C11" s="99"/>
      <c r="D11" s="99"/>
      <c r="E11" s="99"/>
      <c r="F11" s="167">
        <v>1</v>
      </c>
      <c r="G11" s="105">
        <v>5</v>
      </c>
      <c r="H11" s="99"/>
      <c r="I11" s="99"/>
      <c r="J11" s="99"/>
      <c r="K11" s="99"/>
      <c r="L11" s="99"/>
      <c r="M11" s="99"/>
      <c r="N11" s="99"/>
      <c r="O11" s="107"/>
      <c r="P11" s="300"/>
      <c r="Q11" s="300"/>
    </row>
    <row r="12" spans="1:17" ht="7.5" customHeight="1" x14ac:dyDescent="0.35">
      <c r="A12" s="300"/>
      <c r="B12" s="98"/>
      <c r="C12" s="99"/>
      <c r="D12" s="99"/>
      <c r="E12" s="347"/>
      <c r="F12" s="347"/>
      <c r="G12" s="347"/>
      <c r="H12" s="99"/>
      <c r="I12" s="99"/>
      <c r="J12" s="99"/>
      <c r="K12" s="99"/>
      <c r="L12" s="99"/>
      <c r="M12" s="99"/>
      <c r="N12" s="99"/>
      <c r="O12" s="107"/>
      <c r="P12" s="300"/>
      <c r="Q12" s="300"/>
    </row>
    <row r="13" spans="1:17" ht="18.75" customHeight="1" x14ac:dyDescent="0.35">
      <c r="A13" s="300"/>
      <c r="B13" s="98"/>
      <c r="C13" s="99"/>
      <c r="D13" s="99"/>
      <c r="E13" s="339"/>
      <c r="F13" s="338" t="str">
        <f>IF(UANumber=0,"",VLOOKUP(UANumber,Addresses,3,FALSE))</f>
        <v/>
      </c>
      <c r="G13" s="340"/>
      <c r="H13" s="108"/>
      <c r="I13" s="108"/>
      <c r="J13" s="108"/>
      <c r="K13" s="108"/>
      <c r="L13" s="99"/>
      <c r="M13" s="99"/>
      <c r="N13" s="99"/>
      <c r="O13" s="107"/>
      <c r="P13" s="300"/>
      <c r="Q13" s="300"/>
    </row>
    <row r="14" spans="1:17" ht="15" customHeight="1" x14ac:dyDescent="0.35">
      <c r="A14" s="300"/>
      <c r="B14" s="98"/>
      <c r="C14" s="99"/>
      <c r="D14" s="99"/>
      <c r="E14" s="341"/>
      <c r="F14" s="342" t="str">
        <f>IF(UANumber=0,"",VLOOKUP(UANumber,Addresses,4,FALSE))</f>
        <v/>
      </c>
      <c r="G14" s="343"/>
      <c r="H14" s="108"/>
      <c r="I14" s="108"/>
      <c r="J14" s="108"/>
      <c r="K14" s="108"/>
      <c r="L14" s="99"/>
      <c r="M14" s="99"/>
      <c r="N14" s="99"/>
      <c r="O14" s="107"/>
      <c r="P14" s="300"/>
      <c r="Q14" s="300"/>
    </row>
    <row r="15" spans="1:17" ht="15" customHeight="1" x14ac:dyDescent="0.35">
      <c r="A15" s="300"/>
      <c r="B15" s="98"/>
      <c r="C15" s="99"/>
      <c r="D15" s="99"/>
      <c r="E15" s="341"/>
      <c r="F15" s="342" t="str">
        <f>IF(UANumber=0,"",IF(VLOOKUP(UANumber,Addresses,5,FALSE)="","",VLOOKUP(UANumber,Addresses,5,FALSE)))</f>
        <v/>
      </c>
      <c r="G15" s="343"/>
      <c r="H15" s="108"/>
      <c r="I15" s="108"/>
      <c r="J15" s="108"/>
      <c r="K15" s="108"/>
      <c r="L15" s="99"/>
      <c r="M15" s="99"/>
      <c r="N15" s="99"/>
      <c r="O15" s="107"/>
      <c r="P15" s="300"/>
      <c r="Q15" s="300"/>
    </row>
    <row r="16" spans="1:17" ht="15" customHeight="1" x14ac:dyDescent="0.35">
      <c r="A16" s="300"/>
      <c r="B16" s="98"/>
      <c r="C16" s="99"/>
      <c r="D16" s="99"/>
      <c r="E16" s="341"/>
      <c r="F16" s="342" t="str">
        <f>IF(UANumber=0,"",IF(VLOOKUP(UANumber,Addresses,6,FALSE)="","",VLOOKUP(UANumber,Addresses,6,FALSE)))</f>
        <v/>
      </c>
      <c r="G16" s="343"/>
      <c r="H16" s="108"/>
      <c r="I16" s="108"/>
      <c r="J16" s="108"/>
      <c r="K16" s="108"/>
      <c r="L16" s="99"/>
      <c r="M16" s="99"/>
      <c r="N16" s="99"/>
      <c r="O16" s="107"/>
      <c r="P16" s="300"/>
      <c r="Q16" s="300"/>
    </row>
    <row r="17" spans="1:17" ht="15" customHeight="1" x14ac:dyDescent="0.35">
      <c r="A17" s="300"/>
      <c r="B17" s="98"/>
      <c r="C17" s="99"/>
      <c r="D17" s="99"/>
      <c r="E17" s="341"/>
      <c r="F17" s="342" t="str">
        <f>IF(UANumber=0,"",IF(VLOOKUP(UANumber,Addresses,7,FALSE)="","",VLOOKUP(UANumber,Addresses,7,FALSE)))</f>
        <v/>
      </c>
      <c r="G17" s="343"/>
      <c r="H17" s="108"/>
      <c r="I17" s="108"/>
      <c r="J17" s="108"/>
      <c r="K17" s="108"/>
      <c r="L17" s="99"/>
      <c r="M17" s="99"/>
      <c r="N17" s="99"/>
      <c r="O17" s="107"/>
      <c r="P17" s="300"/>
      <c r="Q17" s="300"/>
    </row>
    <row r="18" spans="1:17" ht="15" customHeight="1" x14ac:dyDescent="0.35">
      <c r="A18" s="300"/>
      <c r="B18" s="98"/>
      <c r="C18" s="99"/>
      <c r="D18" s="99"/>
      <c r="E18" s="344"/>
      <c r="F18" s="345" t="str">
        <f>IF(UANumber=0,"",VLOOKUP(UANumber,Addresses,8,FALSE))</f>
        <v/>
      </c>
      <c r="G18" s="346"/>
      <c r="H18" s="108"/>
      <c r="I18" s="108"/>
      <c r="J18" s="108"/>
      <c r="K18" s="108"/>
      <c r="L18" s="99"/>
      <c r="M18" s="99"/>
      <c r="N18" s="99"/>
      <c r="O18" s="107"/>
      <c r="P18" s="300"/>
      <c r="Q18" s="300"/>
    </row>
    <row r="19" spans="1:17" ht="7.5" customHeight="1" x14ac:dyDescent="0.35">
      <c r="A19" s="300"/>
      <c r="B19" s="98"/>
      <c r="C19" s="99"/>
      <c r="D19" s="99"/>
      <c r="E19" s="108"/>
      <c r="F19" s="108"/>
      <c r="G19" s="108"/>
      <c r="H19" s="108"/>
      <c r="I19" s="108"/>
      <c r="J19" s="108"/>
      <c r="K19" s="108"/>
      <c r="L19" s="99"/>
      <c r="M19" s="99"/>
      <c r="N19" s="99"/>
      <c r="O19" s="107"/>
      <c r="P19" s="300"/>
      <c r="Q19" s="300"/>
    </row>
    <row r="20" spans="1:17" ht="20.25" customHeight="1" x14ac:dyDescent="0.35">
      <c r="A20" s="300"/>
      <c r="B20" s="98"/>
      <c r="C20" s="99"/>
      <c r="D20" s="99"/>
      <c r="E20" s="108"/>
      <c r="F20" s="365" t="str">
        <f>Text!F7&amp;" "</f>
        <v xml:space="preserve">Enw: </v>
      </c>
      <c r="G20" s="652" t="str">
        <f>IF(UANumber=0,"",VLOOKUP(UANumber,Addresses,9,FALSE))</f>
        <v/>
      </c>
      <c r="H20" s="653"/>
      <c r="I20" s="653"/>
      <c r="J20" s="653"/>
      <c r="K20" s="653"/>
      <c r="L20" s="653"/>
      <c r="M20" s="653"/>
      <c r="N20" s="654"/>
      <c r="O20" s="107"/>
      <c r="P20" s="300"/>
      <c r="Q20" s="300"/>
    </row>
    <row r="21" spans="1:17" ht="20.25" customHeight="1" x14ac:dyDescent="0.35">
      <c r="A21" s="300"/>
      <c r="B21" s="98"/>
      <c r="C21" s="99"/>
      <c r="D21" s="99"/>
      <c r="E21" s="108"/>
      <c r="F21" s="111"/>
      <c r="G21" s="655"/>
      <c r="H21" s="656"/>
      <c r="I21" s="656"/>
      <c r="J21" s="656"/>
      <c r="K21" s="656"/>
      <c r="L21" s="656"/>
      <c r="M21" s="656"/>
      <c r="N21" s="657"/>
      <c r="O21" s="107"/>
      <c r="P21" s="300"/>
      <c r="Q21" s="300"/>
    </row>
    <row r="22" spans="1:17" ht="7.5" customHeight="1" x14ac:dyDescent="0.35">
      <c r="A22" s="300"/>
      <c r="B22" s="98"/>
      <c r="C22" s="99"/>
      <c r="D22" s="99"/>
      <c r="E22" s="108"/>
      <c r="F22" s="108"/>
      <c r="G22" s="112"/>
      <c r="H22" s="112"/>
      <c r="I22" s="112"/>
      <c r="J22" s="112"/>
      <c r="K22" s="112"/>
      <c r="L22" s="99"/>
      <c r="M22" s="99"/>
      <c r="N22" s="99"/>
      <c r="O22" s="107"/>
      <c r="P22" s="300"/>
      <c r="Q22" s="300"/>
    </row>
    <row r="23" spans="1:17" ht="20.25" customHeight="1" x14ac:dyDescent="0.35">
      <c r="A23" s="300"/>
      <c r="B23" s="98"/>
      <c r="C23" s="99"/>
      <c r="D23" s="363"/>
      <c r="E23" s="363"/>
      <c r="F23" s="365" t="str">
        <f>Text!F8&amp;" "</f>
        <v xml:space="preserve">E-bost (rhowch Amh os nad yw ar gael): </v>
      </c>
      <c r="G23" s="652" t="str">
        <f>IF(UANumber=0,"",VLOOKUP(UANumber,Addresses,12,FALSE))</f>
        <v/>
      </c>
      <c r="H23" s="653"/>
      <c r="I23" s="653"/>
      <c r="J23" s="653"/>
      <c r="K23" s="653"/>
      <c r="L23" s="653"/>
      <c r="M23" s="653"/>
      <c r="N23" s="654"/>
      <c r="O23" s="107"/>
      <c r="P23" s="300"/>
      <c r="Q23" s="300"/>
    </row>
    <row r="24" spans="1:17" ht="20.25" customHeight="1" x14ac:dyDescent="0.35">
      <c r="A24" s="300"/>
      <c r="B24" s="98"/>
      <c r="C24" s="363"/>
      <c r="D24" s="363"/>
      <c r="E24" s="363"/>
      <c r="F24" s="364"/>
      <c r="G24" s="655"/>
      <c r="H24" s="656"/>
      <c r="I24" s="656"/>
      <c r="J24" s="656"/>
      <c r="K24" s="656"/>
      <c r="L24" s="656"/>
      <c r="M24" s="656"/>
      <c r="N24" s="657"/>
      <c r="O24" s="107"/>
      <c r="P24" s="300"/>
      <c r="Q24" s="300"/>
    </row>
    <row r="25" spans="1:17" ht="7.5" customHeight="1" x14ac:dyDescent="0.35">
      <c r="A25" s="300"/>
      <c r="B25" s="98"/>
      <c r="C25" s="99"/>
      <c r="D25" s="99"/>
      <c r="E25" s="108"/>
      <c r="F25" s="108"/>
      <c r="G25" s="112"/>
      <c r="H25" s="112"/>
      <c r="I25" s="112"/>
      <c r="J25" s="112"/>
      <c r="K25" s="112"/>
      <c r="L25" s="99"/>
      <c r="M25" s="99"/>
      <c r="N25" s="99"/>
      <c r="O25" s="107"/>
      <c r="P25" s="300"/>
      <c r="Q25" s="300"/>
    </row>
    <row r="26" spans="1:17" ht="20.25" customHeight="1" x14ac:dyDescent="0.35">
      <c r="A26" s="300"/>
      <c r="B26" s="98"/>
      <c r="C26" s="99"/>
      <c r="D26" s="99"/>
      <c r="E26" s="108"/>
      <c r="F26" s="365" t="str">
        <f>Text!F9&amp;" "</f>
        <v xml:space="preserve">Ffôn: Cod STD: </v>
      </c>
      <c r="G26" s="652" t="str">
        <f>IF(UANumber=0,"",VLOOKUP(UANumber,Addresses,10,FALSE)&amp;" "&amp;VLOOKUP(UANumber,Addresses,11,FALSE))</f>
        <v/>
      </c>
      <c r="H26" s="653"/>
      <c r="I26" s="653"/>
      <c r="J26" s="653"/>
      <c r="K26" s="653"/>
      <c r="L26" s="653"/>
      <c r="M26" s="653"/>
      <c r="N26" s="654"/>
      <c r="O26" s="107"/>
      <c r="P26" s="300"/>
      <c r="Q26" s="300"/>
    </row>
    <row r="27" spans="1:17" ht="20.25" customHeight="1" x14ac:dyDescent="0.35">
      <c r="A27" s="300"/>
      <c r="B27" s="98"/>
      <c r="C27" s="99"/>
      <c r="D27" s="99"/>
      <c r="E27" s="108"/>
      <c r="F27" s="111"/>
      <c r="G27" s="655"/>
      <c r="H27" s="656"/>
      <c r="I27" s="656"/>
      <c r="J27" s="656"/>
      <c r="K27" s="656"/>
      <c r="L27" s="656"/>
      <c r="M27" s="656"/>
      <c r="N27" s="657"/>
      <c r="O27" s="107"/>
      <c r="P27" s="300"/>
      <c r="Q27" s="300"/>
    </row>
    <row r="28" spans="1:17" ht="15" customHeight="1" x14ac:dyDescent="0.35">
      <c r="A28" s="300"/>
      <c r="B28" s="98"/>
      <c r="C28" s="99"/>
      <c r="D28" s="99"/>
      <c r="E28" s="99"/>
      <c r="F28" s="99"/>
      <c r="G28" s="99"/>
      <c r="H28" s="99"/>
      <c r="I28" s="99"/>
      <c r="J28" s="99"/>
      <c r="K28" s="99"/>
      <c r="L28" s="99"/>
      <c r="M28" s="99"/>
      <c r="N28" s="99"/>
      <c r="O28" s="107"/>
      <c r="P28" s="300"/>
      <c r="Q28" s="300"/>
    </row>
    <row r="29" spans="1:17" ht="11.25" customHeight="1" x14ac:dyDescent="0.35">
      <c r="A29" s="300"/>
      <c r="B29" s="504"/>
      <c r="C29" s="647"/>
      <c r="D29" s="648"/>
      <c r="E29" s="648"/>
      <c r="F29" s="648"/>
      <c r="G29" s="648"/>
      <c r="H29" s="648"/>
      <c r="I29" s="648"/>
      <c r="J29" s="648"/>
      <c r="K29" s="648"/>
      <c r="L29" s="648"/>
      <c r="M29" s="648"/>
      <c r="N29" s="648"/>
      <c r="O29" s="505"/>
      <c r="P29" s="300"/>
      <c r="Q29" s="300"/>
    </row>
    <row r="30" spans="1:17" ht="32.25" customHeight="1" x14ac:dyDescent="0.35">
      <c r="A30" s="300"/>
      <c r="B30" s="504"/>
      <c r="C30" s="633" t="str">
        <f>Text!F11</f>
        <v>Rhaid cyflwyno'r wybodaeth ar y ffurflen hon o dan adran 64 o Ddeddf Cyllid Llywodraeth Leol 1992, fel y'i diwygiwyd.</v>
      </c>
      <c r="D30" s="633"/>
      <c r="E30" s="633"/>
      <c r="F30" s="633"/>
      <c r="G30" s="633"/>
      <c r="H30" s="633"/>
      <c r="I30" s="633"/>
      <c r="J30" s="633"/>
      <c r="K30" s="633"/>
      <c r="L30" s="633"/>
      <c r="M30" s="633"/>
      <c r="N30" s="633"/>
      <c r="O30" s="505"/>
      <c r="P30" s="300"/>
      <c r="Q30" s="300"/>
    </row>
    <row r="31" spans="1:17" ht="15" customHeight="1" x14ac:dyDescent="0.35">
      <c r="A31" s="300"/>
      <c r="B31" s="504"/>
      <c r="C31" s="633" t="str">
        <f>Text!F12</f>
        <v xml:space="preserve">Rhaid dychwelyd y ffurflen hon o fewn 7 diwrnod i gyfrifo Gofynion y Gyllideb. </v>
      </c>
      <c r="D31" s="634"/>
      <c r="E31" s="634"/>
      <c r="F31" s="634"/>
      <c r="G31" s="634"/>
      <c r="H31" s="634"/>
      <c r="I31" s="634"/>
      <c r="J31" s="634"/>
      <c r="K31" s="634"/>
      <c r="L31" s="634"/>
      <c r="M31" s="634"/>
      <c r="N31" s="634"/>
      <c r="O31" s="505"/>
      <c r="P31" s="300"/>
      <c r="Q31" s="300"/>
    </row>
    <row r="32" spans="1:17" ht="15" customHeight="1" x14ac:dyDescent="0.35">
      <c r="A32" s="300"/>
      <c r="B32" s="504"/>
      <c r="C32" s="496"/>
      <c r="D32" s="496"/>
      <c r="E32" s="496"/>
      <c r="F32" s="496"/>
      <c r="G32" s="496"/>
      <c r="H32" s="496"/>
      <c r="I32" s="496"/>
      <c r="J32" s="496"/>
      <c r="K32" s="496"/>
      <c r="L32" s="496"/>
      <c r="M32" s="496"/>
      <c r="N32" s="496"/>
      <c r="O32" s="505"/>
      <c r="P32" s="300"/>
      <c r="Q32" s="300"/>
    </row>
    <row r="33" spans="1:17" ht="32.25" customHeight="1" x14ac:dyDescent="0.35">
      <c r="A33" s="550"/>
      <c r="B33" s="504"/>
      <c r="C33" s="635" t="str">
        <f>Text!F93</f>
        <v>Y dyddiad hwyraf ar gyfer dychwelyd yw 7 Mawrth 2024</v>
      </c>
      <c r="D33" s="636"/>
      <c r="E33" s="636"/>
      <c r="F33" s="636"/>
      <c r="G33" s="636"/>
      <c r="H33" s="636"/>
      <c r="I33" s="636"/>
      <c r="J33" s="636"/>
      <c r="K33" s="636"/>
      <c r="L33" s="636"/>
      <c r="M33" s="636"/>
      <c r="N33" s="637"/>
      <c r="O33" s="505"/>
      <c r="P33" s="550"/>
      <c r="Q33" s="300"/>
    </row>
    <row r="34" spans="1:17" ht="8.25" customHeight="1" x14ac:dyDescent="0.35">
      <c r="A34" s="300"/>
      <c r="B34" s="504"/>
      <c r="C34" s="496"/>
      <c r="D34" s="496"/>
      <c r="E34" s="496"/>
      <c r="F34" s="496"/>
      <c r="G34" s="496"/>
      <c r="H34" s="496"/>
      <c r="I34" s="496"/>
      <c r="J34" s="496"/>
      <c r="K34" s="496"/>
      <c r="L34" s="496"/>
      <c r="M34" s="496"/>
      <c r="N34" s="496"/>
      <c r="O34" s="505"/>
      <c r="P34" s="300"/>
      <c r="Q34" s="300"/>
    </row>
    <row r="35" spans="1:17" ht="7.5" customHeight="1" x14ac:dyDescent="0.35">
      <c r="A35" s="300"/>
      <c r="B35" s="504"/>
      <c r="C35" s="510"/>
      <c r="D35" s="511"/>
      <c r="E35" s="511"/>
      <c r="F35" s="511"/>
      <c r="G35" s="511"/>
      <c r="H35" s="511"/>
      <c r="I35" s="511"/>
      <c r="J35" s="511"/>
      <c r="K35" s="511"/>
      <c r="L35" s="511"/>
      <c r="M35" s="511"/>
      <c r="N35" s="512"/>
      <c r="O35" s="505"/>
      <c r="P35" s="300"/>
      <c r="Q35" s="300"/>
    </row>
    <row r="36" spans="1:17" ht="15" customHeight="1" x14ac:dyDescent="0.35">
      <c r="A36" s="300"/>
      <c r="B36" s="504"/>
      <c r="C36" s="518"/>
      <c r="D36" s="521" t="str">
        <f>Text!F88</f>
        <v>Ar ôl ardystio dylech anfon y canlynol atom:</v>
      </c>
      <c r="E36" s="519"/>
      <c r="F36" s="519"/>
      <c r="G36" s="519"/>
      <c r="H36" s="519"/>
      <c r="I36" s="519"/>
      <c r="J36" s="519"/>
      <c r="K36" s="519"/>
      <c r="L36" s="519"/>
      <c r="M36" s="519"/>
      <c r="N36" s="520"/>
      <c r="O36" s="505"/>
      <c r="P36" s="300"/>
      <c r="Q36" s="300"/>
    </row>
    <row r="37" spans="1:17" ht="15" customHeight="1" x14ac:dyDescent="0.35">
      <c r="A37" s="300"/>
      <c r="B37" s="504"/>
      <c r="C37" s="513"/>
      <c r="D37" s="509" t="s">
        <v>3337</v>
      </c>
      <c r="E37" s="642" t="str">
        <f>Text!F89</f>
        <v>Copi electronig o'r daenlen, yn ddelfrydol gyda delwedd o lofnod y PSC a'r dyddiad wedi'u hychwanegu.</v>
      </c>
      <c r="F37" s="642"/>
      <c r="G37" s="642"/>
      <c r="H37" s="642"/>
      <c r="I37" s="642"/>
      <c r="J37" s="642"/>
      <c r="K37" s="642"/>
      <c r="L37" s="642"/>
      <c r="M37" s="642"/>
      <c r="N37" s="643"/>
      <c r="O37" s="505"/>
      <c r="P37" s="300"/>
      <c r="Q37" s="300"/>
    </row>
    <row r="38" spans="1:17" ht="17.25" customHeight="1" x14ac:dyDescent="0.35">
      <c r="A38" s="300"/>
      <c r="B38" s="504"/>
      <c r="C38" s="513"/>
      <c r="D38" s="509" t="s">
        <v>3337</v>
      </c>
      <c r="E38" s="642" t="str">
        <f>Text!F90</f>
        <v>Neu gopi electronig a chopi ar wahân wedi'i lofnodi (fel PDF yn ddelfrydol, neu gopi caled trwy'r post).</v>
      </c>
      <c r="F38" s="642"/>
      <c r="G38" s="642"/>
      <c r="H38" s="642"/>
      <c r="I38" s="642"/>
      <c r="J38" s="642"/>
      <c r="K38" s="642"/>
      <c r="L38" s="642"/>
      <c r="M38" s="642"/>
      <c r="N38" s="643"/>
      <c r="O38" s="505"/>
      <c r="P38" s="300"/>
      <c r="Q38" s="300"/>
    </row>
    <row r="39" spans="1:17" ht="5.25" customHeight="1" x14ac:dyDescent="0.35">
      <c r="A39" s="300"/>
      <c r="B39" s="504"/>
      <c r="C39" s="514"/>
      <c r="D39" s="515"/>
      <c r="E39" s="516"/>
      <c r="F39" s="516"/>
      <c r="G39" s="516"/>
      <c r="H39" s="516"/>
      <c r="I39" s="516"/>
      <c r="J39" s="516"/>
      <c r="K39" s="516"/>
      <c r="L39" s="516"/>
      <c r="M39" s="516"/>
      <c r="N39" s="517"/>
      <c r="O39" s="505"/>
      <c r="P39" s="300"/>
      <c r="Q39" s="300"/>
    </row>
    <row r="40" spans="1:17" ht="8.25" customHeight="1" x14ac:dyDescent="0.35">
      <c r="A40" s="300"/>
      <c r="B40" s="504"/>
      <c r="C40" s="496"/>
      <c r="D40" s="265"/>
      <c r="E40" s="496"/>
      <c r="F40" s="496"/>
      <c r="G40" s="496"/>
      <c r="H40" s="496"/>
      <c r="I40" s="496"/>
      <c r="J40" s="496"/>
      <c r="K40" s="496"/>
      <c r="L40" s="496"/>
      <c r="M40" s="496"/>
      <c r="N40" s="496"/>
      <c r="O40" s="505"/>
      <c r="P40" s="300"/>
      <c r="Q40" s="300"/>
    </row>
    <row r="41" spans="1:17" ht="33.75" customHeight="1" x14ac:dyDescent="0.35">
      <c r="A41" s="300"/>
      <c r="B41" s="504"/>
      <c r="C41" s="644" t="str">
        <f>Text!F91</f>
        <v>Noder. Rhaid i'r ffigurau ar y copi wedi'i lofnodi cyd-fynd â'r copi electronig. Bydd angen copi arall wedi'i lofnodi arnom os nad ydyn nhw.</v>
      </c>
      <c r="D41" s="645"/>
      <c r="E41" s="645"/>
      <c r="F41" s="645"/>
      <c r="G41" s="645"/>
      <c r="H41" s="645"/>
      <c r="I41" s="645"/>
      <c r="J41" s="645"/>
      <c r="K41" s="645"/>
      <c r="L41" s="645"/>
      <c r="M41" s="645"/>
      <c r="N41" s="646"/>
      <c r="O41" s="505"/>
      <c r="P41" s="300"/>
      <c r="Q41" s="300"/>
    </row>
    <row r="42" spans="1:17" ht="8.25" customHeight="1" x14ac:dyDescent="0.35">
      <c r="A42" s="300"/>
      <c r="B42" s="504"/>
      <c r="C42" s="113"/>
      <c r="D42" s="495"/>
      <c r="E42" s="495"/>
      <c r="F42" s="495"/>
      <c r="G42" s="495"/>
      <c r="H42" s="495"/>
      <c r="I42" s="495"/>
      <c r="J42" s="495"/>
      <c r="K42" s="495"/>
      <c r="L42" s="495"/>
      <c r="M42" s="495"/>
      <c r="N42" s="495"/>
      <c r="O42" s="505"/>
      <c r="P42" s="300"/>
      <c r="Q42" s="300"/>
    </row>
    <row r="43" spans="1:17" ht="15" customHeight="1" x14ac:dyDescent="0.35">
      <c r="A43" s="300"/>
      <c r="B43" s="98"/>
      <c r="C43" s="99"/>
      <c r="D43" s="99"/>
      <c r="E43" s="115"/>
      <c r="F43" s="115"/>
      <c r="G43" s="244"/>
      <c r="H43" s="244"/>
      <c r="I43" s="99"/>
      <c r="J43" s="245"/>
      <c r="K43" s="99"/>
      <c r="L43" s="99"/>
      <c r="M43" s="99"/>
      <c r="N43" s="116"/>
      <c r="O43" s="107"/>
      <c r="P43" s="300"/>
      <c r="Q43" s="300"/>
    </row>
    <row r="44" spans="1:17" ht="30" customHeight="1" x14ac:dyDescent="0.35">
      <c r="A44" s="348"/>
      <c r="B44" s="117"/>
      <c r="C44" s="100"/>
      <c r="D44" s="638" t="str">
        <f>Text!F16</f>
        <v>Dylech gyfeirio unrhyw ymholiadau ynghylch sut i gwblhau'r ffurflen, yn y lle cyntaf, drwy ffon neu e-bost, gan ddilyn y cyfarwyddyd isod:</v>
      </c>
      <c r="E44" s="639"/>
      <c r="F44" s="639"/>
      <c r="G44" s="639"/>
      <c r="H44" s="639"/>
      <c r="I44" s="639"/>
      <c r="J44" s="639"/>
      <c r="K44" s="639"/>
      <c r="L44" s="639"/>
      <c r="M44" s="639"/>
      <c r="N44" s="246"/>
      <c r="O44" s="118"/>
      <c r="P44" s="300"/>
      <c r="Q44" s="300"/>
    </row>
    <row r="45" spans="1:17" ht="30" customHeight="1" x14ac:dyDescent="0.35">
      <c r="A45" s="300"/>
      <c r="B45" s="98"/>
      <c r="C45" s="99"/>
      <c r="D45" s="640" t="str">
        <f>Text!F17</f>
        <v>Mae'n un o ofynion archwiliadau Llywodraeth Cymru fod pob cell yn cael ei llenwi. Gwnewch yn siŵr fod sero ym mhob cell wag. Cymerir yn ganiataol mai sero yw gwerth pob cell sydd heb ei llenwi.</v>
      </c>
      <c r="E45" s="641"/>
      <c r="F45" s="641"/>
      <c r="G45" s="641"/>
      <c r="H45" s="641"/>
      <c r="I45" s="641"/>
      <c r="J45" s="641"/>
      <c r="K45" s="641"/>
      <c r="L45" s="641"/>
      <c r="M45" s="641"/>
      <c r="N45" s="116"/>
      <c r="O45" s="107"/>
      <c r="P45" s="300"/>
      <c r="Q45" s="300"/>
    </row>
    <row r="46" spans="1:17" ht="15" customHeight="1" x14ac:dyDescent="0.35">
      <c r="A46" s="300"/>
      <c r="B46" s="98"/>
      <c r="C46" s="99"/>
      <c r="D46" s="247"/>
      <c r="E46" s="119"/>
      <c r="F46" s="119"/>
      <c r="G46" s="119"/>
      <c r="H46" s="119"/>
      <c r="I46" s="119"/>
      <c r="J46" s="248"/>
      <c r="K46" s="248"/>
      <c r="L46" s="109"/>
      <c r="M46" s="109"/>
      <c r="N46" s="114"/>
      <c r="O46" s="107"/>
      <c r="P46" s="300"/>
      <c r="Q46" s="300"/>
    </row>
    <row r="47" spans="1:17" ht="15" customHeight="1" x14ac:dyDescent="0.35">
      <c r="A47" s="300"/>
      <c r="B47" s="98"/>
      <c r="C47" s="99"/>
      <c r="D47" s="109" t="str">
        <f>Text!F18</f>
        <v>Uned Ystadegau Ariannol Llywodraeth Leol,</v>
      </c>
      <c r="E47" s="119"/>
      <c r="F47" s="119"/>
      <c r="G47" s="119"/>
      <c r="H47" s="119"/>
      <c r="I47" s="119"/>
      <c r="J47" s="109"/>
      <c r="K47" s="109"/>
      <c r="L47" s="109"/>
      <c r="M47" s="109"/>
      <c r="N47" s="114"/>
      <c r="O47" s="107"/>
      <c r="P47" s="300"/>
      <c r="Q47" s="300"/>
    </row>
    <row r="48" spans="1:17" ht="15" customHeight="1" x14ac:dyDescent="0.35">
      <c r="A48" s="300"/>
      <c r="B48" s="98"/>
      <c r="C48" s="99"/>
      <c r="D48" s="109" t="str">
        <f>Text!F19</f>
        <v>Llywodraeth Cymru,</v>
      </c>
      <c r="E48" s="119"/>
      <c r="F48" s="119"/>
      <c r="G48" s="119"/>
      <c r="H48" s="119"/>
      <c r="I48" s="119"/>
      <c r="J48" s="109"/>
      <c r="K48" s="109"/>
      <c r="L48" s="109"/>
      <c r="M48" s="109"/>
      <c r="N48" s="114"/>
      <c r="O48" s="107"/>
      <c r="P48" s="300"/>
      <c r="Q48" s="300"/>
    </row>
    <row r="49" spans="1:28" ht="15" customHeight="1" x14ac:dyDescent="0.35">
      <c r="A49" s="300"/>
      <c r="B49" s="98"/>
      <c r="C49" s="99"/>
      <c r="D49" s="109" t="str">
        <f>Text!F20</f>
        <v>CP2</v>
      </c>
      <c r="E49" s="119"/>
      <c r="F49" s="119"/>
      <c r="G49" s="119"/>
      <c r="H49" s="119"/>
      <c r="I49" s="119"/>
      <c r="J49" s="109"/>
      <c r="K49" s="109"/>
      <c r="L49" s="109"/>
      <c r="M49" s="109"/>
      <c r="N49" s="114"/>
      <c r="O49" s="107"/>
      <c r="P49" s="300"/>
      <c r="Q49" s="300"/>
    </row>
    <row r="50" spans="1:28" ht="15" customHeight="1" x14ac:dyDescent="0.35">
      <c r="A50" s="300"/>
      <c r="B50" s="98"/>
      <c r="C50" s="99"/>
      <c r="D50" s="109" t="str">
        <f>Text!F21</f>
        <v>Parc Cathays,</v>
      </c>
      <c r="E50" s="119"/>
      <c r="F50" s="119"/>
      <c r="G50" s="119"/>
      <c r="H50" s="119"/>
      <c r="I50" s="119"/>
      <c r="J50" s="119"/>
      <c r="K50" s="109"/>
      <c r="L50" s="109"/>
      <c r="M50" s="109"/>
      <c r="N50" s="114"/>
      <c r="O50" s="107"/>
      <c r="P50" s="300"/>
      <c r="Q50" s="300"/>
    </row>
    <row r="51" spans="1:28" ht="15" customHeight="1" x14ac:dyDescent="0.35">
      <c r="A51" s="300"/>
      <c r="B51" s="98"/>
      <c r="C51" s="99"/>
      <c r="D51" s="109" t="str">
        <f>Text!F22</f>
        <v>CAERDYDD</v>
      </c>
      <c r="E51" s="119"/>
      <c r="F51" s="119"/>
      <c r="G51" s="119"/>
      <c r="H51" s="119"/>
      <c r="I51" s="119"/>
      <c r="J51" s="109"/>
      <c r="K51" s="109"/>
      <c r="L51" s="109"/>
      <c r="M51" s="109"/>
      <c r="N51" s="114"/>
      <c r="O51" s="107"/>
      <c r="P51" s="300"/>
      <c r="Q51" s="300"/>
    </row>
    <row r="52" spans="1:28" ht="15" customHeight="1" x14ac:dyDescent="0.35">
      <c r="A52" s="300"/>
      <c r="B52" s="98"/>
      <c r="C52" s="99"/>
      <c r="D52" s="109" t="str">
        <f>Text!F23</f>
        <v>CF10 3NQ</v>
      </c>
      <c r="E52" s="119"/>
      <c r="F52" s="119"/>
      <c r="G52" s="119"/>
      <c r="H52" s="119"/>
      <c r="I52" s="119"/>
      <c r="J52" s="109"/>
      <c r="K52" s="109"/>
      <c r="L52" s="109"/>
      <c r="M52" s="109"/>
      <c r="N52" s="114"/>
      <c r="O52" s="107"/>
      <c r="P52" s="300"/>
      <c r="Q52" s="300"/>
    </row>
    <row r="53" spans="1:28" ht="15" customHeight="1" x14ac:dyDescent="0.35">
      <c r="A53" s="300"/>
      <c r="B53" s="98"/>
      <c r="C53" s="99"/>
      <c r="D53" s="109" t="str">
        <f>Text!F24</f>
        <v>E-bost:</v>
      </c>
      <c r="E53" s="119"/>
      <c r="F53" s="247" t="str">
        <f>Details!I5</f>
        <v>YCLLL.trosglwyddo@llyw.cymru</v>
      </c>
      <c r="G53" s="258"/>
      <c r="H53" s="119"/>
      <c r="I53" s="119"/>
      <c r="J53" s="109"/>
      <c r="K53" s="109"/>
      <c r="L53" s="109"/>
      <c r="M53" s="109"/>
      <c r="N53" s="114"/>
      <c r="O53" s="107"/>
      <c r="P53" s="300"/>
      <c r="Q53" s="300"/>
    </row>
    <row r="54" spans="1:28" ht="15" customHeight="1" x14ac:dyDescent="0.35">
      <c r="A54" s="300"/>
      <c r="B54" s="98"/>
      <c r="C54" s="99"/>
      <c r="D54" s="109" t="str">
        <f>Text!F25</f>
        <v>Ffôn:</v>
      </c>
      <c r="E54" s="120"/>
      <c r="F54" s="295" t="s">
        <v>3339</v>
      </c>
      <c r="G54" s="259"/>
      <c r="H54" s="120"/>
      <c r="I54" s="120"/>
      <c r="J54" s="120"/>
      <c r="K54" s="120"/>
      <c r="L54" s="120"/>
      <c r="M54" s="120"/>
      <c r="N54" s="121"/>
      <c r="O54" s="107"/>
      <c r="P54" s="300"/>
      <c r="Q54" s="300"/>
    </row>
    <row r="55" spans="1:28" ht="15" customHeight="1" x14ac:dyDescent="0.35">
      <c r="A55" s="300"/>
      <c r="B55" s="122"/>
      <c r="C55" s="123"/>
      <c r="D55" s="123"/>
      <c r="E55" s="123"/>
      <c r="F55" s="123"/>
      <c r="G55" s="123"/>
      <c r="H55" s="123"/>
      <c r="I55" s="123"/>
      <c r="J55" s="123"/>
      <c r="K55" s="123"/>
      <c r="L55" s="123"/>
      <c r="M55" s="123"/>
      <c r="N55" s="123"/>
      <c r="O55" s="124"/>
      <c r="P55" s="300"/>
      <c r="Q55" s="300"/>
    </row>
    <row r="56" spans="1:28" ht="15.5" x14ac:dyDescent="0.35">
      <c r="A56" s="300"/>
      <c r="B56" s="300"/>
      <c r="C56" s="300"/>
      <c r="D56" s="349"/>
      <c r="E56" s="350"/>
      <c r="F56" s="349"/>
      <c r="G56" s="349"/>
      <c r="H56" s="349"/>
      <c r="I56" s="300"/>
      <c r="J56" s="300"/>
      <c r="K56" s="300"/>
      <c r="L56" s="300"/>
      <c r="M56" s="300"/>
      <c r="N56" s="300"/>
      <c r="O56" s="300"/>
      <c r="P56" s="300"/>
      <c r="Q56" s="300"/>
      <c r="AB56" s="261"/>
    </row>
  </sheetData>
  <sheetProtection sheet="1" objects="1" scenarios="1"/>
  <mergeCells count="14">
    <mergeCell ref="C29:N29"/>
    <mergeCell ref="N2:O2"/>
    <mergeCell ref="D2:G2"/>
    <mergeCell ref="G20:N21"/>
    <mergeCell ref="G23:N24"/>
    <mergeCell ref="G26:N27"/>
    <mergeCell ref="C30:N30"/>
    <mergeCell ref="C31:N31"/>
    <mergeCell ref="C33:N33"/>
    <mergeCell ref="D44:M44"/>
    <mergeCell ref="D45:M45"/>
    <mergeCell ref="E37:N37"/>
    <mergeCell ref="E38:N38"/>
    <mergeCell ref="C41:N41"/>
  </mergeCells>
  <pageMargins left="0.37" right="0.25" top="0.75" bottom="0.75" header="0.3" footer="0.3"/>
  <pageSetup paperSize="9" scale="85"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defaultSize="0" autoLine="0" autoPict="0">
                <anchor moveWithCells="1">
                  <from>
                    <xdr:col>4</xdr:col>
                    <xdr:colOff>0</xdr:colOff>
                    <xdr:row>9</xdr:row>
                    <xdr:rowOff>114300</xdr:rowOff>
                  </from>
                  <to>
                    <xdr:col>7</xdr:col>
                    <xdr:colOff>546100</xdr:colOff>
                    <xdr:row>10</xdr:row>
                    <xdr:rowOff>222250</xdr:rowOff>
                  </to>
                </anchor>
              </controlPr>
            </control>
          </mc:Choice>
        </mc:AlternateContent>
        <mc:AlternateContent xmlns:mc="http://schemas.openxmlformats.org/markup-compatibility/2006">
          <mc:Choice Requires="x14">
            <control shapeId="23554" r:id="rId5" name="Drop Down 2">
              <controlPr defaultSize="0" autoLine="0" autoPict="0">
                <anchor moveWithCells="1">
                  <from>
                    <xdr:col>4</xdr:col>
                    <xdr:colOff>0</xdr:colOff>
                    <xdr:row>5</xdr:row>
                    <xdr:rowOff>50800</xdr:rowOff>
                  </from>
                  <to>
                    <xdr:col>5</xdr:col>
                    <xdr:colOff>1238250</xdr:colOff>
                    <xdr:row>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48"/>
  <sheetViews>
    <sheetView zoomScaleNormal="100" workbookViewId="0">
      <selection activeCell="G17" sqref="G17"/>
    </sheetView>
  </sheetViews>
  <sheetFormatPr defaultColWidth="8.84375" defaultRowHeight="15" customHeight="1" x14ac:dyDescent="0.35"/>
  <cols>
    <col min="1" max="1" width="1.3046875" style="261" customWidth="1"/>
    <col min="2" max="2" width="0.765625" style="262" customWidth="1"/>
    <col min="3" max="3" width="8.84375" style="262" customWidth="1"/>
    <col min="4" max="4" width="18.07421875" style="260" customWidth="1"/>
    <col min="5" max="5" width="24.53515625" style="262" customWidth="1"/>
    <col min="6" max="6" width="12.07421875" style="262" customWidth="1"/>
    <col min="7" max="7" width="12.84375" style="262" customWidth="1"/>
    <col min="8" max="8" width="0.23046875" style="262" customWidth="1"/>
    <col min="9" max="9" width="1.765625" style="262" customWidth="1"/>
    <col min="10" max="10" width="13.4609375" style="261" customWidth="1"/>
    <col min="11" max="11" width="13.07421875" style="261" customWidth="1"/>
    <col min="12" max="12" width="1.765625" style="261" customWidth="1"/>
    <col min="13" max="16" width="9.765625" style="261" customWidth="1"/>
    <col min="17" max="17" width="6" style="261" bestFit="1" customWidth="1"/>
    <col min="18" max="18" width="1.765625" style="261" hidden="1" customWidth="1"/>
    <col min="19" max="19" width="2.07421875" style="261" hidden="1" customWidth="1"/>
    <col min="20" max="20" width="3.53515625" style="261" customWidth="1"/>
    <col min="21" max="21" width="2.4609375" style="261" customWidth="1"/>
    <col min="22" max="22" width="3.07421875" style="261" hidden="1" customWidth="1"/>
    <col min="23" max="23" width="2.53515625" style="261" hidden="1" customWidth="1"/>
    <col min="24" max="24" width="3.23046875" style="261" hidden="1" customWidth="1"/>
    <col min="25" max="25" width="63.84375" style="261" customWidth="1"/>
    <col min="26" max="26" width="11" style="261" hidden="1" customWidth="1"/>
    <col min="27" max="27" width="6.3046875" style="261" hidden="1" customWidth="1"/>
    <col min="28" max="28" width="5.765625" style="428" hidden="1" customWidth="1"/>
    <col min="29" max="16384" width="8.84375" style="261"/>
  </cols>
  <sheetData>
    <row r="1" spans="1:28" ht="15" customHeight="1" x14ac:dyDescent="0.35">
      <c r="A1" s="10"/>
      <c r="B1" s="10"/>
      <c r="C1" s="10"/>
      <c r="D1" s="10"/>
      <c r="E1" s="10"/>
      <c r="F1" s="10"/>
      <c r="G1" s="10"/>
      <c r="H1" s="10"/>
      <c r="I1" s="261"/>
      <c r="J1" s="10"/>
      <c r="K1" s="10"/>
      <c r="M1" s="10"/>
      <c r="N1" s="10"/>
      <c r="O1" s="10"/>
      <c r="P1" s="307" t="str">
        <f>ValData!AN46</f>
        <v>Dilynwch y cyfarwyddiadau isod wrth lenwi'r dudalen hon:</v>
      </c>
      <c r="Q1" s="10"/>
      <c r="R1" s="10"/>
      <c r="S1" s="10"/>
      <c r="T1" s="10"/>
      <c r="U1" s="10"/>
      <c r="V1" s="10"/>
      <c r="W1" s="10"/>
      <c r="X1" s="10"/>
      <c r="Z1" s="10"/>
      <c r="AA1" s="10"/>
      <c r="AB1" s="409"/>
    </row>
    <row r="2" spans="1:28" ht="15" customHeight="1" x14ac:dyDescent="0.35">
      <c r="A2" s="10"/>
      <c r="B2" s="253"/>
      <c r="C2" s="361" t="str">
        <f>FrontPage!D2</f>
        <v>Ffurflen Gofynion y Gyllideb, 2024-25</v>
      </c>
      <c r="D2" s="251"/>
      <c r="E2" s="251"/>
      <c r="F2" s="251"/>
      <c r="G2" s="303" t="str">
        <f>FrontPage!M2</f>
        <v>BR2</v>
      </c>
      <c r="H2" s="252"/>
      <c r="I2" s="261"/>
      <c r="J2" s="10"/>
      <c r="K2" s="10"/>
      <c r="M2" s="10"/>
      <c r="N2" s="284"/>
      <c r="O2" s="10"/>
      <c r="P2" s="10"/>
      <c r="Q2" s="10"/>
      <c r="R2" s="10"/>
      <c r="S2" s="10"/>
      <c r="T2" s="10"/>
      <c r="U2" s="10"/>
      <c r="V2" s="10"/>
      <c r="W2" s="10"/>
      <c r="X2" s="10"/>
      <c r="Y2" s="10"/>
      <c r="Z2" s="10"/>
      <c r="AA2" s="10"/>
      <c r="AB2" s="409"/>
    </row>
    <row r="3" spans="1:28" ht="15" customHeight="1" x14ac:dyDescent="0.35">
      <c r="A3" s="10"/>
      <c r="B3" s="22"/>
      <c r="C3" s="23"/>
      <c r="D3" s="24"/>
      <c r="E3" s="25"/>
      <c r="F3" s="25"/>
      <c r="G3" s="25"/>
      <c r="H3" s="26"/>
      <c r="I3" s="261"/>
      <c r="J3" s="410"/>
      <c r="K3" s="410"/>
      <c r="M3" s="10"/>
      <c r="N3" s="284"/>
      <c r="O3" s="10"/>
      <c r="P3" s="10"/>
      <c r="Q3" s="10"/>
      <c r="R3" s="10"/>
      <c r="S3" s="10"/>
      <c r="T3" s="10"/>
      <c r="U3" s="10"/>
      <c r="V3" s="10"/>
      <c r="W3" s="10"/>
      <c r="X3" s="10"/>
      <c r="Y3" s="10"/>
      <c r="Z3" s="10"/>
      <c r="AA3" s="10"/>
      <c r="AB3" s="409"/>
    </row>
    <row r="4" spans="1:28" ht="15" customHeight="1" x14ac:dyDescent="0.35">
      <c r="A4" s="10"/>
      <c r="B4" s="22"/>
      <c r="C4" s="527" t="str">
        <f>Text!F26&amp;": "</f>
        <v xml:space="preserve">Cod: </v>
      </c>
      <c r="D4" s="304" t="str">
        <f>IF(UANumber=0,"",UANumber)</f>
        <v/>
      </c>
      <c r="E4" s="25"/>
      <c r="F4" s="25"/>
      <c r="G4" s="25"/>
      <c r="H4" s="26"/>
      <c r="I4" s="323"/>
      <c r="J4" s="661" t="str">
        <f>Text!F55</f>
        <v>Allwedd ar gyfer celloedd yng ngholofni F, G:</v>
      </c>
      <c r="K4" s="314" t="str">
        <f>Text!F56</f>
        <v>mewnbwn</v>
      </c>
      <c r="M4" s="10"/>
      <c r="N4" s="284"/>
      <c r="O4" s="10"/>
      <c r="P4" s="10"/>
      <c r="Q4" s="10"/>
      <c r="R4" s="10"/>
      <c r="S4" s="10"/>
      <c r="T4" s="10"/>
      <c r="U4" s="10"/>
      <c r="V4" s="10"/>
      <c r="W4" s="10"/>
      <c r="X4" s="10"/>
      <c r="Y4" s="10"/>
      <c r="Z4" s="10"/>
      <c r="AA4" s="10"/>
      <c r="AB4" s="409"/>
    </row>
    <row r="5" spans="1:28" ht="15" customHeight="1" x14ac:dyDescent="0.35">
      <c r="A5" s="10"/>
      <c r="B5" s="22"/>
      <c r="C5" s="527" t="str">
        <f>Text!F27&amp;": "</f>
        <v xml:space="preserve">Awdurdod: </v>
      </c>
      <c r="D5" s="526" t="str">
        <f>Details!B4</f>
        <v>Dewiswch eich awdurdod ar y dudalen flaen</v>
      </c>
      <c r="E5" s="25"/>
      <c r="F5" s="25"/>
      <c r="G5" s="25"/>
      <c r="H5" s="26"/>
      <c r="I5" s="323"/>
      <c r="J5" s="662"/>
      <c r="K5" s="315" t="str">
        <f>Text!F92</f>
        <v>addasadwy</v>
      </c>
      <c r="M5" s="10"/>
      <c r="N5" s="284"/>
      <c r="O5" s="10"/>
      <c r="P5" s="10"/>
      <c r="Q5" s="10"/>
      <c r="R5" s="10"/>
      <c r="S5" s="10"/>
      <c r="T5" s="10"/>
      <c r="U5" s="10"/>
      <c r="V5" s="10"/>
      <c r="W5" s="10"/>
      <c r="X5" s="10"/>
      <c r="Y5" s="10"/>
      <c r="Z5" s="10"/>
      <c r="AA5" s="10"/>
      <c r="AB5" s="409"/>
    </row>
    <row r="6" spans="1:28" ht="15" customHeight="1" x14ac:dyDescent="0.35">
      <c r="A6" s="10"/>
      <c r="B6" s="22"/>
      <c r="C6" s="24"/>
      <c r="D6" s="24"/>
      <c r="E6" s="25"/>
      <c r="F6" s="25"/>
      <c r="G6" s="25"/>
      <c r="H6" s="26"/>
      <c r="I6" s="323"/>
      <c r="J6" s="663"/>
      <c r="K6" s="316" t="str">
        <f>Text!F57</f>
        <v>wedi cloi</v>
      </c>
      <c r="M6" s="10"/>
      <c r="N6" s="284"/>
      <c r="O6" s="10"/>
      <c r="P6" s="10"/>
      <c r="Q6" s="10"/>
      <c r="R6" s="10"/>
      <c r="S6" s="10"/>
      <c r="T6" s="10"/>
      <c r="U6" s="10"/>
      <c r="V6" s="10"/>
      <c r="W6" s="10"/>
      <c r="X6" s="10"/>
      <c r="Y6" s="10"/>
      <c r="Z6" s="10"/>
      <c r="AA6" s="10"/>
      <c r="AB6" s="409"/>
    </row>
    <row r="7" spans="1:28" ht="15" customHeight="1" x14ac:dyDescent="0.35">
      <c r="A7" s="10"/>
      <c r="B7" s="22"/>
      <c r="C7" s="658" t="s">
        <v>3328</v>
      </c>
      <c r="D7" s="659"/>
      <c r="E7" s="659"/>
      <c r="F7" s="660"/>
      <c r="G7" s="25"/>
      <c r="H7" s="26"/>
      <c r="I7" s="323"/>
      <c r="J7" s="411"/>
      <c r="K7" s="412"/>
      <c r="L7" s="331"/>
      <c r="M7" s="10"/>
      <c r="N7" s="10"/>
      <c r="O7" s="10"/>
      <c r="P7" s="10"/>
      <c r="Q7" s="10"/>
      <c r="R7" s="10"/>
      <c r="S7" s="10"/>
      <c r="T7" s="10"/>
      <c r="U7" s="10"/>
      <c r="V7" s="10"/>
      <c r="W7" s="10"/>
      <c r="X7" s="10"/>
      <c r="Y7" s="10"/>
      <c r="Z7" s="10"/>
      <c r="AA7" s="10"/>
      <c r="AB7" s="409"/>
    </row>
    <row r="8" spans="1:28" ht="23.25" customHeight="1" x14ac:dyDescent="0.35">
      <c r="A8" s="10"/>
      <c r="B8" s="22"/>
      <c r="C8" s="522"/>
      <c r="D8" s="528" t="s">
        <v>3439</v>
      </c>
      <c r="E8" s="528" t="s">
        <v>3228</v>
      </c>
      <c r="F8" s="523"/>
      <c r="G8" s="25"/>
      <c r="H8" s="26"/>
      <c r="I8" s="323"/>
      <c r="J8" s="411"/>
      <c r="K8" s="317"/>
      <c r="L8" s="331"/>
      <c r="M8" s="10"/>
      <c r="N8" s="10"/>
      <c r="O8" s="10"/>
      <c r="P8" s="10"/>
      <c r="Q8" s="10"/>
      <c r="R8" s="10"/>
      <c r="S8" s="10"/>
      <c r="T8" s="10"/>
      <c r="U8" s="10"/>
      <c r="V8" s="10"/>
      <c r="W8" s="10"/>
      <c r="X8" s="10"/>
      <c r="Y8" s="10"/>
      <c r="Z8" s="10"/>
      <c r="AA8" s="10"/>
      <c r="AB8" s="409"/>
    </row>
    <row r="9" spans="1:28" ht="15" customHeight="1" x14ac:dyDescent="0.35">
      <c r="A9" s="10"/>
      <c r="B9" s="22"/>
      <c r="C9" s="524"/>
      <c r="D9" s="524"/>
      <c r="E9" s="321"/>
      <c r="F9" s="321"/>
      <c r="G9" s="25"/>
      <c r="H9" s="26"/>
      <c r="I9" s="323"/>
      <c r="J9" s="411"/>
      <c r="K9" s="317"/>
      <c r="L9" s="331"/>
      <c r="M9" s="10"/>
      <c r="N9" s="10"/>
      <c r="O9" s="10"/>
      <c r="P9" s="10"/>
      <c r="Q9" s="10"/>
      <c r="R9" s="10"/>
      <c r="S9" s="10"/>
      <c r="T9" s="10"/>
      <c r="U9" s="10"/>
      <c r="V9" s="10"/>
      <c r="W9" s="10"/>
      <c r="X9" s="10"/>
      <c r="Y9" s="10"/>
      <c r="Z9" s="10"/>
      <c r="AA9" s="10"/>
      <c r="AB9" s="409"/>
    </row>
    <row r="10" spans="1:28" ht="15" customHeight="1" x14ac:dyDescent="0.35">
      <c r="A10" s="10"/>
      <c r="B10" s="22"/>
      <c r="C10" s="524"/>
      <c r="D10" s="524"/>
      <c r="E10" s="321"/>
      <c r="F10" s="321"/>
      <c r="G10" s="25"/>
      <c r="H10" s="26"/>
      <c r="I10" s="323"/>
      <c r="J10" s="411"/>
      <c r="K10" s="317"/>
      <c r="L10" s="331"/>
      <c r="M10" s="10"/>
      <c r="N10" s="10"/>
      <c r="O10" s="10"/>
      <c r="P10" s="10"/>
      <c r="Q10" s="10"/>
      <c r="R10" s="10"/>
      <c r="S10" s="10"/>
      <c r="T10" s="10"/>
      <c r="U10" s="10"/>
      <c r="V10" s="10"/>
      <c r="W10" s="10"/>
      <c r="X10" s="10"/>
      <c r="Y10" s="10"/>
      <c r="Z10" s="10"/>
      <c r="AA10" s="10"/>
      <c r="AB10" s="409"/>
    </row>
    <row r="11" spans="1:28" ht="15" customHeight="1" x14ac:dyDescent="0.35">
      <c r="A11" s="10"/>
      <c r="B11" s="22"/>
      <c r="C11" s="658" t="str">
        <f>"Setliad Terfynol yr Heddlu  /  Final Police Settlement  -  "&amp;Details!J3</f>
        <v>Setliad Terfynol yr Heddlu  /  Final Police Settlement  -  2024-25</v>
      </c>
      <c r="D11" s="659"/>
      <c r="E11" s="659"/>
      <c r="F11" s="660"/>
      <c r="G11" s="302"/>
      <c r="H11" s="26"/>
      <c r="I11" s="323"/>
      <c r="J11" s="411"/>
      <c r="K11" s="317"/>
      <c r="L11" s="331"/>
      <c r="M11" s="10"/>
      <c r="N11" s="10"/>
      <c r="O11" s="10"/>
      <c r="P11" s="10"/>
      <c r="Q11" s="10"/>
      <c r="R11" s="10"/>
      <c r="S11" s="10"/>
      <c r="T11" s="10"/>
      <c r="U11" s="10"/>
      <c r="V11" s="10"/>
      <c r="W11" s="10"/>
      <c r="X11" s="10"/>
      <c r="Y11" s="10"/>
      <c r="Z11" s="10"/>
      <c r="AA11" s="10"/>
      <c r="AB11" s="409"/>
    </row>
    <row r="12" spans="1:28" ht="23.25" customHeight="1" x14ac:dyDescent="0.35">
      <c r="A12" s="1"/>
      <c r="B12" s="22"/>
      <c r="C12" s="525"/>
      <c r="D12" s="528" t="s">
        <v>3439</v>
      </c>
      <c r="E12" s="528" t="s">
        <v>3228</v>
      </c>
      <c r="F12" s="523"/>
      <c r="G12" s="27"/>
      <c r="H12" s="26"/>
      <c r="I12" s="323"/>
      <c r="J12" s="677" t="str">
        <f>ValData!AN47</f>
        <v>Bydd unrhyw gyfanswmiau nad sy’n = sero yng ngholofn ‘V’ yn  cael ei farcio yn y golofn ‘Awtomatig’ a’I amlinellu yn goch</v>
      </c>
      <c r="K12" s="678"/>
      <c r="L12" s="331"/>
      <c r="N12" s="1"/>
      <c r="O12" s="10"/>
      <c r="P12" s="10"/>
      <c r="Q12" s="10"/>
      <c r="R12" s="10"/>
      <c r="S12" s="10"/>
      <c r="T12" s="10"/>
      <c r="U12" s="10"/>
      <c r="V12" s="10"/>
      <c r="W12" s="10"/>
      <c r="X12" s="10"/>
      <c r="Y12" s="10"/>
      <c r="Z12" s="10"/>
      <c r="AA12" s="10"/>
      <c r="AB12" s="409"/>
    </row>
    <row r="13" spans="1:28" ht="15" customHeight="1" x14ac:dyDescent="0.35">
      <c r="A13" s="1"/>
      <c r="B13" s="22"/>
      <c r="C13" s="257"/>
      <c r="D13" s="257"/>
      <c r="E13" s="25"/>
      <c r="F13" s="25"/>
      <c r="G13" s="27"/>
      <c r="H13" s="26"/>
      <c r="I13" s="323"/>
      <c r="J13" s="679"/>
      <c r="K13" s="680"/>
      <c r="M13" s="62" t="str">
        <f>"% "&amp;ValData!AN43</f>
        <v>% goddefiant:</v>
      </c>
      <c r="N13" s="388">
        <v>5</v>
      </c>
      <c r="O13" s="1"/>
      <c r="P13" s="10"/>
      <c r="Q13" s="10"/>
      <c r="R13" s="695" t="str">
        <f>ValData!AN44</f>
        <v>sero?</v>
      </c>
      <c r="S13" s="696"/>
      <c r="T13" s="10"/>
      <c r="U13" s="376" t="str">
        <f>ValData!AN45</f>
        <v>Cyfansymiau</v>
      </c>
      <c r="V13" s="374"/>
      <c r="W13" s="377"/>
      <c r="X13" s="10"/>
      <c r="Y13" s="10"/>
      <c r="Z13" s="10"/>
      <c r="AA13" s="10"/>
      <c r="AB13" s="409"/>
    </row>
    <row r="14" spans="1:28" ht="14.25" customHeight="1" x14ac:dyDescent="0.35">
      <c r="A14" s="1"/>
      <c r="B14" s="22"/>
      <c r="C14" s="257"/>
      <c r="D14" s="257"/>
      <c r="E14" s="254"/>
      <c r="F14" s="25"/>
      <c r="G14" s="25"/>
      <c r="H14" s="28"/>
      <c r="J14" s="681"/>
      <c r="K14" s="682"/>
      <c r="M14" s="1"/>
      <c r="N14" s="1"/>
      <c r="O14" s="1"/>
      <c r="P14" s="10"/>
      <c r="Q14" s="10"/>
      <c r="R14" s="697">
        <f>N16</f>
        <v>202324</v>
      </c>
      <c r="S14" s="697">
        <f>O16</f>
        <v>202425</v>
      </c>
      <c r="T14" s="10"/>
      <c r="U14" s="378">
        <f>SUM(U17:U40)</f>
        <v>0</v>
      </c>
      <c r="V14" s="378">
        <f>SUM(V17:V40)</f>
        <v>0</v>
      </c>
      <c r="W14" s="378">
        <f>SUM(W17:W40)</f>
        <v>0</v>
      </c>
      <c r="X14" s="10"/>
      <c r="Y14" s="10"/>
      <c r="Z14" s="10"/>
      <c r="AA14" s="10"/>
      <c r="AB14" s="409"/>
    </row>
    <row r="15" spans="1:28" ht="15" customHeight="1" x14ac:dyDescent="0.35">
      <c r="A15" s="10"/>
      <c r="B15" s="22"/>
      <c r="C15" s="29"/>
      <c r="D15" s="24"/>
      <c r="E15" s="25"/>
      <c r="F15" s="25"/>
      <c r="G15" s="351" t="s">
        <v>742</v>
      </c>
      <c r="H15" s="30"/>
      <c r="I15" s="324"/>
      <c r="J15" s="411"/>
      <c r="K15" s="412"/>
      <c r="M15" s="280" t="str">
        <f>ValData!AN49</f>
        <v>Ffigyrau blwyddyn-wrth-flwyddyn</v>
      </c>
      <c r="N15" s="1"/>
      <c r="O15" s="1"/>
      <c r="P15" s="372" t="str">
        <f>ValData!AN42</f>
        <v>gwahaniaeth</v>
      </c>
      <c r="Q15" s="374"/>
      <c r="R15" s="698"/>
      <c r="S15" s="698"/>
      <c r="T15" s="699" t="str">
        <f>ValData!AN33</f>
        <v>deipio</v>
      </c>
      <c r="U15" s="700" t="str">
        <f>ValData!AN34</f>
        <v>awto</v>
      </c>
      <c r="V15" s="700" t="s">
        <v>3345</v>
      </c>
      <c r="W15" s="692" t="str">
        <f>ValData!AN36</f>
        <v>wirio</v>
      </c>
      <c r="X15" s="694" t="str">
        <f>ValData!AN37</f>
        <v>statws</v>
      </c>
      <c r="Y15" s="10"/>
      <c r="Z15" s="10"/>
      <c r="AA15" s="10"/>
      <c r="AB15" s="409"/>
    </row>
    <row r="16" spans="1:28" ht="24.75" customHeight="1" x14ac:dyDescent="0.35">
      <c r="A16" s="10"/>
      <c r="B16" s="31"/>
      <c r="C16" s="24" t="str">
        <f>Text!F30</f>
        <v>Gwariant ac incwm</v>
      </c>
      <c r="D16" s="24"/>
      <c r="E16" s="25"/>
      <c r="F16" s="25"/>
      <c r="G16" s="32" t="s">
        <v>3</v>
      </c>
      <c r="H16" s="33"/>
      <c r="I16" s="325"/>
      <c r="J16" s="411"/>
      <c r="K16" s="318" t="s">
        <v>3370</v>
      </c>
      <c r="M16" s="371">
        <f>N16-101</f>
        <v>202223</v>
      </c>
      <c r="N16" s="371">
        <f>Year-101</f>
        <v>202324</v>
      </c>
      <c r="O16" s="371">
        <f>Year</f>
        <v>202425</v>
      </c>
      <c r="P16" s="373" t="str">
        <f>ValData!AN32</f>
        <v>prisio</v>
      </c>
      <c r="Q16" s="375" t="s">
        <v>3348</v>
      </c>
      <c r="R16" s="698"/>
      <c r="S16" s="698"/>
      <c r="T16" s="693"/>
      <c r="U16" s="693"/>
      <c r="V16" s="693"/>
      <c r="W16" s="693"/>
      <c r="X16" s="693"/>
      <c r="Y16" s="387" t="str">
        <f>ValData!AN38</f>
        <v>Eich sylwadau</v>
      </c>
      <c r="Z16" s="387" t="str">
        <f>ValData!AN39</f>
        <v>ein sylwadau</v>
      </c>
      <c r="AA16" s="386" t="str">
        <f>ValData!AN40</f>
        <v>arwydd gan</v>
      </c>
      <c r="AB16" s="385" t="str">
        <f>ValData!AN41</f>
        <v>dyddiad</v>
      </c>
    </row>
    <row r="17" spans="1:28" ht="20.149999999999999" customHeight="1" x14ac:dyDescent="0.35">
      <c r="A17" s="10"/>
      <c r="B17" s="31"/>
      <c r="C17" s="399">
        <v>1</v>
      </c>
      <c r="D17" s="684" t="str">
        <f>Text!F31</f>
        <v>Gofynion y Gyllideb</v>
      </c>
      <c r="E17" s="665"/>
      <c r="F17" s="685"/>
      <c r="G17" s="475">
        <v>0</v>
      </c>
      <c r="H17" s="33"/>
      <c r="I17" s="325"/>
      <c r="J17" s="288" t="str">
        <f>Text!F58</f>
        <v>Er gwybodaeth</v>
      </c>
      <c r="K17" s="288" t="str">
        <f>Text!F59</f>
        <v>Dilysu</v>
      </c>
      <c r="L17" s="332"/>
      <c r="M17" s="397" t="str">
        <f>IF(UANumber = 0,"",VLOOKUP(UANumber&amp;"_"&amp;$C17&amp;"_"&amp;M$16,ValData!$AD$4:$AJ$67,7,FALSE))</f>
        <v/>
      </c>
      <c r="N17" s="397" t="str">
        <f>IF(UANumber = 0,"",VLOOKUP(UANumber&amp;"_"&amp;$C17&amp;"_"&amp;N$16,ValData!$AD$4:$AJ$67,7,FALSE))</f>
        <v/>
      </c>
      <c r="O17" s="390" t="str">
        <f>IF(UANumber = 0,"",G17)</f>
        <v/>
      </c>
      <c r="P17" s="390" t="str">
        <f>IF(UANumber = 0,"",O17-N17)</f>
        <v/>
      </c>
      <c r="Q17" s="390" t="str">
        <f>IF(UANumber = 0,"",IF(OR(N17=0,O17=0),0,(P17/N17)*100))</f>
        <v/>
      </c>
      <c r="R17" s="463" t="str">
        <f>IF(N17=0,1,"")</f>
        <v/>
      </c>
      <c r="S17" s="463" t="str">
        <f>IF(O17=0,1,"")</f>
        <v/>
      </c>
      <c r="T17" s="405" t="str">
        <f>IF(UANumber = 0,"",IF(SUM(R17:S17)=2,"",IF(SUM(R17:S17)=1,9,IF(ABS(Q17)&gt;$N$13,2,""))))</f>
        <v/>
      </c>
      <c r="U17" s="405">
        <f>IF(T17&lt;&gt;"",1,0)</f>
        <v>0</v>
      </c>
      <c r="V17" s="405"/>
      <c r="W17" s="406">
        <f t="shared" ref="W17:W22" si="0">IF(X17="C",0,IF(V17=1,1,0))</f>
        <v>0</v>
      </c>
      <c r="X17" s="405"/>
      <c r="Y17" s="413"/>
      <c r="Z17" s="429"/>
      <c r="AA17" s="429"/>
      <c r="AB17" s="421"/>
    </row>
    <row r="18" spans="1:28" ht="20.149999999999999" customHeight="1" x14ac:dyDescent="0.35">
      <c r="A18" s="10"/>
      <c r="B18" s="31"/>
      <c r="C18" s="399">
        <f>C17+1</f>
        <v>2</v>
      </c>
      <c r="D18" s="684" t="str">
        <f>Text!F32</f>
        <v>Ail-ddosbarthu ardrethi annomestig</v>
      </c>
      <c r="E18" s="665"/>
      <c r="F18" s="685"/>
      <c r="G18" s="397" t="str">
        <f>J18</f>
        <v/>
      </c>
      <c r="H18" s="34"/>
      <c r="I18" s="326"/>
      <c r="J18" s="397" t="str">
        <f>IF(UANumber=0,"",VLOOKUP(UANumber,Data,4,FALSE))</f>
        <v/>
      </c>
      <c r="K18" s="391" t="str">
        <f>IF(OR(G18=0,G18=""),"",G18-J18)</f>
        <v/>
      </c>
      <c r="L18" s="333"/>
      <c r="M18" s="10"/>
      <c r="N18" s="296"/>
      <c r="O18" s="296"/>
      <c r="P18" s="296"/>
      <c r="Q18" s="297"/>
      <c r="R18" s="1"/>
      <c r="S18" s="1"/>
      <c r="T18" s="298"/>
      <c r="U18" s="287"/>
      <c r="V18" s="10"/>
      <c r="W18" s="299"/>
      <c r="X18" s="1"/>
      <c r="Y18" s="1"/>
      <c r="Z18" s="1"/>
      <c r="AA18" s="1"/>
      <c r="AB18" s="1"/>
    </row>
    <row r="19" spans="1:28" ht="20.149999999999999" customHeight="1" x14ac:dyDescent="0.35">
      <c r="A19" s="10"/>
      <c r="B19" s="31"/>
      <c r="C19" s="399">
        <f>C18+1</f>
        <v>3</v>
      </c>
      <c r="D19" s="684" t="str">
        <f>Text!F33</f>
        <v>Grant cynnal refeniw</v>
      </c>
      <c r="E19" s="665"/>
      <c r="F19" s="685"/>
      <c r="G19" s="397" t="str">
        <f>J19</f>
        <v/>
      </c>
      <c r="H19" s="35"/>
      <c r="I19" s="327"/>
      <c r="J19" s="397" t="str">
        <f>IF(UANumber=0,"",VLOOKUP(UANumber,Data,5,FALSE))</f>
        <v/>
      </c>
      <c r="K19" s="391" t="str">
        <f t="shared" ref="K19:K20" si="1">IF(OR(G19=0,G19=""),"",G19-J19)</f>
        <v/>
      </c>
      <c r="L19" s="333"/>
      <c r="M19" s="10"/>
      <c r="N19" s="296"/>
      <c r="O19" s="296"/>
      <c r="P19" s="296"/>
      <c r="Q19" s="297"/>
      <c r="R19" s="1"/>
      <c r="S19" s="1"/>
      <c r="T19" s="298"/>
      <c r="U19" s="287"/>
      <c r="V19" s="10"/>
      <c r="W19" s="299"/>
      <c r="X19" s="1"/>
      <c r="Y19" s="1"/>
      <c r="Z19" s="1"/>
      <c r="AA19" s="1"/>
      <c r="AB19" s="1"/>
    </row>
    <row r="20" spans="1:28" ht="20.149999999999999" customHeight="1" x14ac:dyDescent="0.35">
      <c r="A20" s="10"/>
      <c r="B20" s="31"/>
      <c r="C20" s="399">
        <f>C19+1</f>
        <v>4</v>
      </c>
      <c r="D20" s="684" t="str">
        <f>Text!F34</f>
        <v>Dyraniad grant yr heddlu dan y brif fformiwla (gan gynnwys cyllido gwaelodol)</v>
      </c>
      <c r="E20" s="665"/>
      <c r="F20" s="685"/>
      <c r="G20" s="397" t="str">
        <f>J20</f>
        <v/>
      </c>
      <c r="H20" s="36"/>
      <c r="I20" s="328"/>
      <c r="J20" s="459" t="str">
        <f>IF(UANumber=0,"",VLOOKUP(UANumber,Data,6,FALSE))</f>
        <v/>
      </c>
      <c r="K20" s="391" t="str">
        <f t="shared" si="1"/>
        <v/>
      </c>
      <c r="L20" s="333"/>
      <c r="M20" s="10"/>
      <c r="N20" s="296"/>
      <c r="O20" s="296"/>
      <c r="P20" s="296"/>
      <c r="Q20" s="297"/>
      <c r="R20" s="1"/>
      <c r="S20" s="1"/>
      <c r="T20" s="298"/>
      <c r="U20" s="287"/>
      <c r="V20" s="10"/>
      <c r="W20" s="299"/>
      <c r="X20" s="1"/>
      <c r="Y20" s="1"/>
      <c r="Z20" s="1"/>
      <c r="AA20" s="1"/>
      <c r="AB20" s="1"/>
    </row>
    <row r="21" spans="1:28" ht="20.149999999999999" customHeight="1" x14ac:dyDescent="0.35">
      <c r="A21" s="10"/>
      <c r="B21" s="31"/>
      <c r="C21" s="399">
        <f>C20+1</f>
        <v>5</v>
      </c>
      <c r="D21" s="684" t="str">
        <f>Text!F35</f>
        <v>Cyfanswm llinellau 2, 3 a 4</v>
      </c>
      <c r="E21" s="665"/>
      <c r="F21" s="685"/>
      <c r="G21" s="398" t="str">
        <f>IF(UANumber = 0,"",SUM(G18:G20))</f>
        <v/>
      </c>
      <c r="H21" s="28"/>
      <c r="J21" s="686" t="str">
        <f>Text!F65</f>
        <v>Daw celloedd J18, J19 a J20 uchod oddi wrth y Setliad yr Heddlu Lywodraeth Leol, rhaid eu hailadrodd yng nghelloedd G18, G19 a G20, a dyna pam mae'r celloedd hynny wedi'u cloi.</v>
      </c>
      <c r="K21" s="687"/>
      <c r="L21" s="334"/>
      <c r="M21" s="10"/>
      <c r="N21" s="296"/>
      <c r="O21" s="296"/>
      <c r="P21" s="296"/>
      <c r="Q21" s="297"/>
      <c r="R21" s="1"/>
      <c r="S21" s="1"/>
      <c r="T21" s="298"/>
      <c r="U21" s="287"/>
      <c r="V21" s="1"/>
      <c r="W21" s="299"/>
      <c r="X21" s="1"/>
      <c r="Y21" s="1"/>
      <c r="Z21" s="1"/>
      <c r="AA21" s="1"/>
      <c r="AB21" s="1"/>
    </row>
    <row r="22" spans="1:28" ht="20.149999999999999" customHeight="1" x14ac:dyDescent="0.35">
      <c r="A22" s="10"/>
      <c r="B22" s="31"/>
      <c r="C22" s="399">
        <f>C21+1</f>
        <v>6</v>
      </c>
      <c r="D22" s="684" t="str">
        <f>Text!F36</f>
        <v>Swm i'w gasglu o'r dreth gyngor</v>
      </c>
      <c r="E22" s="665"/>
      <c r="F22" s="685"/>
      <c r="G22" s="398" t="str">
        <f>IF(UANumber = 0,"",G17-G21)</f>
        <v/>
      </c>
      <c r="H22" s="28"/>
      <c r="J22" s="688"/>
      <c r="K22" s="689"/>
      <c r="L22" s="334"/>
      <c r="M22" s="397" t="str">
        <f>IF(UANumber = 0,"",VLOOKUP(UANumber&amp;"_"&amp;$C22&amp;"_"&amp;M$16,ValData!$AD$4:$AJ$67,7,FALSE))</f>
        <v/>
      </c>
      <c r="N22" s="397" t="str">
        <f>IF(UANumber = 0,"",VLOOKUP(UANumber&amp;"_"&amp;$C22&amp;"_"&amp;N$16,ValData!$AD$4:$AJ$67,7,FALSE))</f>
        <v/>
      </c>
      <c r="O22" s="403" t="str">
        <f>IF(UANumber = 0,"",G22)</f>
        <v/>
      </c>
      <c r="P22" s="403" t="str">
        <f>IF(UANumber = 0,"",O22-N22)</f>
        <v/>
      </c>
      <c r="Q22" s="403" t="str">
        <f>IF(UANumber = 0,"",IF(OR(N22=0,O22=0),0,(P22/N22)*100))</f>
        <v/>
      </c>
      <c r="R22" s="404" t="str">
        <f>IF(N22=0,1,"")</f>
        <v/>
      </c>
      <c r="S22" s="404" t="str">
        <f>IF(O22=0,1,"")</f>
        <v/>
      </c>
      <c r="T22" s="407" t="str">
        <f>IF(UANumber = 0,"",IF(SUM(R22:S22)=2,"",IF(SUM(R22:S22)=1,9,IF(ABS(Q22)&gt;$N$13,2,""))))</f>
        <v/>
      </c>
      <c r="U22" s="407">
        <f>IF(T22&lt;&gt;"",1,0)</f>
        <v>0</v>
      </c>
      <c r="V22" s="407"/>
      <c r="W22" s="408">
        <f t="shared" si="0"/>
        <v>0</v>
      </c>
      <c r="X22" s="407"/>
      <c r="Y22" s="415"/>
      <c r="Z22" s="416"/>
      <c r="AA22" s="416"/>
      <c r="AB22" s="414"/>
    </row>
    <row r="23" spans="1:28" ht="20.25" customHeight="1" x14ac:dyDescent="0.35">
      <c r="A23" s="10"/>
      <c r="B23" s="31"/>
      <c r="C23" s="37"/>
      <c r="D23" s="664"/>
      <c r="E23" s="665"/>
      <c r="F23" s="665"/>
      <c r="G23" s="32" t="str">
        <f>"("&amp;Text!F48&amp;")"</f>
        <v>(nifer)</v>
      </c>
      <c r="H23" s="30"/>
      <c r="I23" s="324"/>
      <c r="J23" s="690"/>
      <c r="K23" s="691"/>
      <c r="L23" s="333"/>
      <c r="M23" s="497"/>
      <c r="N23" s="497"/>
      <c r="O23" s="296"/>
      <c r="P23" s="296"/>
      <c r="Q23" s="296"/>
      <c r="R23" s="1"/>
      <c r="S23" s="1"/>
      <c r="T23" s="286"/>
      <c r="U23" s="286"/>
      <c r="V23" s="10"/>
      <c r="W23" s="10"/>
      <c r="X23" s="10"/>
      <c r="Y23" s="10"/>
      <c r="Z23" s="10"/>
      <c r="AA23" s="10"/>
      <c r="AB23" s="1"/>
    </row>
    <row r="24" spans="1:28" ht="20.149999999999999" customHeight="1" x14ac:dyDescent="0.35">
      <c r="A24" s="10"/>
      <c r="B24" s="31"/>
      <c r="C24" s="399">
        <f>C22+1</f>
        <v>7</v>
      </c>
      <c r="D24" s="684" t="str">
        <f>Text!F37</f>
        <v>Sylfaen y dreth gyngor ar gyfer yr ardal (cyfwerth â Band D)</v>
      </c>
      <c r="E24" s="665"/>
      <c r="F24" s="685"/>
      <c r="G24" s="396">
        <v>0</v>
      </c>
      <c r="H24" s="38"/>
      <c r="I24" s="329"/>
      <c r="J24" s="392" t="str">
        <f>IF(UANumber=0,"",VLOOKUP(UANumber,Data,14,FALSE))</f>
        <v/>
      </c>
      <c r="K24" s="392" t="str">
        <f>IF(UANumber=0,"",ROUND(G24,2)-ROUND(J24,2))</f>
        <v/>
      </c>
      <c r="L24" s="335"/>
      <c r="M24" s="397" t="str">
        <f>IF(UANumber = 0,"",VLOOKUP(UANumber&amp;"_"&amp;$C24&amp;"_"&amp;M$16,ValData!$AD$4:$AJ$67,7,FALSE))</f>
        <v/>
      </c>
      <c r="N24" s="397" t="str">
        <f>IF(UANumber = 0,"",VLOOKUP(UANumber&amp;"_"&amp;$C24&amp;"_"&amp;N$16,ValData!$AD$4:$AJ$67,7,FALSE))</f>
        <v/>
      </c>
      <c r="O24" s="403" t="str">
        <f>IF(UANumber = 0,"",G24)</f>
        <v/>
      </c>
      <c r="P24" s="403" t="str">
        <f>IF(UANumber = 0,"",O24-N24)</f>
        <v/>
      </c>
      <c r="Q24" s="403" t="str">
        <f>IF(UANumber = 0,"",IF(OR(N24=0,O24=0),0,(P24/N24)*100))</f>
        <v/>
      </c>
      <c r="R24" s="404" t="str">
        <f t="shared" ref="R24:R25" si="2">IF(N24=0,1,"")</f>
        <v/>
      </c>
      <c r="S24" s="404" t="str">
        <f t="shared" ref="S24:S25" si="3">IF(O24=0,1,"")</f>
        <v/>
      </c>
      <c r="T24" s="407" t="str">
        <f>IF(UANumber = 0,"",IF(SUM(R24:S24)=2,"",IF(SUM(R24:S24)=1,9,IF(ABS(Q24)&gt;$N$13,2,""))))</f>
        <v/>
      </c>
      <c r="U24" s="407">
        <f t="shared" ref="U24:U25" si="4">IF(T24&lt;&gt;"",1,0)</f>
        <v>0</v>
      </c>
      <c r="V24" s="407"/>
      <c r="W24" s="408">
        <f>IF(X24="C",0,IF(V24=1,1,0))</f>
        <v>0</v>
      </c>
      <c r="X24" s="407"/>
      <c r="Y24" s="415"/>
      <c r="Z24" s="416"/>
      <c r="AA24" s="416"/>
      <c r="AB24" s="414"/>
    </row>
    <row r="25" spans="1:28" ht="20.149999999999999" customHeight="1" x14ac:dyDescent="0.35">
      <c r="A25" s="10"/>
      <c r="B25" s="31"/>
      <c r="C25" s="399">
        <f>C24+1</f>
        <v>8</v>
      </c>
      <c r="D25" s="684" t="str">
        <f>Text!F38</f>
        <v>Y dreth gyngor a gyfrifwyd o dan adran 44 (llinell 6 ÷ llinell 7)</v>
      </c>
      <c r="E25" s="665"/>
      <c r="F25" s="685"/>
      <c r="G25" s="395" t="str">
        <f>IF(UANumber = 0,"",IF(G24=0,0,ROUND(G22/G24,2)))</f>
        <v/>
      </c>
      <c r="H25" s="39"/>
      <c r="I25" s="330"/>
      <c r="J25" s="411"/>
      <c r="K25" s="412"/>
      <c r="L25" s="417"/>
      <c r="M25" s="397" t="str">
        <f>IF(UANumber = 0,"",VLOOKUP(UANumber&amp;"_"&amp;$C25&amp;"_"&amp;M$16,ValData!$AD$4:$AJ$67,7,FALSE))</f>
        <v/>
      </c>
      <c r="N25" s="397" t="str">
        <f>IF(UANumber = 0,"",VLOOKUP(UANumber&amp;"_"&amp;$C25&amp;"_"&amp;N$16,ValData!$AD$4:$AJ$67,7,FALSE))</f>
        <v/>
      </c>
      <c r="O25" s="403" t="str">
        <f>IF(UANumber = 0,"",G25)</f>
        <v/>
      </c>
      <c r="P25" s="403" t="str">
        <f>IF(UANumber = 0,"",O25-N25)</f>
        <v/>
      </c>
      <c r="Q25" s="403" t="str">
        <f>IF(UANumber = 0,"",IF(OR(N25=0,O25=0),0,(P25/N25)*100))</f>
        <v/>
      </c>
      <c r="R25" s="404" t="str">
        <f t="shared" si="2"/>
        <v/>
      </c>
      <c r="S25" s="404" t="str">
        <f t="shared" si="3"/>
        <v/>
      </c>
      <c r="T25" s="407" t="str">
        <f>IF(UANumber = 0,"",IF(SUM(R25:S25)=2,"",IF(SUM(R25:S25)=1,9,IF(ABS(Q25)&gt;$N$13,2,""))))</f>
        <v/>
      </c>
      <c r="U25" s="407">
        <f t="shared" si="4"/>
        <v>0</v>
      </c>
      <c r="V25" s="407"/>
      <c r="W25" s="408">
        <f>IF(X25="C",0,IF(V25=1,1,0))</f>
        <v>0</v>
      </c>
      <c r="X25" s="407"/>
      <c r="Y25" s="415"/>
      <c r="Z25" s="416"/>
      <c r="AA25" s="416"/>
      <c r="AB25" s="414"/>
    </row>
    <row r="26" spans="1:28" ht="16.5" customHeight="1" x14ac:dyDescent="0.35">
      <c r="A26" s="10"/>
      <c r="B26" s="31"/>
      <c r="C26" s="24" t="str">
        <f>Text!F39</f>
        <v xml:space="preserve">Praeseptau </v>
      </c>
      <c r="D26" s="24"/>
      <c r="E26" s="40"/>
      <c r="F26" s="40"/>
      <c r="G26" s="40"/>
      <c r="H26" s="38"/>
      <c r="I26" s="329"/>
      <c r="J26" s="411"/>
      <c r="K26" s="412"/>
      <c r="L26" s="333"/>
      <c r="M26" s="10"/>
      <c r="N26" s="296"/>
      <c r="O26" s="296"/>
      <c r="P26" s="296"/>
      <c r="Q26" s="296"/>
      <c r="R26" s="296"/>
      <c r="S26" s="296"/>
      <c r="T26" s="296"/>
      <c r="U26" s="296"/>
      <c r="V26" s="296"/>
      <c r="W26" s="296"/>
      <c r="X26" s="296"/>
      <c r="Y26" s="296"/>
      <c r="Z26" s="296"/>
      <c r="AA26" s="296"/>
      <c r="AB26" s="10"/>
    </row>
    <row r="27" spans="1:28" ht="24.75" customHeight="1" x14ac:dyDescent="0.35">
      <c r="A27" s="10"/>
      <c r="B27" s="22"/>
      <c r="C27" s="25"/>
      <c r="D27" s="683" t="str">
        <f>Text!F40</f>
        <v>(Swm y praeseptau a roddwyd i awdurdodau bilio yn unol ag adran 40(2)b o Ddeddf Cyllid Llywodraeth Leol 1992)</v>
      </c>
      <c r="E27" s="683"/>
      <c r="F27" s="683"/>
      <c r="G27" s="683"/>
      <c r="H27" s="36"/>
      <c r="I27" s="328"/>
      <c r="J27" s="411"/>
      <c r="K27" s="318" t="s">
        <v>3370</v>
      </c>
      <c r="L27" s="333"/>
      <c r="M27" s="10"/>
      <c r="N27" s="296"/>
      <c r="O27" s="296"/>
      <c r="P27" s="296"/>
      <c r="Q27" s="296"/>
      <c r="R27" s="296"/>
      <c r="S27" s="296"/>
      <c r="T27" s="296"/>
      <c r="U27" s="296"/>
      <c r="V27" s="296"/>
      <c r="W27" s="296"/>
      <c r="X27" s="296"/>
      <c r="Y27" s="296"/>
      <c r="Z27" s="296"/>
      <c r="AA27" s="296"/>
      <c r="AB27" s="10"/>
    </row>
    <row r="28" spans="1:28" ht="26.5" x14ac:dyDescent="0.35">
      <c r="A28" s="10"/>
      <c r="B28" s="22"/>
      <c r="C28" s="41"/>
      <c r="D28" s="42" t="s">
        <v>108</v>
      </c>
      <c r="E28" s="43"/>
      <c r="F28" s="42" t="s">
        <v>109</v>
      </c>
      <c r="G28" s="42" t="s">
        <v>110</v>
      </c>
      <c r="H28" s="28"/>
      <c r="J28" s="289" t="str">
        <f>" (5)  "&amp;Text!F58</f>
        <v xml:space="preserve"> (5)  Er gwybodaeth</v>
      </c>
      <c r="K28" s="289" t="str">
        <f>K17</f>
        <v>Dilysu</v>
      </c>
      <c r="L28" s="333"/>
      <c r="M28" s="10"/>
      <c r="N28" s="296"/>
      <c r="O28" s="296"/>
      <c r="P28" s="296"/>
      <c r="Q28" s="296"/>
      <c r="R28" s="296"/>
      <c r="S28" s="296"/>
      <c r="T28" s="296"/>
      <c r="U28" s="296"/>
      <c r="V28" s="296"/>
      <c r="W28" s="296"/>
      <c r="X28" s="296"/>
      <c r="Y28" s="296"/>
      <c r="Z28" s="296"/>
      <c r="AA28" s="296"/>
      <c r="AB28" s="10"/>
    </row>
    <row r="29" spans="1:28" ht="36.75" customHeight="1" x14ac:dyDescent="0.35">
      <c r="A29" s="10"/>
      <c r="B29" s="22"/>
      <c r="C29" s="41"/>
      <c r="D29" s="460" t="str">
        <f>Text!F41</f>
        <v>Enw'r awdurdod bilio</v>
      </c>
      <c r="E29" s="461"/>
      <c r="F29" s="466" t="str">
        <f>Text!F49</f>
        <v>Sylfaen drethu (cyfwerth â Band D)</v>
      </c>
      <c r="G29" s="401" t="str">
        <f>Text!F50&amp;" (£)"</f>
        <v>Praesept (£)</v>
      </c>
      <c r="H29" s="28"/>
      <c r="J29" s="289" t="str">
        <f>Text!F60</f>
        <v xml:space="preserve">sylfaen drethu  </v>
      </c>
      <c r="K29" s="290"/>
      <c r="L29" s="333"/>
      <c r="M29" s="10"/>
      <c r="N29" s="296"/>
      <c r="O29" s="296"/>
      <c r="P29" s="296"/>
      <c r="Q29" s="296"/>
      <c r="R29" s="296"/>
      <c r="S29" s="296"/>
      <c r="T29" s="296"/>
      <c r="U29" s="296"/>
      <c r="V29" s="296"/>
      <c r="W29" s="296"/>
      <c r="X29" s="296"/>
      <c r="Y29" s="296"/>
      <c r="Z29" s="296"/>
      <c r="AA29" s="296"/>
      <c r="AB29" s="10"/>
    </row>
    <row r="30" spans="1:28" ht="20.149999999999999" customHeight="1" x14ac:dyDescent="0.35">
      <c r="A30" s="10"/>
      <c r="B30" s="22"/>
      <c r="C30" s="400">
        <v>11</v>
      </c>
      <c r="D30" s="55" t="str">
        <f>IF(UANumber=0,C5,VLOOKUP(UANumber,Data,7,FALSE))</f>
        <v xml:space="preserve">Awdurdod: </v>
      </c>
      <c r="E30" s="362"/>
      <c r="F30" s="393" t="str">
        <f t="shared" ref="F30:F36" si="5">J30</f>
        <v/>
      </c>
      <c r="G30" s="394">
        <v>0</v>
      </c>
      <c r="H30" s="28"/>
      <c r="J30" s="391" t="str">
        <f>IF(UANumber=0,"",(IF(D30=Text!F42,0,(VLOOKUP(D30,Taxbase,2,FALSE)))))</f>
        <v/>
      </c>
      <c r="K30" s="391" t="str">
        <f>IF(OR(F30=0,F30=""),"",F30-J30)</f>
        <v/>
      </c>
      <c r="L30" s="335"/>
      <c r="M30" s="10"/>
      <c r="N30" s="296"/>
      <c r="O30" s="296"/>
      <c r="P30" s="296"/>
      <c r="Q30" s="297"/>
      <c r="R30" s="1"/>
      <c r="S30" s="1"/>
      <c r="T30" s="292" t="str">
        <f>IF(U30=1,4,"")</f>
        <v/>
      </c>
      <c r="U30" s="446" t="str">
        <f t="shared" ref="U30:U40" si="6">IF(UANumber = 0,"",IF(K30=0,0,1))</f>
        <v/>
      </c>
      <c r="V30" s="10"/>
      <c r="W30" s="299">
        <f>IF(X30="C",0,IF(V30=1,1,0))</f>
        <v>0</v>
      </c>
      <c r="X30" s="418"/>
      <c r="Y30" s="419"/>
      <c r="Z30" s="420"/>
      <c r="AA30" s="420"/>
      <c r="AB30" s="421"/>
    </row>
    <row r="31" spans="1:28" ht="20.149999999999999" customHeight="1" x14ac:dyDescent="0.35">
      <c r="A31" s="10"/>
      <c r="B31" s="22"/>
      <c r="C31" s="400">
        <v>12</v>
      </c>
      <c r="D31" s="55" t="str">
        <f>IF(UANumber=0,C5,VLOOKUP(UANumber,Data,8,FALSE))</f>
        <v xml:space="preserve">Awdurdod: </v>
      </c>
      <c r="E31" s="362"/>
      <c r="F31" s="393" t="str">
        <f t="shared" si="5"/>
        <v/>
      </c>
      <c r="G31" s="394">
        <v>0</v>
      </c>
      <c r="H31" s="28"/>
      <c r="J31" s="391" t="str">
        <f>IF(UANumber=0,"",(IF(D31=Text!F42,0,(VLOOKUP(D31,Taxbase,2,FALSE)))))</f>
        <v/>
      </c>
      <c r="K31" s="391" t="str">
        <f t="shared" ref="K31:K36" si="7">IF(OR(F31=0,F31=""),"",F31-J31)</f>
        <v/>
      </c>
      <c r="L31" s="335"/>
      <c r="M31" s="10"/>
      <c r="N31" s="296"/>
      <c r="O31" s="296"/>
      <c r="P31" s="296"/>
      <c r="Q31" s="297"/>
      <c r="R31" s="1"/>
      <c r="S31" s="1"/>
      <c r="T31" s="292" t="str">
        <f t="shared" ref="T31:T37" si="8">IF(U31=1,4,"")</f>
        <v/>
      </c>
      <c r="U31" s="446" t="str">
        <f t="shared" si="6"/>
        <v/>
      </c>
      <c r="V31" s="10"/>
      <c r="W31" s="299">
        <f t="shared" ref="W31:W36" si="9">IF(X31="C",0,IF(V31=1,1,0))</f>
        <v>0</v>
      </c>
      <c r="X31" s="418"/>
      <c r="Y31" s="419"/>
      <c r="Z31" s="420"/>
      <c r="AA31" s="420"/>
      <c r="AB31" s="421"/>
    </row>
    <row r="32" spans="1:28" ht="20.149999999999999" customHeight="1" x14ac:dyDescent="0.35">
      <c r="A32" s="10"/>
      <c r="B32" s="22"/>
      <c r="C32" s="400">
        <v>13</v>
      </c>
      <c r="D32" s="55" t="str">
        <f>IF(UANumber=0,C5,VLOOKUP(UANumber,Data,9,FALSE))</f>
        <v xml:space="preserve">Awdurdod: </v>
      </c>
      <c r="E32" s="362"/>
      <c r="F32" s="393" t="str">
        <f t="shared" si="5"/>
        <v/>
      </c>
      <c r="G32" s="394">
        <v>0</v>
      </c>
      <c r="H32" s="28"/>
      <c r="J32" s="391" t="str">
        <f>IF(UANumber=0,"",(IF(D32=Text!F42,0,(VLOOKUP(D32,Taxbase,2,FALSE)))))</f>
        <v/>
      </c>
      <c r="K32" s="391" t="str">
        <f t="shared" si="7"/>
        <v/>
      </c>
      <c r="L32" s="335"/>
      <c r="M32" s="10"/>
      <c r="N32" s="296"/>
      <c r="O32" s="296"/>
      <c r="P32" s="296"/>
      <c r="Q32" s="297"/>
      <c r="R32" s="1"/>
      <c r="S32" s="1"/>
      <c r="T32" s="292" t="str">
        <f t="shared" si="8"/>
        <v/>
      </c>
      <c r="U32" s="446" t="str">
        <f t="shared" si="6"/>
        <v/>
      </c>
      <c r="V32" s="10"/>
      <c r="W32" s="299">
        <f t="shared" si="9"/>
        <v>0</v>
      </c>
      <c r="X32" s="418"/>
      <c r="Y32" s="419"/>
      <c r="Z32" s="420"/>
      <c r="AA32" s="420"/>
      <c r="AB32" s="421"/>
    </row>
    <row r="33" spans="1:28" ht="20.149999999999999" customHeight="1" x14ac:dyDescent="0.35">
      <c r="A33" s="10"/>
      <c r="B33" s="22"/>
      <c r="C33" s="400">
        <v>14</v>
      </c>
      <c r="D33" s="55" t="str">
        <f>IF(UANumber=0,C5,VLOOKUP(UANumber,Data,10,FALSE))</f>
        <v xml:space="preserve">Awdurdod: </v>
      </c>
      <c r="E33" s="362"/>
      <c r="F33" s="393" t="str">
        <f t="shared" si="5"/>
        <v/>
      </c>
      <c r="G33" s="394">
        <v>0</v>
      </c>
      <c r="H33" s="28"/>
      <c r="J33" s="391" t="str">
        <f>IF(UANumber=0,"",(IF(D33=Text!F42,0,(VLOOKUP(D33,Taxbase,2,FALSE)))))</f>
        <v/>
      </c>
      <c r="K33" s="391" t="str">
        <f t="shared" si="7"/>
        <v/>
      </c>
      <c r="L33" s="335"/>
      <c r="M33" s="10"/>
      <c r="N33" s="296"/>
      <c r="O33" s="296"/>
      <c r="P33" s="296"/>
      <c r="Q33" s="297"/>
      <c r="R33" s="1"/>
      <c r="S33" s="1"/>
      <c r="T33" s="292" t="str">
        <f t="shared" si="8"/>
        <v/>
      </c>
      <c r="U33" s="446" t="str">
        <f t="shared" si="6"/>
        <v/>
      </c>
      <c r="V33" s="10"/>
      <c r="W33" s="299">
        <f t="shared" si="9"/>
        <v>0</v>
      </c>
      <c r="X33" s="418"/>
      <c r="Y33" s="419"/>
      <c r="Z33" s="420"/>
      <c r="AA33" s="420"/>
      <c r="AB33" s="421"/>
    </row>
    <row r="34" spans="1:28" ht="20.149999999999999" customHeight="1" x14ac:dyDescent="0.35">
      <c r="A34" s="10"/>
      <c r="B34" s="22"/>
      <c r="C34" s="400">
        <v>15</v>
      </c>
      <c r="D34" s="55" t="str">
        <f>IF(UANumber=0,C5,VLOOKUP(UANumber,Data,11,FALSE))</f>
        <v xml:space="preserve">Awdurdod: </v>
      </c>
      <c r="E34" s="362"/>
      <c r="F34" s="393" t="str">
        <f t="shared" si="5"/>
        <v/>
      </c>
      <c r="G34" s="394">
        <v>0</v>
      </c>
      <c r="H34" s="28"/>
      <c r="J34" s="391" t="str">
        <f>IF(UANumber=0,"",(IF(D34=Text!F42,0,(VLOOKUP(D34,Taxbase,2,FALSE)))))</f>
        <v/>
      </c>
      <c r="K34" s="391" t="str">
        <f t="shared" si="7"/>
        <v/>
      </c>
      <c r="L34" s="335"/>
      <c r="M34" s="10"/>
      <c r="N34" s="296"/>
      <c r="O34" s="296"/>
      <c r="P34" s="296"/>
      <c r="Q34" s="297"/>
      <c r="R34" s="1"/>
      <c r="S34" s="1"/>
      <c r="T34" s="292" t="str">
        <f t="shared" si="8"/>
        <v/>
      </c>
      <c r="U34" s="446" t="str">
        <f t="shared" si="6"/>
        <v/>
      </c>
      <c r="V34" s="10"/>
      <c r="W34" s="299">
        <f t="shared" si="9"/>
        <v>0</v>
      </c>
      <c r="X34" s="418"/>
      <c r="Y34" s="419"/>
      <c r="Z34" s="420"/>
      <c r="AA34" s="420"/>
      <c r="AB34" s="421"/>
    </row>
    <row r="35" spans="1:28" ht="20.149999999999999" customHeight="1" x14ac:dyDescent="0.35">
      <c r="A35" s="10"/>
      <c r="B35" s="22"/>
      <c r="C35" s="400">
        <v>16</v>
      </c>
      <c r="D35" s="55" t="str">
        <f>IF(UANumber=0,C5,VLOOKUP(UANumber,Data,12,FALSE))</f>
        <v xml:space="preserve">Awdurdod: </v>
      </c>
      <c r="E35" s="362"/>
      <c r="F35" s="393" t="str">
        <f t="shared" si="5"/>
        <v/>
      </c>
      <c r="G35" s="394">
        <v>0</v>
      </c>
      <c r="H35" s="28"/>
      <c r="J35" s="391" t="str">
        <f>IF(UANumber=0,"",(IF(D35=Text!F42,0,(VLOOKUP(D35,Taxbase,2,FALSE)))))</f>
        <v/>
      </c>
      <c r="K35" s="391" t="str">
        <f t="shared" si="7"/>
        <v/>
      </c>
      <c r="L35" s="335"/>
      <c r="M35" s="10"/>
      <c r="N35" s="296"/>
      <c r="O35" s="296"/>
      <c r="P35" s="296"/>
      <c r="Q35" s="297"/>
      <c r="R35" s="1"/>
      <c r="S35" s="1"/>
      <c r="T35" s="292" t="str">
        <f t="shared" si="8"/>
        <v/>
      </c>
      <c r="U35" s="446" t="str">
        <f t="shared" si="6"/>
        <v/>
      </c>
      <c r="V35" s="10"/>
      <c r="W35" s="299">
        <f t="shared" si="9"/>
        <v>0</v>
      </c>
      <c r="X35" s="418"/>
      <c r="Y35" s="419"/>
      <c r="Z35" s="420"/>
      <c r="AA35" s="420"/>
      <c r="AB35" s="421"/>
    </row>
    <row r="36" spans="1:28" ht="20.149999999999999" customHeight="1" x14ac:dyDescent="0.35">
      <c r="A36" s="10"/>
      <c r="B36" s="22"/>
      <c r="C36" s="400">
        <v>17</v>
      </c>
      <c r="D36" s="460" t="str">
        <f>IF(UANumber=0,C5,VLOOKUP(UANumber,Data,13,FALSE))</f>
        <v xml:space="preserve">Awdurdod: </v>
      </c>
      <c r="E36" s="462"/>
      <c r="F36" s="393" t="str">
        <f t="shared" si="5"/>
        <v/>
      </c>
      <c r="G36" s="394">
        <v>0</v>
      </c>
      <c r="H36" s="28"/>
      <c r="J36" s="391" t="str">
        <f>IF(UANumber=0,"",(IF(D36=Text!F42,0,(VLOOKUP(D36,Taxbase,2,FALSE)))))</f>
        <v/>
      </c>
      <c r="K36" s="391" t="str">
        <f t="shared" si="7"/>
        <v/>
      </c>
      <c r="L36" s="335"/>
      <c r="M36" s="10"/>
      <c r="N36" s="296"/>
      <c r="O36" s="296"/>
      <c r="P36" s="296"/>
      <c r="Q36" s="297"/>
      <c r="R36" s="1"/>
      <c r="S36" s="1"/>
      <c r="T36" s="292" t="str">
        <f t="shared" si="8"/>
        <v/>
      </c>
      <c r="U36" s="446" t="str">
        <f t="shared" si="6"/>
        <v/>
      </c>
      <c r="V36" s="10"/>
      <c r="W36" s="299">
        <f t="shared" si="9"/>
        <v>0</v>
      </c>
      <c r="X36" s="418"/>
      <c r="Y36" s="422"/>
      <c r="Z36" s="420"/>
      <c r="AA36" s="420"/>
      <c r="AB36" s="421"/>
    </row>
    <row r="37" spans="1:28" ht="26.25" customHeight="1" x14ac:dyDescent="0.35">
      <c r="A37" s="10"/>
      <c r="B37" s="22"/>
      <c r="C37" s="400">
        <v>18</v>
      </c>
      <c r="D37" s="666" t="str">
        <f>Text!F43</f>
        <v>Cyfanswm llinellau 11 i 17 (i gyfateb â llinellau 7 a 6 uchod)</v>
      </c>
      <c r="E37" s="667"/>
      <c r="F37" s="391" t="str">
        <f>IF(UANumber = 0,"",SUMIF($D30:$D36,"&lt;&gt;Text!F40",F30:F36))</f>
        <v/>
      </c>
      <c r="G37" s="391" t="str">
        <f>IF(UANumber = 0,"",SUMIF($D30:$D36,"&lt;&gt;Text!F40",G30:G36))</f>
        <v/>
      </c>
      <c r="H37" s="28"/>
      <c r="J37" s="391" t="str">
        <f>IF(UANumber=0,"",IF(D37=Text!F42,"",SUM(J30:J36)))</f>
        <v/>
      </c>
      <c r="K37" s="391" t="str">
        <f>IF(UANumber = 0,"",IF(F37=0,0,F37-J37))</f>
        <v/>
      </c>
      <c r="L37" s="335"/>
      <c r="M37" s="10"/>
      <c r="N37" s="296"/>
      <c r="O37" s="296"/>
      <c r="P37" s="296"/>
      <c r="Q37" s="297"/>
      <c r="R37" s="1"/>
      <c r="S37" s="1"/>
      <c r="T37" s="292" t="str">
        <f t="shared" si="8"/>
        <v/>
      </c>
      <c r="U37" s="446" t="str">
        <f t="shared" si="6"/>
        <v/>
      </c>
      <c r="V37" s="446" t="str">
        <f>IF(UANumber = 0,"",IF(L37=0,0,1))</f>
        <v/>
      </c>
      <c r="W37" s="446" t="str">
        <f>IF(UANumber = 0,"",IF(M37=0,0,1))</f>
        <v/>
      </c>
      <c r="X37" s="446" t="str">
        <f>IF(UANumber = 0,"",IF(N37=0,0,1))</f>
        <v/>
      </c>
      <c r="Y37" s="423"/>
      <c r="Z37" s="424"/>
      <c r="AA37" s="420"/>
      <c r="AB37" s="421"/>
    </row>
    <row r="38" spans="1:28" ht="15" customHeight="1" x14ac:dyDescent="0.35">
      <c r="A38" s="10"/>
      <c r="B38" s="44"/>
      <c r="C38" s="45"/>
      <c r="D38" s="46"/>
      <c r="E38" s="47"/>
      <c r="F38" s="48"/>
      <c r="G38" s="49"/>
      <c r="H38" s="28"/>
      <c r="J38" s="425"/>
      <c r="K38" s="426"/>
      <c r="L38" s="417"/>
      <c r="M38" s="10"/>
      <c r="N38" s="296"/>
      <c r="O38" s="296"/>
      <c r="P38" s="10"/>
      <c r="Q38" s="10"/>
      <c r="R38" s="10"/>
      <c r="S38" s="10"/>
      <c r="T38" s="1" t="str">
        <f t="shared" ref="T38" si="10">IF(U38=1,4,"")</f>
        <v/>
      </c>
      <c r="U38" s="498" t="str">
        <f t="shared" si="6"/>
        <v/>
      </c>
      <c r="V38" s="10"/>
      <c r="W38" s="10"/>
      <c r="X38" s="10"/>
      <c r="Y38" s="10"/>
      <c r="Z38" s="10"/>
      <c r="AA38" s="10"/>
      <c r="AB38" s="10"/>
    </row>
    <row r="39" spans="1:28" ht="24" x14ac:dyDescent="0.35">
      <c r="A39" s="10"/>
      <c r="B39" s="50"/>
      <c r="C39" s="25"/>
      <c r="D39" s="51"/>
      <c r="E39" s="52"/>
      <c r="F39" s="53"/>
      <c r="G39" s="54"/>
      <c r="H39" s="28"/>
      <c r="J39" s="402" t="str">
        <f>Text!F61</f>
        <v>llinell 18, colofn 3 minws llinell 7</v>
      </c>
      <c r="K39" s="402" t="str">
        <f>Text!F62</f>
        <v>llinell 18, colofn 4 minws llinell 6</v>
      </c>
      <c r="L39" s="336"/>
      <c r="M39" s="10"/>
      <c r="N39" s="296"/>
      <c r="O39" s="296"/>
      <c r="P39" s="296"/>
      <c r="Q39" s="297"/>
      <c r="R39" s="297"/>
      <c r="S39" s="297"/>
      <c r="T39" s="297"/>
      <c r="U39" s="498" t="str">
        <f t="shared" si="6"/>
        <v/>
      </c>
      <c r="V39" s="297"/>
      <c r="W39" s="297"/>
      <c r="X39" s="297"/>
      <c r="Y39" s="10"/>
      <c r="Z39" s="10"/>
      <c r="AA39" s="10"/>
      <c r="AB39" s="10"/>
    </row>
    <row r="40" spans="1:28" ht="18.75" customHeight="1" x14ac:dyDescent="0.35">
      <c r="A40" s="10"/>
      <c r="B40" s="22"/>
      <c r="C40" s="352" t="str">
        <f>Text!F44</f>
        <v>Ardystuad Y Prif Swyddog Cyllid</v>
      </c>
      <c r="D40" s="29"/>
      <c r="E40" s="29"/>
      <c r="F40" s="29"/>
      <c r="G40" s="321"/>
      <c r="H40" s="28"/>
      <c r="J40" s="391" t="str">
        <f>IF(UANumber = 0,"",IF(G17=0,0,ROUND(F37,2)-ROUND(G24,2)))</f>
        <v/>
      </c>
      <c r="K40" s="391" t="str">
        <f>IF(UANumber = 0,"",IF(G17=0,0,ROUND(G37,2)-ROUND(G22,2)))</f>
        <v/>
      </c>
      <c r="L40" s="335"/>
      <c r="M40" s="10"/>
      <c r="N40" s="389"/>
      <c r="O40" s="389"/>
      <c r="P40" s="1"/>
      <c r="Q40" s="297"/>
      <c r="R40" s="1"/>
      <c r="S40" s="1"/>
      <c r="T40" s="292" t="str">
        <f>IF(U40=1,4,"")</f>
        <v/>
      </c>
      <c r="U40" s="446" t="str">
        <f t="shared" si="6"/>
        <v/>
      </c>
      <c r="V40" s="10"/>
      <c r="W40" s="299">
        <f>IF(X40="C",0,IF(V40=1,1,0))</f>
        <v>0</v>
      </c>
      <c r="X40" s="287"/>
      <c r="Y40" s="423"/>
      <c r="Z40" s="427"/>
      <c r="AA40" s="420"/>
      <c r="AB40" s="421"/>
    </row>
    <row r="41" spans="1:28" ht="15" customHeight="1" x14ac:dyDescent="0.35">
      <c r="A41" s="10"/>
      <c r="B41" s="22"/>
      <c r="C41" s="668" t="str">
        <f>Text!F45</f>
        <v>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v>
      </c>
      <c r="D41" s="669"/>
      <c r="E41" s="669"/>
      <c r="F41" s="669"/>
      <c r="G41" s="670"/>
      <c r="H41" s="28"/>
      <c r="L41" s="335"/>
      <c r="M41" s="275"/>
      <c r="N41" s="275"/>
      <c r="O41" s="275"/>
      <c r="P41" s="275"/>
      <c r="Q41" s="275"/>
      <c r="R41" s="275"/>
      <c r="S41" s="275"/>
      <c r="T41" s="275"/>
      <c r="U41" s="275"/>
      <c r="V41" s="275"/>
      <c r="W41" s="275"/>
      <c r="X41" s="275"/>
      <c r="Y41" s="275"/>
      <c r="Z41" s="275"/>
      <c r="AA41" s="275"/>
      <c r="AB41" s="275"/>
    </row>
    <row r="42" spans="1:28" ht="15.5" x14ac:dyDescent="0.35">
      <c r="A42" s="10"/>
      <c r="B42" s="22"/>
      <c r="C42" s="671"/>
      <c r="D42" s="672"/>
      <c r="E42" s="672"/>
      <c r="F42" s="672"/>
      <c r="G42" s="673"/>
      <c r="H42" s="28"/>
      <c r="M42" s="10"/>
      <c r="N42" s="10"/>
      <c r="O42" s="10"/>
      <c r="P42" s="10"/>
      <c r="Q42" s="10"/>
      <c r="R42" s="10"/>
      <c r="S42" s="10"/>
      <c r="T42" s="10"/>
      <c r="U42" s="10"/>
      <c r="V42" s="10"/>
      <c r="W42" s="10"/>
      <c r="X42" s="10"/>
      <c r="Y42" s="10"/>
      <c r="Z42" s="10"/>
      <c r="AA42" s="10"/>
      <c r="AB42" s="10"/>
    </row>
    <row r="43" spans="1:28" ht="15.5" x14ac:dyDescent="0.35">
      <c r="A43" s="10"/>
      <c r="B43" s="22"/>
      <c r="C43" s="674"/>
      <c r="D43" s="675"/>
      <c r="E43" s="675"/>
      <c r="F43" s="675"/>
      <c r="G43" s="676"/>
      <c r="H43" s="28"/>
      <c r="M43" s="10"/>
      <c r="N43" s="10"/>
      <c r="O43" s="10"/>
      <c r="P43" s="10"/>
      <c r="Q43" s="10"/>
      <c r="R43" s="10"/>
      <c r="S43" s="10"/>
      <c r="T43" s="10"/>
      <c r="U43" s="10"/>
      <c r="V43" s="10"/>
      <c r="W43" s="10"/>
      <c r="X43" s="10"/>
      <c r="Y43" s="10"/>
      <c r="Z43" s="10"/>
      <c r="AA43" s="10"/>
      <c r="AB43" s="10"/>
    </row>
    <row r="44" spans="1:28" ht="15" customHeight="1" x14ac:dyDescent="0.35">
      <c r="A44" s="10"/>
      <c r="B44" s="22"/>
      <c r="C44" s="322"/>
      <c r="D44" s="322"/>
      <c r="E44" s="322"/>
      <c r="F44" s="322"/>
      <c r="G44" s="322"/>
      <c r="H44" s="28"/>
      <c r="M44" s="10"/>
      <c r="N44" s="10"/>
      <c r="O44" s="10"/>
      <c r="P44" s="10"/>
      <c r="Q44" s="10"/>
      <c r="R44" s="10"/>
      <c r="S44" s="10"/>
      <c r="T44" s="10"/>
      <c r="U44" s="10"/>
      <c r="V44" s="10"/>
      <c r="W44" s="10"/>
      <c r="X44" s="10"/>
      <c r="Y44" s="10"/>
      <c r="Z44" s="10"/>
      <c r="AA44" s="10"/>
      <c r="AB44" s="10"/>
    </row>
    <row r="45" spans="1:28" ht="51" customHeight="1" x14ac:dyDescent="0.35">
      <c r="A45" s="10"/>
      <c r="B45" s="22"/>
      <c r="C45" s="25"/>
      <c r="D45" s="529" t="str">
        <f>Text!F46&amp;" "</f>
        <v xml:space="preserve">Llofnod Y Prif Swyddog Cyllid: </v>
      </c>
      <c r="E45" s="320"/>
      <c r="F45" s="55"/>
      <c r="G45" s="464" t="str">
        <f>Text!F47</f>
        <v>Am gweinyddu Llywodraeth Cymru yn unig</v>
      </c>
      <c r="H45" s="28"/>
      <c r="M45" s="10"/>
      <c r="N45" s="10"/>
      <c r="O45" s="10"/>
      <c r="P45" s="10"/>
      <c r="Q45" s="10"/>
      <c r="R45" s="10"/>
      <c r="S45" s="10"/>
      <c r="T45" s="10"/>
      <c r="U45" s="10"/>
      <c r="V45" s="10"/>
      <c r="W45" s="10"/>
      <c r="X45" s="10"/>
      <c r="Y45" s="10"/>
      <c r="Z45" s="10"/>
      <c r="AA45" s="10"/>
      <c r="AB45" s="10"/>
    </row>
    <row r="46" spans="1:28" ht="15" customHeight="1" x14ac:dyDescent="0.35">
      <c r="A46" s="10"/>
      <c r="B46" s="22"/>
      <c r="C46" s="56"/>
      <c r="D46" s="56"/>
      <c r="E46" s="56"/>
      <c r="F46" s="56"/>
      <c r="G46" s="319"/>
      <c r="H46" s="28"/>
      <c r="M46" s="10"/>
      <c r="N46" s="10"/>
      <c r="O46" s="10"/>
      <c r="P46" s="10"/>
      <c r="Q46" s="10"/>
      <c r="R46" s="10"/>
      <c r="S46" s="10"/>
      <c r="T46" s="10"/>
      <c r="U46" s="10"/>
      <c r="V46" s="10"/>
      <c r="W46" s="10"/>
      <c r="X46" s="10"/>
      <c r="Y46" s="10"/>
      <c r="Z46" s="10"/>
      <c r="AA46" s="10"/>
      <c r="AB46" s="10"/>
    </row>
    <row r="47" spans="1:28" ht="45" customHeight="1" x14ac:dyDescent="0.35">
      <c r="A47" s="10"/>
      <c r="B47" s="22"/>
      <c r="C47" s="56"/>
      <c r="D47" s="529" t="str">
        <f>Text!F53&amp;" "</f>
        <v xml:space="preserve">Dyddiad: </v>
      </c>
      <c r="E47" s="320"/>
      <c r="F47" s="55"/>
      <c r="G47" s="465" t="str">
        <f>Transfer!H46</f>
        <v>ZZZZZZZZZZZZZZ</v>
      </c>
      <c r="H47" s="28"/>
      <c r="M47" s="10"/>
      <c r="N47" s="10"/>
      <c r="O47" s="10"/>
      <c r="P47" s="10"/>
      <c r="Q47" s="10"/>
      <c r="R47" s="10"/>
      <c r="S47" s="10"/>
      <c r="T47" s="10"/>
      <c r="U47" s="10"/>
      <c r="V47" s="10"/>
      <c r="W47" s="10"/>
      <c r="X47" s="10"/>
      <c r="Y47" s="10"/>
      <c r="Z47" s="10"/>
      <c r="AA47" s="10"/>
      <c r="AB47" s="10"/>
    </row>
    <row r="48" spans="1:28" ht="15" customHeight="1" x14ac:dyDescent="0.35">
      <c r="A48" s="10"/>
      <c r="B48" s="57"/>
      <c r="C48" s="58"/>
      <c r="D48" s="59"/>
      <c r="E48" s="60"/>
      <c r="F48" s="60"/>
      <c r="G48" s="59"/>
      <c r="H48" s="61"/>
      <c r="M48" s="10"/>
      <c r="N48" s="10"/>
      <c r="O48" s="10"/>
      <c r="P48" s="10"/>
      <c r="Q48" s="10"/>
      <c r="R48" s="10"/>
      <c r="S48" s="10"/>
      <c r="T48" s="10"/>
      <c r="U48" s="10"/>
      <c r="V48" s="10"/>
      <c r="W48" s="10"/>
      <c r="X48" s="10"/>
      <c r="Y48" s="10"/>
      <c r="Z48" s="10"/>
      <c r="AA48" s="10"/>
      <c r="AB48" s="10"/>
    </row>
  </sheetData>
  <sheetProtection sheet="1" objects="1" scenarios="1"/>
  <mergeCells count="25">
    <mergeCell ref="W15:W16"/>
    <mergeCell ref="X15:X16"/>
    <mergeCell ref="R13:S13"/>
    <mergeCell ref="R14:R16"/>
    <mergeCell ref="S14:S16"/>
    <mergeCell ref="T15:T16"/>
    <mergeCell ref="U15:U16"/>
    <mergeCell ref="V15:V16"/>
    <mergeCell ref="C41:G43"/>
    <mergeCell ref="J12:K14"/>
    <mergeCell ref="D27:G27"/>
    <mergeCell ref="D21:F21"/>
    <mergeCell ref="D22:F22"/>
    <mergeCell ref="D24:F24"/>
    <mergeCell ref="D25:F25"/>
    <mergeCell ref="J21:K23"/>
    <mergeCell ref="D17:F17"/>
    <mergeCell ref="D18:F18"/>
    <mergeCell ref="D19:F19"/>
    <mergeCell ref="D20:F20"/>
    <mergeCell ref="C11:F11"/>
    <mergeCell ref="C7:F7"/>
    <mergeCell ref="J4:J6"/>
    <mergeCell ref="D23:F23"/>
    <mergeCell ref="D37:E37"/>
  </mergeCells>
  <phoneticPr fontId="0" type="noConversion"/>
  <conditionalFormatting sqref="G18:G20">
    <cfRule type="expression" dxfId="22" priority="44" stopIfTrue="1">
      <formula>$J$33="Please select your authority on front page"</formula>
    </cfRule>
  </conditionalFormatting>
  <conditionalFormatting sqref="G45">
    <cfRule type="expression" dxfId="21" priority="65" stopIfTrue="1">
      <formula>"$G$44&lt;&gt;ZZZZZZZZZZZZZZ"</formula>
    </cfRule>
  </conditionalFormatting>
  <conditionalFormatting sqref="G47">
    <cfRule type="expression" dxfId="20" priority="17" stopIfTrue="1">
      <formula>"$G$44&lt;&gt;ZZZZZZZZZZZZZZ"</formula>
    </cfRule>
  </conditionalFormatting>
  <conditionalFormatting sqref="H18:I18 F30:G36">
    <cfRule type="expression" dxfId="19" priority="60" stopIfTrue="1">
      <formula>$G$18="Please select your authority on front page"</formula>
    </cfRule>
  </conditionalFormatting>
  <conditionalFormatting sqref="H19:I19 G24">
    <cfRule type="expression" dxfId="18" priority="62" stopIfTrue="1">
      <formula>$G$19="Please select your authority on front page"</formula>
    </cfRule>
  </conditionalFormatting>
  <conditionalFormatting sqref="H20:I20 G21:G22 G25 H27:I27 F37:G37">
    <cfRule type="expression" dxfId="17" priority="59" stopIfTrue="1">
      <formula>$F$24="Please select your authority on front page"</formula>
    </cfRule>
  </conditionalFormatting>
  <conditionalFormatting sqref="J40:K40 K18:K20 K24 K30:K37">
    <cfRule type="cellIs" dxfId="16" priority="2" stopIfTrue="1" operator="notEqual">
      <formula>0</formula>
    </cfRule>
  </conditionalFormatting>
  <conditionalFormatting sqref="J40:K40">
    <cfRule type="expression" dxfId="15" priority="1" stopIfTrue="1">
      <formula>$J$33="Please select your authority on front page"</formula>
    </cfRule>
  </conditionalFormatting>
  <conditionalFormatting sqref="J18:L20">
    <cfRule type="expression" dxfId="14" priority="50" stopIfTrue="1">
      <formula>$J$33="Please select your authority on front page"</formula>
    </cfRule>
  </conditionalFormatting>
  <conditionalFormatting sqref="J24:L24">
    <cfRule type="expression" dxfId="13" priority="49" stopIfTrue="1">
      <formula>$J$33="Please select your authority on front page"</formula>
    </cfRule>
  </conditionalFormatting>
  <conditionalFormatting sqref="J40:L40">
    <cfRule type="expression" dxfId="12" priority="3" stopIfTrue="1">
      <formula>$J$33="Please select your authority on front page"</formula>
    </cfRule>
  </conditionalFormatting>
  <conditionalFormatting sqref="L23">
    <cfRule type="expression" dxfId="11" priority="21" stopIfTrue="1">
      <formula>$J$33="Please select your authority on front page"</formula>
    </cfRule>
  </conditionalFormatting>
  <conditionalFormatting sqref="L26:L37">
    <cfRule type="expression" dxfId="10" priority="19" stopIfTrue="1">
      <formula>$J$33="Please select your authority on front page"</formula>
    </cfRule>
  </conditionalFormatting>
  <conditionalFormatting sqref="L41">
    <cfRule type="expression" dxfId="9" priority="18" stopIfTrue="1">
      <formula>$J$33="Please select your authority on front page"</formula>
    </cfRule>
  </conditionalFormatting>
  <conditionalFormatting sqref="M17:N17">
    <cfRule type="expression" dxfId="8" priority="10" stopIfTrue="1">
      <formula>$J$33="Please select your authority on front page"</formula>
    </cfRule>
  </conditionalFormatting>
  <conditionalFormatting sqref="M22:N25">
    <cfRule type="expression" dxfId="7" priority="9" stopIfTrue="1">
      <formula>$J$33="Please select your authority on front page"</formula>
    </cfRule>
  </conditionalFormatting>
  <conditionalFormatting sqref="U17:U25 U30:U40 V37:X37">
    <cfRule type="cellIs" dxfId="6" priority="23" stopIfTrue="1" operator="equal">
      <formula>1</formula>
    </cfRule>
  </conditionalFormatting>
  <conditionalFormatting sqref="U17:X17 U18:W21 U22:X22 U23:U25 U30:AB37 U38:U40 V24:X25 V40:AB40">
    <cfRule type="cellIs" dxfId="5" priority="38" stopIfTrue="1" operator="equal">
      <formula>0</formula>
    </cfRule>
  </conditionalFormatting>
  <conditionalFormatting sqref="U17:AB17 U18:W21 U22:AB22 U23:U25 V24:AB25 U30:AB37 U38:U40 Y40:AB40">
    <cfRule type="cellIs" priority="40" stopIfTrue="1" operator="equal">
      <formula>""</formula>
    </cfRule>
  </conditionalFormatting>
  <conditionalFormatting sqref="Y17:AB17 Y22:AB22 Y24:AB25">
    <cfRule type="cellIs" dxfId="4" priority="41" stopIfTrue="1" operator="equal">
      <formula>0</formula>
    </cfRule>
  </conditionalFormatting>
  <hyperlinks>
    <hyperlink ref="E12" r:id="rId1" xr:uid="{00000000-0004-0000-0100-000000000000}"/>
    <hyperlink ref="D12" r:id="rId2" xr:uid="{00000000-0004-0000-0100-000001000000}"/>
    <hyperlink ref="E8" r:id="rId3" xr:uid="{00000000-0004-0000-0100-000002000000}"/>
    <hyperlink ref="D8" r:id="rId4" xr:uid="{00000000-0004-0000-0100-000003000000}"/>
  </hyperlinks>
  <printOptions horizontalCentered="1"/>
  <pageMargins left="0.23622047244094491" right="0.23622047244094491" top="0.39370078740157483" bottom="0.27559055118110237" header="0.31496062992125984" footer="0.15748031496062992"/>
  <pageSetup paperSize="9" scale="82"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M35"/>
  <sheetViews>
    <sheetView workbookViewId="0">
      <selection activeCell="F12" sqref="F12"/>
    </sheetView>
  </sheetViews>
  <sheetFormatPr defaultColWidth="8.84375" defaultRowHeight="15" customHeight="1" x14ac:dyDescent="0.35"/>
  <cols>
    <col min="1" max="1" width="8.84375" style="300" customWidth="1"/>
    <col min="2" max="2" width="3.23046875" style="300" customWidth="1"/>
    <col min="3" max="3" width="8.84375" style="300" customWidth="1"/>
    <col min="4" max="4" width="1.765625" style="300" customWidth="1"/>
    <col min="5" max="8" width="8.84375" style="300" customWidth="1"/>
    <col min="9" max="9" width="12.3046875" style="300" customWidth="1"/>
    <col min="10" max="10" width="5" style="300" customWidth="1"/>
    <col min="11" max="11" width="1.765625" style="300" customWidth="1"/>
    <col min="12" max="12" width="9.53515625" style="300" customWidth="1"/>
    <col min="13" max="13" width="3.23046875" style="300" customWidth="1"/>
    <col min="14" max="16384" width="8.84375" style="300"/>
  </cols>
  <sheetData>
    <row r="1" spans="1:13" s="301" customFormat="1" ht="15" customHeight="1" x14ac:dyDescent="0.35">
      <c r="A1" s="125"/>
      <c r="B1" s="125"/>
      <c r="C1" s="125"/>
      <c r="D1" s="125"/>
      <c r="E1" s="125"/>
      <c r="F1" s="125"/>
      <c r="G1" s="125"/>
      <c r="H1" s="125"/>
      <c r="I1" s="125"/>
      <c r="J1" s="125"/>
      <c r="K1" s="125"/>
      <c r="L1" s="125"/>
      <c r="M1" s="125"/>
    </row>
    <row r="2" spans="1:13" s="301" customFormat="1" ht="22.5" customHeight="1" x14ac:dyDescent="0.35">
      <c r="A2" s="125"/>
      <c r="B2" s="249"/>
      <c r="C2" s="353" t="str">
        <f>'BR2'!C4&amp;'BR2'!D4</f>
        <v xml:space="preserve">Cod: </v>
      </c>
      <c r="D2" s="356" t="str">
        <f>'BR2'!D5</f>
        <v>Dewiswch eich awdurdod ar y dudalen flaen</v>
      </c>
      <c r="E2" s="354"/>
      <c r="F2" s="355"/>
      <c r="G2" s="355"/>
      <c r="H2" s="355"/>
      <c r="I2" s="355"/>
      <c r="J2" s="355"/>
      <c r="K2" s="366"/>
      <c r="L2" s="367"/>
      <c r="M2" s="368" t="str">
        <f>FrontPage!M2&amp;", "&amp;Details!J3</f>
        <v>BR2, 2024-25</v>
      </c>
    </row>
    <row r="3" spans="1:13" s="301" customFormat="1" ht="19.5" customHeight="1" x14ac:dyDescent="0.35">
      <c r="A3" s="125"/>
      <c r="B3" s="126"/>
      <c r="C3" s="127"/>
      <c r="D3" s="127"/>
      <c r="E3" s="127"/>
      <c r="F3" s="128"/>
      <c r="G3" s="128"/>
      <c r="H3" s="128"/>
      <c r="I3" s="128"/>
      <c r="J3" s="128"/>
      <c r="K3" s="128"/>
      <c r="L3" s="128"/>
      <c r="M3" s="129"/>
    </row>
    <row r="4" spans="1:13" s="301" customFormat="1" ht="15" customHeight="1" x14ac:dyDescent="0.35">
      <c r="A4" s="125"/>
      <c r="B4" s="126"/>
      <c r="C4" s="130"/>
      <c r="D4" s="130"/>
      <c r="E4" s="130"/>
      <c r="F4" s="130"/>
      <c r="G4" s="130"/>
      <c r="H4" s="130"/>
      <c r="I4" s="130"/>
      <c r="J4" s="131"/>
      <c r="K4" s="131"/>
      <c r="L4" s="131"/>
      <c r="M4" s="129"/>
    </row>
    <row r="5" spans="1:13" s="301" customFormat="1" ht="15.5" x14ac:dyDescent="0.35">
      <c r="A5" s="125"/>
      <c r="B5" s="126"/>
      <c r="C5" s="130" t="str">
        <f>Text!F67</f>
        <v>Y Baich o Ymateb i'r Arolwg</v>
      </c>
      <c r="D5" s="128"/>
      <c r="E5" s="131"/>
      <c r="F5" s="131"/>
      <c r="G5" s="131"/>
      <c r="H5" s="131"/>
      <c r="I5" s="131"/>
      <c r="J5" s="131"/>
      <c r="K5" s="131"/>
      <c r="L5" s="131"/>
      <c r="M5" s="129"/>
    </row>
    <row r="6" spans="1:13" s="285" customFormat="1" ht="38.25" customHeight="1" x14ac:dyDescent="0.25">
      <c r="A6" s="132"/>
      <c r="B6" s="126"/>
      <c r="C6" s="701" t="str">
        <f>Text!F68</f>
        <v xml:space="preserve">Mae Llywodraeth Cymru yn monitro'r baich o lenwi'r ffurflen casglu data hon. </v>
      </c>
      <c r="D6" s="701"/>
      <c r="E6" s="701"/>
      <c r="F6" s="701"/>
      <c r="G6" s="701"/>
      <c r="H6" s="701"/>
      <c r="I6" s="701"/>
      <c r="J6" s="701"/>
      <c r="K6" s="701"/>
      <c r="L6" s="701"/>
      <c r="M6" s="134"/>
    </row>
    <row r="7" spans="1:13" s="285" customFormat="1" ht="29.25" customHeight="1" x14ac:dyDescent="0.25">
      <c r="A7" s="132"/>
      <c r="B7" s="126"/>
      <c r="C7" s="701" t="str">
        <f>Text!F69</f>
        <v xml:space="preserve">Nodwch yr amser a gymerwyd gennych chi (ac unrhyw gydweithwyr) i baratoi ac anfon y ffurflen. </v>
      </c>
      <c r="D7" s="701"/>
      <c r="E7" s="701"/>
      <c r="F7" s="701"/>
      <c r="G7" s="701"/>
      <c r="H7" s="701"/>
      <c r="I7" s="701"/>
      <c r="J7" s="701"/>
      <c r="K7" s="701"/>
      <c r="L7" s="701"/>
      <c r="M7" s="134"/>
    </row>
    <row r="8" spans="1:13" s="285" customFormat="1" ht="12.75" customHeight="1" x14ac:dyDescent="0.25">
      <c r="A8" s="132"/>
      <c r="B8" s="126"/>
      <c r="C8" s="701" t="str">
        <f>Text!F70</f>
        <v>Dylech gynnwys yr amser a dreuliwyd ar weithgarwch i baratoi ac anfon y ffurflen hon yn unig, megis:</v>
      </c>
      <c r="D8" s="701"/>
      <c r="E8" s="701"/>
      <c r="F8" s="701"/>
      <c r="G8" s="701"/>
      <c r="H8" s="701"/>
      <c r="I8" s="701"/>
      <c r="J8" s="701"/>
      <c r="K8" s="701"/>
      <c r="L8" s="701"/>
      <c r="M8" s="134"/>
    </row>
    <row r="9" spans="1:13" s="285" customFormat="1" ht="12.75" customHeight="1" x14ac:dyDescent="0.25">
      <c r="A9" s="132"/>
      <c r="B9" s="126"/>
      <c r="C9" s="701" t="str">
        <f>"  ● "&amp;Text!F71</f>
        <v xml:space="preserve">  ● casglu, dadansoddi a chyfuno'r cofnodion a'r data gofynnol</v>
      </c>
      <c r="D9" s="701"/>
      <c r="E9" s="701"/>
      <c r="F9" s="701"/>
      <c r="G9" s="701"/>
      <c r="H9" s="701"/>
      <c r="I9" s="701"/>
      <c r="J9" s="701"/>
      <c r="K9" s="701"/>
      <c r="L9" s="701"/>
      <c r="M9" s="134"/>
    </row>
    <row r="10" spans="1:13" s="285" customFormat="1" ht="12.75" customHeight="1" x14ac:dyDescent="0.25">
      <c r="A10" s="132"/>
      <c r="B10" s="126"/>
      <c r="C10" s="701" t="str">
        <f>"  ● "&amp;Text!F72</f>
        <v xml:space="preserve">  ● cwblhau, gwirio, diwygio a chymeradwyo'r ffurflen.</v>
      </c>
      <c r="D10" s="701"/>
      <c r="E10" s="701"/>
      <c r="F10" s="701"/>
      <c r="G10" s="701"/>
      <c r="H10" s="701"/>
      <c r="I10" s="701"/>
      <c r="J10" s="701"/>
      <c r="K10" s="701"/>
      <c r="L10" s="701"/>
      <c r="M10" s="134"/>
    </row>
    <row r="11" spans="1:13" s="285" customFormat="1" ht="12.75" customHeight="1" x14ac:dyDescent="0.25">
      <c r="A11" s="132"/>
      <c r="B11" s="126"/>
      <c r="C11" s="133"/>
      <c r="D11" s="133"/>
      <c r="E11" s="133"/>
      <c r="F11" s="133"/>
      <c r="G11" s="133"/>
      <c r="H11" s="133"/>
      <c r="I11" s="133"/>
      <c r="J11" s="133"/>
      <c r="K11" s="133"/>
      <c r="L11" s="133"/>
      <c r="M11" s="134"/>
    </row>
    <row r="12" spans="1:13" s="285" customFormat="1" ht="12.5" x14ac:dyDescent="0.25">
      <c r="A12" s="132"/>
      <c r="B12" s="126"/>
      <c r="C12" s="135" t="str">
        <f>Text!F73</f>
        <v>Nifer yr oriau</v>
      </c>
      <c r="D12" s="135"/>
      <c r="E12" s="136"/>
      <c r="F12" s="137"/>
      <c r="G12" s="137"/>
      <c r="H12" s="137"/>
      <c r="I12" s="138"/>
      <c r="J12" s="138"/>
      <c r="K12" s="138"/>
      <c r="L12" s="139"/>
      <c r="M12" s="140"/>
    </row>
    <row r="13" spans="1:13" s="285" customFormat="1" ht="12.5" x14ac:dyDescent="0.25">
      <c r="A13" s="132"/>
      <c r="B13" s="126"/>
      <c r="C13" s="135"/>
      <c r="D13" s="135"/>
      <c r="E13" s="139"/>
      <c r="F13" s="137"/>
      <c r="G13" s="137"/>
      <c r="H13" s="137"/>
      <c r="I13" s="138"/>
      <c r="J13" s="138"/>
      <c r="K13" s="138"/>
      <c r="L13" s="139"/>
      <c r="M13" s="140"/>
    </row>
    <row r="14" spans="1:13" s="285" customFormat="1" ht="19.5" customHeight="1" x14ac:dyDescent="0.25">
      <c r="A14" s="132"/>
      <c r="B14" s="126"/>
      <c r="C14" s="131" t="str">
        <f>Text!F74</f>
        <v>Mae croeso i chi ychwanegu unrhyw sylwadau</v>
      </c>
      <c r="D14" s="131"/>
      <c r="E14" s="131"/>
      <c r="F14" s="131"/>
      <c r="G14" s="131"/>
      <c r="H14" s="131"/>
      <c r="I14" s="131"/>
      <c r="J14" s="131"/>
      <c r="K14" s="131"/>
      <c r="L14" s="131"/>
      <c r="M14" s="129"/>
    </row>
    <row r="15" spans="1:13" s="285" customFormat="1" ht="15" customHeight="1" x14ac:dyDescent="0.25">
      <c r="A15" s="132"/>
      <c r="B15" s="126"/>
      <c r="C15" s="131"/>
      <c r="D15" s="131"/>
      <c r="E15" s="131"/>
      <c r="F15" s="131"/>
      <c r="G15" s="131"/>
      <c r="H15" s="131"/>
      <c r="I15" s="131"/>
      <c r="J15" s="131"/>
      <c r="K15" s="131"/>
      <c r="L15" s="131"/>
      <c r="M15" s="129"/>
    </row>
    <row r="16" spans="1:13" s="285" customFormat="1" ht="15" customHeight="1" x14ac:dyDescent="0.25">
      <c r="A16" s="132"/>
      <c r="B16" s="126"/>
      <c r="C16" s="131"/>
      <c r="D16" s="131"/>
      <c r="E16" s="131"/>
      <c r="F16" s="131"/>
      <c r="G16" s="131"/>
      <c r="H16" s="131"/>
      <c r="I16" s="131"/>
      <c r="J16" s="131"/>
      <c r="K16" s="131"/>
      <c r="L16" s="131"/>
      <c r="M16" s="129"/>
    </row>
    <row r="17" spans="1:13" s="285" customFormat="1" ht="15" customHeight="1" x14ac:dyDescent="0.25">
      <c r="A17" s="132"/>
      <c r="B17" s="126"/>
      <c r="C17" s="131"/>
      <c r="D17" s="131"/>
      <c r="E17" s="131"/>
      <c r="F17" s="131"/>
      <c r="G17" s="131"/>
      <c r="H17" s="131"/>
      <c r="I17" s="131"/>
      <c r="J17" s="131"/>
      <c r="K17" s="131"/>
      <c r="L17" s="131"/>
      <c r="M17" s="129"/>
    </row>
    <row r="18" spans="1:13" s="285" customFormat="1" ht="15" customHeight="1" x14ac:dyDescent="0.25">
      <c r="A18" s="132"/>
      <c r="B18" s="126"/>
      <c r="C18" s="131"/>
      <c r="D18" s="131"/>
      <c r="E18" s="131"/>
      <c r="F18" s="131"/>
      <c r="G18" s="131"/>
      <c r="H18" s="131"/>
      <c r="I18" s="131"/>
      <c r="J18" s="131"/>
      <c r="K18" s="131"/>
      <c r="L18" s="131"/>
      <c r="M18" s="129"/>
    </row>
    <row r="19" spans="1:13" s="285" customFormat="1" ht="15" customHeight="1" x14ac:dyDescent="0.25">
      <c r="A19" s="132"/>
      <c r="B19" s="126"/>
      <c r="C19" s="131"/>
      <c r="D19" s="131"/>
      <c r="E19" s="131"/>
      <c r="F19" s="131"/>
      <c r="G19" s="131"/>
      <c r="H19" s="131"/>
      <c r="I19" s="131"/>
      <c r="J19" s="131"/>
      <c r="K19" s="131"/>
      <c r="L19" s="131"/>
      <c r="M19" s="129"/>
    </row>
    <row r="20" spans="1:13" s="285" customFormat="1" ht="15" customHeight="1" x14ac:dyDescent="0.25">
      <c r="A20" s="132"/>
      <c r="B20" s="126"/>
      <c r="C20" s="131"/>
      <c r="D20" s="131"/>
      <c r="E20" s="131"/>
      <c r="F20" s="131"/>
      <c r="G20" s="131"/>
      <c r="H20" s="131"/>
      <c r="I20" s="131"/>
      <c r="J20" s="131"/>
      <c r="K20" s="131"/>
      <c r="L20" s="131"/>
      <c r="M20" s="129"/>
    </row>
    <row r="21" spans="1:13" s="285" customFormat="1" ht="15" customHeight="1" x14ac:dyDescent="0.25">
      <c r="A21" s="132"/>
      <c r="B21" s="141"/>
      <c r="C21" s="142"/>
      <c r="D21" s="142"/>
      <c r="E21" s="142"/>
      <c r="F21" s="142"/>
      <c r="G21" s="142"/>
      <c r="H21" s="142"/>
      <c r="I21" s="142"/>
      <c r="J21" s="142"/>
      <c r="K21" s="142"/>
      <c r="L21" s="142"/>
      <c r="M21" s="143"/>
    </row>
    <row r="22" spans="1:13" s="301" customFormat="1" ht="15" customHeight="1" x14ac:dyDescent="0.35"/>
    <row r="23" spans="1:13" s="301" customFormat="1" ht="15" customHeight="1" x14ac:dyDescent="0.35"/>
    <row r="24" spans="1:13" s="301" customFormat="1" ht="15" customHeight="1" x14ac:dyDescent="0.35"/>
    <row r="25" spans="1:13" s="301" customFormat="1" ht="15" customHeight="1" x14ac:dyDescent="0.35"/>
    <row r="26" spans="1:13" s="301" customFormat="1" ht="15" customHeight="1" x14ac:dyDescent="0.35"/>
    <row r="27" spans="1:13" s="301" customFormat="1" ht="15" customHeight="1" x14ac:dyDescent="0.35"/>
    <row r="28" spans="1:13" s="301" customFormat="1" ht="15" customHeight="1" x14ac:dyDescent="0.35"/>
    <row r="29" spans="1:13" s="301" customFormat="1" ht="15" customHeight="1" x14ac:dyDescent="0.35"/>
    <row r="30" spans="1:13" s="301" customFormat="1" ht="15" customHeight="1" x14ac:dyDescent="0.35"/>
    <row r="31" spans="1:13" s="301" customFormat="1" ht="15" customHeight="1" x14ac:dyDescent="0.35"/>
    <row r="32" spans="1:13" s="301" customFormat="1" ht="15" customHeight="1" x14ac:dyDescent="0.35"/>
    <row r="33" s="301" customFormat="1" ht="15" customHeight="1" x14ac:dyDescent="0.35"/>
    <row r="34" s="301" customFormat="1" ht="15" customHeight="1" x14ac:dyDescent="0.35"/>
    <row r="35" s="301" customFormat="1" ht="15" customHeight="1" x14ac:dyDescent="0.35"/>
  </sheetData>
  <sheetProtection sheet="1" objects="1" scenarios="1"/>
  <mergeCells count="5">
    <mergeCell ref="C6:L6"/>
    <mergeCell ref="C7:L7"/>
    <mergeCell ref="C8:L8"/>
    <mergeCell ref="C9:L9"/>
    <mergeCell ref="C10:L10"/>
  </mergeCells>
  <conditionalFormatting sqref="M12:M13">
    <cfRule type="cellIs" dxfId="3" priority="1" stopIfTrue="1" operator="equal">
      <formula>"ü"</formula>
    </cfRule>
    <cfRule type="cellIs" dxfId="2" priority="2" stopIfTrue="1" operator="equal">
      <formula>"û"</formula>
    </cfRule>
    <cfRule type="cellIs" dxfId="1" priority="3" stopIfTrue="1" operator="equal">
      <formula>"!"</formula>
    </cfRule>
  </conditionalFormatting>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41"/>
  <sheetViews>
    <sheetView workbookViewId="0"/>
  </sheetViews>
  <sheetFormatPr defaultColWidth="10.765625" defaultRowHeight="15" customHeight="1" x14ac:dyDescent="0.35"/>
  <cols>
    <col min="1" max="1" width="8.84375" style="285" customWidth="1"/>
    <col min="2" max="2" width="3.07421875" style="300" customWidth="1"/>
    <col min="3" max="3" width="8.84375" style="300" customWidth="1"/>
    <col min="4" max="4" width="9.3046875" style="300" customWidth="1"/>
    <col min="5" max="5" width="13.84375" style="300" bestFit="1" customWidth="1"/>
    <col min="6" max="6" width="8.84375" style="300" customWidth="1"/>
    <col min="7" max="7" width="6" style="300" bestFit="1" customWidth="1"/>
    <col min="8" max="8" width="8.84375" style="300" customWidth="1"/>
    <col min="9" max="9" width="10.765625" style="300" customWidth="1"/>
    <col min="10" max="10" width="6.84375" style="300" customWidth="1"/>
    <col min="11" max="11" width="3.07421875" style="285" customWidth="1"/>
    <col min="12" max="24" width="8.84375" style="285" customWidth="1"/>
    <col min="25" max="16384" width="10.765625" style="300"/>
  </cols>
  <sheetData>
    <row r="1" spans="1:11" ht="15.5" x14ac:dyDescent="0.35">
      <c r="A1" s="132"/>
      <c r="B1" s="132"/>
      <c r="C1" s="132"/>
      <c r="D1" s="132"/>
      <c r="E1" s="132"/>
      <c r="F1" s="132"/>
      <c r="G1" s="132"/>
      <c r="H1" s="132"/>
      <c r="I1" s="132"/>
      <c r="J1" s="132"/>
      <c r="K1" s="132"/>
    </row>
    <row r="2" spans="1:11" ht="22.5" customHeight="1" x14ac:dyDescent="0.35">
      <c r="A2" s="132"/>
      <c r="B2" s="250"/>
      <c r="C2" s="357" t="str">
        <f>'BR2'!C4&amp;'BR2'!D4</f>
        <v xml:space="preserve">Cod: </v>
      </c>
      <c r="D2" s="359" t="str">
        <f>'BR2'!D5</f>
        <v>Dewiswch eich awdurdod ar y dudalen flaen</v>
      </c>
      <c r="E2" s="358"/>
      <c r="F2" s="358"/>
      <c r="G2" s="358"/>
      <c r="H2" s="358"/>
      <c r="I2" s="358"/>
      <c r="J2" s="370"/>
      <c r="K2" s="369" t="str">
        <f>FrontPage!M2&amp;", "&amp;Details!J3</f>
        <v>BR2, 2024-25</v>
      </c>
    </row>
    <row r="3" spans="1:11" ht="12" customHeight="1" x14ac:dyDescent="0.35">
      <c r="A3" s="132"/>
      <c r="B3" s="144"/>
      <c r="C3" s="145"/>
      <c r="D3" s="145"/>
      <c r="E3" s="145"/>
      <c r="F3" s="145"/>
      <c r="G3" s="145"/>
      <c r="H3" s="145"/>
      <c r="I3" s="145"/>
      <c r="J3" s="271"/>
      <c r="K3" s="272"/>
    </row>
    <row r="4" spans="1:11" ht="47.25" customHeight="1" x14ac:dyDescent="0.35">
      <c r="A4" s="132"/>
      <c r="B4" s="144"/>
      <c r="C4" s="145"/>
      <c r="D4" s="145"/>
      <c r="E4" s="145"/>
      <c r="F4" s="145"/>
      <c r="G4" s="145"/>
      <c r="H4" s="145"/>
      <c r="I4" s="145"/>
      <c r="J4" s="271"/>
      <c r="K4" s="272"/>
    </row>
    <row r="5" spans="1:11" ht="15" customHeight="1" x14ac:dyDescent="0.35">
      <c r="A5" s="132"/>
      <c r="B5" s="144"/>
      <c r="C5" s="145"/>
      <c r="D5" s="145"/>
      <c r="E5" s="145"/>
      <c r="F5" s="145"/>
      <c r="G5" s="145"/>
      <c r="H5" s="145"/>
      <c r="I5" s="145"/>
      <c r="J5" s="271"/>
      <c r="K5" s="272"/>
    </row>
    <row r="6" spans="1:11" ht="15" customHeight="1" x14ac:dyDescent="0.35">
      <c r="A6" s="132"/>
      <c r="B6" s="144"/>
      <c r="C6" s="564" t="str">
        <f>Text!F79</f>
        <v>Dyluniad y ffurflen</v>
      </c>
      <c r="D6" s="146"/>
      <c r="E6" s="145"/>
      <c r="F6" s="145"/>
      <c r="G6" s="145"/>
      <c r="H6" s="145"/>
      <c r="I6" s="145"/>
      <c r="J6" s="271"/>
      <c r="K6" s="272"/>
    </row>
    <row r="7" spans="1:11" ht="15" customHeight="1" x14ac:dyDescent="0.35">
      <c r="A7" s="132"/>
      <c r="B7" s="144"/>
      <c r="C7" s="145"/>
      <c r="D7" s="145"/>
      <c r="E7" s="145"/>
      <c r="F7" s="145"/>
      <c r="G7" s="145"/>
      <c r="H7" s="145"/>
      <c r="I7" s="145"/>
      <c r="J7" s="271"/>
      <c r="K7" s="272"/>
    </row>
    <row r="8" spans="1:11" ht="15" customHeight="1" x14ac:dyDescent="0.35">
      <c r="A8" s="132"/>
      <c r="B8" s="144"/>
      <c r="C8" s="145"/>
      <c r="D8" s="145"/>
      <c r="E8" s="145"/>
      <c r="F8" s="145"/>
      <c r="G8" s="145"/>
      <c r="H8" s="145"/>
      <c r="I8" s="145"/>
      <c r="J8" s="271"/>
      <c r="K8" s="272"/>
    </row>
    <row r="9" spans="1:11" ht="15" customHeight="1" x14ac:dyDescent="0.35">
      <c r="A9" s="132"/>
      <c r="B9" s="144"/>
      <c r="C9" s="145"/>
      <c r="D9" s="145"/>
      <c r="E9" s="145"/>
      <c r="F9" s="145"/>
      <c r="G9" s="145"/>
      <c r="H9" s="145"/>
      <c r="I9" s="145"/>
      <c r="J9" s="271"/>
      <c r="K9" s="272"/>
    </row>
    <row r="10" spans="1:11" ht="15" customHeight="1" x14ac:dyDescent="0.35">
      <c r="A10" s="132"/>
      <c r="B10" s="144"/>
      <c r="C10" s="145"/>
      <c r="D10" s="145"/>
      <c r="E10" s="145"/>
      <c r="F10" s="145"/>
      <c r="G10" s="145"/>
      <c r="H10" s="145"/>
      <c r="I10" s="145"/>
      <c r="J10" s="271"/>
      <c r="K10" s="272"/>
    </row>
    <row r="11" spans="1:11" ht="15" customHeight="1" x14ac:dyDescent="0.35">
      <c r="A11" s="132"/>
      <c r="B11" s="144"/>
      <c r="C11" s="145"/>
      <c r="D11" s="145"/>
      <c r="E11" s="145"/>
      <c r="F11" s="145"/>
      <c r="G11" s="145"/>
      <c r="H11" s="145"/>
      <c r="I11" s="145"/>
      <c r="J11" s="271"/>
      <c r="K11" s="272"/>
    </row>
    <row r="12" spans="1:11" ht="15" customHeight="1" x14ac:dyDescent="0.35">
      <c r="A12" s="132"/>
      <c r="B12" s="144"/>
      <c r="C12" s="145"/>
      <c r="D12" s="145"/>
      <c r="E12" s="145"/>
      <c r="F12" s="145"/>
      <c r="G12" s="145"/>
      <c r="H12" s="145"/>
      <c r="I12" s="145"/>
      <c r="J12" s="271"/>
      <c r="K12" s="272"/>
    </row>
    <row r="13" spans="1:11" ht="15" customHeight="1" x14ac:dyDescent="0.35">
      <c r="A13" s="132"/>
      <c r="B13" s="144"/>
      <c r="C13" s="145"/>
      <c r="D13" s="145"/>
      <c r="E13" s="145"/>
      <c r="F13" s="145"/>
      <c r="G13" s="145"/>
      <c r="H13" s="145"/>
      <c r="I13" s="145"/>
      <c r="J13" s="271"/>
      <c r="K13" s="272"/>
    </row>
    <row r="14" spans="1:11" ht="15" customHeight="1" x14ac:dyDescent="0.35">
      <c r="A14" s="132"/>
      <c r="B14" s="144"/>
      <c r="C14" s="145"/>
      <c r="D14" s="145"/>
      <c r="E14" s="145"/>
      <c r="F14" s="145"/>
      <c r="G14" s="145"/>
      <c r="H14" s="145"/>
      <c r="I14" s="145"/>
      <c r="J14" s="271"/>
      <c r="K14" s="272"/>
    </row>
    <row r="15" spans="1:11" ht="15.5" x14ac:dyDescent="0.35">
      <c r="A15" s="132"/>
      <c r="B15" s="144"/>
      <c r="C15" s="564" t="str">
        <f>Text!F80</f>
        <v>Dilysu</v>
      </c>
      <c r="D15" s="146"/>
      <c r="E15" s="145"/>
      <c r="F15" s="145"/>
      <c r="G15" s="145"/>
      <c r="H15" s="145"/>
      <c r="I15" s="145"/>
      <c r="J15" s="271"/>
      <c r="K15" s="272"/>
    </row>
    <row r="16" spans="1:11" ht="15" customHeight="1" x14ac:dyDescent="0.35">
      <c r="A16" s="132"/>
      <c r="B16" s="144"/>
      <c r="C16" s="145"/>
      <c r="D16" s="145"/>
      <c r="E16" s="145"/>
      <c r="F16" s="145"/>
      <c r="G16" s="145"/>
      <c r="H16" s="145"/>
      <c r="I16" s="145"/>
      <c r="J16" s="271"/>
      <c r="K16" s="272"/>
    </row>
    <row r="17" spans="1:11" ht="15" customHeight="1" x14ac:dyDescent="0.35">
      <c r="A17" s="132"/>
      <c r="B17" s="144"/>
      <c r="C17" s="145"/>
      <c r="D17" s="145"/>
      <c r="E17" s="145"/>
      <c r="F17" s="145"/>
      <c r="G17" s="145"/>
      <c r="H17" s="145"/>
      <c r="I17" s="145"/>
      <c r="J17" s="271"/>
      <c r="K17" s="272"/>
    </row>
    <row r="18" spans="1:11" ht="15" customHeight="1" x14ac:dyDescent="0.35">
      <c r="A18" s="132"/>
      <c r="B18" s="144"/>
      <c r="C18" s="145"/>
      <c r="D18" s="145"/>
      <c r="E18" s="145"/>
      <c r="F18" s="145"/>
      <c r="G18" s="145"/>
      <c r="H18" s="145"/>
      <c r="I18" s="145"/>
      <c r="J18" s="271"/>
      <c r="K18" s="272"/>
    </row>
    <row r="19" spans="1:11" ht="15" customHeight="1" x14ac:dyDescent="0.35">
      <c r="A19" s="132"/>
      <c r="B19" s="144"/>
      <c r="C19" s="145"/>
      <c r="D19" s="145"/>
      <c r="E19" s="145"/>
      <c r="F19" s="145"/>
      <c r="G19" s="145"/>
      <c r="H19" s="145"/>
      <c r="I19" s="145"/>
      <c r="J19" s="271"/>
      <c r="K19" s="272"/>
    </row>
    <row r="20" spans="1:11" ht="15" customHeight="1" x14ac:dyDescent="0.35">
      <c r="A20" s="132"/>
      <c r="B20" s="144"/>
      <c r="C20" s="145"/>
      <c r="D20" s="145"/>
      <c r="E20" s="145"/>
      <c r="F20" s="145"/>
      <c r="G20" s="145"/>
      <c r="H20" s="145"/>
      <c r="I20" s="145"/>
      <c r="J20" s="271"/>
      <c r="K20" s="272"/>
    </row>
    <row r="21" spans="1:11" ht="15" customHeight="1" x14ac:dyDescent="0.35">
      <c r="A21" s="132"/>
      <c r="B21" s="144"/>
      <c r="C21" s="145"/>
      <c r="D21" s="145"/>
      <c r="E21" s="145"/>
      <c r="F21" s="145"/>
      <c r="G21" s="145"/>
      <c r="H21" s="145"/>
      <c r="I21" s="145"/>
      <c r="J21" s="271"/>
      <c r="K21" s="272"/>
    </row>
    <row r="22" spans="1:11" ht="15" customHeight="1" x14ac:dyDescent="0.35">
      <c r="A22" s="132"/>
      <c r="B22" s="144"/>
      <c r="C22" s="145"/>
      <c r="D22" s="145"/>
      <c r="E22" s="145"/>
      <c r="F22" s="145"/>
      <c r="G22" s="145"/>
      <c r="H22" s="145"/>
      <c r="I22" s="145"/>
      <c r="J22" s="271"/>
      <c r="K22" s="272"/>
    </row>
    <row r="23" spans="1:11" ht="15" customHeight="1" x14ac:dyDescent="0.35">
      <c r="A23" s="132"/>
      <c r="B23" s="144"/>
      <c r="C23" s="145"/>
      <c r="D23" s="145"/>
      <c r="E23" s="145"/>
      <c r="F23" s="145"/>
      <c r="G23" s="145"/>
      <c r="H23" s="145"/>
      <c r="I23" s="145"/>
      <c r="J23" s="271"/>
      <c r="K23" s="272"/>
    </row>
    <row r="24" spans="1:11" ht="15.5" x14ac:dyDescent="0.35">
      <c r="A24" s="132"/>
      <c r="B24" s="144"/>
      <c r="C24" s="564" t="str">
        <f>Text!F81</f>
        <v>Dogfennaeth</v>
      </c>
      <c r="D24" s="146"/>
      <c r="E24" s="145"/>
      <c r="F24" s="145"/>
      <c r="G24" s="145"/>
      <c r="H24" s="145"/>
      <c r="I24" s="145"/>
      <c r="J24" s="271"/>
      <c r="K24" s="272"/>
    </row>
    <row r="25" spans="1:11" ht="15" customHeight="1" x14ac:dyDescent="0.35">
      <c r="A25" s="132"/>
      <c r="B25" s="144"/>
      <c r="C25" s="145"/>
      <c r="D25" s="145"/>
      <c r="E25" s="145"/>
      <c r="F25" s="145"/>
      <c r="G25" s="145"/>
      <c r="H25" s="145"/>
      <c r="I25" s="145"/>
      <c r="J25" s="271"/>
      <c r="K25" s="272"/>
    </row>
    <row r="26" spans="1:11" ht="15" customHeight="1" x14ac:dyDescent="0.35">
      <c r="A26" s="132"/>
      <c r="B26" s="144"/>
      <c r="C26" s="145"/>
      <c r="D26" s="145"/>
      <c r="E26" s="145"/>
      <c r="F26" s="145"/>
      <c r="G26" s="145"/>
      <c r="H26" s="145"/>
      <c r="I26" s="145"/>
      <c r="J26" s="271"/>
      <c r="K26" s="272"/>
    </row>
    <row r="27" spans="1:11" ht="15" customHeight="1" x14ac:dyDescent="0.35">
      <c r="A27" s="132"/>
      <c r="B27" s="144"/>
      <c r="C27" s="145"/>
      <c r="D27" s="145"/>
      <c r="E27" s="145"/>
      <c r="F27" s="145"/>
      <c r="G27" s="145"/>
      <c r="H27" s="145"/>
      <c r="I27" s="145"/>
      <c r="J27" s="271"/>
      <c r="K27" s="272"/>
    </row>
    <row r="28" spans="1:11" ht="15" customHeight="1" x14ac:dyDescent="0.35">
      <c r="A28" s="132"/>
      <c r="B28" s="144"/>
      <c r="C28" s="145"/>
      <c r="D28" s="145"/>
      <c r="E28" s="145"/>
      <c r="F28" s="145"/>
      <c r="G28" s="145"/>
      <c r="H28" s="145"/>
      <c r="I28" s="145"/>
      <c r="J28" s="271"/>
      <c r="K28" s="272"/>
    </row>
    <row r="29" spans="1:11" ht="15" customHeight="1" x14ac:dyDescent="0.35">
      <c r="A29" s="132"/>
      <c r="B29" s="144"/>
      <c r="C29" s="145"/>
      <c r="D29" s="145"/>
      <c r="E29" s="145"/>
      <c r="F29" s="145"/>
      <c r="G29" s="145"/>
      <c r="H29" s="145"/>
      <c r="I29" s="145"/>
      <c r="J29" s="271"/>
      <c r="K29" s="272"/>
    </row>
    <row r="30" spans="1:11" ht="15" customHeight="1" x14ac:dyDescent="0.35">
      <c r="A30" s="132"/>
      <c r="B30" s="144"/>
      <c r="C30" s="145"/>
      <c r="D30" s="145"/>
      <c r="E30" s="145"/>
      <c r="F30" s="145"/>
      <c r="G30" s="145"/>
      <c r="H30" s="145"/>
      <c r="I30" s="145"/>
      <c r="J30" s="271"/>
      <c r="K30" s="272"/>
    </row>
    <row r="31" spans="1:11" ht="15" customHeight="1" x14ac:dyDescent="0.35">
      <c r="A31" s="132"/>
      <c r="B31" s="144"/>
      <c r="C31" s="145"/>
      <c r="D31" s="145"/>
      <c r="E31" s="145"/>
      <c r="F31" s="145"/>
      <c r="G31" s="145"/>
      <c r="H31" s="145"/>
      <c r="I31" s="145"/>
      <c r="J31" s="271"/>
      <c r="K31" s="272"/>
    </row>
    <row r="32" spans="1:11" ht="15" customHeight="1" x14ac:dyDescent="0.35">
      <c r="A32" s="132"/>
      <c r="B32" s="144"/>
      <c r="C32" s="145"/>
      <c r="D32" s="145"/>
      <c r="E32" s="145"/>
      <c r="F32" s="145"/>
      <c r="G32" s="145"/>
      <c r="H32" s="145"/>
      <c r="I32" s="145"/>
      <c r="J32" s="271"/>
      <c r="K32" s="272"/>
    </row>
    <row r="33" spans="1:11" ht="15.5" x14ac:dyDescent="0.35">
      <c r="A33" s="132"/>
      <c r="B33" s="144"/>
      <c r="C33" s="564" t="str">
        <f>Text!F82</f>
        <v>Sylwadau cyffredinol</v>
      </c>
      <c r="D33" s="146"/>
      <c r="E33" s="145"/>
      <c r="F33" s="145"/>
      <c r="G33" s="145"/>
      <c r="H33" s="145"/>
      <c r="I33" s="145"/>
      <c r="J33" s="271"/>
      <c r="K33" s="272"/>
    </row>
    <row r="34" spans="1:11" ht="15" customHeight="1" x14ac:dyDescent="0.35">
      <c r="A34" s="132"/>
      <c r="B34" s="144"/>
      <c r="C34" s="145"/>
      <c r="D34" s="145"/>
      <c r="E34" s="145"/>
      <c r="F34" s="145"/>
      <c r="G34" s="145"/>
      <c r="H34" s="145"/>
      <c r="I34" s="145"/>
      <c r="J34" s="271"/>
      <c r="K34" s="272"/>
    </row>
    <row r="35" spans="1:11" ht="15" customHeight="1" x14ac:dyDescent="0.35">
      <c r="A35" s="132"/>
      <c r="B35" s="144"/>
      <c r="C35" s="145"/>
      <c r="D35" s="145"/>
      <c r="E35" s="145"/>
      <c r="F35" s="145"/>
      <c r="G35" s="145"/>
      <c r="H35" s="145"/>
      <c r="I35" s="145"/>
      <c r="J35" s="271"/>
      <c r="K35" s="272"/>
    </row>
    <row r="36" spans="1:11" ht="15" customHeight="1" x14ac:dyDescent="0.35">
      <c r="A36" s="132"/>
      <c r="B36" s="144"/>
      <c r="C36" s="145"/>
      <c r="D36" s="145"/>
      <c r="E36" s="145"/>
      <c r="F36" s="145"/>
      <c r="G36" s="145"/>
      <c r="H36" s="145"/>
      <c r="I36" s="145"/>
      <c r="J36" s="271"/>
      <c r="K36" s="272"/>
    </row>
    <row r="37" spans="1:11" ht="15" customHeight="1" x14ac:dyDescent="0.35">
      <c r="A37" s="132"/>
      <c r="B37" s="144"/>
      <c r="C37" s="145"/>
      <c r="D37" s="145"/>
      <c r="E37" s="145"/>
      <c r="F37" s="145"/>
      <c r="G37" s="145"/>
      <c r="H37" s="145"/>
      <c r="I37" s="145"/>
      <c r="J37" s="271"/>
      <c r="K37" s="272"/>
    </row>
    <row r="38" spans="1:11" ht="15" customHeight="1" x14ac:dyDescent="0.35">
      <c r="A38" s="132"/>
      <c r="B38" s="144"/>
      <c r="C38" s="145"/>
      <c r="D38" s="145"/>
      <c r="E38" s="145"/>
      <c r="F38" s="145"/>
      <c r="G38" s="145"/>
      <c r="H38" s="145"/>
      <c r="I38" s="145"/>
      <c r="J38" s="271"/>
      <c r="K38" s="272"/>
    </row>
    <row r="39" spans="1:11" ht="15" customHeight="1" x14ac:dyDescent="0.35">
      <c r="A39" s="132"/>
      <c r="B39" s="144"/>
      <c r="C39" s="145"/>
      <c r="D39" s="145"/>
      <c r="E39" s="145"/>
      <c r="F39" s="145"/>
      <c r="G39" s="145"/>
      <c r="H39" s="145"/>
      <c r="I39" s="145"/>
      <c r="J39" s="271"/>
      <c r="K39" s="272"/>
    </row>
    <row r="40" spans="1:11" ht="15" customHeight="1" x14ac:dyDescent="0.35">
      <c r="A40" s="132"/>
      <c r="B40" s="144"/>
      <c r="C40" s="145"/>
      <c r="D40" s="145"/>
      <c r="E40" s="145"/>
      <c r="F40" s="145"/>
      <c r="G40" s="145"/>
      <c r="H40" s="145"/>
      <c r="I40" s="145"/>
      <c r="J40" s="271"/>
      <c r="K40" s="272"/>
    </row>
    <row r="41" spans="1:11" ht="15.5" x14ac:dyDescent="0.35">
      <c r="A41" s="132"/>
      <c r="B41" s="147"/>
      <c r="C41" s="148"/>
      <c r="D41" s="148"/>
      <c r="E41" s="148"/>
      <c r="F41" s="148"/>
      <c r="G41" s="148"/>
      <c r="H41" s="148"/>
      <c r="I41" s="148"/>
      <c r="J41" s="273"/>
      <c r="K41" s="274"/>
    </row>
  </sheetData>
  <sheetProtection sheet="1" objects="1" scenarios="1"/>
  <pageMargins left="0.78740157480314965" right="0.78740157480314965" top="0.78740157480314965" bottom="0.78740157480314965" header="0.51181102362204722" footer="0.51181102362204722"/>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C99"/>
  </sheetPr>
  <dimension ref="A1:AC101"/>
  <sheetViews>
    <sheetView topLeftCell="B1" workbookViewId="0">
      <selection activeCell="Z4" sqref="Z4"/>
    </sheetView>
  </sheetViews>
  <sheetFormatPr defaultColWidth="8.84375" defaultRowHeight="10" x14ac:dyDescent="0.2"/>
  <cols>
    <col min="1" max="1" width="3.84375" style="2" hidden="1" customWidth="1"/>
    <col min="2" max="2" width="7.07421875" style="2" customWidth="1"/>
    <col min="3" max="3" width="6.23046875" style="2" bestFit="1" customWidth="1"/>
    <col min="4" max="4" width="5.69140625" style="2" bestFit="1" customWidth="1"/>
    <col min="5" max="5" width="7.765625" style="2" bestFit="1" customWidth="1"/>
    <col min="6" max="6" width="7.07421875" style="2" bestFit="1" customWidth="1"/>
    <col min="7" max="7" width="9.53515625" style="2" customWidth="1"/>
    <col min="8" max="8" width="11.23046875" style="2" customWidth="1"/>
    <col min="9" max="9" width="8.07421875" style="2" bestFit="1" customWidth="1"/>
    <col min="10" max="11" width="8.84375" style="2"/>
    <col min="12" max="12" width="3.765625" style="2" bestFit="1" customWidth="1"/>
    <col min="13" max="13" width="8" style="2" customWidth="1"/>
    <col min="14" max="14" width="6" style="2" customWidth="1"/>
    <col min="15" max="15" width="4.07421875" style="2" customWidth="1"/>
    <col min="16" max="16" width="4.23046875" style="2" customWidth="1"/>
    <col min="17" max="17" width="6.4609375" style="2" customWidth="1"/>
    <col min="18" max="18" width="8" style="2" customWidth="1"/>
    <col min="19" max="19" width="2.84375" style="2" customWidth="1"/>
    <col min="20" max="23" width="4.69140625" style="2" customWidth="1"/>
    <col min="24" max="24" width="8.07421875" style="2" bestFit="1" customWidth="1"/>
    <col min="25" max="26" width="8.84375" style="2"/>
    <col min="27" max="27" width="6.765625" style="2" bestFit="1" customWidth="1"/>
    <col min="28" max="16384" width="8.84375" style="2"/>
  </cols>
  <sheetData>
    <row r="1" spans="1:29" x14ac:dyDescent="0.2">
      <c r="M1" s="2" t="s">
        <v>3481</v>
      </c>
    </row>
    <row r="2" spans="1:29" ht="10.5" x14ac:dyDescent="0.25">
      <c r="A2" s="2" t="s">
        <v>3480</v>
      </c>
      <c r="B2" s="2" t="s">
        <v>56</v>
      </c>
      <c r="C2" s="2" t="s">
        <v>49</v>
      </c>
      <c r="D2" s="2" t="s">
        <v>50</v>
      </c>
      <c r="E2" s="2" t="s">
        <v>51</v>
      </c>
      <c r="F2" s="2" t="s">
        <v>55</v>
      </c>
      <c r="G2" s="2" t="s">
        <v>14</v>
      </c>
      <c r="J2" s="2">
        <v>1</v>
      </c>
      <c r="K2" s="2" t="s">
        <v>114</v>
      </c>
      <c r="L2" s="13" t="s">
        <v>227</v>
      </c>
      <c r="M2" s="14" t="s">
        <v>56</v>
      </c>
      <c r="N2" s="14" t="s">
        <v>49</v>
      </c>
      <c r="O2" s="14" t="s">
        <v>50</v>
      </c>
      <c r="P2" s="14" t="s">
        <v>51</v>
      </c>
      <c r="Q2" s="14" t="s">
        <v>55</v>
      </c>
      <c r="R2" s="14" t="s">
        <v>14</v>
      </c>
      <c r="S2" s="15"/>
      <c r="T2" s="243" t="s">
        <v>229</v>
      </c>
      <c r="U2" s="243" t="s">
        <v>230</v>
      </c>
      <c r="V2" s="243" t="s">
        <v>231</v>
      </c>
      <c r="W2" s="243" t="s">
        <v>232</v>
      </c>
      <c r="X2" s="243" t="s">
        <v>14</v>
      </c>
      <c r="Z2" s="16" t="s">
        <v>235</v>
      </c>
      <c r="AA2" s="17"/>
      <c r="AB2" s="17"/>
      <c r="AC2" s="17"/>
    </row>
    <row r="3" spans="1:29" x14ac:dyDescent="0.2">
      <c r="A3" s="2">
        <f>FrontPage!$N$2</f>
        <v>1</v>
      </c>
      <c r="B3" s="305">
        <f t="shared" ref="B3:B33" si="0">Year</f>
        <v>202425</v>
      </c>
      <c r="C3" s="2" t="s">
        <v>29</v>
      </c>
      <c r="D3" s="3">
        <v>1</v>
      </c>
      <c r="E3" s="2">
        <v>1</v>
      </c>
      <c r="F3" s="2">
        <f>UANumber</f>
        <v>0</v>
      </c>
      <c r="G3" s="4">
        <f>IF('BR2'!G17="",0,'BR2'!G17)</f>
        <v>0</v>
      </c>
      <c r="H3" s="2">
        <v>5.0299999999999997E-3</v>
      </c>
      <c r="I3" s="2">
        <f>IF(G3= "",0,G3*H3)</f>
        <v>0</v>
      </c>
      <c r="J3" s="2">
        <v>2</v>
      </c>
      <c r="K3" s="2" t="s">
        <v>115</v>
      </c>
      <c r="M3" s="2">
        <v>202324</v>
      </c>
      <c r="N3" s="2" t="s">
        <v>29</v>
      </c>
      <c r="O3" s="2">
        <v>1</v>
      </c>
      <c r="P3" s="2">
        <v>1</v>
      </c>
      <c r="Q3" s="2">
        <v>562</v>
      </c>
      <c r="R3" s="2">
        <v>5</v>
      </c>
      <c r="S3" s="18"/>
      <c r="T3" s="2">
        <f t="shared" ref="T3:T33" si="1">M3-B3</f>
        <v>-101</v>
      </c>
      <c r="U3" s="2">
        <f t="shared" ref="U3:U33" si="2">O3-D3</f>
        <v>0</v>
      </c>
      <c r="V3" s="2">
        <f t="shared" ref="V3:V33" si="3">P3-E3</f>
        <v>0</v>
      </c>
      <c r="W3" s="2">
        <f t="shared" ref="W3:W33" si="4">Q3-F3</f>
        <v>562</v>
      </c>
      <c r="X3" s="2">
        <f t="shared" ref="X3:X33" si="5">R3-G3</f>
        <v>5</v>
      </c>
      <c r="Z3" s="17" t="s">
        <v>233</v>
      </c>
      <c r="AA3" s="17"/>
      <c r="AB3" s="17"/>
      <c r="AC3" s="17"/>
    </row>
    <row r="4" spans="1:29" x14ac:dyDescent="0.2">
      <c r="A4" s="2">
        <f>FrontPage!$N$2</f>
        <v>1</v>
      </c>
      <c r="B4" s="305">
        <f t="shared" si="0"/>
        <v>202425</v>
      </c>
      <c r="C4" s="2" t="s">
        <v>29</v>
      </c>
      <c r="D4" s="2">
        <v>2</v>
      </c>
      <c r="E4" s="2">
        <v>1</v>
      </c>
      <c r="F4" s="2">
        <f t="shared" ref="F4:F33" si="6">UANumber</f>
        <v>0</v>
      </c>
      <c r="G4" s="4">
        <f>IF('BR2'!G18="",0,'BR2'!G18)</f>
        <v>0</v>
      </c>
      <c r="H4" s="2">
        <v>0.43580000000000002</v>
      </c>
      <c r="I4" s="2">
        <f>IF(G4= "",0,G4*H4)</f>
        <v>0</v>
      </c>
      <c r="J4" s="2">
        <v>3</v>
      </c>
      <c r="K4" s="2" t="s">
        <v>116</v>
      </c>
      <c r="M4" s="2">
        <v>202324</v>
      </c>
      <c r="N4" s="2" t="s">
        <v>29</v>
      </c>
      <c r="O4" s="2">
        <v>2</v>
      </c>
      <c r="P4" s="2">
        <v>1</v>
      </c>
      <c r="Q4" s="2">
        <v>562</v>
      </c>
      <c r="R4" s="2">
        <v>9212574</v>
      </c>
      <c r="S4" s="18"/>
      <c r="T4" s="2">
        <f t="shared" si="1"/>
        <v>-101</v>
      </c>
      <c r="U4" s="2">
        <f t="shared" si="2"/>
        <v>0</v>
      </c>
      <c r="V4" s="2">
        <f t="shared" si="3"/>
        <v>0</v>
      </c>
      <c r="W4" s="2">
        <f t="shared" si="4"/>
        <v>562</v>
      </c>
      <c r="X4" s="2">
        <f t="shared" si="5"/>
        <v>9212574</v>
      </c>
      <c r="Z4" s="17" t="s">
        <v>234</v>
      </c>
      <c r="AA4" s="17"/>
      <c r="AB4" s="17"/>
      <c r="AC4" s="17"/>
    </row>
    <row r="5" spans="1:29" x14ac:dyDescent="0.2">
      <c r="A5" s="2">
        <f>FrontPage!$N$2</f>
        <v>1</v>
      </c>
      <c r="B5" s="305">
        <f t="shared" si="0"/>
        <v>202425</v>
      </c>
      <c r="C5" s="2" t="s">
        <v>29</v>
      </c>
      <c r="D5" s="2">
        <v>3</v>
      </c>
      <c r="E5" s="2">
        <v>1</v>
      </c>
      <c r="F5" s="2">
        <f t="shared" si="6"/>
        <v>0</v>
      </c>
      <c r="G5" s="4">
        <f>IF('BR2'!G19="",0,'BR2'!G19)</f>
        <v>0</v>
      </c>
      <c r="H5" s="2">
        <v>0.91447999999999996</v>
      </c>
      <c r="I5" s="2">
        <f t="shared" ref="I5:I26" si="7">IF(G5= "",0,G5*H5)</f>
        <v>0</v>
      </c>
      <c r="J5" s="2">
        <v>4</v>
      </c>
      <c r="K5" s="2" t="s">
        <v>117</v>
      </c>
      <c r="M5" s="2">
        <v>202324</v>
      </c>
      <c r="N5" s="2" t="s">
        <v>29</v>
      </c>
      <c r="O5" s="2">
        <v>3</v>
      </c>
      <c r="P5" s="2">
        <v>1</v>
      </c>
      <c r="Q5" s="2">
        <v>562</v>
      </c>
      <c r="R5" s="2">
        <v>3817702</v>
      </c>
      <c r="S5" s="18"/>
      <c r="T5" s="2">
        <f t="shared" si="1"/>
        <v>-101</v>
      </c>
      <c r="U5" s="2">
        <f t="shared" si="2"/>
        <v>0</v>
      </c>
      <c r="V5" s="2">
        <f t="shared" si="3"/>
        <v>0</v>
      </c>
      <c r="W5" s="2">
        <f t="shared" si="4"/>
        <v>562</v>
      </c>
      <c r="X5" s="2">
        <f t="shared" si="5"/>
        <v>3817702</v>
      </c>
    </row>
    <row r="6" spans="1:29" x14ac:dyDescent="0.2">
      <c r="A6" s="2">
        <f>FrontPage!$N$2</f>
        <v>1</v>
      </c>
      <c r="B6" s="305">
        <f t="shared" si="0"/>
        <v>202425</v>
      </c>
      <c r="C6" s="2" t="s">
        <v>29</v>
      </c>
      <c r="D6" s="2">
        <v>4</v>
      </c>
      <c r="E6" s="2">
        <v>1</v>
      </c>
      <c r="F6" s="2">
        <f t="shared" si="6"/>
        <v>0</v>
      </c>
      <c r="G6" s="4">
        <f>IF('BR2'!G20="",0,'BR2'!G20)</f>
        <v>0</v>
      </c>
      <c r="H6" s="2">
        <v>0.90025999999999995</v>
      </c>
      <c r="I6" s="2">
        <f t="shared" si="7"/>
        <v>0</v>
      </c>
      <c r="J6" s="2">
        <v>5</v>
      </c>
      <c r="K6" s="2" t="s">
        <v>7</v>
      </c>
      <c r="M6" s="2">
        <v>202324</v>
      </c>
      <c r="N6" s="2" t="s">
        <v>29</v>
      </c>
      <c r="O6" s="2">
        <v>4</v>
      </c>
      <c r="P6" s="2">
        <v>1</v>
      </c>
      <c r="Q6" s="2">
        <v>562</v>
      </c>
      <c r="R6" s="2">
        <v>44497000</v>
      </c>
      <c r="S6" s="18"/>
      <c r="T6" s="2">
        <f t="shared" si="1"/>
        <v>-101</v>
      </c>
      <c r="U6" s="2">
        <f t="shared" si="2"/>
        <v>0</v>
      </c>
      <c r="V6" s="2">
        <f t="shared" si="3"/>
        <v>0</v>
      </c>
      <c r="W6" s="2">
        <f t="shared" si="4"/>
        <v>562</v>
      </c>
      <c r="X6" s="2">
        <f t="shared" si="5"/>
        <v>44497000</v>
      </c>
    </row>
    <row r="7" spans="1:29" ht="10.5" x14ac:dyDescent="0.25">
      <c r="A7" s="2">
        <f>FrontPage!$N$2</f>
        <v>1</v>
      </c>
      <c r="B7" s="305">
        <f t="shared" si="0"/>
        <v>202425</v>
      </c>
      <c r="C7" s="2" t="s">
        <v>29</v>
      </c>
      <c r="D7" s="2">
        <v>5</v>
      </c>
      <c r="E7" s="2">
        <v>1</v>
      </c>
      <c r="F7" s="2">
        <f t="shared" si="6"/>
        <v>0</v>
      </c>
      <c r="G7" s="4">
        <f>IF('BR2'!G21="",0,'BR2'!G21)</f>
        <v>0</v>
      </c>
      <c r="H7" s="2">
        <v>0.71709999999999996</v>
      </c>
      <c r="I7" s="2">
        <f t="shared" si="7"/>
        <v>0</v>
      </c>
      <c r="J7" s="2">
        <v>6</v>
      </c>
      <c r="K7" s="2" t="s">
        <v>118</v>
      </c>
      <c r="M7" s="2">
        <v>202324</v>
      </c>
      <c r="N7" s="2" t="s">
        <v>29</v>
      </c>
      <c r="O7" s="2">
        <v>5</v>
      </c>
      <c r="P7" s="2">
        <v>1</v>
      </c>
      <c r="Q7" s="2">
        <v>562</v>
      </c>
      <c r="R7" s="2">
        <v>57527276</v>
      </c>
      <c r="S7" s="18"/>
      <c r="T7" s="2">
        <f t="shared" si="1"/>
        <v>-101</v>
      </c>
      <c r="U7" s="2">
        <f t="shared" si="2"/>
        <v>0</v>
      </c>
      <c r="V7" s="2">
        <f t="shared" si="3"/>
        <v>0</v>
      </c>
      <c r="W7" s="2">
        <f t="shared" si="4"/>
        <v>562</v>
      </c>
      <c r="X7" s="2">
        <f t="shared" si="5"/>
        <v>57527276</v>
      </c>
      <c r="Z7" s="239" t="s">
        <v>3324</v>
      </c>
      <c r="AA7" s="239" t="s">
        <v>3315</v>
      </c>
    </row>
    <row r="8" spans="1:29" x14ac:dyDescent="0.2">
      <c r="A8" s="2">
        <f>FrontPage!$N$2</f>
        <v>1</v>
      </c>
      <c r="B8" s="305">
        <f t="shared" si="0"/>
        <v>202425</v>
      </c>
      <c r="C8" s="2" t="s">
        <v>29</v>
      </c>
      <c r="D8" s="2">
        <v>6</v>
      </c>
      <c r="E8" s="2">
        <v>1</v>
      </c>
      <c r="F8" s="2">
        <f t="shared" si="6"/>
        <v>0</v>
      </c>
      <c r="G8" s="4">
        <f>IF('BR2'!G22="",0,'BR2'!G22)</f>
        <v>0</v>
      </c>
      <c r="H8" s="2">
        <v>0.89215</v>
      </c>
      <c r="I8" s="2">
        <f t="shared" si="7"/>
        <v>0</v>
      </c>
      <c r="J8" s="2">
        <v>7</v>
      </c>
      <c r="K8" s="2" t="s">
        <v>119</v>
      </c>
      <c r="M8" s="2">
        <v>202324</v>
      </c>
      <c r="N8" s="2" t="s">
        <v>29</v>
      </c>
      <c r="O8" s="2">
        <v>6</v>
      </c>
      <c r="P8" s="2">
        <v>1</v>
      </c>
      <c r="Q8" s="2">
        <v>562</v>
      </c>
      <c r="R8" s="2">
        <v>-57527271</v>
      </c>
      <c r="S8" s="18"/>
      <c r="T8" s="2">
        <f t="shared" si="1"/>
        <v>-101</v>
      </c>
      <c r="U8" s="2">
        <f t="shared" si="2"/>
        <v>0</v>
      </c>
      <c r="V8" s="2">
        <f t="shared" si="3"/>
        <v>0</v>
      </c>
      <c r="W8" s="2">
        <f t="shared" si="4"/>
        <v>562</v>
      </c>
      <c r="X8" s="2">
        <f t="shared" si="5"/>
        <v>-57527271</v>
      </c>
      <c r="Z8" s="240" t="s">
        <v>3325</v>
      </c>
      <c r="AA8" s="241"/>
    </row>
    <row r="9" spans="1:29" x14ac:dyDescent="0.2">
      <c r="A9" s="2">
        <f>FrontPage!$N$2</f>
        <v>1</v>
      </c>
      <c r="B9" s="305">
        <f t="shared" si="0"/>
        <v>202425</v>
      </c>
      <c r="C9" s="2" t="s">
        <v>29</v>
      </c>
      <c r="D9" s="2">
        <v>7</v>
      </c>
      <c r="E9" s="2">
        <v>1</v>
      </c>
      <c r="F9" s="2">
        <f t="shared" si="6"/>
        <v>0</v>
      </c>
      <c r="G9" s="4">
        <f>IF('BR2'!G24="",0,'BR2'!G24)</f>
        <v>0</v>
      </c>
      <c r="H9" s="2">
        <v>0.11462</v>
      </c>
      <c r="I9" s="2">
        <f t="shared" si="7"/>
        <v>0</v>
      </c>
      <c r="J9" s="2">
        <v>8</v>
      </c>
      <c r="K9" s="2" t="s">
        <v>120</v>
      </c>
      <c r="M9" s="2">
        <v>202324</v>
      </c>
      <c r="N9" s="2" t="s">
        <v>29</v>
      </c>
      <c r="O9" s="2">
        <v>7</v>
      </c>
      <c r="P9" s="2">
        <v>1</v>
      </c>
      <c r="Q9" s="2">
        <v>562</v>
      </c>
      <c r="R9" s="2">
        <v>123</v>
      </c>
      <c r="S9" s="18"/>
      <c r="T9" s="2">
        <f t="shared" si="1"/>
        <v>-101</v>
      </c>
      <c r="U9" s="2">
        <f t="shared" si="2"/>
        <v>0</v>
      </c>
      <c r="V9" s="2">
        <f t="shared" si="3"/>
        <v>0</v>
      </c>
      <c r="W9" s="2">
        <f t="shared" si="4"/>
        <v>562</v>
      </c>
      <c r="X9" s="2">
        <f t="shared" si="5"/>
        <v>123</v>
      </c>
    </row>
    <row r="10" spans="1:29" x14ac:dyDescent="0.2">
      <c r="A10" s="2">
        <f>FrontPage!$N$2</f>
        <v>1</v>
      </c>
      <c r="B10" s="305">
        <f t="shared" si="0"/>
        <v>202425</v>
      </c>
      <c r="C10" s="2" t="s">
        <v>29</v>
      </c>
      <c r="D10" s="2">
        <v>8</v>
      </c>
      <c r="E10" s="2">
        <v>1</v>
      </c>
      <c r="F10" s="2">
        <f t="shared" si="6"/>
        <v>0</v>
      </c>
      <c r="G10" s="4">
        <f>IF('BR2'!G25="",0,'BR2'!G25)</f>
        <v>0</v>
      </c>
      <c r="H10" s="2">
        <v>0.55796999999999997</v>
      </c>
      <c r="I10" s="2">
        <f t="shared" si="7"/>
        <v>0</v>
      </c>
      <c r="J10" s="2">
        <v>9</v>
      </c>
      <c r="K10" s="2" t="s">
        <v>121</v>
      </c>
      <c r="M10" s="2">
        <v>202324</v>
      </c>
      <c r="N10" s="2" t="s">
        <v>29</v>
      </c>
      <c r="O10" s="2">
        <v>8</v>
      </c>
      <c r="P10" s="2">
        <v>1</v>
      </c>
      <c r="Q10" s="2">
        <v>562</v>
      </c>
      <c r="R10" s="2">
        <v>-467701.39</v>
      </c>
      <c r="S10" s="18"/>
      <c r="T10" s="2">
        <f t="shared" si="1"/>
        <v>-101</v>
      </c>
      <c r="U10" s="2">
        <f t="shared" si="2"/>
        <v>0</v>
      </c>
      <c r="V10" s="2">
        <f t="shared" si="3"/>
        <v>0</v>
      </c>
      <c r="W10" s="2">
        <f t="shared" si="4"/>
        <v>562</v>
      </c>
      <c r="X10" s="2">
        <f t="shared" si="5"/>
        <v>-467701.39</v>
      </c>
    </row>
    <row r="11" spans="1:29" x14ac:dyDescent="0.2">
      <c r="A11" s="2">
        <f>FrontPage!$N$2</f>
        <v>1</v>
      </c>
      <c r="B11" s="305">
        <f t="shared" si="0"/>
        <v>202425</v>
      </c>
      <c r="C11" s="2" t="s">
        <v>29</v>
      </c>
      <c r="D11" s="2">
        <v>11</v>
      </c>
      <c r="E11" s="2">
        <v>3</v>
      </c>
      <c r="F11" s="2">
        <f t="shared" si="6"/>
        <v>0</v>
      </c>
      <c r="G11" s="4">
        <f>IF('BR2'!F30="",0,'BR2'!F30)</f>
        <v>0</v>
      </c>
      <c r="H11" s="2">
        <v>6.5490000000000007E-2</v>
      </c>
      <c r="I11" s="2">
        <f t="shared" si="7"/>
        <v>0</v>
      </c>
      <c r="J11" s="2">
        <v>10</v>
      </c>
      <c r="K11" s="2" t="s">
        <v>122</v>
      </c>
      <c r="M11" s="2">
        <v>202324</v>
      </c>
      <c r="N11" s="2" t="s">
        <v>29</v>
      </c>
      <c r="O11" s="2">
        <v>11</v>
      </c>
      <c r="P11" s="2">
        <v>3</v>
      </c>
      <c r="Q11" s="2">
        <v>562</v>
      </c>
      <c r="R11" s="2">
        <v>64256.51</v>
      </c>
      <c r="S11" s="18"/>
      <c r="T11" s="2">
        <f t="shared" si="1"/>
        <v>-101</v>
      </c>
      <c r="U11" s="2">
        <f t="shared" si="2"/>
        <v>0</v>
      </c>
      <c r="V11" s="2">
        <f t="shared" si="3"/>
        <v>0</v>
      </c>
      <c r="W11" s="2">
        <f t="shared" si="4"/>
        <v>562</v>
      </c>
      <c r="X11" s="2">
        <f t="shared" si="5"/>
        <v>64256.51</v>
      </c>
    </row>
    <row r="12" spans="1:29" x14ac:dyDescent="0.2">
      <c r="A12" s="2">
        <f>FrontPage!$N$2</f>
        <v>1</v>
      </c>
      <c r="B12" s="305">
        <f t="shared" si="0"/>
        <v>202425</v>
      </c>
      <c r="C12" s="2" t="s">
        <v>29</v>
      </c>
      <c r="D12" s="2">
        <v>12</v>
      </c>
      <c r="E12" s="2">
        <v>3</v>
      </c>
      <c r="F12" s="2">
        <f t="shared" si="6"/>
        <v>0</v>
      </c>
      <c r="G12" s="4">
        <f>IF('BR2'!F31="",0,'BR2'!F31)</f>
        <v>0</v>
      </c>
      <c r="H12" s="2">
        <v>0.44879000000000002</v>
      </c>
      <c r="I12" s="2">
        <f t="shared" si="7"/>
        <v>0</v>
      </c>
      <c r="J12" s="2">
        <v>11</v>
      </c>
      <c r="K12" s="2" t="s">
        <v>123</v>
      </c>
      <c r="M12" s="2">
        <v>202324</v>
      </c>
      <c r="N12" s="2" t="s">
        <v>29</v>
      </c>
      <c r="O12" s="2">
        <v>12</v>
      </c>
      <c r="P12" s="2">
        <v>3</v>
      </c>
      <c r="Q12" s="2">
        <v>562</v>
      </c>
      <c r="R12" s="2">
        <v>32767.99</v>
      </c>
      <c r="S12" s="18"/>
      <c r="T12" s="2">
        <f t="shared" si="1"/>
        <v>-101</v>
      </c>
      <c r="U12" s="2">
        <f t="shared" si="2"/>
        <v>0</v>
      </c>
      <c r="V12" s="2">
        <f t="shared" si="3"/>
        <v>0</v>
      </c>
      <c r="W12" s="2">
        <f t="shared" si="4"/>
        <v>562</v>
      </c>
      <c r="X12" s="2">
        <f t="shared" si="5"/>
        <v>32767.99</v>
      </c>
    </row>
    <row r="13" spans="1:29" x14ac:dyDescent="0.2">
      <c r="A13" s="2">
        <f>FrontPage!$N$2</f>
        <v>1</v>
      </c>
      <c r="B13" s="305">
        <f t="shared" si="0"/>
        <v>202425</v>
      </c>
      <c r="C13" s="2" t="s">
        <v>29</v>
      </c>
      <c r="D13" s="2">
        <v>13</v>
      </c>
      <c r="E13" s="2">
        <v>3</v>
      </c>
      <c r="F13" s="2">
        <f t="shared" si="6"/>
        <v>0</v>
      </c>
      <c r="G13" s="4">
        <f>IF('BR2'!F32="",0,'BR2'!F32)</f>
        <v>0</v>
      </c>
      <c r="H13" s="2">
        <v>0.42997999999999997</v>
      </c>
      <c r="I13" s="2">
        <f t="shared" si="7"/>
        <v>0</v>
      </c>
      <c r="J13" s="2">
        <v>12</v>
      </c>
      <c r="K13" s="2" t="s">
        <v>124</v>
      </c>
      <c r="M13" s="2">
        <v>202324</v>
      </c>
      <c r="N13" s="2" t="s">
        <v>29</v>
      </c>
      <c r="O13" s="2">
        <v>13</v>
      </c>
      <c r="P13" s="2">
        <v>3</v>
      </c>
      <c r="Q13" s="2">
        <v>562</v>
      </c>
      <c r="R13" s="2">
        <v>59851.19</v>
      </c>
      <c r="S13" s="18"/>
      <c r="T13" s="2">
        <f t="shared" si="1"/>
        <v>-101</v>
      </c>
      <c r="U13" s="2">
        <f t="shared" si="2"/>
        <v>0</v>
      </c>
      <c r="V13" s="2">
        <f t="shared" si="3"/>
        <v>0</v>
      </c>
      <c r="W13" s="2">
        <f t="shared" si="4"/>
        <v>562</v>
      </c>
      <c r="X13" s="2">
        <f t="shared" si="5"/>
        <v>59851.19</v>
      </c>
    </row>
    <row r="14" spans="1:29" x14ac:dyDescent="0.2">
      <c r="A14" s="2">
        <f>FrontPage!$N$2</f>
        <v>1</v>
      </c>
      <c r="B14" s="305">
        <f t="shared" si="0"/>
        <v>202425</v>
      </c>
      <c r="C14" s="2" t="s">
        <v>29</v>
      </c>
      <c r="D14" s="2">
        <v>14</v>
      </c>
      <c r="E14" s="2">
        <v>3</v>
      </c>
      <c r="F14" s="2">
        <f t="shared" si="6"/>
        <v>0</v>
      </c>
      <c r="G14" s="4">
        <f>IF('BR2'!F33="",0,'BR2'!F33)</f>
        <v>0</v>
      </c>
      <c r="H14" s="2">
        <v>0.87517</v>
      </c>
      <c r="I14" s="2">
        <f t="shared" si="7"/>
        <v>0</v>
      </c>
      <c r="J14" s="2">
        <v>13</v>
      </c>
      <c r="K14" s="2" t="s">
        <v>125</v>
      </c>
      <c r="M14" s="2">
        <v>202324</v>
      </c>
      <c r="N14" s="2" t="s">
        <v>29</v>
      </c>
      <c r="O14" s="2">
        <v>14</v>
      </c>
      <c r="P14" s="2">
        <v>3</v>
      </c>
      <c r="Q14" s="2">
        <v>562</v>
      </c>
      <c r="R14" s="2">
        <v>75071.95</v>
      </c>
      <c r="S14" s="18"/>
      <c r="T14" s="2">
        <f t="shared" si="1"/>
        <v>-101</v>
      </c>
      <c r="U14" s="2">
        <f t="shared" si="2"/>
        <v>0</v>
      </c>
      <c r="V14" s="2">
        <f t="shared" si="3"/>
        <v>0</v>
      </c>
      <c r="W14" s="2">
        <f t="shared" si="4"/>
        <v>562</v>
      </c>
      <c r="X14" s="2">
        <f t="shared" si="5"/>
        <v>75071.95</v>
      </c>
    </row>
    <row r="15" spans="1:29" x14ac:dyDescent="0.2">
      <c r="A15" s="2">
        <f>FrontPage!$N$2</f>
        <v>1</v>
      </c>
      <c r="B15" s="305">
        <f t="shared" si="0"/>
        <v>202425</v>
      </c>
      <c r="C15" s="2" t="s">
        <v>29</v>
      </c>
      <c r="D15" s="2">
        <v>15</v>
      </c>
      <c r="E15" s="2">
        <v>3</v>
      </c>
      <c r="F15" s="2">
        <f t="shared" si="6"/>
        <v>0</v>
      </c>
      <c r="G15" s="4">
        <f>IF('BR2'!F34="",0,'BR2'!F34)</f>
        <v>0</v>
      </c>
      <c r="H15" s="2">
        <v>0.55191999999999997</v>
      </c>
      <c r="I15" s="2">
        <f t="shared" si="7"/>
        <v>0</v>
      </c>
      <c r="J15" s="2">
        <v>14</v>
      </c>
      <c r="K15" s="2" t="s">
        <v>126</v>
      </c>
      <c r="M15" s="2">
        <v>202324</v>
      </c>
      <c r="N15" s="2" t="s">
        <v>29</v>
      </c>
      <c r="O15" s="2">
        <v>15</v>
      </c>
      <c r="P15" s="2">
        <v>3</v>
      </c>
      <c r="Q15" s="2">
        <v>562</v>
      </c>
      <c r="R15" s="2">
        <v>0</v>
      </c>
      <c r="S15" s="18"/>
      <c r="T15" s="2">
        <f t="shared" si="1"/>
        <v>-101</v>
      </c>
      <c r="U15" s="2">
        <f t="shared" si="2"/>
        <v>0</v>
      </c>
      <c r="V15" s="2">
        <f t="shared" si="3"/>
        <v>0</v>
      </c>
      <c r="W15" s="2">
        <f t="shared" si="4"/>
        <v>562</v>
      </c>
      <c r="X15" s="2">
        <f t="shared" si="5"/>
        <v>0</v>
      </c>
    </row>
    <row r="16" spans="1:29" x14ac:dyDescent="0.2">
      <c r="A16" s="2">
        <f>FrontPage!$N$2</f>
        <v>1</v>
      </c>
      <c r="B16" s="305">
        <f t="shared" si="0"/>
        <v>202425</v>
      </c>
      <c r="C16" s="2" t="s">
        <v>29</v>
      </c>
      <c r="D16" s="2">
        <v>16</v>
      </c>
      <c r="E16" s="2">
        <v>3</v>
      </c>
      <c r="F16" s="2">
        <f t="shared" si="6"/>
        <v>0</v>
      </c>
      <c r="G16" s="4">
        <f>IF('BR2'!F35="",0,'BR2'!F35)</f>
        <v>0</v>
      </c>
      <c r="H16" s="2">
        <v>0.51602999999999999</v>
      </c>
      <c r="I16" s="2">
        <f t="shared" si="7"/>
        <v>0</v>
      </c>
      <c r="J16" s="2">
        <v>15</v>
      </c>
      <c r="K16" s="2" t="s">
        <v>127</v>
      </c>
      <c r="M16" s="2">
        <v>202324</v>
      </c>
      <c r="N16" s="2" t="s">
        <v>29</v>
      </c>
      <c r="O16" s="2">
        <v>16</v>
      </c>
      <c r="P16" s="2">
        <v>3</v>
      </c>
      <c r="Q16" s="2">
        <v>562</v>
      </c>
      <c r="R16" s="2">
        <v>0</v>
      </c>
      <c r="S16" s="18"/>
      <c r="T16" s="2">
        <f t="shared" si="1"/>
        <v>-101</v>
      </c>
      <c r="U16" s="2">
        <f t="shared" si="2"/>
        <v>0</v>
      </c>
      <c r="V16" s="2">
        <f t="shared" si="3"/>
        <v>0</v>
      </c>
      <c r="W16" s="2">
        <f t="shared" si="4"/>
        <v>562</v>
      </c>
      <c r="X16" s="2">
        <f t="shared" si="5"/>
        <v>0</v>
      </c>
    </row>
    <row r="17" spans="1:24" x14ac:dyDescent="0.2">
      <c r="A17" s="2">
        <f>FrontPage!$N$2</f>
        <v>1</v>
      </c>
      <c r="B17" s="305">
        <f t="shared" si="0"/>
        <v>202425</v>
      </c>
      <c r="C17" s="2" t="s">
        <v>29</v>
      </c>
      <c r="D17" s="2">
        <v>17</v>
      </c>
      <c r="E17" s="2">
        <v>3</v>
      </c>
      <c r="F17" s="2">
        <f t="shared" si="6"/>
        <v>0</v>
      </c>
      <c r="G17" s="4">
        <f>IF('BR2'!F36="",0,'BR2'!F36)</f>
        <v>0</v>
      </c>
      <c r="H17" s="2">
        <v>0.38324000000000003</v>
      </c>
      <c r="I17" s="2">
        <f t="shared" si="7"/>
        <v>0</v>
      </c>
      <c r="J17" s="2">
        <v>16</v>
      </c>
      <c r="K17" s="2" t="s">
        <v>128</v>
      </c>
      <c r="M17" s="2">
        <v>202324</v>
      </c>
      <c r="N17" s="2" t="s">
        <v>29</v>
      </c>
      <c r="O17" s="2">
        <v>17</v>
      </c>
      <c r="P17" s="2">
        <v>3</v>
      </c>
      <c r="Q17" s="2">
        <v>562</v>
      </c>
      <c r="R17" s="2">
        <v>0</v>
      </c>
      <c r="S17" s="18"/>
      <c r="T17" s="2">
        <f t="shared" si="1"/>
        <v>-101</v>
      </c>
      <c r="U17" s="2">
        <f t="shared" si="2"/>
        <v>0</v>
      </c>
      <c r="V17" s="2">
        <f t="shared" si="3"/>
        <v>0</v>
      </c>
      <c r="W17" s="2">
        <f t="shared" si="4"/>
        <v>562</v>
      </c>
      <c r="X17" s="2">
        <f t="shared" si="5"/>
        <v>0</v>
      </c>
    </row>
    <row r="18" spans="1:24" x14ac:dyDescent="0.2">
      <c r="A18" s="2">
        <f>FrontPage!$N$2</f>
        <v>1</v>
      </c>
      <c r="B18" s="305">
        <f t="shared" si="0"/>
        <v>202425</v>
      </c>
      <c r="C18" s="2" t="s">
        <v>29</v>
      </c>
      <c r="D18" s="2">
        <v>18</v>
      </c>
      <c r="E18" s="2">
        <v>3</v>
      </c>
      <c r="F18" s="2">
        <f t="shared" si="6"/>
        <v>0</v>
      </c>
      <c r="G18" s="4">
        <f>IF('BR2'!F37="",0,'BR2'!F37)</f>
        <v>0</v>
      </c>
      <c r="H18" s="2">
        <v>0.95935999999999999</v>
      </c>
      <c r="I18" s="2">
        <f t="shared" si="7"/>
        <v>0</v>
      </c>
      <c r="J18" s="2">
        <v>17</v>
      </c>
      <c r="K18" s="2" t="s">
        <v>129</v>
      </c>
      <c r="M18" s="2">
        <v>202324</v>
      </c>
      <c r="N18" s="2" t="s">
        <v>29</v>
      </c>
      <c r="O18" s="2">
        <v>18</v>
      </c>
      <c r="P18" s="2">
        <v>3</v>
      </c>
      <c r="Q18" s="2">
        <v>562</v>
      </c>
      <c r="R18" s="2">
        <v>231947.64</v>
      </c>
      <c r="S18" s="18"/>
      <c r="T18" s="2">
        <f t="shared" si="1"/>
        <v>-101</v>
      </c>
      <c r="U18" s="2">
        <f t="shared" si="2"/>
        <v>0</v>
      </c>
      <c r="V18" s="2">
        <f t="shared" si="3"/>
        <v>0</v>
      </c>
      <c r="W18" s="2">
        <f t="shared" si="4"/>
        <v>562</v>
      </c>
      <c r="X18" s="2">
        <f t="shared" si="5"/>
        <v>231947.64</v>
      </c>
    </row>
    <row r="19" spans="1:24" x14ac:dyDescent="0.2">
      <c r="A19" s="2">
        <f>FrontPage!$N$2</f>
        <v>1</v>
      </c>
      <c r="B19" s="305">
        <f t="shared" si="0"/>
        <v>202425</v>
      </c>
      <c r="C19" s="2" t="s">
        <v>29</v>
      </c>
      <c r="D19" s="2">
        <v>11</v>
      </c>
      <c r="E19" s="2">
        <v>4</v>
      </c>
      <c r="F19" s="2">
        <f t="shared" si="6"/>
        <v>0</v>
      </c>
      <c r="G19" s="4">
        <f>IF('BR2'!G30="",0,'BR2'!G30)</f>
        <v>0</v>
      </c>
      <c r="H19" s="2">
        <v>0.85262000000000004</v>
      </c>
      <c r="I19" s="2">
        <f t="shared" si="7"/>
        <v>0</v>
      </c>
      <c r="J19" s="2">
        <v>18</v>
      </c>
      <c r="K19" s="2" t="s">
        <v>130</v>
      </c>
      <c r="M19" s="2">
        <v>202324</v>
      </c>
      <c r="N19" s="2" t="s">
        <v>29</v>
      </c>
      <c r="O19" s="2">
        <v>11</v>
      </c>
      <c r="P19" s="2">
        <v>4</v>
      </c>
      <c r="Q19" s="2">
        <v>562</v>
      </c>
      <c r="R19" s="2">
        <v>1</v>
      </c>
      <c r="S19" s="18"/>
      <c r="T19" s="2">
        <f t="shared" si="1"/>
        <v>-101</v>
      </c>
      <c r="U19" s="2">
        <f t="shared" si="2"/>
        <v>0</v>
      </c>
      <c r="V19" s="2">
        <f t="shared" si="3"/>
        <v>0</v>
      </c>
      <c r="W19" s="2">
        <f t="shared" si="4"/>
        <v>562</v>
      </c>
      <c r="X19" s="2">
        <f t="shared" si="5"/>
        <v>1</v>
      </c>
    </row>
    <row r="20" spans="1:24" x14ac:dyDescent="0.2">
      <c r="A20" s="2">
        <f>FrontPage!$N$2</f>
        <v>1</v>
      </c>
      <c r="B20" s="305">
        <f t="shared" si="0"/>
        <v>202425</v>
      </c>
      <c r="C20" s="2" t="s">
        <v>29</v>
      </c>
      <c r="D20" s="2">
        <v>12</v>
      </c>
      <c r="E20" s="2">
        <v>4</v>
      </c>
      <c r="F20" s="2">
        <f t="shared" si="6"/>
        <v>0</v>
      </c>
      <c r="G20" s="4">
        <f>IF('BR2'!G31="",0,'BR2'!G31)</f>
        <v>0</v>
      </c>
      <c r="H20" s="2">
        <v>0.62390999999999996</v>
      </c>
      <c r="I20" s="2">
        <f t="shared" si="7"/>
        <v>0</v>
      </c>
      <c r="J20" s="2">
        <v>19</v>
      </c>
      <c r="K20" s="2" t="s">
        <v>131</v>
      </c>
      <c r="M20" s="2">
        <v>202324</v>
      </c>
      <c r="N20" s="2" t="s">
        <v>29</v>
      </c>
      <c r="O20" s="2">
        <v>12</v>
      </c>
      <c r="P20" s="2">
        <v>4</v>
      </c>
      <c r="Q20" s="2">
        <v>562</v>
      </c>
      <c r="R20" s="2">
        <v>2</v>
      </c>
      <c r="S20" s="18"/>
      <c r="T20" s="2">
        <f t="shared" si="1"/>
        <v>-101</v>
      </c>
      <c r="U20" s="2">
        <f t="shared" si="2"/>
        <v>0</v>
      </c>
      <c r="V20" s="2">
        <f t="shared" si="3"/>
        <v>0</v>
      </c>
      <c r="W20" s="2">
        <f t="shared" si="4"/>
        <v>562</v>
      </c>
      <c r="X20" s="2">
        <f t="shared" si="5"/>
        <v>2</v>
      </c>
    </row>
    <row r="21" spans="1:24" x14ac:dyDescent="0.2">
      <c r="A21" s="2">
        <f>FrontPage!$N$2</f>
        <v>1</v>
      </c>
      <c r="B21" s="305">
        <f t="shared" si="0"/>
        <v>202425</v>
      </c>
      <c r="C21" s="2" t="s">
        <v>29</v>
      </c>
      <c r="D21" s="2">
        <v>13</v>
      </c>
      <c r="E21" s="2">
        <v>4</v>
      </c>
      <c r="F21" s="2">
        <f t="shared" si="6"/>
        <v>0</v>
      </c>
      <c r="G21" s="4">
        <f>IF('BR2'!G32="",0,'BR2'!G32)</f>
        <v>0</v>
      </c>
      <c r="H21" s="2">
        <v>0.67191000000000001</v>
      </c>
      <c r="I21" s="2">
        <f t="shared" si="7"/>
        <v>0</v>
      </c>
      <c r="J21" s="2">
        <v>20</v>
      </c>
      <c r="K21" s="2" t="s">
        <v>132</v>
      </c>
      <c r="M21" s="2">
        <v>202324</v>
      </c>
      <c r="N21" s="2" t="s">
        <v>29</v>
      </c>
      <c r="O21" s="2">
        <v>13</v>
      </c>
      <c r="P21" s="2">
        <v>4</v>
      </c>
      <c r="Q21" s="2">
        <v>562</v>
      </c>
      <c r="R21" s="2">
        <v>3</v>
      </c>
      <c r="S21" s="18"/>
      <c r="T21" s="2">
        <f t="shared" si="1"/>
        <v>-101</v>
      </c>
      <c r="U21" s="2">
        <f t="shared" si="2"/>
        <v>0</v>
      </c>
      <c r="V21" s="2">
        <f t="shared" si="3"/>
        <v>0</v>
      </c>
      <c r="W21" s="2">
        <f t="shared" si="4"/>
        <v>562</v>
      </c>
      <c r="X21" s="2">
        <f t="shared" si="5"/>
        <v>3</v>
      </c>
    </row>
    <row r="22" spans="1:24" x14ac:dyDescent="0.2">
      <c r="A22" s="2">
        <f>FrontPage!$N$2</f>
        <v>1</v>
      </c>
      <c r="B22" s="305">
        <f t="shared" si="0"/>
        <v>202425</v>
      </c>
      <c r="C22" s="2" t="s">
        <v>29</v>
      </c>
      <c r="D22" s="2">
        <v>14</v>
      </c>
      <c r="E22" s="2">
        <v>4</v>
      </c>
      <c r="F22" s="2">
        <f t="shared" si="6"/>
        <v>0</v>
      </c>
      <c r="G22" s="4">
        <f>IF('BR2'!G33="",0,'BR2'!G33)</f>
        <v>0</v>
      </c>
      <c r="H22" s="2">
        <v>0.23651</v>
      </c>
      <c r="I22" s="2">
        <f t="shared" si="7"/>
        <v>0</v>
      </c>
      <c r="J22" s="2">
        <v>21</v>
      </c>
      <c r="K22" s="2" t="s">
        <v>133</v>
      </c>
      <c r="M22" s="2">
        <v>202324</v>
      </c>
      <c r="N22" s="2" t="s">
        <v>29</v>
      </c>
      <c r="O22" s="2">
        <v>14</v>
      </c>
      <c r="P22" s="2">
        <v>4</v>
      </c>
      <c r="Q22" s="2">
        <v>562</v>
      </c>
      <c r="R22" s="2">
        <v>4</v>
      </c>
      <c r="S22" s="18"/>
      <c r="T22" s="2">
        <f t="shared" si="1"/>
        <v>-101</v>
      </c>
      <c r="U22" s="2">
        <f t="shared" si="2"/>
        <v>0</v>
      </c>
      <c r="V22" s="2">
        <f t="shared" si="3"/>
        <v>0</v>
      </c>
      <c r="W22" s="2">
        <f t="shared" si="4"/>
        <v>562</v>
      </c>
      <c r="X22" s="2">
        <f t="shared" si="5"/>
        <v>4</v>
      </c>
    </row>
    <row r="23" spans="1:24" x14ac:dyDescent="0.2">
      <c r="A23" s="2">
        <f>FrontPage!$N$2</f>
        <v>1</v>
      </c>
      <c r="B23" s="305">
        <f t="shared" si="0"/>
        <v>202425</v>
      </c>
      <c r="C23" s="2" t="s">
        <v>29</v>
      </c>
      <c r="D23" s="2">
        <v>15</v>
      </c>
      <c r="E23" s="2">
        <v>4</v>
      </c>
      <c r="F23" s="2">
        <f t="shared" si="6"/>
        <v>0</v>
      </c>
      <c r="G23" s="4">
        <f>IF('BR2'!G34="",0,'BR2'!G34)</f>
        <v>0</v>
      </c>
      <c r="H23" s="2">
        <v>0.40619</v>
      </c>
      <c r="I23" s="2">
        <f t="shared" si="7"/>
        <v>0</v>
      </c>
      <c r="J23" s="2">
        <v>22</v>
      </c>
      <c r="K23" s="2" t="s">
        <v>134</v>
      </c>
      <c r="M23" s="2">
        <v>202324</v>
      </c>
      <c r="N23" s="2" t="s">
        <v>29</v>
      </c>
      <c r="O23" s="2">
        <v>15</v>
      </c>
      <c r="P23" s="2">
        <v>4</v>
      </c>
      <c r="Q23" s="2">
        <v>562</v>
      </c>
      <c r="R23" s="2">
        <v>5</v>
      </c>
      <c r="S23" s="18"/>
      <c r="T23" s="2">
        <f t="shared" si="1"/>
        <v>-101</v>
      </c>
      <c r="U23" s="2">
        <f t="shared" si="2"/>
        <v>0</v>
      </c>
      <c r="V23" s="2">
        <f t="shared" si="3"/>
        <v>0</v>
      </c>
      <c r="W23" s="2">
        <f t="shared" si="4"/>
        <v>562</v>
      </c>
      <c r="X23" s="2">
        <f t="shared" si="5"/>
        <v>5</v>
      </c>
    </row>
    <row r="24" spans="1:24" x14ac:dyDescent="0.2">
      <c r="A24" s="2">
        <f>FrontPage!$N$2</f>
        <v>1</v>
      </c>
      <c r="B24" s="305">
        <f t="shared" si="0"/>
        <v>202425</v>
      </c>
      <c r="C24" s="2" t="s">
        <v>29</v>
      </c>
      <c r="D24" s="2">
        <v>16</v>
      </c>
      <c r="E24" s="2">
        <v>4</v>
      </c>
      <c r="F24" s="2">
        <f t="shared" si="6"/>
        <v>0</v>
      </c>
      <c r="G24" s="4">
        <f>IF('BR2'!G35="",0,'BR2'!G35)</f>
        <v>0</v>
      </c>
      <c r="H24" s="2">
        <v>0.14831</v>
      </c>
      <c r="I24" s="2">
        <f t="shared" si="7"/>
        <v>0</v>
      </c>
      <c r="J24" s="2">
        <v>23</v>
      </c>
      <c r="K24" s="2" t="s">
        <v>135</v>
      </c>
      <c r="M24" s="2">
        <v>202324</v>
      </c>
      <c r="N24" s="2" t="s">
        <v>29</v>
      </c>
      <c r="O24" s="2">
        <v>16</v>
      </c>
      <c r="P24" s="2">
        <v>4</v>
      </c>
      <c r="Q24" s="2">
        <v>562</v>
      </c>
      <c r="R24" s="2">
        <v>6</v>
      </c>
      <c r="S24" s="18"/>
      <c r="T24" s="2">
        <f t="shared" si="1"/>
        <v>-101</v>
      </c>
      <c r="U24" s="2">
        <f t="shared" si="2"/>
        <v>0</v>
      </c>
      <c r="V24" s="2">
        <f t="shared" si="3"/>
        <v>0</v>
      </c>
      <c r="W24" s="2">
        <f t="shared" si="4"/>
        <v>562</v>
      </c>
      <c r="X24" s="2">
        <f t="shared" si="5"/>
        <v>6</v>
      </c>
    </row>
    <row r="25" spans="1:24" x14ac:dyDescent="0.2">
      <c r="A25" s="2">
        <f>FrontPage!$N$2</f>
        <v>1</v>
      </c>
      <c r="B25" s="305">
        <f t="shared" si="0"/>
        <v>202425</v>
      </c>
      <c r="C25" s="2" t="s">
        <v>29</v>
      </c>
      <c r="D25" s="2">
        <v>17</v>
      </c>
      <c r="E25" s="2">
        <v>4</v>
      </c>
      <c r="F25" s="2">
        <f t="shared" si="6"/>
        <v>0</v>
      </c>
      <c r="G25" s="4">
        <f>IF('BR2'!G36="",0,'BR2'!G36)</f>
        <v>0</v>
      </c>
      <c r="H25" s="2">
        <v>0.43556</v>
      </c>
      <c r="I25" s="2">
        <f t="shared" si="7"/>
        <v>0</v>
      </c>
      <c r="J25" s="2">
        <v>24</v>
      </c>
      <c r="K25" s="2" t="s">
        <v>136</v>
      </c>
      <c r="M25" s="2">
        <v>202324</v>
      </c>
      <c r="N25" s="2" t="s">
        <v>29</v>
      </c>
      <c r="O25" s="2">
        <v>17</v>
      </c>
      <c r="P25" s="2">
        <v>4</v>
      </c>
      <c r="Q25" s="2">
        <v>562</v>
      </c>
      <c r="R25" s="2">
        <v>7</v>
      </c>
      <c r="S25" s="18"/>
      <c r="T25" s="2">
        <f t="shared" si="1"/>
        <v>-101</v>
      </c>
      <c r="U25" s="2">
        <f t="shared" si="2"/>
        <v>0</v>
      </c>
      <c r="V25" s="2">
        <f t="shared" si="3"/>
        <v>0</v>
      </c>
      <c r="W25" s="2">
        <f t="shared" si="4"/>
        <v>562</v>
      </c>
      <c r="X25" s="2">
        <f t="shared" si="5"/>
        <v>7</v>
      </c>
    </row>
    <row r="26" spans="1:24" x14ac:dyDescent="0.2">
      <c r="A26" s="2">
        <f>FrontPage!$N$2</f>
        <v>1</v>
      </c>
      <c r="B26" s="305">
        <f t="shared" si="0"/>
        <v>202425</v>
      </c>
      <c r="C26" s="2" t="s">
        <v>29</v>
      </c>
      <c r="D26" s="2">
        <v>18</v>
      </c>
      <c r="E26" s="2">
        <v>4</v>
      </c>
      <c r="F26" s="2">
        <f t="shared" si="6"/>
        <v>0</v>
      </c>
      <c r="G26" s="4">
        <f>IF('BR2'!G37="",0,'BR2'!G37)</f>
        <v>0</v>
      </c>
      <c r="H26" s="2">
        <v>0.77778999999999998</v>
      </c>
      <c r="I26" s="2">
        <f t="shared" si="7"/>
        <v>0</v>
      </c>
      <c r="J26" s="2">
        <v>25</v>
      </c>
      <c r="K26" s="2" t="s">
        <v>137</v>
      </c>
      <c r="M26" s="2">
        <v>202324</v>
      </c>
      <c r="N26" s="2" t="s">
        <v>29</v>
      </c>
      <c r="O26" s="2">
        <v>18</v>
      </c>
      <c r="P26" s="2">
        <v>4</v>
      </c>
      <c r="Q26" s="2">
        <v>562</v>
      </c>
      <c r="R26" s="2">
        <v>28</v>
      </c>
      <c r="S26" s="18"/>
      <c r="T26" s="2">
        <f t="shared" si="1"/>
        <v>-101</v>
      </c>
      <c r="U26" s="2">
        <f t="shared" si="2"/>
        <v>0</v>
      </c>
      <c r="V26" s="2">
        <f t="shared" si="3"/>
        <v>0</v>
      </c>
      <c r="W26" s="2">
        <f t="shared" si="4"/>
        <v>562</v>
      </c>
      <c r="X26" s="2">
        <f t="shared" si="5"/>
        <v>28</v>
      </c>
    </row>
    <row r="27" spans="1:24" ht="10.5" x14ac:dyDescent="0.25">
      <c r="A27" s="2">
        <f>FrontPage!$N$2</f>
        <v>1</v>
      </c>
      <c r="B27" s="305">
        <f t="shared" si="0"/>
        <v>202425</v>
      </c>
      <c r="C27" s="2" t="s">
        <v>29</v>
      </c>
      <c r="D27" s="2">
        <v>11</v>
      </c>
      <c r="E27" s="2">
        <v>5</v>
      </c>
      <c r="F27" s="2">
        <f t="shared" si="6"/>
        <v>0</v>
      </c>
      <c r="G27" s="236">
        <f>IF(UANumber=0,0,VLOOKUP(UANumber,UAList,7,FALSE))</f>
        <v>0</v>
      </c>
      <c r="H27" s="156" t="s">
        <v>3322</v>
      </c>
      <c r="I27" s="156"/>
      <c r="J27" s="2">
        <v>26</v>
      </c>
      <c r="K27" s="2" t="s">
        <v>138</v>
      </c>
      <c r="M27" s="2">
        <v>202324</v>
      </c>
      <c r="N27" s="2" t="s">
        <v>29</v>
      </c>
      <c r="O27" s="2">
        <v>11</v>
      </c>
      <c r="P27" s="2">
        <v>5</v>
      </c>
      <c r="Q27" s="2">
        <v>562</v>
      </c>
      <c r="R27" s="2">
        <v>524</v>
      </c>
      <c r="S27" s="18"/>
      <c r="T27" s="2">
        <f t="shared" si="1"/>
        <v>-101</v>
      </c>
      <c r="U27" s="2">
        <f t="shared" si="2"/>
        <v>0</v>
      </c>
      <c r="V27" s="2">
        <f t="shared" si="3"/>
        <v>0</v>
      </c>
      <c r="W27" s="2">
        <f t="shared" si="4"/>
        <v>562</v>
      </c>
      <c r="X27" s="2">
        <f t="shared" si="5"/>
        <v>524</v>
      </c>
    </row>
    <row r="28" spans="1:24" ht="10.5" x14ac:dyDescent="0.2">
      <c r="A28" s="2">
        <f>FrontPage!$N$2</f>
        <v>1</v>
      </c>
      <c r="B28" s="305">
        <f t="shared" si="0"/>
        <v>202425</v>
      </c>
      <c r="C28" s="2" t="s">
        <v>29</v>
      </c>
      <c r="D28" s="2">
        <v>12</v>
      </c>
      <c r="E28" s="2">
        <v>5</v>
      </c>
      <c r="F28" s="2">
        <f t="shared" si="6"/>
        <v>0</v>
      </c>
      <c r="G28" s="237">
        <f>IF(UANumber=0,0,VLOOKUP(UANumber,UAList,8,FALSE))</f>
        <v>0</v>
      </c>
      <c r="H28" s="156" t="s">
        <v>3323</v>
      </c>
      <c r="I28" s="156"/>
      <c r="J28" s="2">
        <v>27</v>
      </c>
      <c r="K28" s="2" t="s">
        <v>139</v>
      </c>
      <c r="M28" s="2">
        <v>202324</v>
      </c>
      <c r="N28" s="2" t="s">
        <v>29</v>
      </c>
      <c r="O28" s="2">
        <v>12</v>
      </c>
      <c r="P28" s="2">
        <v>5</v>
      </c>
      <c r="Q28" s="2">
        <v>562</v>
      </c>
      <c r="R28" s="2">
        <v>526</v>
      </c>
      <c r="S28" s="18"/>
      <c r="T28" s="2">
        <f t="shared" si="1"/>
        <v>-101</v>
      </c>
      <c r="U28" s="2">
        <f t="shared" si="2"/>
        <v>0</v>
      </c>
      <c r="V28" s="2">
        <f t="shared" si="3"/>
        <v>0</v>
      </c>
      <c r="W28" s="2">
        <f t="shared" si="4"/>
        <v>562</v>
      </c>
      <c r="X28" s="2">
        <f t="shared" si="5"/>
        <v>526</v>
      </c>
    </row>
    <row r="29" spans="1:24" ht="10.5" x14ac:dyDescent="0.2">
      <c r="A29" s="2">
        <f>FrontPage!$N$2</f>
        <v>1</v>
      </c>
      <c r="B29" s="305">
        <f t="shared" si="0"/>
        <v>202425</v>
      </c>
      <c r="C29" s="2" t="s">
        <v>29</v>
      </c>
      <c r="D29" s="2">
        <v>13</v>
      </c>
      <c r="E29" s="2">
        <v>5</v>
      </c>
      <c r="F29" s="2">
        <f t="shared" si="6"/>
        <v>0</v>
      </c>
      <c r="G29" s="237">
        <f>IF(UANumber=0,0,VLOOKUP(UANumber,UAList,9,FALSE))</f>
        <v>0</v>
      </c>
      <c r="J29" s="2">
        <v>28</v>
      </c>
      <c r="K29" s="2" t="s">
        <v>140</v>
      </c>
      <c r="M29" s="2">
        <v>202324</v>
      </c>
      <c r="N29" s="2" t="s">
        <v>29</v>
      </c>
      <c r="O29" s="2">
        <v>13</v>
      </c>
      <c r="P29" s="2">
        <v>5</v>
      </c>
      <c r="Q29" s="2">
        <v>562</v>
      </c>
      <c r="R29" s="2">
        <v>528</v>
      </c>
      <c r="S29" s="18"/>
      <c r="T29" s="2">
        <f t="shared" si="1"/>
        <v>-101</v>
      </c>
      <c r="U29" s="2">
        <f t="shared" si="2"/>
        <v>0</v>
      </c>
      <c r="V29" s="2">
        <f t="shared" si="3"/>
        <v>0</v>
      </c>
      <c r="W29" s="2">
        <f t="shared" si="4"/>
        <v>562</v>
      </c>
      <c r="X29" s="2">
        <f t="shared" si="5"/>
        <v>528</v>
      </c>
    </row>
    <row r="30" spans="1:24" ht="10.5" x14ac:dyDescent="0.2">
      <c r="A30" s="2">
        <f>FrontPage!$N$2</f>
        <v>1</v>
      </c>
      <c r="B30" s="305">
        <f t="shared" si="0"/>
        <v>202425</v>
      </c>
      <c r="C30" s="2" t="s">
        <v>29</v>
      </c>
      <c r="D30" s="2">
        <v>14</v>
      </c>
      <c r="E30" s="2">
        <v>5</v>
      </c>
      <c r="F30" s="2">
        <f t="shared" si="6"/>
        <v>0</v>
      </c>
      <c r="G30" s="237">
        <f>IF(UANumber=0,0,VLOOKUP(UANumber,UAList,10,FALSE))</f>
        <v>0</v>
      </c>
      <c r="J30" s="2">
        <v>29</v>
      </c>
      <c r="K30" s="2" t="s">
        <v>141</v>
      </c>
      <c r="M30" s="2">
        <v>202324</v>
      </c>
      <c r="N30" s="2" t="s">
        <v>29</v>
      </c>
      <c r="O30" s="2">
        <v>14</v>
      </c>
      <c r="P30" s="2">
        <v>5</v>
      </c>
      <c r="Q30" s="2">
        <v>562</v>
      </c>
      <c r="R30" s="2">
        <v>530</v>
      </c>
      <c r="S30" s="18"/>
      <c r="T30" s="2">
        <f t="shared" si="1"/>
        <v>-101</v>
      </c>
      <c r="U30" s="2">
        <f t="shared" si="2"/>
        <v>0</v>
      </c>
      <c r="V30" s="2">
        <f t="shared" si="3"/>
        <v>0</v>
      </c>
      <c r="W30" s="2">
        <f t="shared" si="4"/>
        <v>562</v>
      </c>
      <c r="X30" s="2">
        <f t="shared" si="5"/>
        <v>530</v>
      </c>
    </row>
    <row r="31" spans="1:24" ht="10.5" x14ac:dyDescent="0.2">
      <c r="A31" s="2">
        <f>FrontPage!$N$2</f>
        <v>1</v>
      </c>
      <c r="B31" s="305">
        <f t="shared" si="0"/>
        <v>202425</v>
      </c>
      <c r="C31" s="2" t="s">
        <v>29</v>
      </c>
      <c r="D31" s="2">
        <v>15</v>
      </c>
      <c r="E31" s="2">
        <v>5</v>
      </c>
      <c r="F31" s="2">
        <f t="shared" si="6"/>
        <v>0</v>
      </c>
      <c r="G31" s="237">
        <f>IF(UANumber=0,0,VLOOKUP(UANumber,UAList,11,FALSE))</f>
        <v>0</v>
      </c>
      <c r="J31" s="2">
        <v>30</v>
      </c>
      <c r="K31" s="2" t="s">
        <v>142</v>
      </c>
      <c r="M31" s="2">
        <v>202324</v>
      </c>
      <c r="N31" s="2" t="s">
        <v>29</v>
      </c>
      <c r="O31" s="2">
        <v>15</v>
      </c>
      <c r="P31" s="2">
        <v>5</v>
      </c>
      <c r="Q31" s="2">
        <v>562</v>
      </c>
      <c r="R31" s="2">
        <v>0</v>
      </c>
      <c r="S31" s="18"/>
      <c r="T31" s="2">
        <f t="shared" si="1"/>
        <v>-101</v>
      </c>
      <c r="U31" s="2">
        <f t="shared" si="2"/>
        <v>0</v>
      </c>
      <c r="V31" s="2">
        <f t="shared" si="3"/>
        <v>0</v>
      </c>
      <c r="W31" s="2">
        <f t="shared" si="4"/>
        <v>562</v>
      </c>
      <c r="X31" s="2">
        <f t="shared" si="5"/>
        <v>0</v>
      </c>
    </row>
    <row r="32" spans="1:24" ht="10.5" x14ac:dyDescent="0.2">
      <c r="A32" s="2">
        <f>FrontPage!$N$2</f>
        <v>1</v>
      </c>
      <c r="B32" s="305">
        <f t="shared" si="0"/>
        <v>202425</v>
      </c>
      <c r="C32" s="2" t="s">
        <v>29</v>
      </c>
      <c r="D32" s="2">
        <v>16</v>
      </c>
      <c r="E32" s="2">
        <v>5</v>
      </c>
      <c r="F32" s="2">
        <f t="shared" si="6"/>
        <v>0</v>
      </c>
      <c r="G32" s="237">
        <f>IF(UANumber=0,0,VLOOKUP(UANumber,UAList,12,FALSE))</f>
        <v>0</v>
      </c>
      <c r="J32" s="2">
        <v>31</v>
      </c>
      <c r="K32" s="2" t="s">
        <v>143</v>
      </c>
      <c r="M32" s="2">
        <v>202324</v>
      </c>
      <c r="N32" s="2" t="s">
        <v>29</v>
      </c>
      <c r="O32" s="2">
        <v>16</v>
      </c>
      <c r="P32" s="2">
        <v>5</v>
      </c>
      <c r="Q32" s="2">
        <v>562</v>
      </c>
      <c r="R32" s="2">
        <v>0</v>
      </c>
      <c r="S32" s="18"/>
      <c r="T32" s="2">
        <f t="shared" si="1"/>
        <v>-101</v>
      </c>
      <c r="U32" s="2">
        <f t="shared" si="2"/>
        <v>0</v>
      </c>
      <c r="V32" s="2">
        <f t="shared" si="3"/>
        <v>0</v>
      </c>
      <c r="W32" s="2">
        <f t="shared" si="4"/>
        <v>562</v>
      </c>
      <c r="X32" s="2">
        <f t="shared" si="5"/>
        <v>0</v>
      </c>
    </row>
    <row r="33" spans="1:24" ht="10.5" x14ac:dyDescent="0.2">
      <c r="A33" s="2">
        <f>FrontPage!$N$2</f>
        <v>1</v>
      </c>
      <c r="B33" s="305">
        <f t="shared" si="0"/>
        <v>202425</v>
      </c>
      <c r="C33" s="2" t="s">
        <v>29</v>
      </c>
      <c r="D33" s="2">
        <v>17</v>
      </c>
      <c r="E33" s="2">
        <v>5</v>
      </c>
      <c r="F33" s="2">
        <f t="shared" si="6"/>
        <v>0</v>
      </c>
      <c r="G33" s="238">
        <f>IF(UANumber=0,0,VLOOKUP(UANumber,UAList,13,FALSE))</f>
        <v>0</v>
      </c>
      <c r="J33" s="2">
        <v>32</v>
      </c>
      <c r="K33" s="2" t="s">
        <v>144</v>
      </c>
      <c r="M33" s="2">
        <v>202324</v>
      </c>
      <c r="N33" s="2" t="s">
        <v>29</v>
      </c>
      <c r="O33" s="2">
        <v>17</v>
      </c>
      <c r="P33" s="2">
        <v>5</v>
      </c>
      <c r="Q33" s="2">
        <v>562</v>
      </c>
      <c r="R33" s="2">
        <v>0</v>
      </c>
      <c r="S33" s="18"/>
      <c r="T33" s="2">
        <f t="shared" si="1"/>
        <v>-101</v>
      </c>
      <c r="U33" s="2">
        <f t="shared" si="2"/>
        <v>0</v>
      </c>
      <c r="V33" s="2">
        <f t="shared" si="3"/>
        <v>0</v>
      </c>
      <c r="W33" s="2">
        <f t="shared" si="4"/>
        <v>562</v>
      </c>
      <c r="X33" s="2">
        <f t="shared" si="5"/>
        <v>0</v>
      </c>
    </row>
    <row r="34" spans="1:24" x14ac:dyDescent="0.2">
      <c r="J34" s="2">
        <v>33</v>
      </c>
      <c r="K34" s="2" t="s">
        <v>145</v>
      </c>
    </row>
    <row r="35" spans="1:24" x14ac:dyDescent="0.2">
      <c r="H35" s="2" t="s">
        <v>104</v>
      </c>
      <c r="J35" s="2">
        <v>34</v>
      </c>
      <c r="K35" s="2" t="s">
        <v>146</v>
      </c>
    </row>
    <row r="36" spans="1:24" x14ac:dyDescent="0.2">
      <c r="H36" s="8">
        <f>SUM(I3:I26)</f>
        <v>0</v>
      </c>
      <c r="J36" s="2">
        <v>35</v>
      </c>
      <c r="K36" s="2" t="s">
        <v>147</v>
      </c>
    </row>
    <row r="37" spans="1:24" ht="10.5" x14ac:dyDescent="0.25">
      <c r="H37" s="8" t="str">
        <f>FIXED((H36*10000000),0,1)</f>
        <v>0</v>
      </c>
      <c r="J37" s="2">
        <v>36</v>
      </c>
      <c r="K37" s="2" t="s">
        <v>148</v>
      </c>
      <c r="M37" s="14"/>
      <c r="N37" s="14"/>
      <c r="O37" s="14"/>
      <c r="P37" s="14"/>
      <c r="Q37" s="14"/>
      <c r="R37" s="14"/>
    </row>
    <row r="38" spans="1:24" x14ac:dyDescent="0.2">
      <c r="H38" s="8">
        <f>VALUE(LEFT(H37,2))</f>
        <v>0</v>
      </c>
      <c r="J38" s="2">
        <v>37</v>
      </c>
      <c r="K38" s="2" t="s">
        <v>149</v>
      </c>
      <c r="T38" s="242"/>
    </row>
    <row r="39" spans="1:24" x14ac:dyDescent="0.2">
      <c r="H39" s="8">
        <f>VALUE(RIGHT(LEFT(H37,4),2))</f>
        <v>0</v>
      </c>
      <c r="J39" s="2">
        <v>38</v>
      </c>
      <c r="K39" s="2" t="s">
        <v>150</v>
      </c>
      <c r="T39" s="242"/>
    </row>
    <row r="40" spans="1:24" x14ac:dyDescent="0.2">
      <c r="H40" s="8">
        <f>VALUE(RIGHT(LEFT(H37,6),2))</f>
        <v>0</v>
      </c>
      <c r="J40" s="2">
        <v>39</v>
      </c>
      <c r="K40" s="2" t="s">
        <v>151</v>
      </c>
      <c r="T40" s="242"/>
    </row>
    <row r="41" spans="1:24" x14ac:dyDescent="0.2">
      <c r="H41" s="8">
        <f>VALUE(RIGHT(LEFT(H37,8),2))</f>
        <v>0</v>
      </c>
      <c r="J41" s="2">
        <v>40</v>
      </c>
      <c r="K41" s="2" t="s">
        <v>152</v>
      </c>
      <c r="T41" s="242"/>
    </row>
    <row r="42" spans="1:24" x14ac:dyDescent="0.2">
      <c r="H42" s="8">
        <f>VALUE(RIGHT(LEFT(H37,10),2))</f>
        <v>0</v>
      </c>
      <c r="J42" s="2">
        <v>41</v>
      </c>
      <c r="K42" s="2" t="s">
        <v>153</v>
      </c>
      <c r="T42" s="242"/>
    </row>
    <row r="43" spans="1:24" x14ac:dyDescent="0.2">
      <c r="H43" s="8">
        <f>VALUE(RIGHT(LEFT(H37,12),2))</f>
        <v>0</v>
      </c>
      <c r="J43" s="2">
        <v>42</v>
      </c>
      <c r="K43" s="2" t="s">
        <v>154</v>
      </c>
      <c r="T43" s="242"/>
    </row>
    <row r="44" spans="1:24" x14ac:dyDescent="0.2">
      <c r="H44" s="8">
        <f>VALUE(RIGHT(LEFT(H37,14),2))</f>
        <v>0</v>
      </c>
      <c r="J44" s="2">
        <v>43</v>
      </c>
      <c r="K44" s="2" t="s">
        <v>155</v>
      </c>
      <c r="T44" s="242"/>
    </row>
    <row r="45" spans="1:24" x14ac:dyDescent="0.2">
      <c r="J45" s="2">
        <v>44</v>
      </c>
      <c r="K45" s="2" t="s">
        <v>156</v>
      </c>
      <c r="T45" s="242"/>
    </row>
    <row r="46" spans="1:24" x14ac:dyDescent="0.2">
      <c r="H46" s="2" t="str">
        <f>VLOOKUP(H38,letter,2,FALSE)&amp;VLOOKUP(H39,letter,2,FALSE)&amp;VLOOKUP(H40,letter,2,FALSE)&amp;VLOOKUP(H41,letter,2,FALSE)&amp;VLOOKUP(H42,letter,2,FALSE)&amp;VLOOKUP(H43,letter,2,FALSE)&amp;VLOOKUP(H44,letter,2,FALSE)</f>
        <v>ZZZZZZZZZZZZZZ</v>
      </c>
      <c r="J46" s="2">
        <v>45</v>
      </c>
      <c r="K46" s="2" t="s">
        <v>157</v>
      </c>
      <c r="T46" s="242"/>
    </row>
    <row r="47" spans="1:24" x14ac:dyDescent="0.2">
      <c r="J47" s="2">
        <v>46</v>
      </c>
      <c r="K47" s="2" t="s">
        <v>158</v>
      </c>
      <c r="T47" s="242"/>
    </row>
    <row r="48" spans="1:24" x14ac:dyDescent="0.2">
      <c r="J48" s="2">
        <v>47</v>
      </c>
      <c r="K48" s="2" t="s">
        <v>159</v>
      </c>
      <c r="T48" s="242"/>
    </row>
    <row r="49" spans="10:20" x14ac:dyDescent="0.2">
      <c r="J49" s="2">
        <v>48</v>
      </c>
      <c r="K49" s="2" t="s">
        <v>160</v>
      </c>
      <c r="T49" s="242"/>
    </row>
    <row r="50" spans="10:20" x14ac:dyDescent="0.2">
      <c r="J50" s="2">
        <v>49</v>
      </c>
      <c r="K50" s="2" t="s">
        <v>161</v>
      </c>
      <c r="T50" s="242"/>
    </row>
    <row r="51" spans="10:20" x14ac:dyDescent="0.2">
      <c r="J51" s="2">
        <v>50</v>
      </c>
      <c r="K51" s="2" t="s">
        <v>162</v>
      </c>
      <c r="T51" s="242"/>
    </row>
    <row r="52" spans="10:20" x14ac:dyDescent="0.2">
      <c r="J52" s="2">
        <v>51</v>
      </c>
      <c r="K52" s="2" t="s">
        <v>163</v>
      </c>
      <c r="T52" s="242"/>
    </row>
    <row r="53" spans="10:20" x14ac:dyDescent="0.2">
      <c r="J53" s="2">
        <v>52</v>
      </c>
      <c r="K53" s="2" t="s">
        <v>164</v>
      </c>
      <c r="T53" s="242"/>
    </row>
    <row r="54" spans="10:20" x14ac:dyDescent="0.2">
      <c r="J54" s="2">
        <v>53</v>
      </c>
      <c r="K54" s="2" t="s">
        <v>165</v>
      </c>
      <c r="T54" s="242"/>
    </row>
    <row r="55" spans="10:20" x14ac:dyDescent="0.2">
      <c r="J55" s="2">
        <v>54</v>
      </c>
      <c r="K55" s="2" t="s">
        <v>166</v>
      </c>
      <c r="T55" s="242"/>
    </row>
    <row r="56" spans="10:20" x14ac:dyDescent="0.2">
      <c r="J56" s="2">
        <v>55</v>
      </c>
      <c r="K56" s="2" t="s">
        <v>167</v>
      </c>
      <c r="T56" s="242"/>
    </row>
    <row r="57" spans="10:20" x14ac:dyDescent="0.2">
      <c r="J57" s="2">
        <v>56</v>
      </c>
      <c r="K57" s="2" t="s">
        <v>168</v>
      </c>
      <c r="T57" s="242"/>
    </row>
    <row r="58" spans="10:20" x14ac:dyDescent="0.2">
      <c r="J58" s="2">
        <v>57</v>
      </c>
      <c r="K58" s="2" t="s">
        <v>169</v>
      </c>
      <c r="T58" s="242"/>
    </row>
    <row r="59" spans="10:20" x14ac:dyDescent="0.2">
      <c r="J59" s="2">
        <v>58</v>
      </c>
      <c r="K59" s="2" t="s">
        <v>170</v>
      </c>
      <c r="T59" s="242"/>
    </row>
    <row r="60" spans="10:20" x14ac:dyDescent="0.2">
      <c r="J60" s="2">
        <v>59</v>
      </c>
      <c r="K60" s="2" t="s">
        <v>171</v>
      </c>
      <c r="T60" s="242"/>
    </row>
    <row r="61" spans="10:20" x14ac:dyDescent="0.2">
      <c r="J61" s="2">
        <v>60</v>
      </c>
      <c r="K61" s="2" t="s">
        <v>172</v>
      </c>
      <c r="T61" s="242"/>
    </row>
    <row r="62" spans="10:20" x14ac:dyDescent="0.2">
      <c r="J62" s="2">
        <v>61</v>
      </c>
      <c r="K62" s="2" t="s">
        <v>173</v>
      </c>
      <c r="T62" s="242"/>
    </row>
    <row r="63" spans="10:20" x14ac:dyDescent="0.2">
      <c r="J63" s="2">
        <v>62</v>
      </c>
      <c r="K63" s="2" t="s">
        <v>174</v>
      </c>
      <c r="T63" s="242"/>
    </row>
    <row r="64" spans="10:20" x14ac:dyDescent="0.2">
      <c r="J64" s="2">
        <v>63</v>
      </c>
      <c r="K64" s="2" t="s">
        <v>175</v>
      </c>
      <c r="T64" s="242"/>
    </row>
    <row r="65" spans="10:20" x14ac:dyDescent="0.2">
      <c r="J65" s="2">
        <v>64</v>
      </c>
      <c r="K65" s="2" t="s">
        <v>176</v>
      </c>
      <c r="T65" s="242"/>
    </row>
    <row r="66" spans="10:20" x14ac:dyDescent="0.2">
      <c r="J66" s="2">
        <v>65</v>
      </c>
      <c r="K66" s="2" t="s">
        <v>177</v>
      </c>
      <c r="T66" s="242"/>
    </row>
    <row r="67" spans="10:20" x14ac:dyDescent="0.2">
      <c r="J67" s="2">
        <v>66</v>
      </c>
      <c r="K67" s="2" t="s">
        <v>178</v>
      </c>
      <c r="T67" s="242"/>
    </row>
    <row r="68" spans="10:20" x14ac:dyDescent="0.2">
      <c r="J68" s="2">
        <v>67</v>
      </c>
      <c r="K68" s="2" t="s">
        <v>179</v>
      </c>
      <c r="T68" s="242"/>
    </row>
    <row r="69" spans="10:20" x14ac:dyDescent="0.2">
      <c r="J69" s="2">
        <v>68</v>
      </c>
      <c r="K69" s="2" t="s">
        <v>180</v>
      </c>
    </row>
    <row r="70" spans="10:20" x14ac:dyDescent="0.2">
      <c r="J70" s="2">
        <v>69</v>
      </c>
      <c r="K70" s="2" t="s">
        <v>181</v>
      </c>
    </row>
    <row r="71" spans="10:20" x14ac:dyDescent="0.2">
      <c r="J71" s="2">
        <v>70</v>
      </c>
      <c r="K71" s="2" t="s">
        <v>182</v>
      </c>
    </row>
    <row r="72" spans="10:20" x14ac:dyDescent="0.2">
      <c r="J72" s="2">
        <v>71</v>
      </c>
      <c r="K72" s="2" t="s">
        <v>183</v>
      </c>
    </row>
    <row r="73" spans="10:20" x14ac:dyDescent="0.2">
      <c r="J73" s="2">
        <v>72</v>
      </c>
      <c r="K73" s="2" t="s">
        <v>184</v>
      </c>
    </row>
    <row r="74" spans="10:20" x14ac:dyDescent="0.2">
      <c r="J74" s="2">
        <v>73</v>
      </c>
      <c r="K74" s="2" t="s">
        <v>185</v>
      </c>
    </row>
    <row r="75" spans="10:20" x14ac:dyDescent="0.2">
      <c r="J75" s="2">
        <v>74</v>
      </c>
      <c r="K75" s="2" t="s">
        <v>186</v>
      </c>
    </row>
    <row r="76" spans="10:20" x14ac:dyDescent="0.2">
      <c r="J76" s="2">
        <v>75</v>
      </c>
      <c r="K76" s="2" t="s">
        <v>187</v>
      </c>
    </row>
    <row r="77" spans="10:20" x14ac:dyDescent="0.2">
      <c r="J77" s="2">
        <v>76</v>
      </c>
      <c r="K77" s="2" t="s">
        <v>188</v>
      </c>
    </row>
    <row r="78" spans="10:20" x14ac:dyDescent="0.2">
      <c r="J78" s="2">
        <v>77</v>
      </c>
      <c r="K78" s="2" t="s">
        <v>189</v>
      </c>
    </row>
    <row r="79" spans="10:20" x14ac:dyDescent="0.2">
      <c r="J79" s="2">
        <v>78</v>
      </c>
      <c r="K79" s="2" t="s">
        <v>190</v>
      </c>
    </row>
    <row r="80" spans="10:20" x14ac:dyDescent="0.2">
      <c r="J80" s="2">
        <v>79</v>
      </c>
      <c r="K80" s="2" t="s">
        <v>191</v>
      </c>
    </row>
    <row r="81" spans="10:11" x14ac:dyDescent="0.2">
      <c r="J81" s="2">
        <v>80</v>
      </c>
      <c r="K81" s="2" t="s">
        <v>192</v>
      </c>
    </row>
    <row r="82" spans="10:11" x14ac:dyDescent="0.2">
      <c r="J82" s="2">
        <v>81</v>
      </c>
      <c r="K82" s="2" t="s">
        <v>193</v>
      </c>
    </row>
    <row r="83" spans="10:11" x14ac:dyDescent="0.2">
      <c r="J83" s="2">
        <v>82</v>
      </c>
      <c r="K83" s="2" t="s">
        <v>194</v>
      </c>
    </row>
    <row r="84" spans="10:11" x14ac:dyDescent="0.2">
      <c r="J84" s="2">
        <v>83</v>
      </c>
      <c r="K84" s="2" t="s">
        <v>195</v>
      </c>
    </row>
    <row r="85" spans="10:11" x14ac:dyDescent="0.2">
      <c r="J85" s="2">
        <v>84</v>
      </c>
      <c r="K85" s="2" t="s">
        <v>196</v>
      </c>
    </row>
    <row r="86" spans="10:11" x14ac:dyDescent="0.2">
      <c r="J86" s="2">
        <v>85</v>
      </c>
      <c r="K86" s="2" t="s">
        <v>197</v>
      </c>
    </row>
    <row r="87" spans="10:11" x14ac:dyDescent="0.2">
      <c r="J87" s="2">
        <v>86</v>
      </c>
      <c r="K87" s="2" t="s">
        <v>198</v>
      </c>
    </row>
    <row r="88" spans="10:11" x14ac:dyDescent="0.2">
      <c r="J88" s="2">
        <v>87</v>
      </c>
      <c r="K88" s="2" t="s">
        <v>199</v>
      </c>
    </row>
    <row r="89" spans="10:11" x14ac:dyDescent="0.2">
      <c r="J89" s="2">
        <v>88</v>
      </c>
      <c r="K89" s="2" t="s">
        <v>200</v>
      </c>
    </row>
    <row r="90" spans="10:11" x14ac:dyDescent="0.2">
      <c r="J90" s="2">
        <v>89</v>
      </c>
      <c r="K90" s="2" t="s">
        <v>201</v>
      </c>
    </row>
    <row r="91" spans="10:11" x14ac:dyDescent="0.2">
      <c r="J91" s="2">
        <v>90</v>
      </c>
      <c r="K91" s="2" t="s">
        <v>202</v>
      </c>
    </row>
    <row r="92" spans="10:11" x14ac:dyDescent="0.2">
      <c r="J92" s="2">
        <v>91</v>
      </c>
      <c r="K92" s="2" t="s">
        <v>203</v>
      </c>
    </row>
    <row r="93" spans="10:11" x14ac:dyDescent="0.2">
      <c r="J93" s="2">
        <v>92</v>
      </c>
      <c r="K93" s="2" t="s">
        <v>204</v>
      </c>
    </row>
    <row r="94" spans="10:11" x14ac:dyDescent="0.2">
      <c r="J94" s="2">
        <v>93</v>
      </c>
      <c r="K94" s="2" t="s">
        <v>205</v>
      </c>
    </row>
    <row r="95" spans="10:11" x14ac:dyDescent="0.2">
      <c r="J95" s="2">
        <v>94</v>
      </c>
      <c r="K95" s="2" t="s">
        <v>206</v>
      </c>
    </row>
    <row r="96" spans="10:11" x14ac:dyDescent="0.2">
      <c r="J96" s="2">
        <v>95</v>
      </c>
      <c r="K96" s="2" t="s">
        <v>207</v>
      </c>
    </row>
    <row r="97" spans="10:11" x14ac:dyDescent="0.2">
      <c r="J97" s="2">
        <v>96</v>
      </c>
      <c r="K97" s="2" t="s">
        <v>208</v>
      </c>
    </row>
    <row r="98" spans="10:11" x14ac:dyDescent="0.2">
      <c r="J98" s="2">
        <v>97</v>
      </c>
      <c r="K98" s="2" t="s">
        <v>209</v>
      </c>
    </row>
    <row r="99" spans="10:11" x14ac:dyDescent="0.2">
      <c r="J99" s="2">
        <v>98</v>
      </c>
      <c r="K99" s="2" t="s">
        <v>210</v>
      </c>
    </row>
    <row r="100" spans="10:11" x14ac:dyDescent="0.2">
      <c r="J100" s="2">
        <v>99</v>
      </c>
      <c r="K100" s="2" t="s">
        <v>211</v>
      </c>
    </row>
    <row r="101" spans="10:11" x14ac:dyDescent="0.2">
      <c r="J101" s="2">
        <v>0</v>
      </c>
      <c r="K101" s="2" t="s">
        <v>212</v>
      </c>
    </row>
  </sheetData>
  <sheetProtection sheet="1" objects="1" scenarios="1"/>
  <autoFilter ref="M2:R33" xr:uid="{00000000-0009-0000-0000-000004000000}">
    <sortState xmlns:xlrd2="http://schemas.microsoft.com/office/spreadsheetml/2017/richdata2" ref="M3:R33">
      <sortCondition ref="P3:P33"/>
      <sortCondition ref="O3:O33"/>
    </sortState>
  </autoFilter>
  <phoneticPr fontId="0" type="noConversion"/>
  <conditionalFormatting sqref="G27:G33">
    <cfRule type="expression" dxfId="0" priority="1" stopIfTrue="1">
      <formula>#REF!="Please select your authority on front page"</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99FF99"/>
  </sheetPr>
  <dimension ref="B1:AF98"/>
  <sheetViews>
    <sheetView topLeftCell="A12" workbookViewId="0">
      <selection activeCell="G43" sqref="G43"/>
    </sheetView>
  </sheetViews>
  <sheetFormatPr defaultColWidth="8.84375" defaultRowHeight="13.5" customHeight="1" x14ac:dyDescent="0.2"/>
  <cols>
    <col min="1" max="1" width="1.23046875" style="2" customWidth="1"/>
    <col min="2" max="2" width="10.07421875" style="2" customWidth="1"/>
    <col min="3" max="3" width="12.53515625" style="2" customWidth="1"/>
    <col min="4" max="4" width="23.4609375" style="2" customWidth="1"/>
    <col min="5" max="5" width="13.4609375" style="2" customWidth="1"/>
    <col min="6" max="6" width="11.53515625" style="2" bestFit="1" customWidth="1"/>
    <col min="7" max="7" width="12.07421875" style="2" customWidth="1"/>
    <col min="8" max="8" width="11.69140625" style="2" customWidth="1"/>
    <col min="9" max="9" width="11.765625" style="2" customWidth="1"/>
    <col min="10" max="10" width="12" style="2" bestFit="1" customWidth="1"/>
    <col min="11" max="11" width="7.4609375" style="2" bestFit="1" customWidth="1"/>
    <col min="12" max="12" width="9.53515625" style="2" customWidth="1"/>
    <col min="13" max="13" width="26.3046875" style="2" customWidth="1"/>
    <col min="14" max="14" width="4.4609375" style="2" customWidth="1"/>
    <col min="15" max="15" width="7.765625" style="2" customWidth="1"/>
    <col min="16" max="16" width="1.4609375" style="2" bestFit="1" customWidth="1"/>
    <col min="17" max="25" width="8.84375" style="2" customWidth="1"/>
    <col min="26" max="26" width="7.4609375" style="2" bestFit="1" customWidth="1"/>
    <col min="27" max="27" width="6.69140625" style="2" bestFit="1" customWidth="1"/>
    <col min="28" max="28" width="7.69140625" style="2" bestFit="1" customWidth="1"/>
    <col min="29" max="29" width="6.07421875" style="2" bestFit="1" customWidth="1"/>
    <col min="30" max="30" width="8.4609375" style="2" bestFit="1" customWidth="1"/>
    <col min="31" max="31" width="9.84375" style="2" bestFit="1" customWidth="1"/>
    <col min="32" max="32" width="1.84375" style="2" bestFit="1" customWidth="1"/>
    <col min="33" max="16384" width="8.84375" style="2"/>
  </cols>
  <sheetData>
    <row r="1" spans="2:25" ht="13.5" customHeight="1" thickBot="1" x14ac:dyDescent="0.4">
      <c r="B1" s="149" t="s">
        <v>3223</v>
      </c>
      <c r="C1" s="14" t="s">
        <v>3224</v>
      </c>
      <c r="E1" s="220" t="s">
        <v>3225</v>
      </c>
      <c r="F1" s="221"/>
      <c r="G1" s="150" t="s">
        <v>3226</v>
      </c>
      <c r="J1" s="10" t="s">
        <v>3321</v>
      </c>
      <c r="K1" s="10"/>
      <c r="M1" s="232" t="s">
        <v>3317</v>
      </c>
    </row>
    <row r="2" spans="2:25" ht="16" thickBot="1" x14ac:dyDescent="0.4">
      <c r="B2" s="219">
        <f>VLOOKUP(FrontPage!$F$11,Authority,2,FALSE)</f>
        <v>0</v>
      </c>
      <c r="C2" s="151">
        <f>FrontPage!F11</f>
        <v>1</v>
      </c>
      <c r="E2" s="222" t="s">
        <v>3439</v>
      </c>
      <c r="F2" s="223" t="s">
        <v>3259</v>
      </c>
      <c r="G2" s="219">
        <f>FrontPage!$E$7</f>
        <v>1</v>
      </c>
      <c r="I2" s="458" t="s">
        <v>3460</v>
      </c>
      <c r="J2" s="383">
        <v>202425</v>
      </c>
      <c r="M2" s="233" t="s">
        <v>3318</v>
      </c>
      <c r="R2" s="308" t="s">
        <v>3446</v>
      </c>
      <c r="S2" s="305"/>
      <c r="T2" s="305"/>
      <c r="U2" s="305"/>
      <c r="V2" s="305"/>
      <c r="W2" s="305"/>
    </row>
    <row r="3" spans="2:25" ht="13.5" customHeight="1" thickBot="1" x14ac:dyDescent="0.4">
      <c r="B3" s="14" t="s">
        <v>3227</v>
      </c>
      <c r="E3" s="224" t="s">
        <v>3228</v>
      </c>
      <c r="F3" s="225" t="s">
        <v>3260</v>
      </c>
      <c r="G3" s="14" t="s">
        <v>3467</v>
      </c>
      <c r="J3" s="266" t="str">
        <f>LEFT(Year,4)&amp;"-"&amp;RIGHT(Year,2)</f>
        <v>2024-25</v>
      </c>
      <c r="M3" s="234" t="s">
        <v>3319</v>
      </c>
      <c r="R3" s="704" t="s">
        <v>3447</v>
      </c>
      <c r="S3" s="704"/>
      <c r="T3" s="704"/>
      <c r="U3" s="704"/>
      <c r="V3" s="704"/>
      <c r="W3" s="704"/>
      <c r="X3" s="704"/>
      <c r="Y3" s="704"/>
    </row>
    <row r="4" spans="2:25" ht="16" thickBot="1" x14ac:dyDescent="0.4">
      <c r="B4" s="227" t="str">
        <f>IF(C2=0,"",VLOOKUP(C2,Authority,5,FALSE))</f>
        <v>Dewiswch eich awdurdod ar y dudalen flaen</v>
      </c>
      <c r="C4" s="228"/>
      <c r="D4" s="229"/>
      <c r="F4" s="226" t="str">
        <f>IF(G2=1,F2,F3)</f>
        <v>Mawrth</v>
      </c>
      <c r="G4" s="563" t="str">
        <f>1&amp;" "&amp;F4&amp;" "&amp;LEFT(Year,4)</f>
        <v>1 Mawrth 2024</v>
      </c>
      <c r="H4" s="267" t="s">
        <v>3338</v>
      </c>
      <c r="I4" s="268" t="s">
        <v>3426</v>
      </c>
      <c r="J4" s="269"/>
      <c r="M4" s="235" t="s">
        <v>3320</v>
      </c>
      <c r="R4" s="704"/>
      <c r="S4" s="704"/>
      <c r="T4" s="704"/>
      <c r="U4" s="704"/>
      <c r="V4" s="704"/>
      <c r="W4" s="704"/>
      <c r="X4" s="704"/>
      <c r="Y4" s="704"/>
    </row>
    <row r="5" spans="2:25" ht="13.5" customHeight="1" thickBot="1" x14ac:dyDescent="0.4">
      <c r="B5" s="558" t="s">
        <v>225</v>
      </c>
      <c r="G5" s="563" t="str">
        <f>7&amp;" "&amp;F4&amp;" "&amp;LEFT(Year,4)</f>
        <v>7 Mawrth 2024</v>
      </c>
      <c r="I5" s="270" t="str">
        <f>IF(G2=1,H4,I4)</f>
        <v>YCLLL.trosglwyddo@llyw.cymru</v>
      </c>
      <c r="J5" s="229"/>
    </row>
    <row r="6" spans="2:25" ht="13.5" customHeight="1" x14ac:dyDescent="0.35">
      <c r="B6" s="551" t="s">
        <v>3530</v>
      </c>
      <c r="E6" s="560" t="s">
        <v>3532</v>
      </c>
      <c r="F6" s="384"/>
    </row>
    <row r="7" spans="2:25" ht="13.5" customHeight="1" x14ac:dyDescent="0.2">
      <c r="B7" s="192" t="s">
        <v>0</v>
      </c>
      <c r="C7" s="160" t="s">
        <v>77</v>
      </c>
      <c r="D7" s="160" t="s">
        <v>78</v>
      </c>
      <c r="E7" s="160" t="s">
        <v>79</v>
      </c>
      <c r="F7" s="160" t="s">
        <v>80</v>
      </c>
      <c r="G7" s="160" t="s">
        <v>81</v>
      </c>
      <c r="H7" s="160" t="s">
        <v>82</v>
      </c>
      <c r="I7" s="160" t="s">
        <v>83</v>
      </c>
      <c r="J7" s="160" t="s">
        <v>84</v>
      </c>
      <c r="K7" s="160" t="s">
        <v>85</v>
      </c>
      <c r="L7" s="160" t="s">
        <v>86</v>
      </c>
      <c r="M7" s="161" t="s">
        <v>87</v>
      </c>
    </row>
    <row r="8" spans="2:25" ht="13.5" customHeight="1" x14ac:dyDescent="0.2">
      <c r="B8" s="193">
        <v>562</v>
      </c>
      <c r="C8" s="166" t="s">
        <v>213</v>
      </c>
      <c r="D8" s="166" t="s">
        <v>3235</v>
      </c>
      <c r="E8" s="194" t="s">
        <v>19</v>
      </c>
      <c r="F8" s="166" t="s">
        <v>20</v>
      </c>
      <c r="G8" s="166" t="s">
        <v>9</v>
      </c>
      <c r="H8" s="166" t="s">
        <v>15</v>
      </c>
      <c r="I8" s="166" t="s">
        <v>21</v>
      </c>
      <c r="J8" s="166" t="s">
        <v>3527</v>
      </c>
      <c r="K8" s="166" t="s">
        <v>17</v>
      </c>
      <c r="L8" s="166" t="s">
        <v>3236</v>
      </c>
      <c r="M8" s="195" t="s">
        <v>3528</v>
      </c>
    </row>
    <row r="9" spans="2:25" ht="13.5" customHeight="1" x14ac:dyDescent="0.2">
      <c r="B9" s="193">
        <v>564</v>
      </c>
      <c r="C9" s="166" t="s">
        <v>214</v>
      </c>
      <c r="D9" s="166" t="s">
        <v>218</v>
      </c>
      <c r="E9" s="194" t="s">
        <v>26</v>
      </c>
      <c r="F9" s="166" t="s">
        <v>12</v>
      </c>
      <c r="G9" s="166" t="s">
        <v>11</v>
      </c>
      <c r="H9" s="196" t="s">
        <v>3531</v>
      </c>
      <c r="I9" s="166" t="s">
        <v>22</v>
      </c>
      <c r="J9" s="166" t="s">
        <v>3482</v>
      </c>
      <c r="K9" s="166" t="s">
        <v>219</v>
      </c>
      <c r="L9" s="166" t="s">
        <v>3452</v>
      </c>
      <c r="M9" s="195" t="s">
        <v>3483</v>
      </c>
    </row>
    <row r="10" spans="2:25" ht="13.5" customHeight="1" x14ac:dyDescent="0.2">
      <c r="B10" s="193">
        <v>566</v>
      </c>
      <c r="C10" s="166" t="s">
        <v>215</v>
      </c>
      <c r="D10" s="166" t="s">
        <v>220</v>
      </c>
      <c r="E10" s="194" t="s">
        <v>23</v>
      </c>
      <c r="F10" s="166" t="s">
        <v>24</v>
      </c>
      <c r="G10" s="166" t="s">
        <v>8</v>
      </c>
      <c r="H10" s="196" t="s">
        <v>3531</v>
      </c>
      <c r="I10" s="166" t="s">
        <v>25</v>
      </c>
      <c r="J10" s="166" t="s">
        <v>3453</v>
      </c>
      <c r="K10" s="166" t="s">
        <v>16</v>
      </c>
      <c r="L10" s="166" t="s">
        <v>3454</v>
      </c>
      <c r="M10" s="195" t="s">
        <v>3455</v>
      </c>
    </row>
    <row r="11" spans="2:25" ht="13.5" customHeight="1" x14ac:dyDescent="0.2">
      <c r="B11" s="197">
        <v>568</v>
      </c>
      <c r="C11" s="198" t="s">
        <v>216</v>
      </c>
      <c r="D11" s="198" t="s">
        <v>3484</v>
      </c>
      <c r="E11" s="199" t="s">
        <v>217</v>
      </c>
      <c r="F11" s="198" t="s">
        <v>26</v>
      </c>
      <c r="G11" s="198" t="s">
        <v>27</v>
      </c>
      <c r="H11" s="200" t="s">
        <v>10</v>
      </c>
      <c r="I11" s="198" t="s">
        <v>28</v>
      </c>
      <c r="J11" s="198" t="s">
        <v>3485</v>
      </c>
      <c r="K11" s="198" t="s">
        <v>18</v>
      </c>
      <c r="L11" s="198" t="s">
        <v>3511</v>
      </c>
      <c r="M11" s="201" t="s">
        <v>3486</v>
      </c>
    </row>
    <row r="12" spans="2:25" ht="13.5" customHeight="1" x14ac:dyDescent="0.2">
      <c r="B12" s="5"/>
      <c r="C12" s="5"/>
      <c r="D12" s="5"/>
      <c r="E12" s="19"/>
      <c r="F12" s="5"/>
      <c r="G12" s="5"/>
      <c r="H12" s="5"/>
      <c r="I12" s="5"/>
      <c r="J12" s="5"/>
      <c r="K12" s="5"/>
      <c r="L12" s="5"/>
      <c r="M12" s="5"/>
      <c r="N12" s="8"/>
    </row>
    <row r="13" spans="2:25" ht="13.5" customHeight="1" x14ac:dyDescent="0.2">
      <c r="B13" s="5"/>
      <c r="C13" s="5"/>
      <c r="D13" s="5"/>
      <c r="E13" s="19"/>
      <c r="F13" s="5"/>
      <c r="G13" s="5"/>
      <c r="M13" s="5"/>
      <c r="N13" s="8"/>
    </row>
    <row r="14" spans="2:25" ht="15.75" customHeight="1" x14ac:dyDescent="0.25">
      <c r="B14" s="474" t="s">
        <v>3456</v>
      </c>
      <c r="C14" s="5"/>
      <c r="D14" s="5"/>
      <c r="E14" s="474"/>
      <c r="F14" s="5"/>
      <c r="G14" s="152" t="s">
        <v>248</v>
      </c>
      <c r="H14" s="181" t="s">
        <v>32</v>
      </c>
      <c r="I14" s="183" t="s">
        <v>33</v>
      </c>
      <c r="J14" s="183" t="s">
        <v>34</v>
      </c>
      <c r="K14" s="181" t="s">
        <v>15</v>
      </c>
      <c r="L14" s="181" t="s">
        <v>3255</v>
      </c>
      <c r="M14" s="181" t="s">
        <v>3255</v>
      </c>
      <c r="N14" s="184" t="s">
        <v>3255</v>
      </c>
      <c r="O14" s="156"/>
    </row>
    <row r="15" spans="2:25" ht="13.5" customHeight="1" x14ac:dyDescent="0.2">
      <c r="B15" s="5"/>
      <c r="C15" s="5"/>
      <c r="D15" s="5"/>
      <c r="E15" s="5"/>
      <c r="F15" s="5"/>
      <c r="G15" s="155"/>
      <c r="H15" s="182" t="s">
        <v>35</v>
      </c>
      <c r="I15" s="185" t="s">
        <v>36</v>
      </c>
      <c r="J15" s="185" t="s">
        <v>11</v>
      </c>
      <c r="K15" s="182" t="s">
        <v>37</v>
      </c>
      <c r="L15" s="182" t="s">
        <v>38</v>
      </c>
      <c r="M15" s="182" t="s">
        <v>3255</v>
      </c>
      <c r="N15" s="186" t="s">
        <v>3255</v>
      </c>
      <c r="O15" s="156"/>
    </row>
    <row r="16" spans="2:25" ht="13.5" customHeight="1" x14ac:dyDescent="0.2">
      <c r="B16" s="5"/>
      <c r="C16" s="5"/>
      <c r="D16" s="5"/>
      <c r="E16" s="5"/>
      <c r="F16" s="5"/>
      <c r="G16" s="155"/>
      <c r="H16" s="182" t="s">
        <v>39</v>
      </c>
      <c r="I16" s="182" t="s">
        <v>41</v>
      </c>
      <c r="J16" s="182" t="s">
        <v>8</v>
      </c>
      <c r="K16" s="182" t="s">
        <v>42</v>
      </c>
      <c r="L16" s="182" t="s">
        <v>43</v>
      </c>
      <c r="M16" s="182" t="s">
        <v>44</v>
      </c>
      <c r="N16" s="186" t="s">
        <v>3255</v>
      </c>
      <c r="O16" s="156"/>
    </row>
    <row r="17" spans="2:23" ht="13.5" customHeight="1" x14ac:dyDescent="0.2">
      <c r="B17" s="5"/>
      <c r="C17" s="5"/>
      <c r="D17" s="5"/>
      <c r="E17" s="5"/>
      <c r="F17" s="5"/>
      <c r="G17" s="155"/>
      <c r="H17" s="187" t="s">
        <v>40</v>
      </c>
      <c r="I17" s="187" t="s">
        <v>45</v>
      </c>
      <c r="J17" s="187" t="s">
        <v>10</v>
      </c>
      <c r="K17" s="187" t="s">
        <v>58</v>
      </c>
      <c r="L17" s="187" t="s">
        <v>102</v>
      </c>
      <c r="M17" s="187" t="s">
        <v>47</v>
      </c>
      <c r="N17" s="188" t="s">
        <v>46</v>
      </c>
      <c r="O17" s="156"/>
    </row>
    <row r="18" spans="2:23" ht="13.5" customHeight="1" x14ac:dyDescent="0.35">
      <c r="B18" s="558" t="s">
        <v>14</v>
      </c>
      <c r="E18" s="613" t="s">
        <v>67</v>
      </c>
      <c r="F18" s="614" t="s">
        <v>68</v>
      </c>
      <c r="G18" s="615" t="s">
        <v>69</v>
      </c>
      <c r="H18" s="159" t="s">
        <v>59</v>
      </c>
      <c r="I18" s="159" t="s">
        <v>60</v>
      </c>
      <c r="J18" s="159" t="s">
        <v>61</v>
      </c>
      <c r="K18" s="159" t="s">
        <v>62</v>
      </c>
      <c r="L18" s="159" t="s">
        <v>63</v>
      </c>
      <c r="M18" s="159" t="s">
        <v>64</v>
      </c>
      <c r="N18" s="159" t="s">
        <v>65</v>
      </c>
      <c r="O18" s="159" t="s">
        <v>66</v>
      </c>
    </row>
    <row r="19" spans="2:23" ht="13.5" customHeight="1" x14ac:dyDescent="0.25">
      <c r="E19" s="616" t="s">
        <v>73</v>
      </c>
      <c r="F19" s="617" t="s">
        <v>73</v>
      </c>
      <c r="G19" s="618" t="s">
        <v>73</v>
      </c>
      <c r="H19" s="156"/>
      <c r="I19" s="156"/>
      <c r="J19" s="156"/>
      <c r="K19" s="156"/>
      <c r="L19" s="156"/>
      <c r="M19" s="156"/>
      <c r="N19" s="156"/>
      <c r="O19" s="159" t="s">
        <v>76</v>
      </c>
    </row>
    <row r="20" spans="2:23" ht="13.5" customHeight="1" x14ac:dyDescent="0.25">
      <c r="B20" s="192"/>
      <c r="C20" s="160"/>
      <c r="D20" s="160"/>
      <c r="E20" s="379" t="str">
        <f>J3</f>
        <v>2024-25</v>
      </c>
      <c r="F20" s="380" t="str">
        <f>J3</f>
        <v>2024-25</v>
      </c>
      <c r="G20" s="381" t="str">
        <f>J3</f>
        <v>2024-25</v>
      </c>
      <c r="H20" s="160"/>
      <c r="I20" s="160"/>
      <c r="J20" s="160"/>
      <c r="K20" s="160"/>
      <c r="L20" s="160"/>
      <c r="M20" s="160"/>
      <c r="N20" s="160"/>
      <c r="O20" s="382" t="str">
        <f>J3</f>
        <v>2024-25</v>
      </c>
      <c r="P20" s="4"/>
    </row>
    <row r="21" spans="2:23" ht="13.5" customHeight="1" x14ac:dyDescent="0.25">
      <c r="B21" s="209">
        <v>562</v>
      </c>
      <c r="C21" s="210" t="s">
        <v>7</v>
      </c>
      <c r="D21" s="211" t="s">
        <v>237</v>
      </c>
      <c r="E21" s="619">
        <f>E29</f>
        <v>192104.74874512889</v>
      </c>
      <c r="F21" s="580">
        <f>F29</f>
        <v>8220425.0000000009</v>
      </c>
      <c r="G21" s="620">
        <f>G29</f>
        <v>56124978</v>
      </c>
      <c r="H21" s="177" t="str">
        <f t="shared" ref="H21:N24" si="0">IF($G$2=2,H14,H25)</f>
        <v>Powys</v>
      </c>
      <c r="I21" s="177" t="str">
        <f t="shared" si="0"/>
        <v>Ceredigion</v>
      </c>
      <c r="J21" s="177" t="str">
        <f t="shared" si="0"/>
        <v>Sir Benfro</v>
      </c>
      <c r="K21" s="177" t="str">
        <f t="shared" si="0"/>
        <v>Sir Gaerfyrddin</v>
      </c>
      <c r="L21" s="177" t="str">
        <f t="shared" si="0"/>
        <v>blanc</v>
      </c>
      <c r="M21" s="177" t="str">
        <f t="shared" si="0"/>
        <v>blanc</v>
      </c>
      <c r="N21" s="177" t="str">
        <f t="shared" si="0"/>
        <v>blanc</v>
      </c>
      <c r="O21" s="602">
        <f>SUM(M46:M49)</f>
        <v>239026.99722222227</v>
      </c>
      <c r="Q21" s="456" t="s">
        <v>3457</v>
      </c>
    </row>
    <row r="22" spans="2:23" ht="13.5" customHeight="1" x14ac:dyDescent="0.25">
      <c r="B22" s="209">
        <v>564</v>
      </c>
      <c r="C22" s="210" t="s">
        <v>7</v>
      </c>
      <c r="D22" s="211" t="s">
        <v>238</v>
      </c>
      <c r="E22" s="619">
        <f t="shared" ref="E22:G24" si="1">E30</f>
        <v>212731.34990252831</v>
      </c>
      <c r="F22" s="580">
        <f t="shared" si="1"/>
        <v>25983256</v>
      </c>
      <c r="G22" s="620">
        <f t="shared" si="1"/>
        <v>67671718</v>
      </c>
      <c r="H22" s="177" t="str">
        <f t="shared" si="0"/>
        <v>Caerffili</v>
      </c>
      <c r="I22" s="177" t="str">
        <f t="shared" si="0"/>
        <v>Blaenau Gwent</v>
      </c>
      <c r="J22" s="177" t="str">
        <f t="shared" si="0"/>
        <v>Torfaen</v>
      </c>
      <c r="K22" s="177" t="str">
        <f t="shared" si="0"/>
        <v>Sir Fynwy</v>
      </c>
      <c r="L22" s="177" t="str">
        <f t="shared" si="0"/>
        <v>Casnewydd</v>
      </c>
      <c r="M22" s="177" t="str">
        <f t="shared" si="0"/>
        <v>blanc</v>
      </c>
      <c r="N22" s="177" t="str">
        <f t="shared" si="0"/>
        <v>blanc</v>
      </c>
      <c r="O22" s="603">
        <f>SUM(M56:M60)</f>
        <v>226480.81413888891</v>
      </c>
      <c r="Q22" s="454" t="s">
        <v>119</v>
      </c>
      <c r="U22" s="7"/>
      <c r="W22" s="189"/>
    </row>
    <row r="23" spans="2:23" ht="13.5" customHeight="1" x14ac:dyDescent="0.25">
      <c r="B23" s="209">
        <v>566</v>
      </c>
      <c r="C23" s="210" t="s">
        <v>7</v>
      </c>
      <c r="D23" s="211" t="s">
        <v>239</v>
      </c>
      <c r="E23" s="619">
        <f t="shared" si="1"/>
        <v>251452.64610704331</v>
      </c>
      <c r="F23" s="580">
        <f t="shared" si="1"/>
        <v>16109259.000000002</v>
      </c>
      <c r="G23" s="620">
        <f t="shared" si="1"/>
        <v>77650979</v>
      </c>
      <c r="H23" s="177" t="str">
        <f t="shared" si="0"/>
        <v>Ynys Môn</v>
      </c>
      <c r="I23" s="177" t="str">
        <f t="shared" si="0"/>
        <v>Gwynedd</v>
      </c>
      <c r="J23" s="177" t="str">
        <f t="shared" si="0"/>
        <v>Conwy</v>
      </c>
      <c r="K23" s="177" t="str">
        <f t="shared" si="0"/>
        <v>Sir Ddinbych</v>
      </c>
      <c r="L23" s="177" t="str">
        <f t="shared" si="0"/>
        <v>Sir y Fflint</v>
      </c>
      <c r="M23" s="177" t="str">
        <f t="shared" si="0"/>
        <v>Wrecsam</v>
      </c>
      <c r="N23" s="177" t="str">
        <f t="shared" si="0"/>
        <v>blanc</v>
      </c>
      <c r="O23" s="603">
        <f>SUM(M40:M45)</f>
        <v>303930.92719888885</v>
      </c>
      <c r="Q23" s="457" t="s">
        <v>3458</v>
      </c>
      <c r="U23" s="7"/>
    </row>
    <row r="24" spans="2:23" ht="13.5" customHeight="1" x14ac:dyDescent="0.25">
      <c r="B24" s="212">
        <v>568</v>
      </c>
      <c r="C24" s="213" t="s">
        <v>7</v>
      </c>
      <c r="D24" s="214" t="s">
        <v>240</v>
      </c>
      <c r="E24" s="621">
        <f t="shared" si="1"/>
        <v>482711.25524529949</v>
      </c>
      <c r="F24" s="581">
        <f t="shared" si="1"/>
        <v>62018060</v>
      </c>
      <c r="G24" s="622">
        <f t="shared" si="1"/>
        <v>144067712</v>
      </c>
      <c r="H24" s="179" t="str">
        <f t="shared" si="0"/>
        <v>Abertawe</v>
      </c>
      <c r="I24" s="179" t="str">
        <f t="shared" si="0"/>
        <v>Castell-Nedd</v>
      </c>
      <c r="J24" s="179" t="str">
        <f t="shared" si="0"/>
        <v>Pen-y-Bont</v>
      </c>
      <c r="K24" s="179" t="str">
        <f t="shared" si="0"/>
        <v>Bro Morgannwg</v>
      </c>
      <c r="L24" s="179" t="str">
        <f t="shared" si="0"/>
        <v>Rhondda Cynon Taf</v>
      </c>
      <c r="M24" s="179" t="str">
        <f t="shared" si="0"/>
        <v>Merthyr Tudful</v>
      </c>
      <c r="N24" s="179" t="str">
        <f t="shared" si="0"/>
        <v>Caerdydd</v>
      </c>
      <c r="O24" s="604">
        <f>SUM(M50:M55)+M61</f>
        <v>511505.32462500001</v>
      </c>
      <c r="Q24" s="453" t="s">
        <v>3459</v>
      </c>
    </row>
    <row r="25" spans="2:23" ht="13.5" customHeight="1" x14ac:dyDescent="0.25">
      <c r="G25" s="152" t="s">
        <v>250</v>
      </c>
      <c r="H25" s="175" t="s">
        <v>32</v>
      </c>
      <c r="I25" s="175" t="s">
        <v>33</v>
      </c>
      <c r="J25" s="175" t="s">
        <v>3256</v>
      </c>
      <c r="K25" s="175" t="s">
        <v>3257</v>
      </c>
      <c r="L25" s="175" t="s">
        <v>3254</v>
      </c>
      <c r="M25" s="175" t="s">
        <v>3254</v>
      </c>
      <c r="N25" s="176" t="s">
        <v>3254</v>
      </c>
      <c r="O25" s="215"/>
    </row>
    <row r="26" spans="2:23" ht="13.5" customHeight="1" x14ac:dyDescent="0.2">
      <c r="G26" s="155"/>
      <c r="H26" s="177" t="s">
        <v>3243</v>
      </c>
      <c r="I26" s="177" t="s">
        <v>36</v>
      </c>
      <c r="J26" s="177" t="s">
        <v>11</v>
      </c>
      <c r="K26" s="177" t="s">
        <v>3248</v>
      </c>
      <c r="L26" s="177" t="s">
        <v>3249</v>
      </c>
      <c r="M26" s="177" t="s">
        <v>3254</v>
      </c>
      <c r="N26" s="178" t="s">
        <v>3254</v>
      </c>
      <c r="O26" s="216">
        <f>SUM(O21:O24)</f>
        <v>1280944.0631849999</v>
      </c>
    </row>
    <row r="27" spans="2:23" ht="13.5" customHeight="1" x14ac:dyDescent="0.2">
      <c r="G27" s="155"/>
      <c r="H27" s="177" t="s">
        <v>3244</v>
      </c>
      <c r="I27" s="177" t="s">
        <v>41</v>
      </c>
      <c r="J27" s="177" t="s">
        <v>8</v>
      </c>
      <c r="K27" s="177" t="s">
        <v>3305</v>
      </c>
      <c r="L27" s="177" t="s">
        <v>3307</v>
      </c>
      <c r="M27" s="177" t="s">
        <v>3250</v>
      </c>
      <c r="N27" s="178" t="s">
        <v>3254</v>
      </c>
      <c r="O27" s="217">
        <f>SUM(M40:M61)</f>
        <v>1280944.0631849999</v>
      </c>
    </row>
    <row r="28" spans="2:23" ht="13.5" customHeight="1" x14ac:dyDescent="0.35">
      <c r="B28" s="558" t="s">
        <v>228</v>
      </c>
      <c r="G28" s="162"/>
      <c r="H28" s="179" t="s">
        <v>3245</v>
      </c>
      <c r="I28" s="179" t="s">
        <v>3246</v>
      </c>
      <c r="J28" s="179" t="s">
        <v>3247</v>
      </c>
      <c r="K28" s="179" t="s">
        <v>3306</v>
      </c>
      <c r="L28" s="179" t="s">
        <v>102</v>
      </c>
      <c r="M28" s="179" t="s">
        <v>3251</v>
      </c>
      <c r="N28" s="180" t="s">
        <v>3252</v>
      </c>
      <c r="O28" s="218">
        <f>+O26-O27</f>
        <v>0</v>
      </c>
      <c r="P28" s="14" t="s">
        <v>75</v>
      </c>
    </row>
    <row r="29" spans="2:23" ht="13.5" customHeight="1" x14ac:dyDescent="0.25">
      <c r="B29" s="476">
        <v>562</v>
      </c>
      <c r="C29" s="477" t="s">
        <v>7</v>
      </c>
      <c r="D29" s="478" t="s">
        <v>237</v>
      </c>
      <c r="E29" s="579">
        <f t="shared" ref="E29:F32" si="2">D38*10^6</f>
        <v>192104.74874512889</v>
      </c>
      <c r="F29" s="579">
        <f t="shared" si="2"/>
        <v>8220425.0000000009</v>
      </c>
      <c r="G29" s="579">
        <f>G38*10^6</f>
        <v>56124978</v>
      </c>
      <c r="H29" s="160">
        <v>524</v>
      </c>
      <c r="I29" s="160">
        <v>526</v>
      </c>
      <c r="J29" s="160">
        <v>528</v>
      </c>
      <c r="K29" s="160">
        <v>530</v>
      </c>
      <c r="L29" s="160">
        <v>0</v>
      </c>
      <c r="M29" s="160">
        <v>0</v>
      </c>
      <c r="N29" s="160">
        <v>0</v>
      </c>
      <c r="O29" s="161">
        <v>0</v>
      </c>
    </row>
    <row r="30" spans="2:23" ht="13.5" customHeight="1" x14ac:dyDescent="0.25">
      <c r="B30" s="479">
        <v>564</v>
      </c>
      <c r="C30" s="480" t="s">
        <v>7</v>
      </c>
      <c r="D30" s="481" t="s">
        <v>238</v>
      </c>
      <c r="E30" s="580">
        <f t="shared" si="2"/>
        <v>212731.34990252831</v>
      </c>
      <c r="F30" s="580">
        <f t="shared" si="2"/>
        <v>25983256</v>
      </c>
      <c r="G30" s="580">
        <f>G39*10^6</f>
        <v>67671718</v>
      </c>
      <c r="H30" s="156">
        <v>544</v>
      </c>
      <c r="I30" s="156">
        <v>545</v>
      </c>
      <c r="J30" s="156">
        <v>546</v>
      </c>
      <c r="K30" s="156">
        <v>548</v>
      </c>
      <c r="L30" s="156">
        <v>550</v>
      </c>
      <c r="M30" s="156">
        <v>0</v>
      </c>
      <c r="N30" s="156">
        <v>0</v>
      </c>
      <c r="O30" s="157">
        <v>0</v>
      </c>
    </row>
    <row r="31" spans="2:23" ht="13.5" customHeight="1" x14ac:dyDescent="0.25">
      <c r="B31" s="479">
        <v>566</v>
      </c>
      <c r="C31" s="480" t="s">
        <v>7</v>
      </c>
      <c r="D31" s="481" t="s">
        <v>239</v>
      </c>
      <c r="E31" s="580">
        <f t="shared" si="2"/>
        <v>251452.64610704331</v>
      </c>
      <c r="F31" s="580">
        <f t="shared" si="2"/>
        <v>16109259.000000002</v>
      </c>
      <c r="G31" s="580">
        <f>G40*10^6</f>
        <v>77650979</v>
      </c>
      <c r="H31" s="156">
        <v>512</v>
      </c>
      <c r="I31" s="156">
        <v>514</v>
      </c>
      <c r="J31" s="156">
        <v>516</v>
      </c>
      <c r="K31" s="156">
        <v>518</v>
      </c>
      <c r="L31" s="156">
        <v>520</v>
      </c>
      <c r="M31" s="156">
        <v>522</v>
      </c>
      <c r="N31" s="156">
        <v>0</v>
      </c>
      <c r="O31" s="157">
        <v>0</v>
      </c>
    </row>
    <row r="32" spans="2:23" ht="13.5" customHeight="1" x14ac:dyDescent="0.25">
      <c r="B32" s="482">
        <v>568</v>
      </c>
      <c r="C32" s="483" t="s">
        <v>7</v>
      </c>
      <c r="D32" s="484" t="s">
        <v>240</v>
      </c>
      <c r="E32" s="581">
        <f t="shared" si="2"/>
        <v>482711.25524529949</v>
      </c>
      <c r="F32" s="581">
        <f t="shared" si="2"/>
        <v>62018060</v>
      </c>
      <c r="G32" s="581">
        <f>G41*10^6</f>
        <v>144067712</v>
      </c>
      <c r="H32" s="163">
        <v>532</v>
      </c>
      <c r="I32" s="163">
        <v>534</v>
      </c>
      <c r="J32" s="163">
        <v>536</v>
      </c>
      <c r="K32" s="163">
        <v>538</v>
      </c>
      <c r="L32" s="163">
        <v>540</v>
      </c>
      <c r="M32" s="163">
        <v>542</v>
      </c>
      <c r="N32" s="163">
        <v>552</v>
      </c>
      <c r="O32" s="164">
        <v>0</v>
      </c>
    </row>
    <row r="34" spans="2:32" ht="13.5" customHeight="1" x14ac:dyDescent="0.35">
      <c r="B34" s="488" t="s">
        <v>3313</v>
      </c>
      <c r="C34" s="492"/>
      <c r="D34" s="492"/>
      <c r="E34" s="705" t="s">
        <v>3563</v>
      </c>
      <c r="F34" s="705"/>
      <c r="G34" s="706"/>
      <c r="H34" s="190" t="s">
        <v>3316</v>
      </c>
      <c r="I34" s="191"/>
      <c r="J34" s="230"/>
      <c r="K34" s="360" t="s">
        <v>3445</v>
      </c>
      <c r="L34" s="4"/>
    </row>
    <row r="35" spans="2:32" ht="13.5" customHeight="1" x14ac:dyDescent="0.35">
      <c r="B35" s="493" t="str">
        <f>"Police Funding for "&amp;J3&amp;"  - Key Information"</f>
        <v>Police Funding for 2024-25  - Key Information</v>
      </c>
      <c r="C35" s="494"/>
      <c r="D35" s="494"/>
      <c r="E35" s="707"/>
      <c r="F35" s="707"/>
      <c r="G35" s="708"/>
      <c r="H35" s="549" t="s">
        <v>3562</v>
      </c>
      <c r="I35" s="63"/>
      <c r="J35" s="552" t="str">
        <f>LEFT(I36,4)&amp;"-"&amp;RIGHT(I36,2)</f>
        <v>2024-25</v>
      </c>
    </row>
    <row r="36" spans="2:32" ht="15.5" x14ac:dyDescent="0.35">
      <c r="B36" s="202"/>
      <c r="C36" s="202"/>
      <c r="D36" s="202"/>
      <c r="E36" s="202"/>
      <c r="F36" s="202"/>
      <c r="G36" s="156"/>
      <c r="H36" s="571" t="s">
        <v>56</v>
      </c>
      <c r="I36" s="572">
        <v>202425</v>
      </c>
      <c r="J36" s="204"/>
      <c r="L36" s="10" t="s">
        <v>3440</v>
      </c>
    </row>
    <row r="37" spans="2:32" ht="39" x14ac:dyDescent="0.35">
      <c r="B37" s="485" t="s">
        <v>236</v>
      </c>
      <c r="C37" s="486" t="s">
        <v>3309</v>
      </c>
      <c r="D37" s="623" t="s">
        <v>3310</v>
      </c>
      <c r="E37" s="624" t="s">
        <v>3311</v>
      </c>
      <c r="F37" s="487" t="s">
        <v>3312</v>
      </c>
      <c r="G37" s="582" t="s">
        <v>3526</v>
      </c>
      <c r="H37" s="205"/>
      <c r="I37" s="205"/>
      <c r="J37" s="205"/>
      <c r="L37" s="554" t="s">
        <v>70</v>
      </c>
      <c r="M37" s="432"/>
      <c r="N37" s="555"/>
    </row>
    <row r="38" spans="2:32" ht="15.5" x14ac:dyDescent="0.35">
      <c r="B38" s="488" t="s">
        <v>237</v>
      </c>
      <c r="C38" s="255">
        <v>25.876667478706448</v>
      </c>
      <c r="D38" s="625">
        <v>0.19210474874512889</v>
      </c>
      <c r="E38" s="626">
        <v>8.2204250000000005</v>
      </c>
      <c r="F38" s="568">
        <v>34.368364087387462</v>
      </c>
      <c r="G38" s="630">
        <v>56.124977999999999</v>
      </c>
      <c r="H38" s="629" t="s">
        <v>100</v>
      </c>
      <c r="I38" s="574"/>
      <c r="J38" s="575"/>
      <c r="K38"/>
      <c r="L38" s="434"/>
      <c r="M38" s="556" t="s">
        <v>74</v>
      </c>
      <c r="N38" s="557"/>
      <c r="O38"/>
      <c r="Z38" s="601" t="s">
        <v>3564</v>
      </c>
      <c r="AA38" s="599"/>
      <c r="AB38" s="599"/>
      <c r="AC38" s="599"/>
      <c r="AD38" s="599"/>
      <c r="AE38" s="599"/>
      <c r="AF38" s="600"/>
    </row>
    <row r="39" spans="2:32" ht="15.5" x14ac:dyDescent="0.35">
      <c r="B39" s="489" t="s">
        <v>238</v>
      </c>
      <c r="C39" s="255">
        <v>25.170759823999855</v>
      </c>
      <c r="D39" s="625">
        <v>0.21273134990252832</v>
      </c>
      <c r="E39" s="626">
        <v>25.983256000000001</v>
      </c>
      <c r="F39" s="568">
        <v>51.239482182286103</v>
      </c>
      <c r="G39" s="630">
        <v>67.671717999999998</v>
      </c>
      <c r="H39" s="629" t="s">
        <v>55</v>
      </c>
      <c r="I39" s="573" t="s">
        <v>101</v>
      </c>
      <c r="J39" s="575" t="s">
        <v>104</v>
      </c>
      <c r="K39"/>
      <c r="L39" s="434"/>
      <c r="M39" s="605" t="str">
        <f>LEFT(I36,4)&amp;"-"&amp;RIGHT(I36,2)</f>
        <v>2024-25</v>
      </c>
      <c r="N39" s="557"/>
      <c r="O39"/>
      <c r="Q39" s="431" t="s">
        <v>55</v>
      </c>
      <c r="R39" s="432" t="s">
        <v>51</v>
      </c>
      <c r="S39" s="432" t="s">
        <v>14</v>
      </c>
      <c r="T39" s="432" t="s">
        <v>49</v>
      </c>
      <c r="U39" s="432" t="s">
        <v>50</v>
      </c>
      <c r="V39" s="433" t="s">
        <v>56</v>
      </c>
      <c r="Z39" s="590" t="s">
        <v>56</v>
      </c>
      <c r="AA39" s="591" t="s">
        <v>49</v>
      </c>
      <c r="AB39" s="591" t="s">
        <v>55</v>
      </c>
      <c r="AC39" s="591" t="s">
        <v>50</v>
      </c>
      <c r="AD39" s="591" t="s">
        <v>51</v>
      </c>
      <c r="AE39" s="591" t="s">
        <v>14</v>
      </c>
      <c r="AF39" s="433"/>
    </row>
    <row r="40" spans="2:32" ht="15.5" x14ac:dyDescent="0.35">
      <c r="B40" s="489" t="s">
        <v>239</v>
      </c>
      <c r="C40" s="255">
        <v>33.196120616241338</v>
      </c>
      <c r="D40" s="625">
        <v>0.25145264610704332</v>
      </c>
      <c r="E40" s="626">
        <v>16.109259000000002</v>
      </c>
      <c r="F40" s="568">
        <v>49.530380656118169</v>
      </c>
      <c r="G40" s="630">
        <v>77.650979000000007</v>
      </c>
      <c r="H40" s="629">
        <v>512</v>
      </c>
      <c r="I40" s="573" t="s">
        <v>39</v>
      </c>
      <c r="J40" s="577">
        <v>33170.034722222219</v>
      </c>
      <c r="K40"/>
      <c r="L40" s="192" t="str">
        <f>H23</f>
        <v>Ynys Môn</v>
      </c>
      <c r="M40" s="607">
        <f t="shared" ref="M40:M61" si="3">+J40</f>
        <v>33170.034722222219</v>
      </c>
      <c r="N40" s="606">
        <v>512</v>
      </c>
      <c r="O40" s="449" t="s">
        <v>3458</v>
      </c>
      <c r="Q40" s="434">
        <v>512</v>
      </c>
      <c r="R40" s="2">
        <v>11</v>
      </c>
      <c r="S40" s="430">
        <v>31532.53</v>
      </c>
      <c r="T40" s="2" t="s">
        <v>2920</v>
      </c>
      <c r="U40" s="2">
        <v>26</v>
      </c>
      <c r="V40" s="435">
        <v>202021</v>
      </c>
      <c r="W40" s="440">
        <f t="shared" ref="W40:W61" si="4">S40-M40</f>
        <v>-1637.5047222222202</v>
      </c>
      <c r="Z40" s="592">
        <v>202425</v>
      </c>
      <c r="AA40" s="588" t="s">
        <v>2920</v>
      </c>
      <c r="AB40" s="587">
        <v>512</v>
      </c>
      <c r="AC40" s="587">
        <v>26</v>
      </c>
      <c r="AD40" s="587">
        <v>11</v>
      </c>
      <c r="AE40" s="589">
        <v>33170.034722222219</v>
      </c>
      <c r="AF40" s="593">
        <f>AE40-J40</f>
        <v>0</v>
      </c>
    </row>
    <row r="41" spans="2:32" ht="15.5" x14ac:dyDescent="0.35">
      <c r="B41" s="489" t="s">
        <v>240</v>
      </c>
      <c r="C41" s="255">
        <v>56.849574275151667</v>
      </c>
      <c r="D41" s="625">
        <v>0.48271125524529951</v>
      </c>
      <c r="E41" s="626">
        <v>62.018059999999998</v>
      </c>
      <c r="F41" s="568">
        <v>119.42489526830755</v>
      </c>
      <c r="G41" s="630">
        <v>144.067712</v>
      </c>
      <c r="H41" s="629">
        <v>514</v>
      </c>
      <c r="I41" s="573" t="s">
        <v>41</v>
      </c>
      <c r="J41" s="577">
        <v>56109.267160000003</v>
      </c>
      <c r="K41"/>
      <c r="L41" s="155" t="str">
        <f>I23</f>
        <v>Gwynedd</v>
      </c>
      <c r="M41" s="608">
        <f t="shared" si="3"/>
        <v>56109.267160000003</v>
      </c>
      <c r="N41" s="206">
        <v>514</v>
      </c>
      <c r="O41" s="450" t="s">
        <v>3458</v>
      </c>
      <c r="Q41" s="434">
        <v>514</v>
      </c>
      <c r="R41" s="2">
        <v>11</v>
      </c>
      <c r="S41" s="430">
        <v>51917.91</v>
      </c>
      <c r="T41" s="2" t="s">
        <v>2920</v>
      </c>
      <c r="U41" s="2">
        <v>26</v>
      </c>
      <c r="V41" s="435">
        <v>202021</v>
      </c>
      <c r="W41" s="441">
        <f t="shared" si="4"/>
        <v>-4191.3571599999996</v>
      </c>
      <c r="Z41" s="592">
        <v>202425</v>
      </c>
      <c r="AA41" s="588" t="s">
        <v>2920</v>
      </c>
      <c r="AB41" s="587">
        <v>514</v>
      </c>
      <c r="AC41" s="587">
        <v>26</v>
      </c>
      <c r="AD41" s="587">
        <v>11</v>
      </c>
      <c r="AE41" s="589">
        <v>56109.267160000003</v>
      </c>
      <c r="AF41" s="593">
        <f t="shared" ref="AF41:AF62" si="5">AE41-J41</f>
        <v>0</v>
      </c>
    </row>
    <row r="42" spans="2:32" ht="15.5" x14ac:dyDescent="0.35">
      <c r="B42" s="490" t="s">
        <v>241</v>
      </c>
      <c r="C42" s="256">
        <v>141.09312219409929</v>
      </c>
      <c r="D42" s="627">
        <v>1.139</v>
      </c>
      <c r="E42" s="628">
        <v>112.331</v>
      </c>
      <c r="F42" s="569">
        <v>254.56312219409929</v>
      </c>
      <c r="G42" s="583">
        <f>SUM(G38:G41)</f>
        <v>345.51538700000003</v>
      </c>
      <c r="H42" s="629">
        <v>516</v>
      </c>
      <c r="I42" s="573" t="s">
        <v>8</v>
      </c>
      <c r="J42" s="577">
        <v>52442.549444444448</v>
      </c>
      <c r="K42"/>
      <c r="L42" s="155" t="str">
        <f>J23</f>
        <v>Conwy</v>
      </c>
      <c r="M42" s="608">
        <f t="shared" si="3"/>
        <v>52442.549444444448</v>
      </c>
      <c r="N42" s="206">
        <v>516</v>
      </c>
      <c r="O42" s="450" t="s">
        <v>3458</v>
      </c>
      <c r="Q42" s="434">
        <v>516</v>
      </c>
      <c r="R42" s="2">
        <v>11</v>
      </c>
      <c r="S42" s="430">
        <v>50701.04</v>
      </c>
      <c r="T42" s="2" t="s">
        <v>2920</v>
      </c>
      <c r="U42" s="2">
        <v>26</v>
      </c>
      <c r="V42" s="435">
        <v>202021</v>
      </c>
      <c r="W42" s="441">
        <f t="shared" si="4"/>
        <v>-1741.5094444444476</v>
      </c>
      <c r="Z42" s="592">
        <v>202425</v>
      </c>
      <c r="AA42" s="588" t="s">
        <v>2920</v>
      </c>
      <c r="AB42" s="587">
        <v>516</v>
      </c>
      <c r="AC42" s="587">
        <v>26</v>
      </c>
      <c r="AD42" s="587">
        <v>11</v>
      </c>
      <c r="AE42" s="589">
        <v>52442.549444444448</v>
      </c>
      <c r="AF42" s="593">
        <f t="shared" si="5"/>
        <v>0</v>
      </c>
    </row>
    <row r="43" spans="2:32" ht="15.5" x14ac:dyDescent="0.35">
      <c r="B43" s="5"/>
      <c r="C43" s="5"/>
      <c r="D43" s="5"/>
      <c r="E43" s="5"/>
      <c r="F43" s="5"/>
      <c r="H43" s="573">
        <v>518</v>
      </c>
      <c r="I43" s="573" t="s">
        <v>42</v>
      </c>
      <c r="J43" s="577">
        <v>41868.064333333336</v>
      </c>
      <c r="K43"/>
      <c r="L43" s="155" t="str">
        <f>K23</f>
        <v>Sir Ddinbych</v>
      </c>
      <c r="M43" s="608">
        <f t="shared" si="3"/>
        <v>41868.064333333336</v>
      </c>
      <c r="N43" s="206">
        <v>518</v>
      </c>
      <c r="O43" s="450" t="s">
        <v>3458</v>
      </c>
      <c r="Q43" s="434">
        <v>518</v>
      </c>
      <c r="R43" s="2">
        <v>11</v>
      </c>
      <c r="S43" s="430">
        <v>40273.660000000003</v>
      </c>
      <c r="T43" s="2" t="s">
        <v>2920</v>
      </c>
      <c r="U43" s="2">
        <v>26</v>
      </c>
      <c r="V43" s="435">
        <v>202021</v>
      </c>
      <c r="W43" s="441">
        <f t="shared" si="4"/>
        <v>-1594.404333333332</v>
      </c>
      <c r="Z43" s="592">
        <v>202425</v>
      </c>
      <c r="AA43" s="588" t="s">
        <v>2920</v>
      </c>
      <c r="AB43" s="587">
        <v>518</v>
      </c>
      <c r="AC43" s="587">
        <v>26</v>
      </c>
      <c r="AD43" s="587">
        <v>11</v>
      </c>
      <c r="AE43" s="589">
        <v>41868.064333333336</v>
      </c>
      <c r="AF43" s="593">
        <f t="shared" si="5"/>
        <v>0</v>
      </c>
    </row>
    <row r="44" spans="2:32" ht="15.5" x14ac:dyDescent="0.35">
      <c r="B44" s="491" t="s">
        <v>3314</v>
      </c>
      <c r="C44" s="491" t="s">
        <v>3315</v>
      </c>
      <c r="D44" s="5"/>
      <c r="E44" s="5"/>
      <c r="F44" s="5"/>
      <c r="H44" s="573">
        <v>520</v>
      </c>
      <c r="I44" s="573" t="s">
        <v>43</v>
      </c>
      <c r="J44" s="577">
        <v>66081.002288888863</v>
      </c>
      <c r="K44"/>
      <c r="L44" s="155" t="str">
        <f>L23</f>
        <v>Sir y Fflint</v>
      </c>
      <c r="M44" s="608">
        <f t="shared" si="3"/>
        <v>66081.002288888863</v>
      </c>
      <c r="N44" s="206">
        <v>520</v>
      </c>
      <c r="O44" s="450" t="s">
        <v>3458</v>
      </c>
      <c r="Q44" s="434">
        <v>520</v>
      </c>
      <c r="R44" s="2">
        <v>11</v>
      </c>
      <c r="S44" s="430">
        <v>64554</v>
      </c>
      <c r="T44" s="2" t="s">
        <v>2920</v>
      </c>
      <c r="U44" s="2">
        <v>26</v>
      </c>
      <c r="V44" s="435">
        <v>202021</v>
      </c>
      <c r="W44" s="441">
        <f t="shared" si="4"/>
        <v>-1527.0022888888634</v>
      </c>
      <c r="Z44" s="592">
        <v>202425</v>
      </c>
      <c r="AA44" s="588" t="s">
        <v>2920</v>
      </c>
      <c r="AB44" s="587">
        <v>520</v>
      </c>
      <c r="AC44" s="587">
        <v>26</v>
      </c>
      <c r="AD44" s="587">
        <v>11</v>
      </c>
      <c r="AE44" s="589">
        <v>66081.002288888863</v>
      </c>
      <c r="AF44" s="593">
        <f t="shared" si="5"/>
        <v>0</v>
      </c>
    </row>
    <row r="45" spans="2:32" ht="15.5" x14ac:dyDescent="0.35">
      <c r="B45" s="203" t="s">
        <v>165</v>
      </c>
      <c r="C45" s="231">
        <v>44256</v>
      </c>
      <c r="D45" s="5"/>
      <c r="E45" s="5"/>
      <c r="F45" s="5"/>
      <c r="H45" s="573">
        <v>522</v>
      </c>
      <c r="I45" s="573" t="s">
        <v>44</v>
      </c>
      <c r="J45" s="577">
        <v>54260.009249999996</v>
      </c>
      <c r="K45"/>
      <c r="L45" s="162" t="str">
        <f>M23</f>
        <v>Wrecsam</v>
      </c>
      <c r="M45" s="609">
        <f t="shared" si="3"/>
        <v>54260.009249999996</v>
      </c>
      <c r="N45" s="208">
        <v>522</v>
      </c>
      <c r="O45" s="450" t="s">
        <v>3458</v>
      </c>
      <c r="Q45" s="434">
        <v>522</v>
      </c>
      <c r="R45" s="2">
        <v>11</v>
      </c>
      <c r="S45" s="430">
        <v>53475.03</v>
      </c>
      <c r="T45" s="2" t="s">
        <v>2920</v>
      </c>
      <c r="U45" s="2">
        <v>26</v>
      </c>
      <c r="V45" s="435">
        <v>202021</v>
      </c>
      <c r="W45" s="441">
        <f t="shared" si="4"/>
        <v>-784.97924999999668</v>
      </c>
      <c r="Z45" s="592">
        <v>202425</v>
      </c>
      <c r="AA45" s="588" t="s">
        <v>2920</v>
      </c>
      <c r="AB45" s="587">
        <v>522</v>
      </c>
      <c r="AC45" s="587">
        <v>26</v>
      </c>
      <c r="AD45" s="587">
        <v>11</v>
      </c>
      <c r="AE45" s="589">
        <v>54260.009249999996</v>
      </c>
      <c r="AF45" s="593">
        <f t="shared" si="5"/>
        <v>0</v>
      </c>
    </row>
    <row r="46" spans="2:32" ht="15.5" x14ac:dyDescent="0.35">
      <c r="H46" s="573">
        <v>524</v>
      </c>
      <c r="I46" s="573" t="s">
        <v>32</v>
      </c>
      <c r="J46" s="577">
        <v>64536.477638888893</v>
      </c>
      <c r="K46"/>
      <c r="L46" s="192" t="str">
        <f>H21</f>
        <v>Powys</v>
      </c>
      <c r="M46" s="607">
        <f t="shared" si="3"/>
        <v>64536.477638888893</v>
      </c>
      <c r="N46" s="606">
        <v>524</v>
      </c>
      <c r="O46" s="447" t="s">
        <v>3457</v>
      </c>
      <c r="Q46" s="434">
        <v>524</v>
      </c>
      <c r="R46" s="2">
        <v>11</v>
      </c>
      <c r="S46" s="430">
        <v>62396.7</v>
      </c>
      <c r="T46" s="2" t="s">
        <v>2920</v>
      </c>
      <c r="U46" s="2">
        <v>26</v>
      </c>
      <c r="V46" s="435">
        <v>202021</v>
      </c>
      <c r="W46" s="441">
        <f t="shared" si="4"/>
        <v>-2139.777638888896</v>
      </c>
      <c r="X46" s="443">
        <v>62396.7</v>
      </c>
      <c r="Y46" s="584">
        <f>X46-S46</f>
        <v>0</v>
      </c>
      <c r="Z46" s="592">
        <v>202425</v>
      </c>
      <c r="AA46" s="588" t="s">
        <v>2920</v>
      </c>
      <c r="AB46" s="587">
        <v>524</v>
      </c>
      <c r="AC46" s="587">
        <v>26</v>
      </c>
      <c r="AD46" s="587">
        <v>11</v>
      </c>
      <c r="AE46" s="589">
        <v>64536.477638888893</v>
      </c>
      <c r="AF46" s="593">
        <f t="shared" si="5"/>
        <v>0</v>
      </c>
    </row>
    <row r="47" spans="2:32" ht="15.5" x14ac:dyDescent="0.35">
      <c r="H47" s="573">
        <v>526</v>
      </c>
      <c r="I47" s="573" t="s">
        <v>33</v>
      </c>
      <c r="J47" s="577">
        <v>33768.508750000008</v>
      </c>
      <c r="K47"/>
      <c r="L47" s="155" t="str">
        <f>I21</f>
        <v>Ceredigion</v>
      </c>
      <c r="M47" s="608">
        <f t="shared" si="3"/>
        <v>33768.508750000008</v>
      </c>
      <c r="N47" s="206">
        <v>526</v>
      </c>
      <c r="O47" s="448" t="s">
        <v>3457</v>
      </c>
      <c r="Q47" s="434">
        <v>526</v>
      </c>
      <c r="R47" s="2">
        <v>11</v>
      </c>
      <c r="S47" s="430">
        <v>31936.27</v>
      </c>
      <c r="T47" s="2" t="s">
        <v>2920</v>
      </c>
      <c r="U47" s="2">
        <v>26</v>
      </c>
      <c r="V47" s="435">
        <v>202021</v>
      </c>
      <c r="W47" s="441">
        <f t="shared" si="4"/>
        <v>-1832.2387500000077</v>
      </c>
      <c r="X47" s="444">
        <v>31936.27</v>
      </c>
      <c r="Y47" s="585">
        <f t="shared" ref="Y47:Y49" si="6">X47-S47</f>
        <v>0</v>
      </c>
      <c r="Z47" s="592">
        <v>202425</v>
      </c>
      <c r="AA47" s="588" t="s">
        <v>2920</v>
      </c>
      <c r="AB47" s="587">
        <v>526</v>
      </c>
      <c r="AC47" s="587">
        <v>26</v>
      </c>
      <c r="AD47" s="587">
        <v>11</v>
      </c>
      <c r="AE47" s="589">
        <v>33768.508750000008</v>
      </c>
      <c r="AF47" s="593">
        <f t="shared" si="5"/>
        <v>0</v>
      </c>
    </row>
    <row r="48" spans="2:32" ht="15.5" x14ac:dyDescent="0.35">
      <c r="H48" s="573">
        <v>528</v>
      </c>
      <c r="I48" s="573" t="s">
        <v>34</v>
      </c>
      <c r="J48" s="577">
        <v>64261.611666666679</v>
      </c>
      <c r="K48"/>
      <c r="L48" s="155" t="str">
        <f>J21</f>
        <v>Sir Benfro</v>
      </c>
      <c r="M48" s="608">
        <f t="shared" si="3"/>
        <v>64261.611666666679</v>
      </c>
      <c r="N48" s="206">
        <v>528</v>
      </c>
      <c r="O48" s="448" t="s">
        <v>3457</v>
      </c>
      <c r="Q48" s="434">
        <v>528</v>
      </c>
      <c r="R48" s="2">
        <v>11</v>
      </c>
      <c r="S48" s="430">
        <v>57301.64</v>
      </c>
      <c r="T48" s="2" t="s">
        <v>2920</v>
      </c>
      <c r="U48" s="2">
        <v>26</v>
      </c>
      <c r="V48" s="435">
        <v>202021</v>
      </c>
      <c r="W48" s="441">
        <f t="shared" si="4"/>
        <v>-6959.9716666666791</v>
      </c>
      <c r="X48" s="444">
        <v>57301.64</v>
      </c>
      <c r="Y48" s="585">
        <f t="shared" si="6"/>
        <v>0</v>
      </c>
      <c r="Z48" s="592">
        <v>202425</v>
      </c>
      <c r="AA48" s="588" t="s">
        <v>2920</v>
      </c>
      <c r="AB48" s="587">
        <v>528</v>
      </c>
      <c r="AC48" s="587">
        <v>26</v>
      </c>
      <c r="AD48" s="587">
        <v>11</v>
      </c>
      <c r="AE48" s="589">
        <v>64261.611666666679</v>
      </c>
      <c r="AF48" s="593">
        <f t="shared" si="5"/>
        <v>0</v>
      </c>
    </row>
    <row r="49" spans="2:32" ht="15.5" x14ac:dyDescent="0.35">
      <c r="B49" s="558" t="s">
        <v>226</v>
      </c>
      <c r="G49" s="553"/>
      <c r="H49" s="573">
        <v>530</v>
      </c>
      <c r="I49" s="573" t="s">
        <v>15</v>
      </c>
      <c r="J49" s="577">
        <v>76460.399166666655</v>
      </c>
      <c r="K49"/>
      <c r="L49" s="162" t="str">
        <f>K21</f>
        <v>Sir Gaerfyrddin</v>
      </c>
      <c r="M49" s="609">
        <f t="shared" si="3"/>
        <v>76460.399166666655</v>
      </c>
      <c r="N49" s="208">
        <v>530</v>
      </c>
      <c r="O49" s="448" t="s">
        <v>3457</v>
      </c>
      <c r="Q49" s="434">
        <v>530</v>
      </c>
      <c r="R49" s="2">
        <v>11</v>
      </c>
      <c r="S49" s="430">
        <v>74006.63</v>
      </c>
      <c r="T49" s="2" t="s">
        <v>2920</v>
      </c>
      <c r="U49" s="2">
        <v>26</v>
      </c>
      <c r="V49" s="435">
        <v>202021</v>
      </c>
      <c r="W49" s="441">
        <f t="shared" si="4"/>
        <v>-2453.7691666666506</v>
      </c>
      <c r="X49" s="445">
        <v>74006.63</v>
      </c>
      <c r="Y49" s="586">
        <f t="shared" si="6"/>
        <v>0</v>
      </c>
      <c r="Z49" s="592">
        <v>202425</v>
      </c>
      <c r="AA49" s="588" t="s">
        <v>2920</v>
      </c>
      <c r="AB49" s="587">
        <v>530</v>
      </c>
      <c r="AC49" s="587">
        <v>26</v>
      </c>
      <c r="AD49" s="587">
        <v>11</v>
      </c>
      <c r="AE49" s="589">
        <v>76460.399166666655</v>
      </c>
      <c r="AF49" s="593">
        <f t="shared" si="5"/>
        <v>0</v>
      </c>
    </row>
    <row r="50" spans="2:32" ht="15.5" x14ac:dyDescent="0.35">
      <c r="B50" s="152" t="s">
        <v>5</v>
      </c>
      <c r="C50" s="153" t="s">
        <v>0</v>
      </c>
      <c r="D50" s="153" t="s">
        <v>6</v>
      </c>
      <c r="E50" s="153" t="s">
        <v>3229</v>
      </c>
      <c r="F50" s="154" t="s">
        <v>3230</v>
      </c>
      <c r="G50" s="156"/>
      <c r="H50" s="573">
        <v>532</v>
      </c>
      <c r="I50" s="573" t="s">
        <v>40</v>
      </c>
      <c r="J50" s="577">
        <v>93802.826666666675</v>
      </c>
      <c r="K50"/>
      <c r="L50" s="192" t="str">
        <f>H24</f>
        <v>Abertawe</v>
      </c>
      <c r="M50" s="607">
        <f t="shared" si="3"/>
        <v>93802.826666666675</v>
      </c>
      <c r="N50" s="606">
        <v>532</v>
      </c>
      <c r="O50" s="451" t="s">
        <v>3459</v>
      </c>
      <c r="Q50" s="434">
        <v>532</v>
      </c>
      <c r="R50" s="2">
        <v>11</v>
      </c>
      <c r="S50" s="430">
        <v>91923.49</v>
      </c>
      <c r="T50" s="2" t="s">
        <v>2920</v>
      </c>
      <c r="U50" s="2">
        <v>26</v>
      </c>
      <c r="V50" s="435">
        <v>202021</v>
      </c>
      <c r="W50" s="441">
        <f t="shared" si="4"/>
        <v>-1879.3366666666698</v>
      </c>
      <c r="Z50" s="592">
        <v>202425</v>
      </c>
      <c r="AA50" s="588" t="s">
        <v>2920</v>
      </c>
      <c r="AB50" s="587">
        <v>532</v>
      </c>
      <c r="AC50" s="587">
        <v>26</v>
      </c>
      <c r="AD50" s="587">
        <v>11</v>
      </c>
      <c r="AE50" s="589">
        <v>93802.826666666675</v>
      </c>
      <c r="AF50" s="593">
        <f t="shared" si="5"/>
        <v>0</v>
      </c>
    </row>
    <row r="51" spans="2:32" ht="15.5" x14ac:dyDescent="0.35">
      <c r="B51" s="155">
        <v>1</v>
      </c>
      <c r="C51" s="156">
        <v>0</v>
      </c>
      <c r="D51" s="156" t="s">
        <v>3308</v>
      </c>
      <c r="E51" s="156" t="s">
        <v>1587</v>
      </c>
      <c r="F51" s="157" t="str">
        <f>IF($G$2=2,D51,E51)</f>
        <v>Dewiswch eich awdurdod ar y dudalen flaen</v>
      </c>
      <c r="G51" s="156"/>
      <c r="H51" s="573">
        <v>534</v>
      </c>
      <c r="I51" s="573" t="s">
        <v>45</v>
      </c>
      <c r="J51" s="577">
        <v>48827.465555555551</v>
      </c>
      <c r="K51"/>
      <c r="L51" s="155" t="str">
        <f>I24</f>
        <v>Castell-Nedd</v>
      </c>
      <c r="M51" s="608">
        <f t="shared" si="3"/>
        <v>48827.465555555551</v>
      </c>
      <c r="N51" s="206">
        <v>534</v>
      </c>
      <c r="O51" s="452" t="s">
        <v>3459</v>
      </c>
      <c r="Q51" s="434">
        <v>534</v>
      </c>
      <c r="R51" s="2">
        <v>11</v>
      </c>
      <c r="S51" s="430">
        <v>48098.04</v>
      </c>
      <c r="T51" s="2" t="s">
        <v>2920</v>
      </c>
      <c r="U51" s="2">
        <v>26</v>
      </c>
      <c r="V51" s="435">
        <v>202021</v>
      </c>
      <c r="W51" s="441">
        <f t="shared" si="4"/>
        <v>-729.42555555555009</v>
      </c>
      <c r="Z51" s="592">
        <v>202425</v>
      </c>
      <c r="AA51" s="588" t="s">
        <v>2920</v>
      </c>
      <c r="AB51" s="587">
        <v>534</v>
      </c>
      <c r="AC51" s="587">
        <v>26</v>
      </c>
      <c r="AD51" s="587">
        <v>11</v>
      </c>
      <c r="AE51" s="589">
        <v>48827.465555555551</v>
      </c>
      <c r="AF51" s="593">
        <f t="shared" si="5"/>
        <v>0</v>
      </c>
    </row>
    <row r="52" spans="2:32" ht="15.5" x14ac:dyDescent="0.35">
      <c r="B52" s="155">
        <v>2</v>
      </c>
      <c r="C52" s="156">
        <v>562</v>
      </c>
      <c r="D52" s="156" t="s">
        <v>213</v>
      </c>
      <c r="E52" s="156" t="s">
        <v>3231</v>
      </c>
      <c r="F52" s="157" t="str">
        <f>IF($G$2=2,D52,E52)</f>
        <v>Swyddfa Comisiynydd Yr Heddlu a Throseddu Dyfed-Powys</v>
      </c>
      <c r="G52" s="156"/>
      <c r="H52" s="573">
        <v>536</v>
      </c>
      <c r="I52" s="573" t="s">
        <v>10</v>
      </c>
      <c r="J52" s="577">
        <v>55465.691666666673</v>
      </c>
      <c r="K52"/>
      <c r="L52" s="155" t="str">
        <f>J24</f>
        <v>Pen-y-Bont</v>
      </c>
      <c r="M52" s="608">
        <f t="shared" si="3"/>
        <v>55465.691666666673</v>
      </c>
      <c r="N52" s="206">
        <v>536</v>
      </c>
      <c r="O52" s="452" t="s">
        <v>3459</v>
      </c>
      <c r="Q52" s="434">
        <v>536</v>
      </c>
      <c r="R52" s="2">
        <v>11</v>
      </c>
      <c r="S52" s="430">
        <v>54492.29</v>
      </c>
      <c r="T52" s="2" t="s">
        <v>2920</v>
      </c>
      <c r="U52" s="2">
        <v>26</v>
      </c>
      <c r="V52" s="435">
        <v>202021</v>
      </c>
      <c r="W52" s="441">
        <f t="shared" si="4"/>
        <v>-973.4016666666721</v>
      </c>
      <c r="Z52" s="592">
        <v>202425</v>
      </c>
      <c r="AA52" s="588" t="s">
        <v>2920</v>
      </c>
      <c r="AB52" s="587">
        <v>536</v>
      </c>
      <c r="AC52" s="587">
        <v>26</v>
      </c>
      <c r="AD52" s="587">
        <v>11</v>
      </c>
      <c r="AE52" s="589">
        <v>55465.691666666673</v>
      </c>
      <c r="AF52" s="593">
        <f t="shared" si="5"/>
        <v>0</v>
      </c>
    </row>
    <row r="53" spans="2:32" ht="15.5" x14ac:dyDescent="0.35">
      <c r="B53" s="155">
        <v>3</v>
      </c>
      <c r="C53" s="156">
        <v>564</v>
      </c>
      <c r="D53" s="156" t="s">
        <v>214</v>
      </c>
      <c r="E53" s="156" t="s">
        <v>3232</v>
      </c>
      <c r="F53" s="157" t="str">
        <f>IF($G$2=2,D53,E53)</f>
        <v>Swyddfa Comisiynydd Yr Heddlu a Throseddu Gwent</v>
      </c>
      <c r="G53" s="156"/>
      <c r="H53" s="573">
        <v>538</v>
      </c>
      <c r="I53" s="573" t="s">
        <v>58</v>
      </c>
      <c r="J53" s="577">
        <v>63396.529694444442</v>
      </c>
      <c r="K53"/>
      <c r="L53" s="155" t="str">
        <f>K24</f>
        <v>Bro Morgannwg</v>
      </c>
      <c r="M53" s="608">
        <f t="shared" si="3"/>
        <v>63396.529694444442</v>
      </c>
      <c r="N53" s="206">
        <v>538</v>
      </c>
      <c r="O53" s="452" t="s">
        <v>3459</v>
      </c>
      <c r="Q53" s="434">
        <v>538</v>
      </c>
      <c r="R53" s="2">
        <v>11</v>
      </c>
      <c r="S53" s="430">
        <v>60806.450000000004</v>
      </c>
      <c r="T53" s="2" t="s">
        <v>2920</v>
      </c>
      <c r="U53" s="2">
        <v>26</v>
      </c>
      <c r="V53" s="435">
        <v>202021</v>
      </c>
      <c r="W53" s="441">
        <f t="shared" si="4"/>
        <v>-2590.0796944444373</v>
      </c>
      <c r="Z53" s="592">
        <v>202425</v>
      </c>
      <c r="AA53" s="588" t="s">
        <v>2920</v>
      </c>
      <c r="AB53" s="587">
        <v>538</v>
      </c>
      <c r="AC53" s="587">
        <v>26</v>
      </c>
      <c r="AD53" s="587">
        <v>11</v>
      </c>
      <c r="AE53" s="589">
        <v>63396.529694444442</v>
      </c>
      <c r="AF53" s="593">
        <f t="shared" si="5"/>
        <v>0</v>
      </c>
    </row>
    <row r="54" spans="2:32" ht="15.5" x14ac:dyDescent="0.35">
      <c r="B54" s="155">
        <v>4</v>
      </c>
      <c r="C54" s="156">
        <v>566</v>
      </c>
      <c r="D54" s="156" t="s">
        <v>215</v>
      </c>
      <c r="E54" s="156" t="s">
        <v>3233</v>
      </c>
      <c r="F54" s="157" t="str">
        <f>IF($G$2=2,D54,E54)</f>
        <v>Swyddfa Comisiynydd Heddlu a Throsedd Gogledd Cymru</v>
      </c>
      <c r="G54" s="156"/>
      <c r="H54" s="573">
        <v>540</v>
      </c>
      <c r="I54" s="573" t="s">
        <v>102</v>
      </c>
      <c r="J54" s="577">
        <v>79696.88826388889</v>
      </c>
      <c r="K54"/>
      <c r="L54" s="155" t="str">
        <f>L24</f>
        <v>Rhondda Cynon Taf</v>
      </c>
      <c r="M54" s="608">
        <f t="shared" si="3"/>
        <v>79696.88826388889</v>
      </c>
      <c r="N54" s="206">
        <v>540</v>
      </c>
      <c r="O54" s="452" t="s">
        <v>3459</v>
      </c>
      <c r="Q54" s="434">
        <v>540</v>
      </c>
      <c r="R54" s="2">
        <v>11</v>
      </c>
      <c r="S54" s="430">
        <v>77334.38</v>
      </c>
      <c r="T54" s="2" t="s">
        <v>2920</v>
      </c>
      <c r="U54" s="2">
        <v>26</v>
      </c>
      <c r="V54" s="435">
        <v>202021</v>
      </c>
      <c r="W54" s="441">
        <f t="shared" si="4"/>
        <v>-2362.5082638888853</v>
      </c>
      <c r="Z54" s="592">
        <v>202425</v>
      </c>
      <c r="AA54" s="588" t="s">
        <v>2920</v>
      </c>
      <c r="AB54" s="587">
        <v>540</v>
      </c>
      <c r="AC54" s="587">
        <v>26</v>
      </c>
      <c r="AD54" s="587">
        <v>11</v>
      </c>
      <c r="AE54" s="589">
        <v>79696.88826388889</v>
      </c>
      <c r="AF54" s="593">
        <f t="shared" si="5"/>
        <v>0</v>
      </c>
    </row>
    <row r="55" spans="2:32" ht="15.5" x14ac:dyDescent="0.35">
      <c r="B55" s="162">
        <v>5</v>
      </c>
      <c r="C55" s="163">
        <v>568</v>
      </c>
      <c r="D55" s="163" t="s">
        <v>216</v>
      </c>
      <c r="E55" s="163" t="s">
        <v>3234</v>
      </c>
      <c r="F55" s="164" t="str">
        <f>IF($G$2=2,D55,E55)</f>
        <v>Swyddfa Comisiynydd Yr Heddlu a Throseddu cyntaf De Cymru</v>
      </c>
      <c r="G55" s="559"/>
      <c r="H55" s="573">
        <v>542</v>
      </c>
      <c r="I55" s="573" t="s">
        <v>47</v>
      </c>
      <c r="J55" s="577">
        <v>18943.919999999995</v>
      </c>
      <c r="K55"/>
      <c r="L55" s="162" t="str">
        <f>M24</f>
        <v>Merthyr Tudful</v>
      </c>
      <c r="M55" s="609">
        <f t="shared" si="3"/>
        <v>18943.919999999995</v>
      </c>
      <c r="N55" s="208">
        <v>542</v>
      </c>
      <c r="O55" s="453" t="s">
        <v>3459</v>
      </c>
      <c r="Q55" s="434">
        <v>542</v>
      </c>
      <c r="R55" s="2">
        <v>11</v>
      </c>
      <c r="S55" s="430">
        <v>18400.53</v>
      </c>
      <c r="T55" s="2" t="s">
        <v>2920</v>
      </c>
      <c r="U55" s="2">
        <v>26</v>
      </c>
      <c r="V55" s="435">
        <v>202021</v>
      </c>
      <c r="W55" s="441">
        <f t="shared" si="4"/>
        <v>-543.38999999999578</v>
      </c>
      <c r="Z55" s="592">
        <v>202425</v>
      </c>
      <c r="AA55" s="588" t="s">
        <v>2920</v>
      </c>
      <c r="AB55" s="587">
        <v>542</v>
      </c>
      <c r="AC55" s="587">
        <v>26</v>
      </c>
      <c r="AD55" s="587">
        <v>11</v>
      </c>
      <c r="AE55" s="589">
        <v>18943.919999999995</v>
      </c>
      <c r="AF55" s="593">
        <f t="shared" si="5"/>
        <v>0</v>
      </c>
    </row>
    <row r="56" spans="2:32" ht="15.5" x14ac:dyDescent="0.35">
      <c r="H56" s="573">
        <v>544</v>
      </c>
      <c r="I56" s="573" t="s">
        <v>35</v>
      </c>
      <c r="J56" s="577">
        <v>61292.661083333325</v>
      </c>
      <c r="K56"/>
      <c r="L56" s="192" t="str">
        <f>H22</f>
        <v>Caerffili</v>
      </c>
      <c r="M56" s="607">
        <f t="shared" si="3"/>
        <v>61292.661083333325</v>
      </c>
      <c r="N56" s="606">
        <v>544</v>
      </c>
      <c r="O56" s="454" t="s">
        <v>119</v>
      </c>
      <c r="Q56" s="434">
        <v>544</v>
      </c>
      <c r="R56" s="2">
        <v>11</v>
      </c>
      <c r="S56" s="430">
        <v>60549.25</v>
      </c>
      <c r="T56" s="2" t="s">
        <v>2920</v>
      </c>
      <c r="U56" s="2">
        <v>26</v>
      </c>
      <c r="V56" s="435">
        <v>202021</v>
      </c>
      <c r="W56" s="441">
        <f t="shared" si="4"/>
        <v>-743.41108333332522</v>
      </c>
      <c r="Z56" s="592">
        <v>202425</v>
      </c>
      <c r="AA56" s="588" t="s">
        <v>2920</v>
      </c>
      <c r="AB56" s="587">
        <v>544</v>
      </c>
      <c r="AC56" s="587">
        <v>26</v>
      </c>
      <c r="AD56" s="587">
        <v>11</v>
      </c>
      <c r="AE56" s="589">
        <v>61292.661083333325</v>
      </c>
      <c r="AF56" s="593">
        <f t="shared" si="5"/>
        <v>0</v>
      </c>
    </row>
    <row r="57" spans="2:32" ht="15.5" x14ac:dyDescent="0.35">
      <c r="H57" s="573">
        <v>545</v>
      </c>
      <c r="I57" s="573" t="s">
        <v>36</v>
      </c>
      <c r="J57" s="577">
        <v>20936.358888888888</v>
      </c>
      <c r="K57"/>
      <c r="L57" s="155" t="str">
        <f>I22</f>
        <v>Blaenau Gwent</v>
      </c>
      <c r="M57" s="608">
        <f t="shared" si="3"/>
        <v>20936.358888888888</v>
      </c>
      <c r="N57" s="206">
        <v>545</v>
      </c>
      <c r="O57" s="454" t="s">
        <v>119</v>
      </c>
      <c r="Q57" s="434">
        <v>545</v>
      </c>
      <c r="R57" s="2">
        <v>11</v>
      </c>
      <c r="S57" s="430">
        <v>20662.439999999999</v>
      </c>
      <c r="T57" s="2" t="s">
        <v>2920</v>
      </c>
      <c r="U57" s="2">
        <v>26</v>
      </c>
      <c r="V57" s="435">
        <v>202021</v>
      </c>
      <c r="W57" s="441">
        <f t="shared" si="4"/>
        <v>-273.91888888888934</v>
      </c>
      <c r="Z57" s="592">
        <v>202425</v>
      </c>
      <c r="AA57" s="588" t="s">
        <v>2920</v>
      </c>
      <c r="AB57" s="587">
        <v>545</v>
      </c>
      <c r="AC57" s="587">
        <v>26</v>
      </c>
      <c r="AD57" s="587">
        <v>11</v>
      </c>
      <c r="AE57" s="589">
        <v>20936.358888888888</v>
      </c>
      <c r="AF57" s="593">
        <f t="shared" si="5"/>
        <v>0</v>
      </c>
    </row>
    <row r="58" spans="2:32" ht="15.5" x14ac:dyDescent="0.35">
      <c r="H58" s="573">
        <v>546</v>
      </c>
      <c r="I58" s="573" t="s">
        <v>11</v>
      </c>
      <c r="J58" s="577">
        <v>34457.262777777782</v>
      </c>
      <c r="K58"/>
      <c r="L58" s="155" t="str">
        <f>J22</f>
        <v>Torfaen</v>
      </c>
      <c r="M58" s="608">
        <f t="shared" si="3"/>
        <v>34457.262777777782</v>
      </c>
      <c r="N58" s="206">
        <v>546</v>
      </c>
      <c r="O58" s="454" t="s">
        <v>119</v>
      </c>
      <c r="Q58" s="434">
        <v>546</v>
      </c>
      <c r="R58" s="2">
        <v>11</v>
      </c>
      <c r="S58" s="430">
        <v>33981.81</v>
      </c>
      <c r="T58" s="2" t="s">
        <v>2920</v>
      </c>
      <c r="U58" s="2">
        <v>26</v>
      </c>
      <c r="V58" s="435">
        <v>202021</v>
      </c>
      <c r="W58" s="441">
        <f t="shared" si="4"/>
        <v>-475.45277777778392</v>
      </c>
      <c r="Z58" s="592">
        <v>202425</v>
      </c>
      <c r="AA58" s="588" t="s">
        <v>2920</v>
      </c>
      <c r="AB58" s="587">
        <v>546</v>
      </c>
      <c r="AC58" s="587">
        <v>26</v>
      </c>
      <c r="AD58" s="587">
        <v>11</v>
      </c>
      <c r="AE58" s="589">
        <v>34457.262777777782</v>
      </c>
      <c r="AF58" s="593">
        <f t="shared" si="5"/>
        <v>0</v>
      </c>
    </row>
    <row r="59" spans="2:32" ht="15.5" x14ac:dyDescent="0.35">
      <c r="H59" s="573">
        <v>548</v>
      </c>
      <c r="I59" s="573" t="s">
        <v>37</v>
      </c>
      <c r="J59" s="577">
        <v>48465.532500000008</v>
      </c>
      <c r="K59"/>
      <c r="L59" s="155" t="str">
        <f>K22</f>
        <v>Sir Fynwy</v>
      </c>
      <c r="M59" s="608">
        <f t="shared" si="3"/>
        <v>48465.532500000008</v>
      </c>
      <c r="N59" s="206">
        <v>548</v>
      </c>
      <c r="O59" s="454" t="s">
        <v>119</v>
      </c>
      <c r="Q59" s="434">
        <v>548</v>
      </c>
      <c r="R59" s="2">
        <v>11</v>
      </c>
      <c r="S59" s="430">
        <v>46331.92</v>
      </c>
      <c r="T59" s="2" t="s">
        <v>2920</v>
      </c>
      <c r="U59" s="2">
        <v>26</v>
      </c>
      <c r="V59" s="435">
        <v>202021</v>
      </c>
      <c r="W59" s="441">
        <f t="shared" si="4"/>
        <v>-2133.6125000000102</v>
      </c>
      <c r="Z59" s="592">
        <v>202425</v>
      </c>
      <c r="AA59" s="588" t="s">
        <v>2920</v>
      </c>
      <c r="AB59" s="587">
        <v>548</v>
      </c>
      <c r="AC59" s="587">
        <v>26</v>
      </c>
      <c r="AD59" s="587">
        <v>11</v>
      </c>
      <c r="AE59" s="589">
        <v>48465.532500000008</v>
      </c>
      <c r="AF59" s="593">
        <f t="shared" si="5"/>
        <v>0</v>
      </c>
    </row>
    <row r="60" spans="2:32" ht="15.5" x14ac:dyDescent="0.35">
      <c r="H60" s="573">
        <v>550</v>
      </c>
      <c r="I60" s="573" t="s">
        <v>38</v>
      </c>
      <c r="J60" s="577">
        <v>61328.998888888891</v>
      </c>
      <c r="K60"/>
      <c r="L60" s="162" t="str">
        <f>L22</f>
        <v>Casnewydd</v>
      </c>
      <c r="M60" s="609">
        <f t="shared" si="3"/>
        <v>61328.998888888891</v>
      </c>
      <c r="N60" s="208">
        <v>550</v>
      </c>
      <c r="O60" s="454" t="s">
        <v>119</v>
      </c>
      <c r="Q60" s="434">
        <v>550</v>
      </c>
      <c r="R60" s="2">
        <v>11</v>
      </c>
      <c r="S60" s="430">
        <v>60267.55</v>
      </c>
      <c r="T60" s="2" t="s">
        <v>2920</v>
      </c>
      <c r="U60" s="2">
        <v>26</v>
      </c>
      <c r="V60" s="435">
        <v>202021</v>
      </c>
      <c r="W60" s="441">
        <f t="shared" si="4"/>
        <v>-1061.4488888888882</v>
      </c>
      <c r="Z60" s="592">
        <v>202425</v>
      </c>
      <c r="AA60" s="588" t="s">
        <v>2920</v>
      </c>
      <c r="AB60" s="587">
        <v>550</v>
      </c>
      <c r="AC60" s="587">
        <v>26</v>
      </c>
      <c r="AD60" s="587">
        <v>11</v>
      </c>
      <c r="AE60" s="589">
        <v>61328.998888888891</v>
      </c>
      <c r="AF60" s="593">
        <f t="shared" si="5"/>
        <v>0</v>
      </c>
    </row>
    <row r="61" spans="2:32" ht="15.5" x14ac:dyDescent="0.35">
      <c r="H61" s="573">
        <v>552</v>
      </c>
      <c r="I61" s="573" t="s">
        <v>46</v>
      </c>
      <c r="J61" s="577">
        <v>151372.00277777779</v>
      </c>
      <c r="K61"/>
      <c r="L61" s="610" t="str">
        <f>N24</f>
        <v>Caerdydd</v>
      </c>
      <c r="M61" s="612">
        <f t="shared" si="3"/>
        <v>151372.00277777779</v>
      </c>
      <c r="N61" s="611">
        <v>552</v>
      </c>
      <c r="O61" s="455" t="s">
        <v>3459</v>
      </c>
      <c r="Q61" s="434">
        <v>552</v>
      </c>
      <c r="R61" s="2">
        <v>11</v>
      </c>
      <c r="S61" s="430">
        <v>147276.56</v>
      </c>
      <c r="T61" s="2" t="s">
        <v>2920</v>
      </c>
      <c r="U61" s="2">
        <v>26</v>
      </c>
      <c r="V61" s="435">
        <v>202021</v>
      </c>
      <c r="W61" s="442">
        <f t="shared" si="4"/>
        <v>-4095.4427777777892</v>
      </c>
      <c r="Z61" s="592">
        <v>202425</v>
      </c>
      <c r="AA61" s="588" t="s">
        <v>2920</v>
      </c>
      <c r="AB61" s="587">
        <v>552</v>
      </c>
      <c r="AC61" s="587">
        <v>26</v>
      </c>
      <c r="AD61" s="587">
        <v>11</v>
      </c>
      <c r="AE61" s="589">
        <v>151372.00277777779</v>
      </c>
      <c r="AF61" s="593">
        <f t="shared" si="5"/>
        <v>0</v>
      </c>
    </row>
    <row r="62" spans="2:32" ht="15.5" x14ac:dyDescent="0.35">
      <c r="H62" s="576">
        <v>596</v>
      </c>
      <c r="I62" s="576" t="s">
        <v>103</v>
      </c>
      <c r="J62" s="578">
        <v>1280944.0631849999</v>
      </c>
      <c r="K62"/>
      <c r="L62" s="162" t="str">
        <f>N21</f>
        <v>blanc</v>
      </c>
      <c r="M62" s="207">
        <v>0</v>
      </c>
      <c r="N62" s="208">
        <v>0</v>
      </c>
      <c r="O62"/>
      <c r="Q62" s="436">
        <v>596</v>
      </c>
      <c r="R62" s="437">
        <v>11</v>
      </c>
      <c r="S62" s="438">
        <v>1238220.1200000001</v>
      </c>
      <c r="T62" s="437" t="s">
        <v>2920</v>
      </c>
      <c r="U62" s="437">
        <v>26</v>
      </c>
      <c r="V62" s="439">
        <v>202021</v>
      </c>
      <c r="W62" s="430"/>
      <c r="Z62" s="594">
        <v>202425</v>
      </c>
      <c r="AA62" s="595" t="s">
        <v>2920</v>
      </c>
      <c r="AB62" s="596">
        <v>596</v>
      </c>
      <c r="AC62" s="596">
        <v>26</v>
      </c>
      <c r="AD62" s="596">
        <v>11</v>
      </c>
      <c r="AE62" s="597">
        <v>1280944.0631849999</v>
      </c>
      <c r="AF62" s="598">
        <f t="shared" si="5"/>
        <v>0</v>
      </c>
    </row>
    <row r="64" spans="2:32" ht="13.5" customHeight="1" x14ac:dyDescent="0.35">
      <c r="C64" s="284" t="s">
        <v>3545</v>
      </c>
      <c r="G64" s="570" t="s">
        <v>3561</v>
      </c>
      <c r="Q64" s="11"/>
      <c r="R64" s="11"/>
      <c r="S64" s="11"/>
      <c r="T64" s="7"/>
    </row>
    <row r="65" spans="3:28" ht="13.5" customHeight="1" x14ac:dyDescent="0.2">
      <c r="Q65" s="20"/>
      <c r="R65" s="20"/>
      <c r="S65" s="20"/>
      <c r="T65" s="7"/>
    </row>
    <row r="66" spans="3:28" ht="13.5" customHeight="1" x14ac:dyDescent="0.35">
      <c r="C66" s="1" t="s">
        <v>3546</v>
      </c>
      <c r="D66" s="1"/>
      <c r="E66" s="1"/>
      <c r="F66" s="1"/>
      <c r="G66" s="1"/>
      <c r="Q66" s="20"/>
      <c r="R66" s="20"/>
      <c r="S66" s="20"/>
      <c r="T66" s="467"/>
    </row>
    <row r="67" spans="3:28" ht="13.5" customHeight="1" x14ac:dyDescent="0.25">
      <c r="C67" s="1" t="s">
        <v>3547</v>
      </c>
      <c r="D67" s="1"/>
      <c r="E67" s="1"/>
      <c r="F67" s="1"/>
      <c r="G67" s="1"/>
      <c r="Q67" s="20"/>
      <c r="R67" s="20"/>
      <c r="S67" s="20"/>
      <c r="T67" s="702"/>
      <c r="U67" s="702"/>
      <c r="V67" s="702"/>
      <c r="W67" s="703"/>
      <c r="X67" s="703"/>
      <c r="Y67" s="703"/>
      <c r="Z67" s="703"/>
      <c r="AA67" s="703"/>
      <c r="AB67" s="703"/>
    </row>
    <row r="68" spans="3:28" ht="13.5" customHeight="1" x14ac:dyDescent="0.25">
      <c r="C68" s="1" t="s">
        <v>3548</v>
      </c>
      <c r="D68" s="1"/>
      <c r="E68" s="1"/>
      <c r="F68" s="1"/>
      <c r="G68" s="1"/>
      <c r="Q68" s="20"/>
      <c r="R68" s="20"/>
      <c r="S68" s="20"/>
      <c r="T68" s="468"/>
      <c r="U68" s="468"/>
      <c r="V68" s="468"/>
      <c r="W68" s="468"/>
      <c r="X68" s="468"/>
      <c r="Y68" s="468"/>
      <c r="Z68" s="468"/>
      <c r="AA68" s="468"/>
      <c r="AB68" s="472"/>
    </row>
    <row r="69" spans="3:28" ht="50" x14ac:dyDescent="0.25">
      <c r="C69" s="1" t="s">
        <v>236</v>
      </c>
      <c r="D69" s="567" t="s">
        <v>3309</v>
      </c>
      <c r="E69" s="567" t="s">
        <v>3549</v>
      </c>
      <c r="F69" s="567" t="s">
        <v>3550</v>
      </c>
      <c r="G69" s="567" t="s">
        <v>3551</v>
      </c>
      <c r="T69" s="468"/>
      <c r="U69" s="473"/>
      <c r="V69" s="473"/>
      <c r="W69" s="473"/>
      <c r="X69" s="473"/>
      <c r="Y69" s="473"/>
      <c r="Z69" s="473"/>
      <c r="AA69" s="473"/>
      <c r="AB69" s="473"/>
    </row>
    <row r="70" spans="3:28" ht="13.5" customHeight="1" x14ac:dyDescent="0.35">
      <c r="C70" s="1" t="s">
        <v>237</v>
      </c>
      <c r="D70" s="566">
        <v>26.523584165674105</v>
      </c>
      <c r="E70" s="566">
        <v>0.19214691396653916</v>
      </c>
      <c r="F70" s="566">
        <v>8.220383</v>
      </c>
      <c r="G70" s="566">
        <v>34.936113940247353</v>
      </c>
      <c r="Q70" s="11"/>
      <c r="R70" s="11"/>
      <c r="S70" s="11"/>
      <c r="T70" s="468"/>
      <c r="U70" s="468"/>
      <c r="V70" s="469"/>
      <c r="W70" s="470"/>
      <c r="X70" s="469"/>
      <c r="Y70" s="470"/>
      <c r="Z70" s="469"/>
      <c r="AA70" s="470"/>
      <c r="AB70" s="469"/>
    </row>
    <row r="71" spans="3:28" ht="13.5" customHeight="1" x14ac:dyDescent="0.35">
      <c r="C71" s="1" t="s">
        <v>238</v>
      </c>
      <c r="D71" s="566">
        <v>25.800028819599845</v>
      </c>
      <c r="E71" s="566">
        <v>0.21277804247274398</v>
      </c>
      <c r="F71" s="566">
        <v>25.98321</v>
      </c>
      <c r="G71" s="566">
        <v>51.996016623093901</v>
      </c>
      <c r="Q71" s="6"/>
      <c r="R71" s="6"/>
      <c r="S71" s="7"/>
      <c r="T71" s="468"/>
      <c r="U71" s="468"/>
      <c r="V71" s="469"/>
      <c r="W71" s="470"/>
      <c r="X71" s="469"/>
      <c r="Y71" s="470"/>
      <c r="Z71" s="469"/>
      <c r="AA71" s="470"/>
      <c r="AB71" s="469"/>
    </row>
    <row r="72" spans="3:28" ht="13.5" customHeight="1" x14ac:dyDescent="0.35">
      <c r="C72" s="1" t="s">
        <v>239</v>
      </c>
      <c r="D72" s="566">
        <v>34.026023631647369</v>
      </c>
      <c r="E72" s="566">
        <v>0.25150783764481927</v>
      </c>
      <c r="F72" s="566">
        <v>16.109203999999998</v>
      </c>
      <c r="G72" s="566">
        <v>50.386735287924701</v>
      </c>
      <c r="Q72" s="6"/>
      <c r="R72" s="6"/>
      <c r="S72" s="7"/>
      <c r="T72" s="468"/>
      <c r="U72" s="468"/>
      <c r="V72" s="469"/>
      <c r="W72" s="470"/>
      <c r="X72" s="469"/>
      <c r="Y72" s="470"/>
      <c r="Z72" s="469"/>
      <c r="AA72" s="470"/>
      <c r="AB72" s="469"/>
    </row>
    <row r="73" spans="3:28" ht="13.5" customHeight="1" x14ac:dyDescent="0.35">
      <c r="C73" s="1" t="s">
        <v>240</v>
      </c>
      <c r="D73" s="566">
        <v>58.270813632030453</v>
      </c>
      <c r="E73" s="566">
        <v>0.48281720591589772</v>
      </c>
      <c r="F73" s="566">
        <v>62.017953000000006</v>
      </c>
      <c r="G73" s="566">
        <v>120.77158439768581</v>
      </c>
      <c r="Q73" s="6"/>
      <c r="R73" s="6"/>
      <c r="S73" s="7"/>
      <c r="T73" s="468"/>
      <c r="U73" s="468"/>
      <c r="V73" s="469"/>
      <c r="W73" s="470"/>
      <c r="X73" s="469"/>
      <c r="Y73" s="470"/>
      <c r="Z73" s="469"/>
      <c r="AA73" s="470"/>
      <c r="AB73" s="469"/>
    </row>
    <row r="74" spans="3:28" ht="13.5" customHeight="1" x14ac:dyDescent="0.35">
      <c r="C74" s="1" t="s">
        <v>104</v>
      </c>
      <c r="D74" s="566">
        <v>144.62045024895178</v>
      </c>
      <c r="E74" s="566">
        <v>1.1392500000000001</v>
      </c>
      <c r="F74" s="566">
        <v>112.33074999999999</v>
      </c>
      <c r="G74" s="566">
        <v>258.09045024895175</v>
      </c>
      <c r="Q74" s="6"/>
      <c r="R74" s="6"/>
      <c r="S74" s="7"/>
      <c r="T74" s="468"/>
      <c r="U74" s="468"/>
      <c r="V74" s="469"/>
      <c r="W74" s="470"/>
      <c r="X74" s="469"/>
      <c r="Y74" s="470"/>
      <c r="Z74" s="469"/>
      <c r="AA74" s="470"/>
      <c r="AB74" s="469"/>
    </row>
    <row r="75" spans="3:28" ht="13.5" customHeight="1" x14ac:dyDescent="0.55000000000000004">
      <c r="S75" s="12"/>
      <c r="T75" s="7"/>
    </row>
    <row r="76" spans="3:28" ht="13.5" customHeight="1" x14ac:dyDescent="0.35">
      <c r="D76" s="565">
        <f>D70*10^6</f>
        <v>26523584.165674105</v>
      </c>
      <c r="E76" s="565">
        <f t="shared" ref="E76:G76" si="7">E70*10^6</f>
        <v>192146.91396653917</v>
      </c>
      <c r="F76" s="565">
        <f t="shared" si="7"/>
        <v>8220383</v>
      </c>
      <c r="G76" s="565">
        <f t="shared" si="7"/>
        <v>34936113.940247349</v>
      </c>
      <c r="Q76" s="11"/>
      <c r="R76" s="11"/>
      <c r="S76" s="11"/>
      <c r="T76" s="4"/>
      <c r="V76" s="20"/>
      <c r="W76" s="20"/>
      <c r="X76" s="20"/>
      <c r="Y76" s="20"/>
      <c r="Z76" s="20"/>
      <c r="AA76" s="20"/>
      <c r="AB76" s="20"/>
    </row>
    <row r="77" spans="3:28" ht="13.5" customHeight="1" x14ac:dyDescent="0.35">
      <c r="D77" s="565">
        <f t="shared" ref="D77:G77" si="8">D71*10^6</f>
        <v>25800028.819599845</v>
      </c>
      <c r="E77" s="565">
        <f t="shared" si="8"/>
        <v>212778.04247274398</v>
      </c>
      <c r="F77" s="565">
        <f t="shared" si="8"/>
        <v>25983210</v>
      </c>
      <c r="G77" s="565">
        <f t="shared" si="8"/>
        <v>51996016.623093903</v>
      </c>
      <c r="Q77" s="6"/>
      <c r="R77" s="6"/>
      <c r="S77" s="7"/>
      <c r="T77" s="7"/>
      <c r="V77" s="20"/>
      <c r="W77" s="20"/>
      <c r="X77" s="20"/>
      <c r="Y77" s="20"/>
      <c r="Z77" s="20"/>
      <c r="AA77" s="20"/>
      <c r="AB77" s="20"/>
    </row>
    <row r="78" spans="3:28" ht="13.5" customHeight="1" x14ac:dyDescent="0.35">
      <c r="D78" s="565">
        <f t="shared" ref="D78:G78" si="9">D72*10^6</f>
        <v>34026023.631647371</v>
      </c>
      <c r="E78" s="565">
        <f t="shared" si="9"/>
        <v>251507.83764481926</v>
      </c>
      <c r="F78" s="565">
        <f t="shared" si="9"/>
        <v>16109203.999999998</v>
      </c>
      <c r="G78" s="565">
        <f t="shared" si="9"/>
        <v>50386735.287924699</v>
      </c>
      <c r="Q78" s="6"/>
      <c r="R78" s="6"/>
      <c r="S78" s="7"/>
      <c r="T78" s="7"/>
      <c r="V78" s="20"/>
      <c r="W78" s="20"/>
      <c r="X78" s="20"/>
      <c r="Y78" s="20"/>
      <c r="Z78" s="20"/>
      <c r="AA78" s="20"/>
      <c r="AB78" s="20"/>
    </row>
    <row r="79" spans="3:28" ht="13.5" customHeight="1" x14ac:dyDescent="0.35">
      <c r="D79" s="565">
        <f t="shared" ref="D79:G79" si="10">D73*10^6</f>
        <v>58270813.63203045</v>
      </c>
      <c r="E79" s="565">
        <f t="shared" si="10"/>
        <v>482817.20591589774</v>
      </c>
      <c r="F79" s="565">
        <f t="shared" si="10"/>
        <v>62017953.000000007</v>
      </c>
      <c r="G79" s="565">
        <f t="shared" si="10"/>
        <v>120771584.39768581</v>
      </c>
      <c r="Q79" s="6"/>
      <c r="R79" s="6"/>
      <c r="S79" s="7"/>
      <c r="T79" s="7"/>
      <c r="V79" s="20"/>
      <c r="W79" s="20"/>
      <c r="X79" s="20"/>
      <c r="Y79" s="20"/>
      <c r="Z79" s="20"/>
      <c r="AA79" s="20"/>
      <c r="AB79" s="20"/>
    </row>
    <row r="80" spans="3:28" ht="13.5" customHeight="1" x14ac:dyDescent="0.35">
      <c r="D80" s="565">
        <f t="shared" ref="D80:G80" si="11">D74*10^6</f>
        <v>144620450.24895179</v>
      </c>
      <c r="E80" s="565">
        <f t="shared" si="11"/>
        <v>1139250</v>
      </c>
      <c r="F80" s="565">
        <f t="shared" si="11"/>
        <v>112330750</v>
      </c>
      <c r="G80" s="565">
        <f t="shared" si="11"/>
        <v>258090450.24895176</v>
      </c>
      <c r="Q80" s="6"/>
      <c r="R80" s="6"/>
      <c r="S80" s="7"/>
      <c r="T80" s="7"/>
      <c r="V80" s="20"/>
      <c r="W80" s="20"/>
      <c r="X80" s="20"/>
      <c r="Y80" s="20"/>
      <c r="Z80" s="20"/>
      <c r="AA80" s="20"/>
      <c r="AB80" s="20"/>
    </row>
    <row r="81" spans="3:24" ht="13.5" customHeight="1" x14ac:dyDescent="0.2">
      <c r="T81" s="7"/>
    </row>
    <row r="82" spans="3:24" ht="13.5" customHeight="1" x14ac:dyDescent="0.3">
      <c r="Q82" s="11"/>
      <c r="R82" s="11"/>
      <c r="S82" s="11"/>
      <c r="T82" s="7"/>
      <c r="W82" s="62"/>
      <c r="X82" s="62"/>
    </row>
    <row r="83" spans="3:24" ht="13.5" customHeight="1" x14ac:dyDescent="0.35">
      <c r="C83" s="1" t="s">
        <v>3560</v>
      </c>
      <c r="Q83" s="6"/>
      <c r="R83" s="6"/>
      <c r="S83" s="7"/>
      <c r="T83" s="7"/>
      <c r="U83" s="471"/>
      <c r="V83" s="8"/>
      <c r="W83" s="4"/>
      <c r="X83" s="4"/>
    </row>
    <row r="84" spans="3:24" ht="13.5" customHeight="1" x14ac:dyDescent="0.35">
      <c r="C84" s="1" t="s">
        <v>236</v>
      </c>
      <c r="D84" s="567" t="s">
        <v>3552</v>
      </c>
      <c r="E84" s="567" t="s">
        <v>3553</v>
      </c>
      <c r="F84" s="567" t="s">
        <v>3554</v>
      </c>
      <c r="G84" s="567" t="s">
        <v>3555</v>
      </c>
      <c r="H84" s="567" t="s">
        <v>3556</v>
      </c>
      <c r="I84" s="567" t="s">
        <v>3557</v>
      </c>
      <c r="Q84" s="6"/>
      <c r="R84" s="6"/>
      <c r="S84" s="7"/>
      <c r="T84" s="7"/>
      <c r="U84" s="471"/>
      <c r="V84" s="9"/>
      <c r="W84" s="4"/>
      <c r="X84" s="4"/>
    </row>
    <row r="85" spans="3:24" ht="13.5" customHeight="1" x14ac:dyDescent="0.35">
      <c r="C85" s="1" t="s">
        <v>3558</v>
      </c>
      <c r="D85" s="566">
        <v>36.993392999999998</v>
      </c>
      <c r="E85" s="566">
        <v>40.966507</v>
      </c>
      <c r="F85" s="566">
        <v>44.497297000000003</v>
      </c>
      <c r="G85" s="566">
        <v>52.271925000000003</v>
      </c>
      <c r="H85" s="566">
        <v>54.995885000000001</v>
      </c>
      <c r="I85" s="566">
        <v>56.379201999999999</v>
      </c>
      <c r="Q85" s="6"/>
      <c r="R85" s="6"/>
      <c r="S85" s="7"/>
      <c r="U85" s="471"/>
      <c r="W85" s="4"/>
      <c r="X85" s="4"/>
    </row>
    <row r="86" spans="3:24" ht="13.5" customHeight="1" x14ac:dyDescent="0.35">
      <c r="C86" s="1" t="s">
        <v>238</v>
      </c>
      <c r="D86" s="566">
        <v>41.286575999999997</v>
      </c>
      <c r="E86" s="566">
        <v>46.660052999999998</v>
      </c>
      <c r="F86" s="566">
        <v>51.538533999999999</v>
      </c>
      <c r="G86" s="566">
        <v>62.401290000000003</v>
      </c>
      <c r="H86" s="566">
        <v>65.966967999999994</v>
      </c>
      <c r="I86" s="566">
        <v>67.730283</v>
      </c>
      <c r="Q86" s="6"/>
      <c r="R86" s="6"/>
      <c r="S86" s="7"/>
      <c r="U86" s="471"/>
      <c r="W86" s="4"/>
      <c r="X86" s="4"/>
    </row>
    <row r="87" spans="3:24" ht="13.5" customHeight="1" x14ac:dyDescent="0.35">
      <c r="C87" s="1" t="s">
        <v>239</v>
      </c>
      <c r="D87" s="566">
        <v>50.737774000000002</v>
      </c>
      <c r="E87" s="566">
        <v>56.100524</v>
      </c>
      <c r="F87" s="566">
        <v>61.153323</v>
      </c>
      <c r="G87" s="566">
        <v>72.125433999999998</v>
      </c>
      <c r="H87" s="566">
        <v>76.011360999999994</v>
      </c>
      <c r="I87" s="566">
        <v>77.881856999999997</v>
      </c>
      <c r="U87" s="471"/>
      <c r="W87" s="4"/>
      <c r="X87" s="4"/>
    </row>
    <row r="88" spans="3:24" ht="13.5" customHeight="1" x14ac:dyDescent="0.35">
      <c r="C88" s="1" t="s">
        <v>240</v>
      </c>
      <c r="D88" s="566">
        <v>84.864379</v>
      </c>
      <c r="E88" s="566">
        <v>96.894572999999994</v>
      </c>
      <c r="F88" s="566">
        <v>107.639318</v>
      </c>
      <c r="G88" s="566">
        <v>132.16523000000001</v>
      </c>
      <c r="H88" s="566">
        <v>140.07780500000001</v>
      </c>
      <c r="I88" s="566">
        <v>144.31522000000001</v>
      </c>
      <c r="Q88" s="11"/>
      <c r="R88" s="11"/>
      <c r="S88" s="11"/>
    </row>
    <row r="89" spans="3:24" ht="13.5" customHeight="1" x14ac:dyDescent="0.35">
      <c r="C89" s="1" t="s">
        <v>3559</v>
      </c>
      <c r="D89" s="566">
        <v>213.88212200000001</v>
      </c>
      <c r="E89" s="566">
        <v>240.621657</v>
      </c>
      <c r="F89" s="566">
        <v>264.82847199999998</v>
      </c>
      <c r="G89" s="566">
        <v>318.96387900000002</v>
      </c>
      <c r="H89" s="566">
        <v>337.05201899999997</v>
      </c>
      <c r="I89" s="566">
        <v>346.30656199999999</v>
      </c>
      <c r="Q89" s="6"/>
      <c r="R89" s="6"/>
      <c r="S89" s="7"/>
    </row>
    <row r="90" spans="3:24" ht="13.5" customHeight="1" x14ac:dyDescent="0.2">
      <c r="Q90" s="6"/>
      <c r="R90" s="6"/>
      <c r="S90" s="7"/>
    </row>
    <row r="91" spans="3:24" ht="13.5" customHeight="1" x14ac:dyDescent="0.35">
      <c r="D91" s="565">
        <f>D85*10^6</f>
        <v>36993393</v>
      </c>
      <c r="E91" s="565">
        <f t="shared" ref="E91:G91" si="12">E85*10^6</f>
        <v>40966507</v>
      </c>
      <c r="F91" s="565">
        <f t="shared" si="12"/>
        <v>44497297</v>
      </c>
      <c r="G91" s="565">
        <f t="shared" si="12"/>
        <v>52271925</v>
      </c>
      <c r="H91" s="565">
        <f>H85*10^6</f>
        <v>54995885</v>
      </c>
      <c r="I91" s="565">
        <f t="shared" ref="I91" si="13">I85*10^6</f>
        <v>56379202</v>
      </c>
      <c r="Q91" s="6"/>
      <c r="R91" s="6"/>
      <c r="S91" s="7"/>
    </row>
    <row r="92" spans="3:24" ht="13.5" customHeight="1" x14ac:dyDescent="0.35">
      <c r="D92" s="565">
        <f t="shared" ref="D92:G92" si="14">D86*10^6</f>
        <v>41286576</v>
      </c>
      <c r="E92" s="565">
        <f t="shared" si="14"/>
        <v>46660053</v>
      </c>
      <c r="F92" s="565">
        <f t="shared" si="14"/>
        <v>51538534</v>
      </c>
      <c r="G92" s="565">
        <f t="shared" si="14"/>
        <v>62401290</v>
      </c>
      <c r="H92" s="565">
        <f t="shared" ref="H92:I92" si="15">H86*10^6</f>
        <v>65966967.999999993</v>
      </c>
      <c r="I92" s="565">
        <f t="shared" si="15"/>
        <v>67730283</v>
      </c>
      <c r="Q92" s="6"/>
      <c r="R92" s="6"/>
      <c r="S92" s="7"/>
    </row>
    <row r="93" spans="3:24" ht="13.5" customHeight="1" x14ac:dyDescent="0.35">
      <c r="D93" s="565">
        <f t="shared" ref="D93:G93" si="16">D87*10^6</f>
        <v>50737774</v>
      </c>
      <c r="E93" s="565">
        <f t="shared" si="16"/>
        <v>56100524</v>
      </c>
      <c r="F93" s="565">
        <f t="shared" si="16"/>
        <v>61153323</v>
      </c>
      <c r="G93" s="565">
        <f t="shared" si="16"/>
        <v>72125434</v>
      </c>
      <c r="H93" s="565">
        <f t="shared" ref="H93:I93" si="17">H87*10^6</f>
        <v>76011361</v>
      </c>
      <c r="I93" s="565">
        <f t="shared" si="17"/>
        <v>77881857</v>
      </c>
    </row>
    <row r="94" spans="3:24" ht="13.5" customHeight="1" x14ac:dyDescent="0.35">
      <c r="D94" s="565">
        <f t="shared" ref="D94:G94" si="18">D88*10^6</f>
        <v>84864379</v>
      </c>
      <c r="E94" s="565">
        <f t="shared" si="18"/>
        <v>96894573</v>
      </c>
      <c r="F94" s="565">
        <f t="shared" si="18"/>
        <v>107639318</v>
      </c>
      <c r="G94" s="565">
        <f t="shared" si="18"/>
        <v>132165230.00000001</v>
      </c>
      <c r="H94" s="565">
        <f t="shared" ref="H94:I94" si="19">H88*10^6</f>
        <v>140077805</v>
      </c>
      <c r="I94" s="565">
        <f t="shared" si="19"/>
        <v>144315220</v>
      </c>
      <c r="Q94" s="11"/>
      <c r="R94" s="11"/>
      <c r="S94" s="11"/>
    </row>
    <row r="95" spans="3:24" ht="13.5" customHeight="1" x14ac:dyDescent="0.35">
      <c r="D95" s="565">
        <f t="shared" ref="D95:G95" si="20">D89*10^6</f>
        <v>213882122</v>
      </c>
      <c r="E95" s="565">
        <f t="shared" si="20"/>
        <v>240621657</v>
      </c>
      <c r="F95" s="565">
        <f t="shared" si="20"/>
        <v>264828471.99999997</v>
      </c>
      <c r="G95" s="565">
        <f t="shared" si="20"/>
        <v>318963879</v>
      </c>
      <c r="H95" s="565">
        <f t="shared" ref="H95:I95" si="21">H89*10^6</f>
        <v>337052019</v>
      </c>
      <c r="I95" s="565">
        <f t="shared" si="21"/>
        <v>346306562</v>
      </c>
      <c r="Q95" s="6"/>
      <c r="R95" s="6"/>
      <c r="S95" s="7"/>
    </row>
    <row r="96" spans="3:24" ht="13.5" customHeight="1" x14ac:dyDescent="0.2">
      <c r="Q96" s="6"/>
      <c r="R96" s="6"/>
      <c r="S96" s="7"/>
    </row>
    <row r="97" spans="17:19" ht="13.5" customHeight="1" x14ac:dyDescent="0.2">
      <c r="Q97" s="6"/>
      <c r="R97" s="6"/>
      <c r="S97" s="7"/>
    </row>
    <row r="98" spans="17:19" ht="13.5" customHeight="1" x14ac:dyDescent="0.2">
      <c r="Q98" s="6"/>
      <c r="R98" s="6"/>
      <c r="S98" s="7"/>
    </row>
  </sheetData>
  <sheetProtection sheet="1" objects="1" scenarios="1"/>
  <mergeCells count="3">
    <mergeCell ref="T67:AB67"/>
    <mergeCell ref="R3:Y4"/>
    <mergeCell ref="E34:G35"/>
  </mergeCells>
  <phoneticPr fontId="0" type="noConversion"/>
  <hyperlinks>
    <hyperlink ref="R3" r:id="rId2" xr:uid="{00000000-0004-0000-0500-000000000000}"/>
    <hyperlink ref="E34" r:id="rId3" xr:uid="{00000000-0004-0000-0500-000001000000}"/>
    <hyperlink ref="B14" r:id="rId4" xr:uid="{00000000-0004-0000-0500-000002000000}"/>
    <hyperlink ref="C64" r:id="rId5" xr:uid="{B052E4AC-C891-495E-87BD-F168CD581CBF}"/>
  </hyperlinks>
  <pageMargins left="0.75" right="0.75" top="1" bottom="1" header="0.5" footer="0.5"/>
  <pageSetup paperSize="9" orientation="landscape" r:id="rId6"/>
  <headerFooter alignWithMargins="0"/>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99"/>
  </sheetPr>
  <dimension ref="A1:F93"/>
  <sheetViews>
    <sheetView workbookViewId="0">
      <selection activeCell="Z4" sqref="Z4"/>
    </sheetView>
  </sheetViews>
  <sheetFormatPr defaultColWidth="8.84375" defaultRowHeight="12.5" x14ac:dyDescent="0.35"/>
  <cols>
    <col min="1" max="1" width="8.07421875" style="76" customWidth="1"/>
    <col min="2" max="2" width="59" style="80" customWidth="1"/>
    <col min="3" max="3" width="14.23046875" style="80" customWidth="1"/>
    <col min="4" max="4" width="53" style="80" customWidth="1"/>
    <col min="5" max="5" width="13.69140625" style="97" customWidth="1"/>
    <col min="6" max="6" width="60.69140625" style="80" customWidth="1"/>
    <col min="7" max="16384" width="8.84375" style="76"/>
  </cols>
  <sheetData>
    <row r="1" spans="1:6" ht="13" x14ac:dyDescent="0.35">
      <c r="A1" s="79" t="s">
        <v>3211</v>
      </c>
      <c r="D1" s="81" t="s">
        <v>3258</v>
      </c>
      <c r="E1" s="82"/>
      <c r="F1" s="81"/>
    </row>
    <row r="2" spans="1:6" ht="13" x14ac:dyDescent="0.35">
      <c r="A2" s="83" t="s">
        <v>3212</v>
      </c>
      <c r="B2" s="84" t="s">
        <v>3213</v>
      </c>
      <c r="C2" s="84" t="s">
        <v>249</v>
      </c>
      <c r="D2" s="84" t="s">
        <v>3214</v>
      </c>
      <c r="E2" s="85" t="s">
        <v>251</v>
      </c>
      <c r="F2" s="84" t="s">
        <v>3215</v>
      </c>
    </row>
    <row r="3" spans="1:6" s="1" customFormat="1" ht="26" x14ac:dyDescent="0.25">
      <c r="A3" s="86" t="s">
        <v>3216</v>
      </c>
      <c r="B3" s="87"/>
      <c r="C3" s="87"/>
      <c r="D3" s="87"/>
      <c r="E3" s="88"/>
      <c r="F3" s="87"/>
    </row>
    <row r="4" spans="1:6" s="1" customFormat="1" ht="13" x14ac:dyDescent="0.25">
      <c r="A4" s="89"/>
      <c r="B4" s="81" t="s">
        <v>3217</v>
      </c>
      <c r="C4" s="81"/>
      <c r="D4" s="81" t="str">
        <f>VLOOKUP(B4,Translate!$B$3:$E$1449,3,FALSE)</f>
        <v>Ffurflen Gofynion y Gyllideb</v>
      </c>
      <c r="E4" s="82" t="str">
        <f>IF(ISERROR(VLOOKUP(C4,Translate!$B$3:$E$1449,3,FALSE)),"",VLOOKUP(C4,Translate!$B$3:$E$1449,3,FALSE))</f>
        <v/>
      </c>
      <c r="F4" s="80" t="str">
        <f>IF(FrontPage!$E$7=1,D4&amp;E4,B4&amp;C4)</f>
        <v>Ffurflen Gofynion y Gyllideb</v>
      </c>
    </row>
    <row r="5" spans="1:6" s="1" customFormat="1" ht="13" x14ac:dyDescent="0.25">
      <c r="A5" s="89"/>
      <c r="B5" s="81" t="s">
        <v>3304</v>
      </c>
      <c r="C5" s="81"/>
      <c r="D5" s="81" t="str">
        <f>VLOOKUP(B5,Translate!$B$3:$E$1449,3,FALSE)</f>
        <v>Yr Heddlu yn unig</v>
      </c>
      <c r="E5" s="82" t="str">
        <f>IF(ISERROR(VLOOKUP(C5,Translate!$B$3:$E$1254,3,FALSE)),"",VLOOKUP(C5,Translate!$B$3:$E$1254,3,FALSE))</f>
        <v/>
      </c>
      <c r="F5" s="80" t="str">
        <f>IF(FrontPage!$E$7=1,D5&amp;E5,B5&amp;C5)</f>
        <v>Yr Heddlu yn unig</v>
      </c>
    </row>
    <row r="6" spans="1:6" s="1" customFormat="1" ht="13" x14ac:dyDescent="0.25">
      <c r="A6" s="89"/>
      <c r="B6" s="81" t="s">
        <v>2923</v>
      </c>
      <c r="C6" s="81"/>
      <c r="D6" s="81" t="str">
        <f>VLOOKUP(B6,Translate!$B$3:$E$1449,3,FALSE)</f>
        <v>Dewiswch eich awdurdod a cywirwch eich cyfeiriad os oes angen</v>
      </c>
      <c r="E6" s="82" t="str">
        <f>IF(ISERROR(VLOOKUP(C6,Translate!$B$3:$E$1254,3,FALSE)),"",VLOOKUP(C6,Translate!$B$3:$E$1254,3,FALSE))</f>
        <v/>
      </c>
      <c r="F6" s="80" t="str">
        <f>IF(FrontPage!$E$7=1,D6&amp;E6,B6&amp;C6)</f>
        <v>Dewiswch eich awdurdod a cywirwch eich cyfeiriad os oes angen</v>
      </c>
    </row>
    <row r="7" spans="1:6" s="1" customFormat="1" x14ac:dyDescent="0.25">
      <c r="B7" s="78" t="s">
        <v>1107</v>
      </c>
      <c r="C7" s="78"/>
      <c r="D7" s="81" t="str">
        <f>VLOOKUP(B7,Translate!$B$3:$E$1449,3,FALSE)</f>
        <v>Enw:</v>
      </c>
      <c r="E7" s="82" t="str">
        <f>IF(ISERROR(VLOOKUP(C7,Translate!$B$3:$E$1254,3,FALSE)),"",VLOOKUP(C7,Translate!$B$3:$E$1254,3,FALSE))</f>
        <v/>
      </c>
      <c r="F7" s="80" t="str">
        <f>IF(FrontPage!$E$7=1,D7&amp;E7,B7&amp;C7)</f>
        <v>Enw:</v>
      </c>
    </row>
    <row r="8" spans="1:6" s="1" customFormat="1" x14ac:dyDescent="0.25">
      <c r="B8" s="78" t="s">
        <v>824</v>
      </c>
      <c r="C8" s="78"/>
      <c r="D8" s="81" t="str">
        <f>VLOOKUP(B8,Translate!$B$3:$E$1449,3,FALSE)</f>
        <v>E-bost (rhowch Amh os nad yw ar gael):</v>
      </c>
      <c r="E8" s="82" t="str">
        <f>IF(ISERROR(VLOOKUP(C8,Translate!$B$3:$E$1254,3,FALSE)),"",VLOOKUP(C8,Translate!$B$3:$E$1254,3,FALSE))</f>
        <v/>
      </c>
      <c r="F8" s="80" t="str">
        <f>IF(FrontPage!$E$7=1,D8&amp;E8,B8&amp;C8)</f>
        <v>E-bost (rhowch Amh os nad yw ar gael):</v>
      </c>
    </row>
    <row r="9" spans="1:6" s="1" customFormat="1" x14ac:dyDescent="0.25">
      <c r="B9" s="78" t="s">
        <v>1342</v>
      </c>
      <c r="C9" s="78"/>
      <c r="D9" s="81" t="str">
        <f>VLOOKUP(B9,Translate!$B$3:$E$1449,3,FALSE)</f>
        <v>Ffôn: Cod STD:</v>
      </c>
      <c r="E9" s="82" t="str">
        <f>IF(ISERROR(VLOOKUP(C9,Translate!$B$3:$E$1254,3,FALSE)),"",VLOOKUP(C9,Translate!$B$3:$E$1254,3,FALSE))</f>
        <v/>
      </c>
      <c r="F9" s="80" t="str">
        <f>IF(FrontPage!$E$7=1,D9&amp;E9,B9&amp;C9)</f>
        <v>Ffôn: Cod STD:</v>
      </c>
    </row>
    <row r="10" spans="1:6" s="1" customFormat="1" x14ac:dyDescent="0.25">
      <c r="B10" s="78" t="s">
        <v>1159</v>
      </c>
      <c r="C10" s="78"/>
      <c r="D10" s="81" t="str">
        <f>VLOOKUP(B10,Translate!$B$3:$E$1449,3,FALSE)</f>
        <v>Rhif ac estyniad:</v>
      </c>
      <c r="E10" s="82" t="str">
        <f>IF(ISERROR(VLOOKUP(C10,Translate!$B$3:$E$1254,3,FALSE)),"",VLOOKUP(C10,Translate!$B$3:$E$1254,3,FALSE))</f>
        <v/>
      </c>
      <c r="F10" s="80" t="str">
        <f>IF(FrontPage!$E$7=1,D10&amp;E10,B10&amp;C10)</f>
        <v>Rhif ac estyniad:</v>
      </c>
    </row>
    <row r="11" spans="1:6" s="1" customFormat="1" ht="28.5" customHeight="1" x14ac:dyDescent="0.25">
      <c r="B11" s="90" t="s">
        <v>71</v>
      </c>
      <c r="C11" s="78"/>
      <c r="D11" s="81" t="str">
        <f>VLOOKUP(B11,Translate!$B$3:$E$1449,3,FALSE)</f>
        <v>Rhaid cyflwyno'r wybodaeth ar y ffurflen hon o dan adran 64 o Ddeddf Cyllid Llywodraeth Leol 1992, fel y'i diwygiwyd.</v>
      </c>
      <c r="E11" s="82" t="str">
        <f>IF(ISERROR(VLOOKUP(C11,Translate!$B$3:$E$1254,3,FALSE)),"",VLOOKUP(C11,Translate!$B$3:$E$1254,3,FALSE))</f>
        <v/>
      </c>
      <c r="F11" s="80" t="str">
        <f>IF(FrontPage!$E$7=1,D11&amp;E11,B11&amp;C11)</f>
        <v>Rhaid cyflwyno'r wybodaeth ar y ffurflen hon o dan adran 64 o Ddeddf Cyllid Llywodraeth Leol 1992, fel y'i diwygiwyd.</v>
      </c>
    </row>
    <row r="12" spans="1:6" s="1" customFormat="1" ht="25" x14ac:dyDescent="0.25">
      <c r="B12" s="80" t="s">
        <v>3218</v>
      </c>
      <c r="C12" s="78"/>
      <c r="D12" s="81" t="str">
        <f>VLOOKUP(B12,Translate!$B$3:$E$1449,3,FALSE)</f>
        <v xml:space="preserve">Rhaid dychwelyd y ffurflen hon o fewn 7 diwrnod i gyfrifo Gofynion y Gyllideb. </v>
      </c>
      <c r="E12" s="82" t="str">
        <f>IF(ISERROR(VLOOKUP(C12,Translate!$B$3:$E$1254,3,FALSE)),"",VLOOKUP(C12,Translate!$B$3:$E$1254,3,FALSE))</f>
        <v/>
      </c>
      <c r="F12" s="80" t="str">
        <f>IF(FrontPage!$E$7=1,D12&amp;E12,B12&amp;C12)</f>
        <v xml:space="preserve">Rhaid dychwelyd y ffurflen hon o fewn 7 diwrnod i gyfrifo Gofynion y Gyllideb. </v>
      </c>
    </row>
    <row r="13" spans="1:6" s="1" customFormat="1" x14ac:dyDescent="0.25">
      <c r="B13" s="80" t="s">
        <v>3468</v>
      </c>
      <c r="C13" s="78"/>
      <c r="D13" s="81" t="str">
        <f>VLOOKUP(B13,Translate!$B$3:$E$1449,3,FALSE)</f>
        <v xml:space="preserve">Rhaid llenwi'r ffurflen erbyn </v>
      </c>
      <c r="E13" s="82" t="str">
        <f>IF(ISERROR(VLOOKUP(C13,Translate!$B$3:$E$1254,3,FALSE)),"",VLOOKUP(C13,Translate!$B$3:$E$1254,3,FALSE))</f>
        <v/>
      </c>
      <c r="F13" s="80" t="str">
        <f>IF(FrontPage!$E$7=1,D13&amp;E13,B13&amp;C13)</f>
        <v xml:space="preserve">Rhaid llenwi'r ffurflen erbyn </v>
      </c>
    </row>
    <row r="14" spans="1:6" s="1" customFormat="1" x14ac:dyDescent="0.25">
      <c r="B14" s="80" t="s">
        <v>3469</v>
      </c>
      <c r="C14" s="78"/>
      <c r="D14" s="81" t="str">
        <f>VLOOKUP(B14,Translate!$B$3:$E$1449,3,FALSE)</f>
        <v xml:space="preserve"> a'i hanfon at Lywodraeth Cymru erbyn </v>
      </c>
      <c r="E14" s="82"/>
      <c r="F14" s="80" t="str">
        <f>IF(FrontPage!$E$7=1,D14&amp;E14,B14&amp;C14)</f>
        <v xml:space="preserve"> a'i hanfon at Lywodraeth Cymru erbyn </v>
      </c>
    </row>
    <row r="15" spans="1:6" s="1" customFormat="1" ht="25" x14ac:dyDescent="0.25">
      <c r="B15" s="561" t="str">
        <f>B13&amp;Details!G4&amp;B14&amp;Details!G5&amp;"."</f>
        <v>The form must be completed by 1 Mawrth 2024 and sent to the Welsh Government by 7 Mawrth 2024.</v>
      </c>
      <c r="C15" s="78"/>
      <c r="D15" s="562" t="str">
        <f>D13&amp;Details!G4&amp;D14&amp;Details!G5&amp;"."</f>
        <v>Rhaid llenwi'r ffurflen erbyn 1 Mawrth 2024 a'i hanfon at Lywodraeth Cymru erbyn 7 Mawrth 2024.</v>
      </c>
      <c r="E15" s="82"/>
      <c r="F15" s="80" t="str">
        <f>IF(FrontPage!$E$7=1,D15&amp;E15,B15&amp;C15)</f>
        <v>Rhaid llenwi'r ffurflen erbyn 1 Mawrth 2024 a'i hanfon at Lywodraeth Cymru erbyn 7 Mawrth 2024.</v>
      </c>
    </row>
    <row r="16" spans="1:6" s="1" customFormat="1" ht="24.75" customHeight="1" x14ac:dyDescent="0.25">
      <c r="B16" s="78" t="s">
        <v>3076</v>
      </c>
      <c r="C16" s="78"/>
      <c r="D16" s="81" t="str">
        <f>VLOOKUP(B16,Translate!$B$3:$E$1449,3,FALSE)</f>
        <v>Dylech gyfeirio unrhyw ymholiadau ynghylch sut i gwblhau'r ffurflen, yn y lle cyntaf, drwy ffon neu e-bost, gan ddilyn y cyfarwyddyd isod:</v>
      </c>
      <c r="E16" s="82" t="str">
        <f>IF(ISERROR(VLOOKUP(C16,Translate!$B$3:$E$1254,3,FALSE)),"",VLOOKUP(C16,Translate!$B$3:$E$1254,3,FALSE))</f>
        <v/>
      </c>
      <c r="F16" s="80" t="str">
        <f>IF(FrontPage!$E$7=1,D16&amp;E16,B16&amp;C16)</f>
        <v>Dylech gyfeirio unrhyw ymholiadau ynghylch sut i gwblhau'r ffurflen, yn y lle cyntaf, drwy ffon neu e-bost, gan ddilyn y cyfarwyddyd isod:</v>
      </c>
    </row>
    <row r="17" spans="1:6" s="1" customFormat="1" ht="40.5" customHeight="1" x14ac:dyDescent="0.25">
      <c r="B17" s="80" t="s">
        <v>309</v>
      </c>
      <c r="C17" s="78"/>
      <c r="D17" s="81" t="str">
        <f>VLOOKUP(B17,Translate!$B$3:$E$1449,3,FALSE)</f>
        <v>Mae'n un o ofynion archwiliadau Llywodraeth Cymru fod pob cell yn cael ei llenwi. Gwnewch yn siŵr fod sero ym mhob cell wag. Cymerir yn ganiataol mai sero yw gwerth pob cell sydd heb ei llenwi.</v>
      </c>
      <c r="E17" s="82" t="str">
        <f>IF(ISERROR(VLOOKUP(C17,Translate!$B$3:$E$1254,3,FALSE)),"",VLOOKUP(C17,Translate!$B$3:$E$1254,3,FALSE))</f>
        <v/>
      </c>
      <c r="F17" s="80" t="str">
        <f>IF(FrontPage!$E$7=1,D17&amp;E17,B17&amp;C17)</f>
        <v>Mae'n un o ofynion archwiliadau Llywodraeth Cymru fod pob cell yn cael ei llenwi. Gwnewch yn siŵr fod sero ym mhob cell wag. Cymerir yn ganiataol mai sero yw gwerth pob cell sydd heb ei llenwi.</v>
      </c>
    </row>
    <row r="18" spans="1:6" s="91" customFormat="1" x14ac:dyDescent="0.35">
      <c r="B18" s="91" t="s">
        <v>1089</v>
      </c>
      <c r="D18" s="81" t="str">
        <f>VLOOKUP(B18,Translate!$B$3:$E$1449,3,FALSE)</f>
        <v>Uned Ystadegau Ariannol Llywodraeth Leol,</v>
      </c>
      <c r="E18" s="82" t="str">
        <f>IF(ISERROR(VLOOKUP(C18,Translate!$B$3:$E$1254,3,FALSE)),"",VLOOKUP(C18,Translate!$B$3:$E$1254,3,FALSE))</f>
        <v/>
      </c>
      <c r="F18" s="80" t="str">
        <f>IF(FrontPage!$E$7=1,D18&amp;E18,B18&amp;C18)</f>
        <v>Uned Ystadegau Ariannol Llywodraeth Leol,</v>
      </c>
    </row>
    <row r="19" spans="1:6" s="91" customFormat="1" x14ac:dyDescent="0.35">
      <c r="B19" s="91" t="s">
        <v>327</v>
      </c>
      <c r="D19" s="81" t="str">
        <f>VLOOKUP(B19,Translate!$B$3:$E$1449,3,FALSE)</f>
        <v>Llywodraeth Cymru,</v>
      </c>
      <c r="E19" s="82" t="str">
        <f>IF(ISERROR(VLOOKUP(C19,Translate!$B$3:$E$1254,3,FALSE)),"",VLOOKUP(C19,Translate!$B$3:$E$1254,3,FALSE))</f>
        <v/>
      </c>
      <c r="F19" s="80" t="str">
        <f>IF(FrontPage!$E$7=1,D19&amp;E19,B19&amp;C19)</f>
        <v>Llywodraeth Cymru,</v>
      </c>
    </row>
    <row r="20" spans="1:6" s="91" customFormat="1" x14ac:dyDescent="0.35">
      <c r="B20" s="91" t="s">
        <v>2940</v>
      </c>
      <c r="D20" s="81" t="s">
        <v>2940</v>
      </c>
      <c r="E20" s="82" t="str">
        <f>IF(ISERROR(VLOOKUP(C20,Translate!$B$3:$E$1254,3,FALSE)),"",VLOOKUP(C20,Translate!$B$3:$E$1254,3,FALSE))</f>
        <v/>
      </c>
      <c r="F20" s="80" t="str">
        <f>IF(FrontPage!$E$7=1,D20&amp;E20,B20&amp;C20)</f>
        <v>CP2</v>
      </c>
    </row>
    <row r="21" spans="1:6" s="91" customFormat="1" x14ac:dyDescent="0.35">
      <c r="B21" s="91" t="s">
        <v>333</v>
      </c>
      <c r="D21" s="81" t="str">
        <f>VLOOKUP(B21,Translate!$B$3:$E$1449,3,FALSE)</f>
        <v>Parc Cathays,</v>
      </c>
      <c r="E21" s="82" t="str">
        <f>IF(ISERROR(VLOOKUP(C21,Translate!$B$3:$E$1254,3,FALSE)),"",VLOOKUP(C21,Translate!$B$3:$E$1254,3,FALSE))</f>
        <v/>
      </c>
      <c r="F21" s="80" t="str">
        <f>IF(FrontPage!$E$7=1,D21&amp;E21,B21&amp;C21)</f>
        <v>Parc Cathays,</v>
      </c>
    </row>
    <row r="22" spans="1:6" s="91" customFormat="1" x14ac:dyDescent="0.35">
      <c r="B22" s="91" t="s">
        <v>339</v>
      </c>
      <c r="D22" s="81" t="str">
        <f>VLOOKUP(B22,Translate!$B$3:$E$1449,3,FALSE)</f>
        <v>CAERDYDD</v>
      </c>
      <c r="E22" s="82" t="str">
        <f>IF(ISERROR(VLOOKUP(C22,Translate!$B$3:$E$1254,3,FALSE)),"",VLOOKUP(C22,Translate!$B$3:$E$1254,3,FALSE))</f>
        <v/>
      </c>
      <c r="F22" s="80" t="str">
        <f>IF(FrontPage!$E$7=1,D22&amp;E22,B22&amp;C22)</f>
        <v>CAERDYDD</v>
      </c>
    </row>
    <row r="23" spans="1:6" s="91" customFormat="1" x14ac:dyDescent="0.35">
      <c r="B23" s="91" t="s">
        <v>344</v>
      </c>
      <c r="D23" s="81" t="str">
        <f>VLOOKUP(B23,Translate!$B$3:$E$1449,3,FALSE)</f>
        <v>CF10 3NQ</v>
      </c>
      <c r="E23" s="82" t="str">
        <f>IF(ISERROR(VLOOKUP(C23,Translate!$B$3:$E$1254,3,FALSE)),"",VLOOKUP(C23,Translate!$B$3:$E$1254,3,FALSE))</f>
        <v/>
      </c>
      <c r="F23" s="80" t="str">
        <f>IF(FrontPage!$E$7=1,D23&amp;E23,B23&amp;C23)</f>
        <v>CF10 3NQ</v>
      </c>
    </row>
    <row r="24" spans="1:6" s="91" customFormat="1" x14ac:dyDescent="0.35">
      <c r="B24" s="91" t="s">
        <v>222</v>
      </c>
      <c r="D24" s="81" t="str">
        <f>VLOOKUP(B24,Translate!$B$3:$E$1449,3,FALSE)</f>
        <v>E-bost:</v>
      </c>
      <c r="E24" s="82" t="str">
        <f>IF(ISERROR(VLOOKUP(C24,Translate!$B$3:$E$1254,3,FALSE)),"",VLOOKUP(C24,Translate!$B$3:$E$1254,3,FALSE))</f>
        <v/>
      </c>
      <c r="F24" s="80" t="str">
        <f>IF(FrontPage!$E$7=1,D24&amp;E24,B24&amp;C24)</f>
        <v>E-bost:</v>
      </c>
    </row>
    <row r="25" spans="1:6" s="1" customFormat="1" x14ac:dyDescent="0.25">
      <c r="B25" s="78" t="s">
        <v>221</v>
      </c>
      <c r="C25" s="78"/>
      <c r="D25" s="81" t="str">
        <f>VLOOKUP(B25,Translate!$B$3:$E$1449,3,FALSE)</f>
        <v>Ffôn:</v>
      </c>
      <c r="E25" s="82" t="str">
        <f>IF(ISERROR(VLOOKUP(C25,Translate!$B$3:$E$1254,3,FALSE)),"",VLOOKUP(C25,Translate!$B$3:$E$1254,3,FALSE))</f>
        <v/>
      </c>
      <c r="F25" s="80" t="str">
        <f>IF(FrontPage!$E$7=1,D25&amp;E25,B25&amp;C25)</f>
        <v>Ffôn:</v>
      </c>
    </row>
    <row r="26" spans="1:6" s="1" customFormat="1" x14ac:dyDescent="0.25">
      <c r="B26" s="78" t="s">
        <v>232</v>
      </c>
      <c r="C26" s="78"/>
      <c r="D26" s="81" t="str">
        <f>VLOOKUP(B26,Translate!$B$3:$E$1449,3,FALSE)</f>
        <v>Cod</v>
      </c>
      <c r="E26" s="82" t="str">
        <f>IF(ISERROR(VLOOKUP(C26,Translate!$B$3:$E$1254,3,FALSE)),"",VLOOKUP(C26,Translate!$B$3:$E$1254,3,FALSE))</f>
        <v/>
      </c>
      <c r="F26" s="80" t="str">
        <f>IF(FrontPage!$E$7=1,D26&amp;E26,B26&amp;C26)</f>
        <v>Cod</v>
      </c>
    </row>
    <row r="27" spans="1:6" s="1" customFormat="1" x14ac:dyDescent="0.25">
      <c r="B27" s="78" t="s">
        <v>226</v>
      </c>
      <c r="C27" s="78"/>
      <c r="D27" s="81" t="str">
        <f>VLOOKUP(B27,Translate!$B$3:$E$1449,3,FALSE)</f>
        <v>Awdurdod</v>
      </c>
      <c r="E27" s="82" t="str">
        <f>IF(ISERROR(VLOOKUP(C27,Translate!$B$3:$E$1254,3,FALSE)),"",VLOOKUP(C27,Translate!$B$3:$E$1254,3,FALSE))</f>
        <v/>
      </c>
      <c r="F27" s="80" t="str">
        <f>IF(FrontPage!$E$7=1,D27&amp;E27,B27&amp;C27)</f>
        <v>Awdurdod</v>
      </c>
    </row>
    <row r="28" spans="1:6" s="1" customFormat="1" ht="13" x14ac:dyDescent="0.3">
      <c r="A28" s="92" t="s">
        <v>29</v>
      </c>
      <c r="B28" s="93"/>
      <c r="C28" s="93"/>
      <c r="D28" s="87"/>
      <c r="E28" s="88"/>
      <c r="F28" s="96"/>
    </row>
    <row r="29" spans="1:6" s="1" customFormat="1" ht="13" x14ac:dyDescent="0.3">
      <c r="A29" s="158"/>
      <c r="B29" s="78" t="s">
        <v>3241</v>
      </c>
      <c r="C29" s="78"/>
      <c r="D29" s="81" t="str">
        <f>VLOOKUP(B29,Translate!$B$3:$E$1449,3,FALSE)</f>
        <v>darllenwch y canllawiau cyn llenwi'r ffurflen</v>
      </c>
      <c r="E29" s="82" t="str">
        <f>IF(ISERROR(VLOOKUP(C29,Translate!$B$3:$E$1254,3,FALSE)),"",VLOOKUP(C29,Translate!$B$3:$E$1254,3,FALSE))</f>
        <v/>
      </c>
      <c r="F29" s="80" t="str">
        <f>IF(FrontPage!$E$7=1,D29&amp;E29,B29&amp;C29)</f>
        <v>darllenwch y canllawiau cyn llenwi'r ffurflen</v>
      </c>
    </row>
    <row r="30" spans="1:6" s="1" customFormat="1" x14ac:dyDescent="0.25">
      <c r="B30" s="1" t="s">
        <v>4</v>
      </c>
      <c r="C30" s="78"/>
      <c r="D30" s="81" t="str">
        <f>VLOOKUP(B30,Translate!$B$3:$E$1449,3,FALSE)</f>
        <v>Gwariant ac incwm</v>
      </c>
      <c r="E30" s="82" t="str">
        <f>IF(ISERROR(VLOOKUP(C30,Translate!$B$3:$E$1254,3,FALSE)),"",VLOOKUP(C30,Translate!$B$3:$E$1254,3,FALSE))</f>
        <v/>
      </c>
      <c r="F30" s="80" t="str">
        <f>IF(FrontPage!$E$7=1,D30&amp;E30,B30&amp;C30)</f>
        <v>Gwariant ac incwm</v>
      </c>
    </row>
    <row r="31" spans="1:6" s="1" customFormat="1" x14ac:dyDescent="0.25">
      <c r="A31" s="1">
        <v>1</v>
      </c>
      <c r="B31" s="78" t="s">
        <v>30</v>
      </c>
      <c r="C31" s="78"/>
      <c r="D31" s="81" t="str">
        <f>VLOOKUP(B31,Translate!$B$3:$E$1449,3,FALSE)</f>
        <v>Gofynion y Gyllideb</v>
      </c>
      <c r="E31" s="82" t="str">
        <f>IF(ISERROR(VLOOKUP(C31,Translate!$B$3:$E$1254,3,FALSE)),"",VLOOKUP(C31,Translate!$B$3:$E$1254,3,FALSE))</f>
        <v/>
      </c>
      <c r="F31" s="80" t="str">
        <f>IF(FrontPage!$E$7=1,D31&amp;E31,B31&amp;C31)</f>
        <v>Gofynion y Gyllideb</v>
      </c>
    </row>
    <row r="32" spans="1:6" s="1" customFormat="1" x14ac:dyDescent="0.25">
      <c r="A32" s="1">
        <v>2</v>
      </c>
      <c r="B32" s="78" t="s">
        <v>1</v>
      </c>
      <c r="C32" s="78"/>
      <c r="D32" s="81" t="str">
        <f>VLOOKUP(B32,Translate!$B$3:$E$1449,3,FALSE)</f>
        <v>Ail-ddosbarthu ardrethi annomestig</v>
      </c>
      <c r="E32" s="82" t="str">
        <f>IF(ISERROR(VLOOKUP(C32,Translate!$B$3:$E$1254,3,FALSE)),"",VLOOKUP(C32,Translate!$B$3:$E$1254,3,FALSE))</f>
        <v/>
      </c>
      <c r="F32" s="80" t="str">
        <f>IF(FrontPage!$E$7=1,D32&amp;E32,B32&amp;C32)</f>
        <v>Ail-ddosbarthu ardrethi annomestig</v>
      </c>
    </row>
    <row r="33" spans="1:6" s="1" customFormat="1" x14ac:dyDescent="0.25">
      <c r="A33" s="1">
        <v>3</v>
      </c>
      <c r="B33" s="78" t="s">
        <v>2</v>
      </c>
      <c r="C33" s="78"/>
      <c r="D33" s="81" t="str">
        <f>VLOOKUP(B33,Translate!$B$3:$E$1449,3,FALSE)</f>
        <v>Grant cynnal refeniw</v>
      </c>
      <c r="E33" s="82" t="str">
        <f>IF(ISERROR(VLOOKUP(C33,Translate!$B$3:$E$1254,3,FALSE)),"",VLOOKUP(C33,Translate!$B$3:$E$1254,3,FALSE))</f>
        <v/>
      </c>
      <c r="F33" s="80" t="str">
        <f>IF(FrontPage!$E$7=1,D33&amp;E33,B33&amp;C33)</f>
        <v>Grant cynnal refeniw</v>
      </c>
    </row>
    <row r="34" spans="1:6" s="1" customFormat="1" ht="25" x14ac:dyDescent="0.25">
      <c r="A34" s="1">
        <v>4</v>
      </c>
      <c r="B34" s="1" t="s">
        <v>53</v>
      </c>
      <c r="C34" s="78"/>
      <c r="D34" s="81" t="str">
        <f>VLOOKUP(B34,Translate!$B$3:$E$1449,3,FALSE)</f>
        <v>Dyraniad grant yr heddlu dan y brif fformiwla (gan gynnwys cyllido gwaelodol)</v>
      </c>
      <c r="E34" s="82" t="str">
        <f>IF(ISERROR(VLOOKUP(C34,Translate!$B$3:$E$1254,3,FALSE)),"",VLOOKUP(C34,Translate!$B$3:$E$1254,3,FALSE))</f>
        <v/>
      </c>
      <c r="F34" s="80" t="str">
        <f>IF(FrontPage!$E$7=1,D34&amp;E34,B34&amp;C34)</f>
        <v>Dyraniad grant yr heddlu dan y brif fformiwla (gan gynnwys cyllido gwaelodol)</v>
      </c>
    </row>
    <row r="35" spans="1:6" s="1" customFormat="1" x14ac:dyDescent="0.25">
      <c r="A35" s="1">
        <v>5</v>
      </c>
      <c r="B35" s="1" t="s">
        <v>31</v>
      </c>
      <c r="C35" s="78"/>
      <c r="D35" s="81" t="str">
        <f>VLOOKUP(B35,Translate!$B$3:$E$1449,3,FALSE)</f>
        <v>Cyfanswm llinellau 2, 3 a 4</v>
      </c>
      <c r="E35" s="82" t="str">
        <f>IF(ISERROR(VLOOKUP(C35,Translate!$B$3:$E$1254,3,FALSE)),"",VLOOKUP(C35,Translate!$B$3:$E$1254,3,FALSE))</f>
        <v/>
      </c>
      <c r="F35" s="80" t="str">
        <f>IF(FrontPage!$E$7=1,D35&amp;E35,B35&amp;C35)</f>
        <v>Cyfanswm llinellau 2, 3 a 4</v>
      </c>
    </row>
    <row r="36" spans="1:6" s="1" customFormat="1" x14ac:dyDescent="0.25">
      <c r="A36" s="1">
        <v>6</v>
      </c>
      <c r="B36" s="78" t="s">
        <v>3191</v>
      </c>
      <c r="C36" s="78"/>
      <c r="D36" s="81" t="str">
        <f>VLOOKUP(B36,Translate!$B$3:$E$1449,3,FALSE)</f>
        <v>Swm i'w gasglu o'r dreth gyngor</v>
      </c>
      <c r="E36" s="82" t="str">
        <f>IF(ISERROR(VLOOKUP(C36,Translate!$B$3:$E$1254,3,FALSE)),"",VLOOKUP(C36,Translate!$B$3:$E$1254,3,FALSE))</f>
        <v/>
      </c>
      <c r="F36" s="80" t="str">
        <f>IF(FrontPage!$E$7=1,D36&amp;E36,B36&amp;C36)</f>
        <v>Swm i'w gasglu o'r dreth gyngor</v>
      </c>
    </row>
    <row r="37" spans="1:6" s="1" customFormat="1" x14ac:dyDescent="0.25">
      <c r="A37" s="1">
        <v>7</v>
      </c>
      <c r="B37" s="1" t="s">
        <v>48</v>
      </c>
      <c r="C37" s="78"/>
      <c r="D37" s="81" t="str">
        <f>VLOOKUP(B37,Translate!$B$3:$E$1449,3,FALSE)</f>
        <v>Sylfaen y dreth gyngor ar gyfer yr ardal (cyfwerth â Band D)</v>
      </c>
      <c r="E37" s="82" t="str">
        <f>IF(ISERROR(VLOOKUP(C37,Translate!$B$3:$E$1254,3,FALSE)),"",VLOOKUP(C37,Translate!$B$3:$E$1254,3,FALSE))</f>
        <v/>
      </c>
      <c r="F37" s="80" t="str">
        <f>IF(FrontPage!$E$7=1,D37&amp;E37,B37&amp;C37)</f>
        <v>Sylfaen y dreth gyngor ar gyfer yr ardal (cyfwerth â Band D)</v>
      </c>
    </row>
    <row r="38" spans="1:6" s="1" customFormat="1" x14ac:dyDescent="0.25">
      <c r="A38" s="1">
        <v>8</v>
      </c>
      <c r="B38" s="78" t="s">
        <v>3239</v>
      </c>
      <c r="C38" s="78"/>
      <c r="D38" s="81" t="str">
        <f>VLOOKUP(B38,Translate!$B$3:$E$1449,3,FALSE)</f>
        <v>Y dreth gyngor a gyfrifwyd o dan adran 44 (llinell 6 ÷ llinell 7)</v>
      </c>
      <c r="E38" s="82" t="str">
        <f>IF(ISERROR(VLOOKUP(C38,Translate!$B$3:$E$1254,3,FALSE)),"",VLOOKUP(C38,Translate!$B$3:$E$1254,3,FALSE))</f>
        <v/>
      </c>
      <c r="F38" s="80" t="str">
        <f>IF(FrontPage!$E$7=1,D38&amp;E38,B38&amp;C38)</f>
        <v>Y dreth gyngor a gyfrifwyd o dan adran 44 (llinell 6 ÷ llinell 7)</v>
      </c>
    </row>
    <row r="39" spans="1:6" s="1" customFormat="1" x14ac:dyDescent="0.25">
      <c r="B39" s="1" t="s">
        <v>54</v>
      </c>
      <c r="C39" s="78"/>
      <c r="D39" s="81" t="str">
        <f>VLOOKUP(B39,Translate!$B$3:$E$1449,3,FALSE)</f>
        <v xml:space="preserve">Praeseptau </v>
      </c>
      <c r="E39" s="82" t="str">
        <f>IF(ISERROR(VLOOKUP(C39,Translate!$B$3:$E$1254,3,FALSE)),"",VLOOKUP(C39,Translate!$B$3:$E$1254,3,FALSE))</f>
        <v/>
      </c>
      <c r="F39" s="80" t="str">
        <f>IF(FrontPage!$E$7=1,D39&amp;E39,B39&amp;C39)</f>
        <v xml:space="preserve">Praeseptau </v>
      </c>
    </row>
    <row r="40" spans="1:6" s="1" customFormat="1" ht="25" x14ac:dyDescent="0.25">
      <c r="B40" s="81" t="s">
        <v>57</v>
      </c>
      <c r="C40" s="78"/>
      <c r="D40" s="81" t="str">
        <f>VLOOKUP(B40,Translate!$B$3:$E$1449,3,FALSE)</f>
        <v>(Swm y praeseptau a roddwyd i awdurdodau bilio yn unol ag adran 40(2)b o Ddeddf Cyllid Llywodraeth Leol 1992)</v>
      </c>
      <c r="E40" s="82" t="str">
        <f>IF(ISERROR(VLOOKUP(C40,Translate!$B$3:$E$1254,3,FALSE)),"",VLOOKUP(C40,Translate!$B$3:$E$1254,3,FALSE))</f>
        <v/>
      </c>
      <c r="F40" s="80" t="str">
        <f>IF(FrontPage!$E$7=1,D40&amp;E40,B40&amp;C40)</f>
        <v>(Swm y praeseptau a roddwyd i awdurdodau bilio yn unol ag adran 40(2)b o Ddeddf Cyllid Llywodraeth Leol 1992)</v>
      </c>
    </row>
    <row r="41" spans="1:6" s="1" customFormat="1" x14ac:dyDescent="0.25">
      <c r="B41" s="1" t="s">
        <v>107</v>
      </c>
      <c r="C41" s="78"/>
      <c r="D41" s="81" t="str">
        <f>VLOOKUP(B41,Translate!$B$3:$E$1449,3,FALSE)</f>
        <v>Enw'r awdurdod bilio</v>
      </c>
      <c r="E41" s="82" t="str">
        <f>IF(ISERROR(VLOOKUP(C41,Translate!$B$3:$E$1254,3,FALSE)),"",VLOOKUP(C41,Translate!$B$3:$E$1254,3,FALSE))</f>
        <v/>
      </c>
      <c r="F41" s="80" t="str">
        <f>IF(FrontPage!$E$7=1,D41&amp;E41,B41&amp;C41)</f>
        <v>Enw'r awdurdod bilio</v>
      </c>
    </row>
    <row r="42" spans="1:6" s="1" customFormat="1" x14ac:dyDescent="0.25">
      <c r="B42" s="1" t="s">
        <v>3253</v>
      </c>
      <c r="C42" s="78"/>
      <c r="D42" s="81" t="str">
        <f>VLOOKUP(B42,Translate!$B$3:$E$1449,3,FALSE)</f>
        <v>gwag</v>
      </c>
      <c r="E42" s="82" t="str">
        <f>IF(ISERROR(VLOOKUP(C42,Translate!$B$3:$E$1254,3,FALSE)),"",VLOOKUP(C42,Translate!$B$3:$E$1254,3,FALSE))</f>
        <v/>
      </c>
      <c r="F42" s="80" t="str">
        <f>IF(FrontPage!$E$7=1,D42&amp;E42,B42&amp;C42)</f>
        <v>gwag</v>
      </c>
    </row>
    <row r="43" spans="1:6" s="1" customFormat="1" x14ac:dyDescent="0.25">
      <c r="B43" s="1" t="s">
        <v>3237</v>
      </c>
      <c r="C43" s="78"/>
      <c r="D43" s="81" t="str">
        <f>VLOOKUP(B43,Translate!$B$3:$E$1449,3,FALSE)</f>
        <v>Cyfanswm llinellau 11 i 17 (i gyfateb â llinellau 7 a 6 uchod)</v>
      </c>
      <c r="E43" s="82" t="str">
        <f>IF(ISERROR(VLOOKUP(C43,Translate!$B$3:$E$1254,3,FALSE)),"",VLOOKUP(C43,Translate!$B$3:$E$1254,3,FALSE))</f>
        <v/>
      </c>
      <c r="F43" s="80" t="str">
        <f>IF(FrontPage!$E$7=1,D43&amp;E43,B43&amp;C43)</f>
        <v>Cyfanswm llinellau 11 i 17 (i gyfateb â llinellau 7 a 6 uchod)</v>
      </c>
    </row>
    <row r="44" spans="1:6" s="1" customFormat="1" x14ac:dyDescent="0.25">
      <c r="B44" s="1" t="s">
        <v>3038</v>
      </c>
      <c r="C44" s="78"/>
      <c r="D44" s="81" t="str">
        <f>VLOOKUP(B44,Translate!$B$3:$E$1449,3,FALSE)</f>
        <v>Ardystuad Y Prif Swyddog Cyllid</v>
      </c>
      <c r="E44" s="82" t="str">
        <f>IF(ISERROR(VLOOKUP(C44,Translate!$B$3:$E$1254,3,FALSE)),"",VLOOKUP(C44,Translate!$B$3:$E$1254,3,FALSE))</f>
        <v/>
      </c>
      <c r="F44" s="80" t="str">
        <f>IF(FrontPage!$E$7=1,D44&amp;E44,B44&amp;C44)</f>
        <v>Ardystuad Y Prif Swyddog Cyllid</v>
      </c>
    </row>
    <row r="45" spans="1:6" s="1" customFormat="1" ht="62.5" x14ac:dyDescent="0.25">
      <c r="B45" s="94" t="s">
        <v>3220</v>
      </c>
      <c r="C45" s="78"/>
      <c r="D45" s="81" t="s">
        <v>3297</v>
      </c>
      <c r="E45" s="82" t="str">
        <f>IF(ISERROR(VLOOKUP(C45,Translate!$B$3:$E$1254,3,FALSE)),"",VLOOKUP(C45,Translate!$B$3:$E$1254,3,FALSE))</f>
        <v/>
      </c>
      <c r="F45" s="80" t="str">
        <f>IF(FrontPage!$E$7=1,D45&amp;E45,B45&amp;C45)</f>
        <v>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v>
      </c>
    </row>
    <row r="46" spans="1:6" s="1" customFormat="1" x14ac:dyDescent="0.25">
      <c r="B46" s="94" t="s">
        <v>72</v>
      </c>
      <c r="C46" s="78"/>
      <c r="D46" s="81" t="str">
        <f>VLOOKUP(B46,Translate!$B$3:$E$1449,3,FALSE)</f>
        <v>Llofnod Y Prif Swyddog Cyllid:</v>
      </c>
      <c r="E46" s="82" t="str">
        <f>IF(ISERROR(VLOOKUP(C46,Translate!$B$3:$E$1254,3,FALSE)),"",VLOOKUP(C46,Translate!$B$3:$E$1254,3,FALSE))</f>
        <v/>
      </c>
      <c r="F46" s="80" t="str">
        <f>IF(FrontPage!$E$7=1,D46&amp;E46,B46&amp;C46)</f>
        <v>Llofnod Y Prif Swyddog Cyllid:</v>
      </c>
    </row>
    <row r="47" spans="1:6" s="1" customFormat="1" x14ac:dyDescent="0.25">
      <c r="B47" s="78" t="s">
        <v>3221</v>
      </c>
      <c r="C47" s="78"/>
      <c r="D47" s="81" t="str">
        <f>VLOOKUP(B47,Translate!$B$3:$E$1449,3,FALSE)</f>
        <v>Am gweinyddu Llywodraeth Cymru yn unig</v>
      </c>
      <c r="E47" s="82" t="str">
        <f>IF(ISERROR(VLOOKUP(C47,Translate!$B$3:$E$1254,3,FALSE)),"",VLOOKUP(C47,Translate!$B$3:$E$1254,3,FALSE))</f>
        <v/>
      </c>
      <c r="F47" s="80" t="str">
        <f>IF(FrontPage!$E$7=1,D47&amp;E47,B47&amp;C47)</f>
        <v>Am gweinyddu Llywodraeth Cymru yn unig</v>
      </c>
    </row>
    <row r="48" spans="1:6" s="1" customFormat="1" x14ac:dyDescent="0.25">
      <c r="B48" s="78" t="s">
        <v>3175</v>
      </c>
      <c r="C48" s="78"/>
      <c r="D48" s="81" t="str">
        <f>VLOOKUP(B48,Translate!$B$3:$E$1449,3,FALSE)</f>
        <v>nifer</v>
      </c>
      <c r="E48" s="82" t="str">
        <f>IF(ISERROR(VLOOKUP(C48,Translate!$B$3:$E$1254,3,FALSE)),"",VLOOKUP(C48,Translate!$B$3:$E$1254,3,FALSE))</f>
        <v/>
      </c>
      <c r="F48" s="80" t="str">
        <f>IF(FrontPage!$E$7=1,D48&amp;E48,B48&amp;C48)</f>
        <v>nifer</v>
      </c>
    </row>
    <row r="49" spans="2:6" s="1" customFormat="1" x14ac:dyDescent="0.25">
      <c r="B49" s="78" t="s">
        <v>3238</v>
      </c>
      <c r="C49" s="78"/>
      <c r="D49" s="81" t="str">
        <f>VLOOKUP(B49,Translate!$B$3:$E$1449,3,FALSE)</f>
        <v>Sylfaen drethu (cyfwerth â Band D)</v>
      </c>
      <c r="E49" s="82" t="str">
        <f>IF(ISERROR(VLOOKUP(C49,Translate!$B$3:$E$1254,3,FALSE)),"",VLOOKUP(C49,Translate!$B$3:$E$1254,3,FALSE))</f>
        <v/>
      </c>
      <c r="F49" s="80" t="str">
        <f>IF(FrontPage!$E$7=1,D49&amp;E49,B49&amp;C49)</f>
        <v>Sylfaen drethu (cyfwerth â Band D)</v>
      </c>
    </row>
    <row r="50" spans="2:6" s="1" customFormat="1" x14ac:dyDescent="0.25">
      <c r="B50" s="78" t="s">
        <v>66</v>
      </c>
      <c r="C50" s="78"/>
      <c r="D50" s="81" t="str">
        <f>VLOOKUP(B50,Translate!$B$3:$E$1449,3,FALSE)</f>
        <v>Praesept</v>
      </c>
      <c r="E50" s="82" t="str">
        <f>IF(ISERROR(VLOOKUP(C50,Translate!$B$3:$E$1254,3,FALSE)),"",VLOOKUP(C50,Translate!$B$3:$E$1254,3,FALSE))</f>
        <v/>
      </c>
      <c r="F50" s="80" t="str">
        <f>IF(FrontPage!$E$7=1,D50&amp;E50,B50&amp;C50)</f>
        <v>Praesept</v>
      </c>
    </row>
    <row r="51" spans="2:6" s="1" customFormat="1" x14ac:dyDescent="0.25">
      <c r="B51" s="78" t="s">
        <v>3182</v>
      </c>
      <c r="C51" s="78"/>
      <c r="D51" s="81" t="str">
        <f>VLOOKUP(B51,Translate!$B$3:$E$1449,3,FALSE)</f>
        <v>heb gynnwys praeseptau cynghorau cymuned</v>
      </c>
      <c r="E51" s="82" t="str">
        <f>IF(ISERROR(VLOOKUP(C51,Translate!$B$3:$E$1254,3,FALSE)),"",VLOOKUP(C51,Translate!$B$3:$E$1254,3,FALSE))</f>
        <v/>
      </c>
      <c r="F51" s="80" t="str">
        <f>IF(FrontPage!$E$7=1,D51&amp;E51,B51&amp;C51)</f>
        <v>heb gynnwys praeseptau cynghorau cymuned</v>
      </c>
    </row>
    <row r="52" spans="2:6" s="1" customFormat="1" x14ac:dyDescent="0.25">
      <c r="B52" s="78" t="s">
        <v>3183</v>
      </c>
      <c r="C52" s="78"/>
      <c r="D52" s="81" t="str">
        <f>VLOOKUP(B52,Translate!$B$3:$E$1449,3,FALSE)</f>
        <v>gan gynnwys praeseptau cynghorau cymuned</v>
      </c>
      <c r="E52" s="82" t="str">
        <f>IF(ISERROR(VLOOKUP(C52,Translate!$B$3:$E$1254,3,FALSE)),"",VLOOKUP(C52,Translate!$B$3:$E$1254,3,FALSE))</f>
        <v/>
      </c>
      <c r="F52" s="80" t="str">
        <f>IF(FrontPage!$E$7=1,D52&amp;E52,B52&amp;C52)</f>
        <v>gan gynnwys praeseptau cynghorau cymuned</v>
      </c>
    </row>
    <row r="53" spans="2:6" s="1" customFormat="1" x14ac:dyDescent="0.25">
      <c r="B53" s="78" t="s">
        <v>3054</v>
      </c>
      <c r="C53" s="78"/>
      <c r="D53" s="81" t="str">
        <f>VLOOKUP(B53,Translate!$B$3:$E$1449,3,FALSE)</f>
        <v>Dyddiad:</v>
      </c>
      <c r="E53" s="82" t="str">
        <f>IF(ISERROR(VLOOKUP(C53,Translate!$B$3:$E$1254,3,FALSE)),"",VLOOKUP(C53,Translate!$B$3:$E$1254,3,FALSE))</f>
        <v/>
      </c>
      <c r="F53" s="80" t="str">
        <f>IF(FrontPage!$E$7=1,D53&amp;E53,B53&amp;C53)</f>
        <v>Dyddiad:</v>
      </c>
    </row>
    <row r="54" spans="2:6" s="1" customFormat="1" x14ac:dyDescent="0.25">
      <c r="B54" s="78" t="s">
        <v>3181</v>
      </c>
      <c r="C54" s="78"/>
      <c r="D54" s="81" t="str">
        <f>VLOOKUP(B54,Translate!$B$3:$E$1449,3,FALSE)</f>
        <v>wedi cyfrifo</v>
      </c>
      <c r="E54" s="82" t="str">
        <f>IF(ISERROR(VLOOKUP(C54,Translate!$B$3:$E$1254,3,FALSE)),"",VLOOKUP(C54,Translate!$B$3:$E$1254,3,FALSE))</f>
        <v/>
      </c>
      <c r="F54" s="80" t="str">
        <f>IF(FrontPage!$E$7=1,D54&amp;E54,B54&amp;C54)</f>
        <v>wedi cyfrifo</v>
      </c>
    </row>
    <row r="55" spans="2:6" s="1" customFormat="1" x14ac:dyDescent="0.25">
      <c r="B55" s="78" t="s">
        <v>3326</v>
      </c>
      <c r="C55" s="78"/>
      <c r="D55" s="81" t="str">
        <f>VLOOKUP(B55,Translate!$B$3:$E$1449,3,FALSE)</f>
        <v>Allwedd ar gyfer celloedd yng ngholofni F, G:</v>
      </c>
      <c r="E55" s="82" t="str">
        <f>IF(ISERROR(VLOOKUP(C55,Translate!$B$3:$E$1254,3,FALSE)),"",VLOOKUP(C55,Translate!$B$3:$E$1254,3,FALSE))</f>
        <v/>
      </c>
      <c r="F55" s="80" t="str">
        <f>IF(FrontPage!$E$7=1,D55&amp;E55,B55&amp;C55)</f>
        <v>Allwedd ar gyfer celloedd yng ngholofni F, G:</v>
      </c>
    </row>
    <row r="56" spans="2:6" s="1" customFormat="1" x14ac:dyDescent="0.25">
      <c r="B56" s="78" t="s">
        <v>223</v>
      </c>
      <c r="C56" s="78"/>
      <c r="D56" s="81" t="str">
        <f>VLOOKUP(B56,Translate!$B$3:$E$1449,3,FALSE)</f>
        <v>mewnbwn</v>
      </c>
      <c r="E56" s="82" t="str">
        <f>IF(ISERROR(VLOOKUP(C56,Translate!$B$3:$E$1254,3,FALSE)),"",VLOOKUP(C56,Translate!$B$3:$E$1254,3,FALSE))</f>
        <v/>
      </c>
      <c r="F56" s="80" t="str">
        <f>IF(FrontPage!$E$7=1,D56&amp;E56,B56&amp;C56)</f>
        <v>mewnbwn</v>
      </c>
    </row>
    <row r="57" spans="2:6" s="1" customFormat="1" x14ac:dyDescent="0.25">
      <c r="B57" s="78" t="s">
        <v>224</v>
      </c>
      <c r="C57" s="78"/>
      <c r="D57" s="81" t="str">
        <f>VLOOKUP(B57,Translate!$B$3:$E$1449,3,FALSE)</f>
        <v>wedi cloi</v>
      </c>
      <c r="E57" s="82" t="str">
        <f>IF(ISERROR(VLOOKUP(C57,Translate!$B$3:$E$1254,3,FALSE)),"",VLOOKUP(C57,Translate!$B$3:$E$1254,3,FALSE))</f>
        <v/>
      </c>
      <c r="F57" s="80" t="str">
        <f>IF(FrontPage!$E$7=1,D57&amp;E57,B57&amp;C57)</f>
        <v>wedi cloi</v>
      </c>
    </row>
    <row r="58" spans="2:6" s="1" customFormat="1" x14ac:dyDescent="0.25">
      <c r="B58" s="78" t="s">
        <v>2874</v>
      </c>
      <c r="C58" s="78"/>
      <c r="D58" s="81" t="str">
        <f>VLOOKUP(B58,Translate!$B$3:$E$1449,3,FALSE)</f>
        <v>Er gwybodaeth</v>
      </c>
      <c r="E58" s="82" t="str">
        <f>IF(ISERROR(VLOOKUP(C58,Translate!$B$3:$E$1254,3,FALSE)),"",VLOOKUP(C58,Translate!$B$3:$E$1254,3,FALSE))</f>
        <v/>
      </c>
      <c r="F58" s="80" t="str">
        <f>IF(FrontPage!$E$7=1,D58&amp;E58,B58&amp;C58)</f>
        <v>Er gwybodaeth</v>
      </c>
    </row>
    <row r="59" spans="2:6" s="1" customFormat="1" x14ac:dyDescent="0.25">
      <c r="B59" s="78" t="s">
        <v>52</v>
      </c>
      <c r="C59" s="78"/>
      <c r="D59" s="81" t="str">
        <f>VLOOKUP(B59,Translate!$B$3:$E$1449,3,FALSE)</f>
        <v>Dilysu</v>
      </c>
      <c r="E59" s="82" t="str">
        <f>IF(ISERROR(VLOOKUP(C59,Translate!$B$3:$E$1254,3,FALSE)),"",VLOOKUP(C59,Translate!$B$3:$E$1254,3,FALSE))</f>
        <v/>
      </c>
      <c r="F59" s="80" t="str">
        <f>IF(FrontPage!$E$7=1,D59&amp;E59,B59&amp;C59)</f>
        <v>Dilysu</v>
      </c>
    </row>
    <row r="60" spans="2:6" s="1" customFormat="1" x14ac:dyDescent="0.25">
      <c r="B60" s="78" t="s">
        <v>3240</v>
      </c>
      <c r="C60" s="78"/>
      <c r="D60" s="81" t="str">
        <f>VLOOKUP(B60,Translate!$B$3:$E$1449,3,FALSE)</f>
        <v xml:space="preserve">sylfaen drethu  </v>
      </c>
      <c r="E60" s="82" t="str">
        <f>IF(ISERROR(VLOOKUP(C60,Translate!$B$3:$E$1254,3,FALSE)),"",VLOOKUP(C60,Translate!$B$3:$E$1254,3,FALSE))</f>
        <v/>
      </c>
      <c r="F60" s="80" t="str">
        <f>IF(FrontPage!$E$7=1,D60&amp;E60,B60&amp;C60)</f>
        <v xml:space="preserve">sylfaen drethu  </v>
      </c>
    </row>
    <row r="61" spans="2:6" s="1" customFormat="1" ht="25" x14ac:dyDescent="0.25">
      <c r="B61" s="78"/>
      <c r="C61" s="78" t="s">
        <v>3461</v>
      </c>
      <c r="D61" s="81"/>
      <c r="E61" s="82" t="s">
        <v>3463</v>
      </c>
      <c r="F61" s="80" t="str">
        <f>IF(FrontPage!$E$7=1,D61&amp;E61,B61&amp;C61)</f>
        <v>llinell 18, colofn 3 minws llinell 7</v>
      </c>
    </row>
    <row r="62" spans="2:6" s="1" customFormat="1" ht="25" x14ac:dyDescent="0.25">
      <c r="B62" s="78"/>
      <c r="C62" s="78" t="s">
        <v>3462</v>
      </c>
      <c r="D62" s="81"/>
      <c r="E62" s="82" t="s">
        <v>3464</v>
      </c>
      <c r="F62" s="80" t="str">
        <f>IF(FrontPage!$E$7=1,D62&amp;E62,B62&amp;C62)</f>
        <v>llinell 18, colofn 4 minws llinell 6</v>
      </c>
    </row>
    <row r="63" spans="2:6" s="1" customFormat="1" x14ac:dyDescent="0.25">
      <c r="B63" s="78" t="s">
        <v>3242</v>
      </c>
      <c r="C63" s="78"/>
      <c r="D63" s="81" t="str">
        <f>VLOOKUP(B63,Translate!$B$3:$E$1449,3,FALSE)</f>
        <v>Dewiswch eich awdurdod ar y dudalen flaen</v>
      </c>
      <c r="E63" s="82" t="str">
        <f>IF(ISERROR(VLOOKUP(C63,Translate!$B$3:$E$1254,3,FALSE)),"",VLOOKUP(C63,Translate!$B$3:$E$1254,3,FALSE))</f>
        <v/>
      </c>
      <c r="F63" s="80" t="str">
        <f>IF(FrontPage!$E$7=1,D63&amp;E63,B63&amp;C63)</f>
        <v>Dewiswch eich awdurdod ar y dudalen flaen</v>
      </c>
    </row>
    <row r="64" spans="2:6" s="1" customFormat="1" x14ac:dyDescent="0.25">
      <c r="B64" s="78" t="s">
        <v>2886</v>
      </c>
      <c r="C64" s="78"/>
      <c r="D64" s="81" t="str">
        <f>VLOOKUP(B64,Translate!$B$3:$E$1449,3,FALSE)</f>
        <v>Dewiswch eich awdurdod</v>
      </c>
      <c r="E64" s="82" t="str">
        <f>IF(ISERROR(VLOOKUP(C64,Translate!$B$3:$E$1254,3,FALSE)),"",VLOOKUP(C64,Translate!$B$3:$E$1254,3,FALSE))</f>
        <v/>
      </c>
      <c r="F64" s="80" t="str">
        <f>IF(FrontPage!$E$7=1,D64&amp;E64,B64&amp;C64)</f>
        <v>Dewiswch eich awdurdod</v>
      </c>
    </row>
    <row r="65" spans="1:6" s="1" customFormat="1" ht="39" customHeight="1" x14ac:dyDescent="0.25">
      <c r="A65" s="310"/>
      <c r="B65" s="309" t="s">
        <v>3465</v>
      </c>
      <c r="C65" s="78"/>
      <c r="D65" s="81" t="str">
        <f>VLOOKUP(B65,Translate!$B$3:$E$1449,3,FALSE)</f>
        <v>Daw celloedd J18, J19 a J20 uchod oddi wrth y Setliad yr Heddlu Lywodraeth Leol, rhaid eu hailadrodd yng nghelloedd G18, G19 a G20, a dyna pam mae'r celloedd hynny wedi'u cloi.</v>
      </c>
      <c r="E65" s="82"/>
      <c r="F65" s="80" t="str">
        <f>IF(FrontPage!$E$7=1,D65&amp;E65,B65&amp;C65)</f>
        <v>Daw celloedd J18, J19 a J20 uchod oddi wrth y Setliad yr Heddlu Lywodraeth Leol, rhaid eu hailadrodd yng nghelloedd G18, G19 a G20, a dyna pam mae'r celloedd hynny wedi'u cloi.</v>
      </c>
    </row>
    <row r="66" spans="1:6" ht="13" x14ac:dyDescent="0.35">
      <c r="A66" s="95" t="s">
        <v>95</v>
      </c>
      <c r="B66" s="96"/>
      <c r="C66" s="96"/>
      <c r="D66" s="87"/>
      <c r="E66" s="88"/>
      <c r="F66" s="96"/>
    </row>
    <row r="67" spans="1:6" x14ac:dyDescent="0.35">
      <c r="B67" s="80" t="s">
        <v>95</v>
      </c>
      <c r="D67" s="81" t="str">
        <f>VLOOKUP(B67,Translate!$B$3:$E$1449,3,FALSE)</f>
        <v>Y Baich o Ymateb i'r Arolwg</v>
      </c>
      <c r="E67" s="82" t="str">
        <f>IF(ISERROR(VLOOKUP(C67,Translate!$B$3:$E$1254,3,FALSE)),"",VLOOKUP(C67,Translate!$B$3:$E$1254,3,FALSE))</f>
        <v/>
      </c>
      <c r="F67" s="80" t="str">
        <f>IF(FrontPage!$E$7=1,D67&amp;E67,B67&amp;C67)</f>
        <v>Y Baich o Ymateb i'r Arolwg</v>
      </c>
    </row>
    <row r="68" spans="1:6" ht="25" x14ac:dyDescent="0.35">
      <c r="B68" s="80" t="s">
        <v>106</v>
      </c>
      <c r="D68" s="81" t="str">
        <f>VLOOKUP(B68,Translate!$B$3:$E$1449,3,FALSE)</f>
        <v xml:space="preserve">Mae Llywodraeth Cymru yn monitro'r baich o lenwi'r ffurflen casglu data hon. </v>
      </c>
      <c r="E68" s="82" t="str">
        <f>IF(ISERROR(VLOOKUP(C68,Translate!$B$3:$E$1254,3,FALSE)),"",VLOOKUP(C68,Translate!$B$3:$E$1254,3,FALSE))</f>
        <v/>
      </c>
      <c r="F68" s="80" t="str">
        <f>IF(FrontPage!$E$7=1,D68&amp;E68,B68&amp;C68)</f>
        <v xml:space="preserve">Mae Llywodraeth Cymru yn monitro'r baich o lenwi'r ffurflen casglu data hon. </v>
      </c>
    </row>
    <row r="69" spans="1:6" ht="25" x14ac:dyDescent="0.35">
      <c r="B69" s="80" t="s">
        <v>96</v>
      </c>
      <c r="D69" s="81" t="str">
        <f>VLOOKUP(B69,Translate!$B$3:$E$1449,3,FALSE)</f>
        <v xml:space="preserve">Nodwch yr amser a gymerwyd gennych chi (ac unrhyw gydweithwyr) i baratoi ac anfon y ffurflen. </v>
      </c>
      <c r="E69" s="82" t="str">
        <f>IF(ISERROR(VLOOKUP(C69,Translate!$B$3:$E$1254,3,FALSE)),"",VLOOKUP(C69,Translate!$B$3:$E$1254,3,FALSE))</f>
        <v/>
      </c>
      <c r="F69" s="80" t="str">
        <f>IF(FrontPage!$E$7=1,D69&amp;E69,B69&amp;C69)</f>
        <v xml:space="preserve">Nodwch yr amser a gymerwyd gennych chi (ac unrhyw gydweithwyr) i baratoi ac anfon y ffurflen. </v>
      </c>
    </row>
    <row r="70" spans="1:6" ht="25" x14ac:dyDescent="0.35">
      <c r="B70" s="80" t="s">
        <v>97</v>
      </c>
      <c r="D70" s="81" t="str">
        <f>VLOOKUP(B70,Translate!$B$3:$E$1449,3,FALSE)</f>
        <v>Dylech gynnwys yr amser a dreuliwyd ar weithgarwch i baratoi ac anfon y ffurflen hon yn unig, megis:</v>
      </c>
      <c r="E70" s="82" t="str">
        <f>IF(ISERROR(VLOOKUP(C70,Translate!$B$3:$E$1254,3,FALSE)),"",VLOOKUP(C70,Translate!$B$3:$E$1254,3,FALSE))</f>
        <v/>
      </c>
      <c r="F70" s="80" t="str">
        <f>IF(FrontPage!$E$7=1,D70&amp;E70,B70&amp;C70)</f>
        <v>Dylech gynnwys yr amser a dreuliwyd ar weithgarwch i baratoi ac anfon y ffurflen hon yn unig, megis:</v>
      </c>
    </row>
    <row r="71" spans="1:6" x14ac:dyDescent="0.35">
      <c r="B71" s="80" t="s">
        <v>1283</v>
      </c>
      <c r="D71" s="81" t="str">
        <f>VLOOKUP(B71,Translate!$B$3:$E$1449,3,FALSE)</f>
        <v>casglu, dadansoddi a chyfuno'r cofnodion a'r data gofynnol</v>
      </c>
      <c r="E71" s="82" t="str">
        <f>IF(ISERROR(VLOOKUP(C71,Translate!$B$3:$E$1254,3,FALSE)),"",VLOOKUP(C71,Translate!$B$3:$E$1254,3,FALSE))</f>
        <v/>
      </c>
      <c r="F71" s="80" t="str">
        <f>IF(FrontPage!$E$7=1,D71&amp;E71,B71&amp;C71)</f>
        <v>casglu, dadansoddi a chyfuno'r cofnodion a'r data gofynnol</v>
      </c>
    </row>
    <row r="72" spans="1:6" x14ac:dyDescent="0.35">
      <c r="B72" s="80" t="s">
        <v>1286</v>
      </c>
      <c r="D72" s="81" t="str">
        <f>VLOOKUP(B72,Translate!$B$3:$E$1449,3,FALSE)</f>
        <v>cwblhau, gwirio, diwygio a chymeradwyo'r ffurflen.</v>
      </c>
      <c r="E72" s="82" t="str">
        <f>IF(ISERROR(VLOOKUP(C72,Translate!$B$3:$E$1254,3,FALSE)),"",VLOOKUP(C72,Translate!$B$3:$E$1254,3,FALSE))</f>
        <v/>
      </c>
      <c r="F72" s="80" t="str">
        <f>IF(FrontPage!$E$7=1,D72&amp;E72,B72&amp;C72)</f>
        <v>cwblhau, gwirio, diwygio a chymeradwyo'r ffurflen.</v>
      </c>
    </row>
    <row r="73" spans="1:6" x14ac:dyDescent="0.35">
      <c r="B73" s="80" t="s">
        <v>98</v>
      </c>
      <c r="D73" s="81" t="str">
        <f>VLOOKUP(B73,Translate!$B$3:$E$1449,3,FALSE)</f>
        <v>Nifer yr oriau</v>
      </c>
      <c r="E73" s="82" t="str">
        <f>IF(ISERROR(VLOOKUP(C73,Translate!$B$3:$E$1254,3,FALSE)),"",VLOOKUP(C73,Translate!$B$3:$E$1254,3,FALSE))</f>
        <v/>
      </c>
      <c r="F73" s="80" t="str">
        <f>IF(FrontPage!$E$7=1,D73&amp;E73,B73&amp;C73)</f>
        <v>Nifer yr oriau</v>
      </c>
    </row>
    <row r="74" spans="1:6" x14ac:dyDescent="0.35">
      <c r="B74" s="80" t="s">
        <v>99</v>
      </c>
      <c r="D74" s="81" t="str">
        <f>VLOOKUP(B74,Translate!$B$3:$E$1449,3,FALSE)</f>
        <v>Mae croeso i chi ychwanegu unrhyw sylwadau</v>
      </c>
      <c r="E74" s="82" t="str">
        <f>IF(ISERROR(VLOOKUP(C74,Translate!$B$3:$E$1254,3,FALSE)),"",VLOOKUP(C74,Translate!$B$3:$E$1254,3,FALSE))</f>
        <v/>
      </c>
      <c r="F74" s="80" t="str">
        <f>IF(FrontPage!$E$7=1,D74&amp;E74,B74&amp;C74)</f>
        <v>Mae croeso i chi ychwanegu unrhyw sylwadau</v>
      </c>
    </row>
    <row r="75" spans="1:6" x14ac:dyDescent="0.35">
      <c r="B75" s="80" t="s">
        <v>1293</v>
      </c>
      <c r="D75" s="81" t="str">
        <f>VLOOKUP(B75,Translate!$B$3:$E$1449,3,FALSE)</f>
        <v>Sylwadau</v>
      </c>
      <c r="E75" s="82" t="str">
        <f>IF(ISERROR(VLOOKUP(C75,Translate!$B$3:$E$1254,3,FALSE)),"",VLOOKUP(C75,Translate!$B$3:$E$1254,3,FALSE))</f>
        <v/>
      </c>
      <c r="F75" s="80" t="str">
        <f>IF(FrontPage!$E$7=1,D75&amp;E75,B75&amp;C75)</f>
        <v>Sylwadau</v>
      </c>
    </row>
    <row r="76" spans="1:6" ht="25" x14ac:dyDescent="0.35">
      <c r="B76" s="80" t="s">
        <v>105</v>
      </c>
      <c r="D76" s="81" t="str">
        <f>VLOOKUP(B76,Translate!$B$3:$E$1449,3,FALSE)</f>
        <v>Cliciwch ar y ddolen isod i gael canllawiau ar gyfer y ffurflenni unigol (mae angen mynediad at y we)</v>
      </c>
      <c r="E76" s="82" t="str">
        <f>IF(ISERROR(VLOOKUP(C76,Translate!$B$3:$E$1254,3,FALSE)),"",VLOOKUP(C76,Translate!$B$3:$E$1254,3,FALSE))</f>
        <v/>
      </c>
      <c r="F76" s="80" t="str">
        <f>IF(FrontPage!$E$7=1,D76&amp;E76,B76&amp;C76)</f>
        <v>Cliciwch ar y ddolen isod i gael canllawiau ar gyfer y ffurflenni unigol (mae angen mynediad at y we)</v>
      </c>
    </row>
    <row r="77" spans="1:6" x14ac:dyDescent="0.35">
      <c r="B77" s="80" t="s">
        <v>91</v>
      </c>
      <c r="D77" s="81" t="str">
        <f>VLOOKUP(B77,Translate!$B$3:$E$1449,3,FALSE)</f>
        <v>Hyperddolen canllawiau</v>
      </c>
      <c r="E77" s="82" t="str">
        <f>IF(ISERROR(VLOOKUP(C77,Translate!$B$3:$E$1254,3,FALSE)),"",VLOOKUP(C77,Translate!$B$3:$E$1254,3,FALSE))</f>
        <v/>
      </c>
      <c r="F77" s="80" t="str">
        <f>IF(FrontPage!$E$7=1,D77&amp;E77,B77&amp;C77)</f>
        <v>Hyperddolen canllawiau</v>
      </c>
    </row>
    <row r="78" spans="1:6" ht="50" x14ac:dyDescent="0.35">
      <c r="B78" s="80" t="s">
        <v>1300</v>
      </c>
      <c r="D78" s="81" t="str">
        <f>VLOOKUP(B78,Translate!$B$3:$E$1449,3,FALSE)</f>
        <v xml:space="preserve">Rydym bob amser yn ceisio gwella'r ffurflen i'w gwneud yn haws i'w llenwi, gan barhau i sicrhau cywirdeb data a chysondeb ar gyfer yr holl awdurdodau. Os oes gennych unrhyw sylwadau neu awgrymiadau a allai fod yn ddefnyddiol, nodwch nhw isod: </v>
      </c>
      <c r="E78" s="82" t="str">
        <f>IF(ISERROR(VLOOKUP(C78,Translate!$B$3:$E$1254,3,FALSE)),"",VLOOKUP(C78,Translate!$B$3:$E$1254,3,FALSE))</f>
        <v/>
      </c>
      <c r="F78" s="80" t="str">
        <f>IF(FrontPage!$E$7=1,D78&amp;E78,B78&amp;C78)</f>
        <v xml:space="preserve">Rydym bob amser yn ceisio gwella'r ffurflen i'w gwneud yn haws i'w llenwi, gan barhau i sicrhau cywirdeb data a chysondeb ar gyfer yr holl awdurdodau. Os oes gennych unrhyw sylwadau neu awgrymiadau a allai fod yn ddefnyddiol, nodwch nhw isod: </v>
      </c>
    </row>
    <row r="79" spans="1:6" x14ac:dyDescent="0.35">
      <c r="B79" s="80" t="s">
        <v>92</v>
      </c>
      <c r="D79" s="81" t="str">
        <f>VLOOKUP(B79,Translate!$B$3:$E$1449,3,FALSE)</f>
        <v>Dyluniad y ffurflen</v>
      </c>
      <c r="E79" s="82" t="str">
        <f>IF(ISERROR(VLOOKUP(C79,Translate!$B$3:$E$1254,3,FALSE)),"",VLOOKUP(C79,Translate!$B$3:$E$1254,3,FALSE))</f>
        <v/>
      </c>
      <c r="F79" s="80" t="str">
        <f>IF(FrontPage!$E$7=1,D79&amp;E79,B79&amp;C79)</f>
        <v>Dyluniad y ffurflen</v>
      </c>
    </row>
    <row r="80" spans="1:6" x14ac:dyDescent="0.35">
      <c r="B80" s="80" t="s">
        <v>52</v>
      </c>
      <c r="D80" s="81" t="str">
        <f>VLOOKUP(B80,Translate!$B$3:$E$1449,3,FALSE)</f>
        <v>Dilysu</v>
      </c>
      <c r="E80" s="82" t="str">
        <f>IF(ISERROR(VLOOKUP(C80,Translate!$B$3:$E$1254,3,FALSE)),"",VLOOKUP(C80,Translate!$B$3:$E$1254,3,FALSE))</f>
        <v/>
      </c>
      <c r="F80" s="80" t="str">
        <f>IF(FrontPage!$E$7=1,D80&amp;E80,B80&amp;C80)</f>
        <v>Dilysu</v>
      </c>
    </row>
    <row r="81" spans="2:6" x14ac:dyDescent="0.35">
      <c r="B81" s="80" t="s">
        <v>93</v>
      </c>
      <c r="D81" s="81" t="str">
        <f>VLOOKUP(B81,Translate!$B$3:$E$1449,3,FALSE)</f>
        <v>Dogfennaeth</v>
      </c>
      <c r="E81" s="82" t="str">
        <f>IF(ISERROR(VLOOKUP(C81,Translate!$B$3:$E$1254,3,FALSE)),"",VLOOKUP(C81,Translate!$B$3:$E$1254,3,FALSE))</f>
        <v/>
      </c>
      <c r="F81" s="80" t="str">
        <f>IF(FrontPage!$E$7=1,D81&amp;E81,B81&amp;C81)</f>
        <v>Dogfennaeth</v>
      </c>
    </row>
    <row r="82" spans="2:6" x14ac:dyDescent="0.35">
      <c r="B82" s="80" t="s">
        <v>1309</v>
      </c>
      <c r="D82" s="81" t="str">
        <f>VLOOKUP(B82,Translate!$B$3:$E$1449,3,FALSE)</f>
        <v>Sylwadau cyffredinol</v>
      </c>
      <c r="E82" s="82" t="str">
        <f>IF(ISERROR(VLOOKUP(C82,Translate!$B$3:$E$1254,3,FALSE)),"",VLOOKUP(C82,Translate!$B$3:$E$1254,3,FALSE))</f>
        <v/>
      </c>
      <c r="F82" s="80" t="str">
        <f>IF(FrontPage!$E$7=1,D82&amp;E82,B82&amp;C82)</f>
        <v>Sylwadau cyffredinol</v>
      </c>
    </row>
    <row r="83" spans="2:6" x14ac:dyDescent="0.35">
      <c r="B83" s="80" t="s">
        <v>1252</v>
      </c>
      <c r="D83" s="81" t="str">
        <f>VLOOKUP(B83,Translate!$B$3:$E$1449,3,FALSE)</f>
        <v>Rhowch sylw</v>
      </c>
      <c r="E83" s="82" t="str">
        <f>IF(ISERROR(VLOOKUP(C83,Translate!$B$3:$E$1254,3,FALSE)),"",VLOOKUP(C83,Translate!$B$3:$E$1254,3,FALSE))</f>
        <v/>
      </c>
      <c r="F83" s="80" t="str">
        <f>IF(FrontPage!$E$7=1,D83&amp;E83,B83&amp;C83)</f>
        <v>Rhowch sylw</v>
      </c>
    </row>
    <row r="84" spans="2:6" x14ac:dyDescent="0.35">
      <c r="B84" s="80" t="s">
        <v>3164</v>
      </c>
      <c r="D84" s="81" t="str">
        <f>VLOOKUP(B84,Translate!$B$3:$E$1449,3,FALSE)</f>
        <v>Gwiriadau dilysu - ychwanegwch sylwadau lle gofynnir am hynny</v>
      </c>
      <c r="E84" s="82" t="str">
        <f>IF(ISERROR(VLOOKUP(C84,Translate!$B$3:$E$1254,3,FALSE)),"",VLOOKUP(C84,Translate!$B$3:$E$1254,3,FALSE))</f>
        <v/>
      </c>
      <c r="F84" s="80" t="str">
        <f>IF(FrontPage!$E$7=1,D84&amp;E84,B84&amp;C84)</f>
        <v>Gwiriadau dilysu - ychwanegwch sylwadau lle gofynnir am hynny</v>
      </c>
    </row>
    <row r="85" spans="2:6" x14ac:dyDescent="0.35">
      <c r="B85" s="80" t="s">
        <v>229</v>
      </c>
      <c r="D85" s="81" t="str">
        <f>VLOOKUP(B85,Translate!$B$3:$E$1449,3,FALSE)</f>
        <v>Blwyddyn</v>
      </c>
      <c r="E85" s="82" t="str">
        <f>IF(ISERROR(VLOOKUP(C85,Translate!$B$3:$E$1254,3,FALSE)),"",VLOOKUP(C85,Translate!$B$3:$E$1254,3,FALSE))</f>
        <v/>
      </c>
      <c r="F85" s="80" t="str">
        <f>IF(FrontPage!$E$7=1,D85&amp;E85,B85&amp;C85)</f>
        <v>Blwyddyn</v>
      </c>
    </row>
    <row r="86" spans="2:6" x14ac:dyDescent="0.35">
      <c r="B86" s="80" t="s">
        <v>3222</v>
      </c>
      <c r="D86" s="81" t="str">
        <f>VLOOKUP(B86,Translate!$B$3:$E$1449,3,FALSE)</f>
        <v>Goddefiant</v>
      </c>
      <c r="E86" s="82" t="str">
        <f>IF(ISERROR(VLOOKUP(C86,Translate!$B$3:$E$1254,3,FALSE)),"",VLOOKUP(C86,Translate!$B$3:$E$1254,3,FALSE))</f>
        <v/>
      </c>
      <c r="F86" s="80" t="str">
        <f>IF(FrontPage!$E$7=1,D86&amp;E86,B86&amp;C86)</f>
        <v>Goddefiant</v>
      </c>
    </row>
    <row r="87" spans="2:6" x14ac:dyDescent="0.35">
      <c r="D87" s="81"/>
      <c r="E87" s="82" t="str">
        <f>IF(ISERROR(VLOOKUP(C87,Translate!$B$3:$E$1254,3,FALSE)),"",VLOOKUP(C87,Translate!$B$3:$E$1254,3,FALSE))</f>
        <v/>
      </c>
      <c r="F87" s="80" t="str">
        <f>IF(FrontPage!$E$7=1,D87&amp;E87,B87&amp;C87)</f>
        <v/>
      </c>
    </row>
    <row r="88" spans="2:6" x14ac:dyDescent="0.35">
      <c r="B88" s="80" t="s">
        <v>3331</v>
      </c>
      <c r="D88" s="81" t="str">
        <f>VLOOKUP(B88,Translate!$B$3:$E$1449,3,FALSE)</f>
        <v>Ar ôl ardystio dylech anfon y canlynol atom:</v>
      </c>
      <c r="E88" s="82" t="str">
        <f>IF(ISERROR(VLOOKUP(C88,Translate!$B$3:$E$1254,3,FALSE)),"",VLOOKUP(C88,Translate!$B$3:$E$1254,3,FALSE))</f>
        <v/>
      </c>
      <c r="F88" s="80" t="str">
        <f>IF(FrontPage!$E$7=1,D88&amp;E88,B88&amp;C88)</f>
        <v>Ar ôl ardystio dylech anfon y canlynol atom:</v>
      </c>
    </row>
    <row r="89" spans="2:6" ht="25" x14ac:dyDescent="0.35">
      <c r="B89" s="80" t="s">
        <v>3470</v>
      </c>
      <c r="D89" s="81" t="str">
        <f>VLOOKUP(B89,Translate!$B$3:$E$1449,3,FALSE)</f>
        <v>Copi electronig o'r daenlen, yn ddelfrydol gyda delwedd o lofnod y PSC a'r dyddiad wedi'u hychwanegu.</v>
      </c>
      <c r="E89" s="82" t="str">
        <f>IF(ISERROR(VLOOKUP(C89,Translate!$B$3:$E$1254,3,FALSE)),"",VLOOKUP(C89,Translate!$B$3:$E$1254,3,FALSE))</f>
        <v/>
      </c>
      <c r="F89" s="80" t="str">
        <f>IF(FrontPage!$E$7=1,D89&amp;E89,B89&amp;C89)</f>
        <v>Copi electronig o'r daenlen, yn ddelfrydol gyda delwedd o lofnod y PSC a'r dyddiad wedi'u hychwanegu.</v>
      </c>
    </row>
    <row r="90" spans="2:6" ht="25" x14ac:dyDescent="0.35">
      <c r="B90" s="80" t="s">
        <v>3471</v>
      </c>
      <c r="D90" s="81" t="str">
        <f>VLOOKUP(B90,Translate!$B$3:$E$1449,3,FALSE)</f>
        <v>Neu gopi electronig a chopi ar wahân wedi'i lofnodi (fel PDF yn ddelfrydol, neu gopi caled trwy'r post).</v>
      </c>
      <c r="E90" s="82" t="str">
        <f>IF(ISERROR(VLOOKUP(C90,Translate!$B$3:$E$1254,3,FALSE)),"",VLOOKUP(C90,Translate!$B$3:$E$1254,3,FALSE))</f>
        <v/>
      </c>
      <c r="F90" s="80" t="str">
        <f>IF(FrontPage!$E$7=1,D90&amp;E90,B90&amp;C90)</f>
        <v>Neu gopi electronig a chopi ar wahân wedi'i lofnodi (fel PDF yn ddelfrydol, neu gopi caled trwy'r post).</v>
      </c>
    </row>
    <row r="91" spans="2:6" ht="25" x14ac:dyDescent="0.35">
      <c r="B91" s="80" t="s">
        <v>3472</v>
      </c>
      <c r="D91" s="81" t="str">
        <f>VLOOKUP(B91,Translate!$B$3:$E$1449,3,FALSE)</f>
        <v>Noder. Rhaid i'r ffigurau ar y copi wedi'i lofnodi cyd-fynd â'r copi electronig. Bydd angen copi arall wedi'i lofnodi arnom os nad ydyn nhw.</v>
      </c>
      <c r="E91" s="82"/>
      <c r="F91" s="80" t="str">
        <f>IF(FrontPage!$E$7=1,D91&amp;E91,B91&amp;C91)</f>
        <v>Noder. Rhaid i'r ffigurau ar y copi wedi'i lofnodi cyd-fynd â'r copi electronig. Bydd angen copi arall wedi'i lofnodi arnom os nad ydyn nhw.</v>
      </c>
    </row>
    <row r="92" spans="2:6" x14ac:dyDescent="0.35">
      <c r="B92" s="80" t="s">
        <v>3207</v>
      </c>
      <c r="D92" s="81" t="str">
        <f>VLOOKUP(B92,Translate!$B$3:$E$1449,3,FALSE)</f>
        <v>addasadwy</v>
      </c>
      <c r="E92" s="82" t="str">
        <f>IF(ISERROR(VLOOKUP(C92,Translate!$B$3:$E$1254,3,FALSE)),"",VLOOKUP(C92,Translate!$B$3:$E$1254,3,FALSE))</f>
        <v/>
      </c>
      <c r="F92" s="80" t="str">
        <f>IF(FrontPage!$E$7=1,D92&amp;E92,B92&amp;C92)</f>
        <v>addasadwy</v>
      </c>
    </row>
    <row r="93" spans="2:6" x14ac:dyDescent="0.35">
      <c r="B93" s="80" t="s">
        <v>3478</v>
      </c>
      <c r="D93" s="81" t="str">
        <f>VLOOKUP(B93,Translate!$B$3:$E$1449,3,FALSE)</f>
        <v xml:space="preserve">Y dyddiad hwyraf ar gyfer dychwelyd yw </v>
      </c>
      <c r="E93" s="82" t="str">
        <f>IF(ISERROR(VLOOKUP(C93,Translate!$B$3:$E$1254,3,FALSE)),"",VLOOKUP(C93,Translate!$B$3:$E$1254,3,FALSE))</f>
        <v/>
      </c>
      <c r="F93" s="80" t="str">
        <f>IF(FrontPage!$E$7=1,D93&amp;E93&amp;Details!G5,B93&amp;C93&amp;Details!G5)</f>
        <v>Y dyddiad hwyraf ar gyfer dychwelyd yw 7 Mawrth 2024</v>
      </c>
    </row>
  </sheetData>
  <sheetProtection sheet="1" objects="1" scenarios="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A1:W1437"/>
  <sheetViews>
    <sheetView workbookViewId="0">
      <selection activeCell="Z4" sqref="Z4"/>
    </sheetView>
  </sheetViews>
  <sheetFormatPr defaultColWidth="8.84375" defaultRowHeight="12.5" x14ac:dyDescent="0.25"/>
  <cols>
    <col min="1" max="1" width="8.84375" style="65"/>
    <col min="2" max="2" width="80.4609375" style="65" customWidth="1"/>
    <col min="3" max="3" width="18.07421875" style="65" hidden="1" customWidth="1"/>
    <col min="4" max="4" width="74.53515625" style="65" customWidth="1"/>
    <col min="5" max="5" width="17.84375" style="65" customWidth="1"/>
    <col min="6" max="7" width="4.07421875" style="65" customWidth="1"/>
    <col min="8" max="8" width="15.765625" style="65" customWidth="1"/>
    <col min="9" max="9" width="16.765625" style="65" customWidth="1"/>
    <col min="10" max="12" width="4.07421875" style="65" customWidth="1"/>
    <col min="13" max="13" width="26.3046875" style="65" bestFit="1" customWidth="1"/>
    <col min="14" max="14" width="17.84375" style="65" customWidth="1"/>
    <col min="15" max="15" width="8.84375" style="65" customWidth="1"/>
    <col min="16" max="16" width="45.23046875" style="65" customWidth="1"/>
    <col min="17" max="17" width="14.765625" style="65" customWidth="1"/>
    <col min="18" max="18" width="64.3046875" style="68" customWidth="1"/>
    <col min="19" max="19" width="2.53515625" style="65" customWidth="1"/>
    <col min="20" max="20" width="2.4609375" style="65" customWidth="1"/>
    <col min="21" max="21" width="2.23046875" style="65" customWidth="1"/>
    <col min="22" max="22" width="2.765625" style="65" customWidth="1"/>
    <col min="23" max="16384" width="8.84375" style="65"/>
  </cols>
  <sheetData>
    <row r="1" spans="2:23" ht="13" x14ac:dyDescent="0.3">
      <c r="B1" s="64" t="s">
        <v>242</v>
      </c>
      <c r="C1" s="64"/>
      <c r="M1" s="64" t="s">
        <v>243</v>
      </c>
      <c r="N1" s="64" t="s">
        <v>244</v>
      </c>
      <c r="P1" s="64" t="s">
        <v>245</v>
      </c>
      <c r="Q1" s="64" t="s">
        <v>246</v>
      </c>
      <c r="R1" s="66" t="s">
        <v>247</v>
      </c>
    </row>
    <row r="2" spans="2:23" ht="13" x14ac:dyDescent="0.3">
      <c r="B2" s="67" t="s">
        <v>248</v>
      </c>
      <c r="C2" s="67" t="s">
        <v>249</v>
      </c>
      <c r="D2" s="67" t="s">
        <v>250</v>
      </c>
      <c r="E2" s="67" t="s">
        <v>251</v>
      </c>
      <c r="H2" s="64" t="s">
        <v>249</v>
      </c>
      <c r="I2" s="64" t="s">
        <v>251</v>
      </c>
      <c r="M2" s="65" t="str">
        <f>IF(ISERROR(FIND("=",P2)),"",RIGHT(P2,LEN(P2)-FIND("=",P2)+3))</f>
        <v/>
      </c>
      <c r="N2" s="65" t="str">
        <f>IF(ISERROR(FIND(" (include",P2)),"",RIGHT(P2,LEN(P2)-FIND(" (include",P2)))</f>
        <v/>
      </c>
      <c r="O2" s="64" t="s">
        <v>252</v>
      </c>
      <c r="P2" s="65" t="s">
        <v>253</v>
      </c>
      <c r="Q2" s="65" t="str">
        <f>IF(ISERROR(FIND(" (line",P2)),"",RIGHT(P2,LEN(P2)-FIND(" (line",P2)))</f>
        <v/>
      </c>
      <c r="R2" s="68" t="str">
        <f>LEFT(P2,LEN(P2)-LEN(Q2))</f>
        <v>Capital outturn</v>
      </c>
      <c r="W2" s="64"/>
    </row>
    <row r="3" spans="2:23" x14ac:dyDescent="0.25">
      <c r="B3" s="168" t="s">
        <v>3166</v>
      </c>
      <c r="C3" s="69"/>
      <c r="D3" s="73" t="s">
        <v>3261</v>
      </c>
      <c r="E3" s="73"/>
      <c r="H3" s="65" t="s">
        <v>257</v>
      </c>
      <c r="I3" s="65" t="s">
        <v>258</v>
      </c>
      <c r="M3" s="65" t="str">
        <f t="shared" ref="M3:M66" si="0">IF(ISERROR(FIND("=",P3)),"",RIGHT(P3,LEN(P3)-FIND("=",P3)+3))</f>
        <v/>
      </c>
      <c r="N3" s="65" t="str">
        <f t="shared" ref="N3:N66" si="1">IF(ISERROR(FIND(" (include",P3)),"",RIGHT(P3,LEN(P3)-FIND(" (include",P3)))</f>
        <v/>
      </c>
      <c r="P3" s="65" t="s">
        <v>259</v>
      </c>
      <c r="Q3" s="65" t="str">
        <f t="shared" ref="Q3:Q66" si="2">IF(ISERROR(FIND(" (line",P3)),"",RIGHT(P3,LEN(P3)-FIND(" (line",P3)))</f>
        <v/>
      </c>
      <c r="R3" s="68" t="str">
        <f t="shared" ref="R3:R66" si="3">LEFT(P3,LEN(P3)-LEN(Q3))</f>
        <v>Please select your authority</v>
      </c>
    </row>
    <row r="4" spans="2:23" x14ac:dyDescent="0.25">
      <c r="B4" s="168" t="s">
        <v>4</v>
      </c>
      <c r="C4" s="69"/>
      <c r="D4" s="73" t="s">
        <v>3167</v>
      </c>
      <c r="E4" s="73"/>
      <c r="H4" s="65" t="s">
        <v>263</v>
      </c>
      <c r="I4" s="65" t="s">
        <v>264</v>
      </c>
      <c r="M4" s="65" t="str">
        <f t="shared" si="0"/>
        <v/>
      </c>
      <c r="N4" s="65" t="str">
        <f t="shared" si="1"/>
        <v/>
      </c>
      <c r="P4" s="65" t="s">
        <v>13</v>
      </c>
      <c r="Q4" s="65" t="str">
        <f t="shared" si="2"/>
        <v/>
      </c>
      <c r="R4" s="68" t="str">
        <f t="shared" si="3"/>
        <v>If necessary, please amend the name and telephone number of our contact in case of queries:-</v>
      </c>
    </row>
    <row r="5" spans="2:23" x14ac:dyDescent="0.25">
      <c r="B5" s="168" t="s">
        <v>2</v>
      </c>
      <c r="C5" s="69"/>
      <c r="D5" s="73" t="s">
        <v>3170</v>
      </c>
      <c r="E5" s="73"/>
      <c r="H5" s="65" t="s">
        <v>268</v>
      </c>
      <c r="I5" s="65" t="s">
        <v>269</v>
      </c>
      <c r="M5" s="65" t="str">
        <f t="shared" si="0"/>
        <v/>
      </c>
      <c r="N5" s="65" t="str">
        <f t="shared" si="1"/>
        <v/>
      </c>
      <c r="P5" s="65" t="s">
        <v>88</v>
      </c>
      <c r="Q5" s="65" t="str">
        <f t="shared" si="2"/>
        <v/>
      </c>
      <c r="R5" s="68" t="str">
        <f t="shared" si="3"/>
        <v xml:space="preserve">Contact name:        </v>
      </c>
    </row>
    <row r="6" spans="2:23" x14ac:dyDescent="0.25">
      <c r="B6" s="168" t="s">
        <v>3181</v>
      </c>
      <c r="C6" s="69"/>
      <c r="D6" s="73" t="s">
        <v>3262</v>
      </c>
      <c r="E6" s="73"/>
      <c r="H6" s="65" t="s">
        <v>273</v>
      </c>
      <c r="I6" s="65" t="s">
        <v>274</v>
      </c>
      <c r="M6" s="65" t="str">
        <f t="shared" si="0"/>
        <v/>
      </c>
      <c r="N6" s="65" t="str">
        <f t="shared" si="1"/>
        <v/>
      </c>
      <c r="P6" s="65" t="s">
        <v>89</v>
      </c>
      <c r="Q6" s="65" t="str">
        <f t="shared" si="2"/>
        <v/>
      </c>
      <c r="R6" s="68" t="str">
        <f t="shared" si="3"/>
        <v xml:space="preserve">Contact E-mail:        </v>
      </c>
    </row>
    <row r="7" spans="2:23" x14ac:dyDescent="0.25">
      <c r="B7" s="168" t="s">
        <v>3182</v>
      </c>
      <c r="C7" s="69"/>
      <c r="D7" s="73" t="s">
        <v>3263</v>
      </c>
      <c r="E7" s="73"/>
      <c r="H7" s="65" t="s">
        <v>278</v>
      </c>
      <c r="I7" s="65" t="s">
        <v>279</v>
      </c>
      <c r="M7" s="65" t="str">
        <f t="shared" si="0"/>
        <v/>
      </c>
      <c r="N7" s="65" t="str">
        <f t="shared" si="1"/>
        <v/>
      </c>
      <c r="P7" s="65" t="s">
        <v>90</v>
      </c>
      <c r="Q7" s="65" t="str">
        <f t="shared" si="2"/>
        <v/>
      </c>
      <c r="R7" s="68" t="str">
        <f t="shared" si="3"/>
        <v xml:space="preserve">Telephone:        </v>
      </c>
    </row>
    <row r="8" spans="2:23" x14ac:dyDescent="0.25">
      <c r="B8" s="168" t="s">
        <v>3183</v>
      </c>
      <c r="C8" s="69"/>
      <c r="D8" s="73" t="s">
        <v>3184</v>
      </c>
      <c r="E8" s="73"/>
      <c r="H8" s="65" t="s">
        <v>283</v>
      </c>
      <c r="I8" s="65" t="s">
        <v>284</v>
      </c>
      <c r="M8" s="65" t="str">
        <f t="shared" si="0"/>
        <v/>
      </c>
      <c r="N8" s="65" t="str">
        <f t="shared" si="1"/>
        <v/>
      </c>
      <c r="P8" s="65" t="s">
        <v>285</v>
      </c>
      <c r="Q8" s="65" t="str">
        <f t="shared" si="2"/>
        <v/>
      </c>
      <c r="R8" s="68" t="str">
        <f t="shared" si="3"/>
        <v>The information on this form must be submitted to the Welsh Government under section 14 of the Local Government Act 2003.</v>
      </c>
    </row>
    <row r="9" spans="2:23" x14ac:dyDescent="0.25">
      <c r="B9" s="168" t="s">
        <v>3191</v>
      </c>
      <c r="C9" s="69"/>
      <c r="D9" s="73" t="s">
        <v>3264</v>
      </c>
      <c r="E9" s="73"/>
      <c r="H9" s="65" t="s">
        <v>289</v>
      </c>
      <c r="I9" s="65" t="s">
        <v>290</v>
      </c>
      <c r="M9" s="65" t="str">
        <f t="shared" si="0"/>
        <v/>
      </c>
      <c r="N9" s="65" t="str">
        <f t="shared" si="1"/>
        <v/>
      </c>
      <c r="P9" s="65" t="s">
        <v>291</v>
      </c>
      <c r="Q9" s="65" t="str">
        <f t="shared" si="2"/>
        <v/>
      </c>
      <c r="R9" s="68" t="str">
        <f t="shared" si="3"/>
        <v>This form must be returned by 31 July 2015</v>
      </c>
    </row>
    <row r="10" spans="2:23" x14ac:dyDescent="0.25">
      <c r="B10" s="168" t="s">
        <v>1</v>
      </c>
      <c r="C10" s="69"/>
      <c r="D10" s="73" t="s">
        <v>3265</v>
      </c>
      <c r="E10" s="73"/>
      <c r="H10" s="65" t="s">
        <v>295</v>
      </c>
      <c r="I10" s="65" t="s">
        <v>296</v>
      </c>
      <c r="M10" s="65" t="str">
        <f t="shared" si="0"/>
        <v/>
      </c>
      <c r="N10" s="65" t="str">
        <f t="shared" si="1"/>
        <v/>
      </c>
      <c r="P10" s="65" t="s">
        <v>297</v>
      </c>
      <c r="Q10" s="65" t="str">
        <f t="shared" si="2"/>
        <v/>
      </c>
      <c r="R10" s="68" t="str">
        <f t="shared" si="3"/>
        <v>Please email the spreadsheet to the address below, please note that we no longer require a signed hard-copy of this return.</v>
      </c>
    </row>
    <row r="11" spans="2:23" x14ac:dyDescent="0.25">
      <c r="B11" s="168" t="s">
        <v>3326</v>
      </c>
      <c r="C11" s="69"/>
      <c r="D11" s="73" t="s">
        <v>3327</v>
      </c>
      <c r="E11" s="73"/>
      <c r="H11" s="65" t="s">
        <v>301</v>
      </c>
      <c r="I11" s="65" t="s">
        <v>302</v>
      </c>
      <c r="M11" s="65" t="str">
        <f t="shared" si="0"/>
        <v/>
      </c>
      <c r="N11" s="65" t="str">
        <f t="shared" si="1"/>
        <v/>
      </c>
      <c r="P11" s="65" t="s">
        <v>303</v>
      </c>
      <c r="Q11" s="65" t="str">
        <f t="shared" si="2"/>
        <v/>
      </c>
      <c r="R11" s="68" t="str">
        <f t="shared" si="3"/>
        <v>Any queries on completion of the form or spreadsheet should be directed to Frank Kelly or Anthony Newby, via telephone or e-mail, as directed below.</v>
      </c>
    </row>
    <row r="12" spans="2:23" x14ac:dyDescent="0.25">
      <c r="B12" s="168" t="s">
        <v>3205</v>
      </c>
      <c r="C12" s="69"/>
      <c r="D12" s="76" t="s">
        <v>3206</v>
      </c>
      <c r="E12" s="73"/>
      <c r="H12" s="65" t="s">
        <v>307</v>
      </c>
      <c r="I12" s="65" t="s">
        <v>308</v>
      </c>
      <c r="M12" s="65" t="str">
        <f t="shared" si="0"/>
        <v/>
      </c>
      <c r="N12" s="65" t="str">
        <f t="shared" si="1"/>
        <v/>
      </c>
      <c r="P12" s="65" t="s">
        <v>309</v>
      </c>
      <c r="Q12" s="65" t="str">
        <f t="shared" si="2"/>
        <v/>
      </c>
      <c r="R12" s="68" t="str">
        <f t="shared" si="3"/>
        <v>It is a Welsh Government audit requirement that all cells are completed.  Please ensure that all blank cells are populated with zeros, those that are not will be assumed to be zero.</v>
      </c>
    </row>
    <row r="13" spans="2:23" x14ac:dyDescent="0.25">
      <c r="B13" s="168" t="s">
        <v>3209</v>
      </c>
      <c r="C13" s="69"/>
      <c r="D13" s="73" t="s">
        <v>3266</v>
      </c>
      <c r="E13" s="73"/>
      <c r="H13" s="65" t="s">
        <v>313</v>
      </c>
      <c r="I13" s="65" t="s">
        <v>314</v>
      </c>
      <c r="M13" s="65" t="str">
        <f t="shared" si="0"/>
        <v/>
      </c>
      <c r="N13" s="65" t="str">
        <f t="shared" si="1"/>
        <v/>
      </c>
      <c r="P13" s="65" t="s">
        <v>315</v>
      </c>
      <c r="Q13" s="65" t="str">
        <f t="shared" si="2"/>
        <v/>
      </c>
      <c r="R13" s="68" t="str">
        <f t="shared" si="3"/>
        <v>Local Government Financial Statistics,</v>
      </c>
    </row>
    <row r="14" spans="2:23" x14ac:dyDescent="0.25">
      <c r="B14" s="169" t="s">
        <v>72</v>
      </c>
      <c r="C14" s="69"/>
      <c r="D14" s="73" t="s">
        <v>3210</v>
      </c>
      <c r="E14" s="73"/>
      <c r="H14" s="65" t="s">
        <v>319</v>
      </c>
      <c r="I14" s="65" t="s">
        <v>320</v>
      </c>
      <c r="M14" s="65" t="str">
        <f t="shared" si="0"/>
        <v/>
      </c>
      <c r="N14" s="65" t="str">
        <f t="shared" si="1"/>
        <v/>
      </c>
      <c r="P14" s="65" t="s">
        <v>321</v>
      </c>
      <c r="Q14" s="65" t="str">
        <f t="shared" si="2"/>
        <v/>
      </c>
      <c r="R14" s="68" t="str">
        <f t="shared" si="3"/>
        <v>Knowledge and Analytical Services,</v>
      </c>
    </row>
    <row r="15" spans="2:23" x14ac:dyDescent="0.25">
      <c r="B15" s="168" t="s">
        <v>3238</v>
      </c>
      <c r="C15" s="69"/>
      <c r="D15" s="73" t="s">
        <v>3267</v>
      </c>
      <c r="E15" s="73"/>
      <c r="H15" s="65" t="s">
        <v>325</v>
      </c>
      <c r="I15" s="65" t="s">
        <v>326</v>
      </c>
      <c r="M15" s="65" t="str">
        <f t="shared" si="0"/>
        <v/>
      </c>
      <c r="N15" s="65" t="str">
        <f t="shared" si="1"/>
        <v/>
      </c>
      <c r="P15" s="65" t="s">
        <v>327</v>
      </c>
      <c r="Q15" s="65" t="str">
        <f t="shared" si="2"/>
        <v/>
      </c>
      <c r="R15" s="68" t="str">
        <f t="shared" si="3"/>
        <v>Welsh Government,</v>
      </c>
    </row>
    <row r="16" spans="2:23" x14ac:dyDescent="0.25">
      <c r="B16" s="168" t="s">
        <v>3241</v>
      </c>
      <c r="C16" s="69"/>
      <c r="D16" s="73" t="s">
        <v>3268</v>
      </c>
      <c r="E16" s="73"/>
      <c r="H16" s="65" t="s">
        <v>331</v>
      </c>
      <c r="I16" s="65" t="s">
        <v>332</v>
      </c>
      <c r="M16" s="65" t="str">
        <f t="shared" si="0"/>
        <v/>
      </c>
      <c r="N16" s="65" t="str">
        <f t="shared" si="1"/>
        <v/>
      </c>
      <c r="P16" s="65" t="s">
        <v>333</v>
      </c>
      <c r="Q16" s="65" t="str">
        <f t="shared" si="2"/>
        <v/>
      </c>
      <c r="R16" s="68" t="str">
        <f t="shared" si="3"/>
        <v>Cathays Park,</v>
      </c>
    </row>
    <row r="17" spans="2:18" x14ac:dyDescent="0.25">
      <c r="B17" s="168" t="s">
        <v>3255</v>
      </c>
      <c r="C17" s="69"/>
      <c r="D17" s="165" t="s">
        <v>3269</v>
      </c>
      <c r="E17" s="165"/>
      <c r="H17" s="65" t="s">
        <v>337</v>
      </c>
      <c r="I17" s="65" t="s">
        <v>338</v>
      </c>
      <c r="M17" s="65" t="str">
        <f t="shared" si="0"/>
        <v/>
      </c>
      <c r="N17" s="65" t="str">
        <f t="shared" si="1"/>
        <v/>
      </c>
      <c r="P17" s="65" t="s">
        <v>339</v>
      </c>
      <c r="Q17" s="65" t="str">
        <f t="shared" si="2"/>
        <v/>
      </c>
      <c r="R17" s="68" t="str">
        <f t="shared" si="3"/>
        <v>CARDIFF,</v>
      </c>
    </row>
    <row r="18" spans="2:18" x14ac:dyDescent="0.25">
      <c r="B18" s="168" t="s">
        <v>3217</v>
      </c>
      <c r="C18" s="69"/>
      <c r="D18" s="73" t="s">
        <v>3270</v>
      </c>
      <c r="E18" s="73"/>
      <c r="H18" s="65" t="s">
        <v>305</v>
      </c>
      <c r="I18" s="65" t="s">
        <v>343</v>
      </c>
      <c r="M18" s="65" t="str">
        <f t="shared" si="0"/>
        <v/>
      </c>
      <c r="N18" s="65" t="str">
        <f t="shared" si="1"/>
        <v/>
      </c>
      <c r="P18" s="65" t="s">
        <v>344</v>
      </c>
      <c r="Q18" s="65" t="str">
        <f t="shared" si="2"/>
        <v/>
      </c>
      <c r="R18" s="68" t="str">
        <f t="shared" si="3"/>
        <v>CF10 3NQ.</v>
      </c>
    </row>
    <row r="19" spans="2:18" ht="25" x14ac:dyDescent="0.25">
      <c r="B19" s="168" t="s">
        <v>71</v>
      </c>
      <c r="C19" s="69"/>
      <c r="D19" s="73" t="s">
        <v>3271</v>
      </c>
      <c r="E19" s="73"/>
      <c r="H19" s="65" t="s">
        <v>335</v>
      </c>
      <c r="I19" s="65" t="s">
        <v>348</v>
      </c>
      <c r="M19" s="65" t="str">
        <f t="shared" si="0"/>
        <v/>
      </c>
      <c r="N19" s="65" t="str">
        <f t="shared" si="1"/>
        <v/>
      </c>
      <c r="P19" s="65" t="s">
        <v>349</v>
      </c>
      <c r="Q19" s="65" t="str">
        <f t="shared" si="2"/>
        <v/>
      </c>
      <c r="R19" s="68" t="str">
        <f t="shared" si="3"/>
        <v>Telephone: 029 2082 5673</v>
      </c>
    </row>
    <row r="20" spans="2:18" x14ac:dyDescent="0.25">
      <c r="B20" s="168" t="s">
        <v>3218</v>
      </c>
      <c r="C20" s="69"/>
      <c r="D20" s="73" t="s">
        <v>3272</v>
      </c>
      <c r="E20" s="73"/>
      <c r="H20" s="65" t="s">
        <v>341</v>
      </c>
      <c r="I20" s="65" t="s">
        <v>352</v>
      </c>
      <c r="M20" s="65" t="str">
        <f t="shared" si="0"/>
        <v/>
      </c>
      <c r="N20" s="65" t="str">
        <f t="shared" si="1"/>
        <v/>
      </c>
      <c r="P20" s="65" t="s">
        <v>353</v>
      </c>
      <c r="Q20" s="65" t="str">
        <f t="shared" si="2"/>
        <v/>
      </c>
      <c r="R20" s="68" t="str">
        <f t="shared" si="3"/>
        <v>E-mail: lgfs.transfer@wales.gsi.gov.uk</v>
      </c>
    </row>
    <row r="21" spans="2:18" ht="13" x14ac:dyDescent="0.3">
      <c r="B21" s="168" t="s">
        <v>3219</v>
      </c>
      <c r="C21" s="69"/>
      <c r="D21" s="73" t="s">
        <v>3273</v>
      </c>
      <c r="E21" s="73"/>
      <c r="H21" s="65" t="s">
        <v>346</v>
      </c>
      <c r="I21" s="65" t="s">
        <v>357</v>
      </c>
      <c r="M21" s="65" t="str">
        <f t="shared" si="0"/>
        <v/>
      </c>
      <c r="N21" s="65" t="str">
        <f t="shared" si="1"/>
        <v/>
      </c>
      <c r="O21" s="64"/>
      <c r="Q21" s="65" t="str">
        <f t="shared" si="2"/>
        <v/>
      </c>
      <c r="R21" s="68" t="str">
        <f t="shared" si="3"/>
        <v/>
      </c>
    </row>
    <row r="22" spans="2:18" ht="13" x14ac:dyDescent="0.3">
      <c r="B22" s="168" t="s">
        <v>53</v>
      </c>
      <c r="C22" s="69"/>
      <c r="D22" s="73" t="s">
        <v>3274</v>
      </c>
      <c r="E22" s="73"/>
      <c r="H22" s="65" t="s">
        <v>355</v>
      </c>
      <c r="I22" s="65" t="s">
        <v>361</v>
      </c>
      <c r="M22" s="65" t="str">
        <f t="shared" si="0"/>
        <v/>
      </c>
      <c r="N22" s="65" t="str">
        <f t="shared" si="1"/>
        <v/>
      </c>
      <c r="O22" s="64" t="s">
        <v>362</v>
      </c>
      <c r="P22" s="65" t="s">
        <v>363</v>
      </c>
      <c r="Q22" s="65" t="str">
        <f t="shared" si="2"/>
        <v/>
      </c>
      <c r="R22" s="68" t="str">
        <f t="shared" si="3"/>
        <v>Please select your authority on FrontPage</v>
      </c>
    </row>
    <row r="23" spans="2:18" x14ac:dyDescent="0.25">
      <c r="B23" s="168" t="s">
        <v>31</v>
      </c>
      <c r="C23" s="69"/>
      <c r="D23" s="73" t="s">
        <v>3329</v>
      </c>
      <c r="E23" s="73"/>
      <c r="H23" s="65" t="s">
        <v>359</v>
      </c>
      <c r="I23" s="65" t="s">
        <v>367</v>
      </c>
      <c r="M23" s="65" t="str">
        <f t="shared" si="0"/>
        <v/>
      </c>
      <c r="N23" s="65" t="str">
        <f t="shared" si="1"/>
        <v/>
      </c>
      <c r="P23" s="65" t="s">
        <v>368</v>
      </c>
      <c r="Q23" s="65" t="str">
        <f t="shared" si="2"/>
        <v/>
      </c>
      <c r="R23" s="68" t="str">
        <f t="shared" si="3"/>
        <v>COR1-2:       Capital outturn 1 and 2</v>
      </c>
    </row>
    <row r="24" spans="2:18" x14ac:dyDescent="0.25">
      <c r="B24" s="168" t="s">
        <v>48</v>
      </c>
      <c r="C24" s="69"/>
      <c r="D24" s="73" t="s">
        <v>3275</v>
      </c>
      <c r="E24" s="73"/>
      <c r="H24" s="65" t="s">
        <v>365</v>
      </c>
      <c r="I24" s="65" t="s">
        <v>372</v>
      </c>
      <c r="M24" s="65" t="str">
        <f t="shared" si="0"/>
        <v/>
      </c>
      <c r="N24" s="65" t="str">
        <f t="shared" si="1"/>
        <v/>
      </c>
      <c r="O24" s="65">
        <v>1.1000000000000001</v>
      </c>
      <c r="P24" s="65" t="s">
        <v>373</v>
      </c>
      <c r="Q24" s="65" t="str">
        <f t="shared" si="2"/>
        <v/>
      </c>
      <c r="R24" s="68" t="str">
        <f t="shared" si="3"/>
        <v>Pre-primary education</v>
      </c>
    </row>
    <row r="25" spans="2:18" x14ac:dyDescent="0.25">
      <c r="B25" s="168" t="s">
        <v>3239</v>
      </c>
      <c r="C25" s="69"/>
      <c r="D25" s="73" t="s">
        <v>3330</v>
      </c>
      <c r="E25" s="73"/>
      <c r="H25" s="65" t="s">
        <v>370</v>
      </c>
      <c r="I25" s="65" t="s">
        <v>376</v>
      </c>
      <c r="M25" s="65" t="str">
        <f t="shared" si="0"/>
        <v/>
      </c>
      <c r="N25" s="65" t="str">
        <f t="shared" si="1"/>
        <v/>
      </c>
      <c r="O25" s="65">
        <v>1.2</v>
      </c>
      <c r="P25" s="65" t="s">
        <v>377</v>
      </c>
      <c r="Q25" s="65" t="str">
        <f t="shared" si="2"/>
        <v/>
      </c>
      <c r="R25" s="68" t="str">
        <f t="shared" si="3"/>
        <v>Primary education</v>
      </c>
    </row>
    <row r="26" spans="2:18" x14ac:dyDescent="0.25">
      <c r="B26" s="168" t="s">
        <v>54</v>
      </c>
      <c r="C26" s="69"/>
      <c r="D26" s="73" t="s">
        <v>3276</v>
      </c>
      <c r="E26" s="73"/>
      <c r="H26" s="65" t="s">
        <v>379</v>
      </c>
      <c r="I26" s="65" t="s">
        <v>381</v>
      </c>
      <c r="M26" s="65" t="str">
        <f t="shared" si="0"/>
        <v/>
      </c>
      <c r="N26" s="65" t="str">
        <f t="shared" si="1"/>
        <v/>
      </c>
      <c r="O26" s="65">
        <v>2</v>
      </c>
      <c r="P26" s="65" t="s">
        <v>382</v>
      </c>
      <c r="Q26" s="65" t="str">
        <f t="shared" si="2"/>
        <v/>
      </c>
      <c r="R26" s="68" t="str">
        <f t="shared" si="3"/>
        <v>Secondary education</v>
      </c>
    </row>
    <row r="27" spans="2:18" ht="25" x14ac:dyDescent="0.25">
      <c r="B27" s="168" t="s">
        <v>57</v>
      </c>
      <c r="C27" s="69"/>
      <c r="D27" s="73" t="s">
        <v>3277</v>
      </c>
      <c r="E27" s="73"/>
      <c r="H27" s="65" t="s">
        <v>281</v>
      </c>
      <c r="I27" s="65" t="s">
        <v>386</v>
      </c>
      <c r="M27" s="65" t="str">
        <f t="shared" si="0"/>
        <v/>
      </c>
      <c r="N27" s="65" t="str">
        <f t="shared" si="1"/>
        <v/>
      </c>
      <c r="O27" s="65">
        <v>3</v>
      </c>
      <c r="P27" s="65" t="s">
        <v>387</v>
      </c>
      <c r="Q27" s="65" t="str">
        <f t="shared" si="2"/>
        <v/>
      </c>
      <c r="R27" s="68" t="str">
        <f t="shared" si="3"/>
        <v>Special education</v>
      </c>
    </row>
    <row r="28" spans="2:18" x14ac:dyDescent="0.25">
      <c r="B28" s="168" t="s">
        <v>107</v>
      </c>
      <c r="C28" s="69"/>
      <c r="D28" s="73" t="s">
        <v>3278</v>
      </c>
      <c r="E28" s="73"/>
      <c r="H28" s="65" t="s">
        <v>287</v>
      </c>
      <c r="I28" s="65" t="s">
        <v>390</v>
      </c>
      <c r="M28" s="65" t="str">
        <f t="shared" si="0"/>
        <v/>
      </c>
      <c r="N28" s="65" t="str">
        <f t="shared" si="1"/>
        <v/>
      </c>
      <c r="O28" s="65">
        <v>4</v>
      </c>
      <c r="P28" s="65" t="s">
        <v>391</v>
      </c>
      <c r="Q28" s="65" t="str">
        <f t="shared" si="2"/>
        <v/>
      </c>
      <c r="R28" s="68" t="str">
        <f t="shared" si="3"/>
        <v>Youth service</v>
      </c>
    </row>
    <row r="29" spans="2:18" x14ac:dyDescent="0.25">
      <c r="B29" s="168" t="s">
        <v>3237</v>
      </c>
      <c r="C29" s="69"/>
      <c r="D29" s="73" t="s">
        <v>3279</v>
      </c>
      <c r="E29" s="73"/>
      <c r="H29" s="65" t="s">
        <v>261</v>
      </c>
      <c r="I29" s="65" t="s">
        <v>394</v>
      </c>
      <c r="M29" s="65" t="str">
        <f t="shared" si="0"/>
        <v/>
      </c>
      <c r="N29" s="65" t="str">
        <f t="shared" si="1"/>
        <v/>
      </c>
      <c r="O29" s="65">
        <v>5</v>
      </c>
      <c r="P29" s="65" t="s">
        <v>395</v>
      </c>
      <c r="Q29" s="65" t="str">
        <f t="shared" si="2"/>
        <v/>
      </c>
      <c r="R29" s="68" t="str">
        <f t="shared" si="3"/>
        <v>Other education services and continuing education</v>
      </c>
    </row>
    <row r="30" spans="2:18" x14ac:dyDescent="0.25">
      <c r="B30" s="168" t="s">
        <v>66</v>
      </c>
      <c r="C30" s="69"/>
      <c r="D30" s="73" t="s">
        <v>3280</v>
      </c>
      <c r="E30" s="73"/>
      <c r="H30" s="65" t="s">
        <v>255</v>
      </c>
      <c r="I30" s="65" t="s">
        <v>398</v>
      </c>
      <c r="M30" s="65" t="str">
        <f t="shared" si="0"/>
        <v/>
      </c>
      <c r="N30" s="65" t="str">
        <f t="shared" si="1"/>
        <v/>
      </c>
      <c r="O30" s="65">
        <v>6</v>
      </c>
      <c r="P30" s="65" t="s">
        <v>399</v>
      </c>
      <c r="Q30" s="65" t="str">
        <f t="shared" si="2"/>
        <v>(lines 1.1 to 5)</v>
      </c>
      <c r="R30" s="68" t="str">
        <f t="shared" si="3"/>
        <v xml:space="preserve">cyfanswm education </v>
      </c>
    </row>
    <row r="31" spans="2:18" x14ac:dyDescent="0.25">
      <c r="B31" s="168" t="s">
        <v>3240</v>
      </c>
      <c r="C31" s="69"/>
      <c r="D31" s="73" t="s">
        <v>3281</v>
      </c>
      <c r="E31" s="73"/>
      <c r="H31" s="65" t="s">
        <v>276</v>
      </c>
      <c r="I31" s="65" t="s">
        <v>403</v>
      </c>
      <c r="M31" s="65" t="str">
        <f t="shared" si="0"/>
        <v/>
      </c>
      <c r="N31" s="65" t="str">
        <f t="shared" si="1"/>
        <v/>
      </c>
      <c r="O31" s="65">
        <v>7</v>
      </c>
      <c r="P31" s="65" t="s">
        <v>374</v>
      </c>
      <c r="Q31" s="65" t="str">
        <f t="shared" si="2"/>
        <v/>
      </c>
      <c r="R31" s="68" t="str">
        <f t="shared" si="3"/>
        <v>Social services</v>
      </c>
    </row>
    <row r="32" spans="2:18" x14ac:dyDescent="0.25">
      <c r="B32" s="168" t="s">
        <v>3242</v>
      </c>
      <c r="C32" s="69"/>
      <c r="D32" s="73" t="s">
        <v>1587</v>
      </c>
      <c r="E32" s="73"/>
      <c r="H32" s="65" t="s">
        <v>406</v>
      </c>
      <c r="I32" s="65" t="s">
        <v>407</v>
      </c>
      <c r="M32" s="65" t="str">
        <f t="shared" si="0"/>
        <v/>
      </c>
      <c r="N32" s="65" t="str">
        <f t="shared" si="1"/>
        <v/>
      </c>
      <c r="O32" s="65">
        <v>8.1</v>
      </c>
      <c r="P32" s="65" t="s">
        <v>408</v>
      </c>
      <c r="Q32" s="65" t="str">
        <f t="shared" si="2"/>
        <v/>
      </c>
      <c r="R32" s="68" t="str">
        <f t="shared" si="3"/>
        <v>New construction/improvement of roads</v>
      </c>
    </row>
    <row r="33" spans="2:18" x14ac:dyDescent="0.25">
      <c r="B33" s="170" t="s">
        <v>824</v>
      </c>
      <c r="C33" s="73"/>
      <c r="D33" s="73" t="s">
        <v>825</v>
      </c>
      <c r="E33" s="73"/>
      <c r="H33" s="65" t="s">
        <v>411</v>
      </c>
      <c r="I33" s="65" t="s">
        <v>412</v>
      </c>
      <c r="M33" s="65" t="str">
        <f t="shared" si="0"/>
        <v/>
      </c>
      <c r="N33" s="65" t="str">
        <f t="shared" si="1"/>
        <v/>
      </c>
      <c r="O33" s="65">
        <v>8.1999999999999993</v>
      </c>
      <c r="P33" s="65" t="s">
        <v>413</v>
      </c>
      <c r="Q33" s="65" t="str">
        <f t="shared" si="2"/>
        <v/>
      </c>
      <c r="R33" s="68" t="str">
        <f t="shared" si="3"/>
        <v>Structural maintenance - principal roads</v>
      </c>
    </row>
    <row r="34" spans="2:18" x14ac:dyDescent="0.25">
      <c r="B34" s="170" t="s">
        <v>1089</v>
      </c>
      <c r="C34" s="73"/>
      <c r="D34" s="73" t="s">
        <v>1090</v>
      </c>
      <c r="E34" s="73"/>
      <c r="H34" s="65" t="s">
        <v>416</v>
      </c>
      <c r="I34" s="65" t="s">
        <v>417</v>
      </c>
      <c r="M34" s="65" t="str">
        <f t="shared" si="0"/>
        <v/>
      </c>
      <c r="N34" s="65" t="str">
        <f t="shared" si="1"/>
        <v/>
      </c>
      <c r="O34" s="65">
        <v>8.3000000000000007</v>
      </c>
      <c r="P34" s="65" t="s">
        <v>418</v>
      </c>
      <c r="Q34" s="65" t="str">
        <f t="shared" si="2"/>
        <v/>
      </c>
      <c r="R34" s="68" t="str">
        <f t="shared" si="3"/>
        <v>Structural maintenance - other LA roads</v>
      </c>
    </row>
    <row r="35" spans="2:18" x14ac:dyDescent="0.25">
      <c r="B35" s="170" t="s">
        <v>1107</v>
      </c>
      <c r="C35" s="73"/>
      <c r="D35" s="73" t="s">
        <v>1108</v>
      </c>
      <c r="E35" s="73"/>
      <c r="H35" s="65" t="s">
        <v>311</v>
      </c>
      <c r="I35" s="65" t="s">
        <v>421</v>
      </c>
      <c r="M35" s="65" t="str">
        <f t="shared" si="0"/>
        <v/>
      </c>
      <c r="N35" s="65" t="str">
        <f t="shared" si="1"/>
        <v/>
      </c>
      <c r="O35" s="65">
        <v>8.4</v>
      </c>
      <c r="P35" s="65" t="s">
        <v>422</v>
      </c>
      <c r="Q35" s="65" t="str">
        <f t="shared" si="2"/>
        <v/>
      </c>
      <c r="R35" s="68" t="str">
        <f t="shared" si="3"/>
        <v>Expenditure on bridges</v>
      </c>
    </row>
    <row r="36" spans="2:18" x14ac:dyDescent="0.25">
      <c r="B36" s="170" t="s">
        <v>1159</v>
      </c>
      <c r="C36" s="73"/>
      <c r="D36" s="73" t="s">
        <v>1160</v>
      </c>
      <c r="E36" s="73"/>
      <c r="H36" s="65" t="s">
        <v>323</v>
      </c>
      <c r="I36" s="65" t="s">
        <v>425</v>
      </c>
      <c r="M36" s="65" t="str">
        <f t="shared" si="0"/>
        <v/>
      </c>
      <c r="N36" s="65" t="str">
        <f t="shared" si="1"/>
        <v/>
      </c>
      <c r="O36" s="65">
        <v>8.5</v>
      </c>
      <c r="P36" s="65" t="s">
        <v>426</v>
      </c>
      <c r="Q36" s="65" t="str">
        <f t="shared" si="2"/>
        <v/>
      </c>
      <c r="R36" s="68" t="str">
        <f t="shared" si="3"/>
        <v>Road safety</v>
      </c>
    </row>
    <row r="37" spans="2:18" x14ac:dyDescent="0.25">
      <c r="B37" s="170" t="s">
        <v>1342</v>
      </c>
      <c r="C37" s="73"/>
      <c r="D37" s="73" t="s">
        <v>1343</v>
      </c>
      <c r="E37" s="73"/>
      <c r="H37" s="65" t="s">
        <v>317</v>
      </c>
      <c r="I37" s="65" t="s">
        <v>429</v>
      </c>
      <c r="M37" s="65" t="str">
        <f t="shared" si="0"/>
        <v/>
      </c>
      <c r="N37" s="65" t="str">
        <f t="shared" si="1"/>
        <v/>
      </c>
      <c r="O37" s="65">
        <v>8.6</v>
      </c>
      <c r="P37" s="65" t="s">
        <v>430</v>
      </c>
      <c r="Q37" s="65" t="str">
        <f t="shared" si="2"/>
        <v/>
      </c>
      <c r="R37" s="68" t="str">
        <f t="shared" si="3"/>
        <v>Street lighting</v>
      </c>
    </row>
    <row r="38" spans="2:18" x14ac:dyDescent="0.25">
      <c r="B38" s="170" t="s">
        <v>1293</v>
      </c>
      <c r="C38" s="69"/>
      <c r="D38" s="70" t="s">
        <v>1433</v>
      </c>
      <c r="E38" s="73"/>
      <c r="H38" s="65" t="s">
        <v>266</v>
      </c>
      <c r="I38" s="65" t="s">
        <v>433</v>
      </c>
      <c r="M38" s="65" t="str">
        <f t="shared" si="0"/>
        <v/>
      </c>
      <c r="N38" s="65" t="str">
        <f t="shared" si="1"/>
        <v/>
      </c>
      <c r="O38" s="65">
        <v>8.6999999999999993</v>
      </c>
      <c r="P38" s="65" t="s">
        <v>434</v>
      </c>
      <c r="Q38" s="65" t="str">
        <f t="shared" si="2"/>
        <v/>
      </c>
      <c r="R38" s="68" t="str">
        <f t="shared" si="3"/>
        <v>Other</v>
      </c>
    </row>
    <row r="39" spans="2:18" x14ac:dyDescent="0.25">
      <c r="B39" s="170" t="s">
        <v>105</v>
      </c>
      <c r="C39" s="69"/>
      <c r="D39" s="70" t="s">
        <v>1566</v>
      </c>
      <c r="E39" s="73"/>
      <c r="H39" s="65" t="s">
        <v>271</v>
      </c>
      <c r="I39" s="65" t="s">
        <v>437</v>
      </c>
      <c r="M39" s="65" t="str">
        <f t="shared" si="0"/>
        <v/>
      </c>
      <c r="N39" s="65" t="str">
        <f t="shared" si="1"/>
        <v/>
      </c>
      <c r="O39" s="65">
        <v>8</v>
      </c>
      <c r="P39" s="65" t="s">
        <v>438</v>
      </c>
      <c r="Q39" s="65" t="str">
        <f t="shared" si="2"/>
        <v/>
      </c>
      <c r="R39" s="68" t="str">
        <f t="shared" si="3"/>
        <v xml:space="preserve">cyfanswm roads new construction and maintenance, street lighting and road safety (cyfanswm lines 8.1 to 8.7) </v>
      </c>
    </row>
    <row r="40" spans="2:18" x14ac:dyDescent="0.25">
      <c r="B40" s="170" t="s">
        <v>91</v>
      </c>
      <c r="C40" s="69"/>
      <c r="D40" s="70" t="s">
        <v>1567</v>
      </c>
      <c r="E40" s="73"/>
      <c r="H40" s="65" t="s">
        <v>401</v>
      </c>
      <c r="I40" s="65" t="s">
        <v>441</v>
      </c>
      <c r="M40" s="65" t="str">
        <f t="shared" si="0"/>
        <v/>
      </c>
      <c r="N40" s="65" t="str">
        <f t="shared" si="1"/>
        <v/>
      </c>
      <c r="O40" s="65">
        <v>9</v>
      </c>
      <c r="P40" s="65" t="s">
        <v>442</v>
      </c>
      <c r="Q40" s="65" t="str">
        <f t="shared" si="2"/>
        <v/>
      </c>
      <c r="R40" s="68" t="str">
        <f t="shared" si="3"/>
        <v>Parking of vehicles (including car parks)</v>
      </c>
    </row>
    <row r="41" spans="2:18" ht="25" x14ac:dyDescent="0.25">
      <c r="B41" s="170" t="s">
        <v>309</v>
      </c>
      <c r="C41" s="69"/>
      <c r="D41" s="70" t="s">
        <v>1579</v>
      </c>
      <c r="E41" s="73"/>
      <c r="H41" s="65" t="s">
        <v>445</v>
      </c>
      <c r="I41" s="65" t="s">
        <v>446</v>
      </c>
      <c r="M41" s="65" t="str">
        <f t="shared" si="0"/>
        <v/>
      </c>
      <c r="N41" s="65" t="str">
        <f t="shared" si="1"/>
        <v/>
      </c>
      <c r="O41" s="65">
        <v>10</v>
      </c>
      <c r="P41" s="65" t="s">
        <v>447</v>
      </c>
      <c r="Q41" s="65" t="str">
        <f t="shared" si="2"/>
        <v/>
      </c>
      <c r="R41" s="68" t="str">
        <f t="shared" si="3"/>
        <v>Public passenger transport - bus</v>
      </c>
    </row>
    <row r="42" spans="2:18" x14ac:dyDescent="0.25">
      <c r="B42" s="170" t="s">
        <v>327</v>
      </c>
      <c r="C42" s="69"/>
      <c r="D42" s="70" t="s">
        <v>1582</v>
      </c>
      <c r="E42" s="73"/>
      <c r="H42" s="65" t="s">
        <v>299</v>
      </c>
      <c r="I42" s="65" t="s">
        <v>450</v>
      </c>
      <c r="M42" s="65" t="str">
        <f t="shared" si="0"/>
        <v/>
      </c>
      <c r="N42" s="65" t="str">
        <f t="shared" si="1"/>
        <v/>
      </c>
      <c r="O42" s="65">
        <v>11</v>
      </c>
      <c r="P42" s="65" t="s">
        <v>451</v>
      </c>
      <c r="Q42" s="65" t="str">
        <f t="shared" si="2"/>
        <v/>
      </c>
      <c r="R42" s="68" t="str">
        <f t="shared" si="3"/>
        <v>Public passenger transport - rail, underground and other</v>
      </c>
    </row>
    <row r="43" spans="2:18" x14ac:dyDescent="0.25">
      <c r="B43" s="170" t="s">
        <v>333</v>
      </c>
      <c r="C43" s="69"/>
      <c r="D43" s="70" t="s">
        <v>1583</v>
      </c>
      <c r="E43" s="73"/>
      <c r="H43" s="65" t="s">
        <v>454</v>
      </c>
      <c r="I43" s="65" t="s">
        <v>455</v>
      </c>
      <c r="M43" s="65" t="str">
        <f t="shared" si="0"/>
        <v/>
      </c>
      <c r="N43" s="65" t="str">
        <f t="shared" si="1"/>
        <v/>
      </c>
      <c r="O43" s="65">
        <v>12</v>
      </c>
      <c r="P43" s="65" t="s">
        <v>456</v>
      </c>
      <c r="Q43" s="65" t="str">
        <f t="shared" si="2"/>
        <v/>
      </c>
      <c r="R43" s="68" t="str">
        <f t="shared" si="3"/>
        <v>Tolled road bridges, tunnels and ferries and public transport companies</v>
      </c>
    </row>
    <row r="44" spans="2:18" x14ac:dyDescent="0.25">
      <c r="B44" s="170" t="s">
        <v>339</v>
      </c>
      <c r="C44" s="69"/>
      <c r="D44" s="70" t="s">
        <v>1584</v>
      </c>
      <c r="E44" s="73"/>
      <c r="H44" s="65" t="s">
        <v>329</v>
      </c>
      <c r="I44" s="65" t="s">
        <v>459</v>
      </c>
      <c r="M44" s="65" t="str">
        <f t="shared" si="0"/>
        <v/>
      </c>
      <c r="N44" s="65" t="str">
        <f t="shared" si="1"/>
        <v/>
      </c>
      <c r="O44" s="65">
        <v>13</v>
      </c>
      <c r="P44" s="65" t="s">
        <v>460</v>
      </c>
      <c r="Q44" s="65" t="str">
        <f t="shared" si="2"/>
        <v/>
      </c>
      <c r="R44" s="68" t="str">
        <f t="shared" si="3"/>
        <v>Local authority ports and piers</v>
      </c>
    </row>
    <row r="45" spans="2:18" x14ac:dyDescent="0.25">
      <c r="B45" s="170" t="s">
        <v>344</v>
      </c>
      <c r="C45" s="69"/>
      <c r="D45" s="70" t="s">
        <v>113</v>
      </c>
      <c r="E45" s="73"/>
      <c r="H45" s="65" t="s">
        <v>464</v>
      </c>
      <c r="I45" s="65" t="s">
        <v>465</v>
      </c>
      <c r="M45" s="65" t="str">
        <f t="shared" si="0"/>
        <v/>
      </c>
      <c r="N45" s="65" t="str">
        <f t="shared" si="1"/>
        <v/>
      </c>
      <c r="O45" s="65">
        <v>14</v>
      </c>
      <c r="P45" s="65" t="s">
        <v>466</v>
      </c>
      <c r="Q45" s="65" t="str">
        <f t="shared" si="2"/>
        <v/>
      </c>
      <c r="R45" s="68" t="str">
        <f t="shared" si="3"/>
        <v>Airports</v>
      </c>
    </row>
    <row r="46" spans="2:18" x14ac:dyDescent="0.25">
      <c r="B46" s="170" t="s">
        <v>226</v>
      </c>
      <c r="C46" s="69"/>
      <c r="D46" s="70" t="s">
        <v>1844</v>
      </c>
      <c r="E46" s="73"/>
      <c r="H46" s="65" t="s">
        <v>470</v>
      </c>
      <c r="I46" s="65" t="s">
        <v>471</v>
      </c>
      <c r="M46" s="65" t="str">
        <f t="shared" si="0"/>
        <v/>
      </c>
      <c r="N46" s="65" t="str">
        <f t="shared" si="1"/>
        <v/>
      </c>
      <c r="O46" s="65">
        <v>15</v>
      </c>
      <c r="P46" s="65" t="s">
        <v>472</v>
      </c>
      <c r="Q46" s="65" t="str">
        <f t="shared" si="2"/>
        <v>(lines 8 to 14)</v>
      </c>
      <c r="R46" s="68" t="str">
        <f t="shared" si="3"/>
        <v xml:space="preserve">cyfanswm transport </v>
      </c>
    </row>
    <row r="47" spans="2:18" x14ac:dyDescent="0.25">
      <c r="B47" s="170" t="s">
        <v>1283</v>
      </c>
      <c r="C47" s="72"/>
      <c r="D47" s="70" t="s">
        <v>1873</v>
      </c>
      <c r="E47" s="73"/>
      <c r="H47" s="65" t="s">
        <v>475</v>
      </c>
      <c r="I47" s="65" t="s">
        <v>476</v>
      </c>
      <c r="M47" s="65" t="str">
        <f t="shared" si="0"/>
        <v/>
      </c>
      <c r="N47" s="65" t="str">
        <f t="shared" si="1"/>
        <v/>
      </c>
      <c r="O47" s="65">
        <v>16</v>
      </c>
      <c r="P47" s="65" t="s">
        <v>477</v>
      </c>
      <c r="Q47" s="65" t="str">
        <f t="shared" si="2"/>
        <v/>
      </c>
      <c r="R47" s="68" t="str">
        <f t="shared" si="3"/>
        <v>Acquisition / sale of land for housing revenue account (HRA)</v>
      </c>
    </row>
    <row r="48" spans="2:18" x14ac:dyDescent="0.25">
      <c r="B48" s="170" t="s">
        <v>1286</v>
      </c>
      <c r="C48" s="69"/>
      <c r="D48" s="70" t="s">
        <v>1943</v>
      </c>
      <c r="E48" s="73"/>
      <c r="H48" s="65" t="s">
        <v>293</v>
      </c>
      <c r="I48" s="65" t="s">
        <v>480</v>
      </c>
      <c r="M48" s="65" t="str">
        <f t="shared" si="0"/>
        <v/>
      </c>
      <c r="N48" s="65" t="str">
        <f t="shared" si="1"/>
        <v/>
      </c>
      <c r="O48" s="65">
        <v>17</v>
      </c>
      <c r="P48" s="65" t="s">
        <v>481</v>
      </c>
      <c r="Q48" s="65" t="str">
        <f t="shared" si="2"/>
        <v/>
      </c>
      <c r="R48" s="68" t="str">
        <f t="shared" si="3"/>
        <v>New building of HRA dwellings</v>
      </c>
    </row>
    <row r="49" spans="2:18" x14ac:dyDescent="0.25">
      <c r="B49" s="170" t="s">
        <v>52</v>
      </c>
      <c r="C49" s="69"/>
      <c r="D49" s="70" t="s">
        <v>1432</v>
      </c>
      <c r="E49" s="73"/>
      <c r="H49" s="65" t="s">
        <v>482</v>
      </c>
      <c r="I49" s="65" t="s">
        <v>483</v>
      </c>
      <c r="M49" s="65" t="str">
        <f t="shared" si="0"/>
        <v/>
      </c>
      <c r="N49" s="65" t="str">
        <f t="shared" si="1"/>
        <v/>
      </c>
      <c r="O49" s="65">
        <v>18</v>
      </c>
      <c r="P49" s="65" t="s">
        <v>484</v>
      </c>
      <c r="Q49" s="65" t="str">
        <f t="shared" si="2"/>
        <v/>
      </c>
      <c r="R49" s="68" t="str">
        <f t="shared" si="3"/>
        <v>Purchase / sale of HRA dwellings</v>
      </c>
    </row>
    <row r="50" spans="2:18" x14ac:dyDescent="0.25">
      <c r="B50" s="170" t="s">
        <v>93</v>
      </c>
      <c r="C50" s="69"/>
      <c r="D50" s="70" t="s">
        <v>2205</v>
      </c>
      <c r="E50" s="73"/>
      <c r="H50" s="65" t="s">
        <v>487</v>
      </c>
      <c r="I50" s="65" t="s">
        <v>488</v>
      </c>
      <c r="M50" s="65" t="str">
        <f t="shared" si="0"/>
        <v/>
      </c>
      <c r="N50" s="65" t="str">
        <f t="shared" si="1"/>
        <v/>
      </c>
      <c r="O50" s="65">
        <v>19.100000000000001</v>
      </c>
      <c r="P50" s="65" t="s">
        <v>489</v>
      </c>
      <c r="Q50" s="65" t="str">
        <f t="shared" si="2"/>
        <v/>
      </c>
      <c r="R50" s="68" t="str">
        <f t="shared" si="3"/>
        <v>Premature full repayment of principal on mortgages / loans provided for council house purchase</v>
      </c>
    </row>
    <row r="51" spans="2:18" x14ac:dyDescent="0.25">
      <c r="B51" s="170" t="s">
        <v>97</v>
      </c>
      <c r="C51" s="69"/>
      <c r="D51" s="70" t="s">
        <v>2208</v>
      </c>
      <c r="E51" s="73"/>
      <c r="H51" s="65" t="s">
        <v>490</v>
      </c>
      <c r="I51" s="65" t="s">
        <v>491</v>
      </c>
      <c r="M51" s="65" t="str">
        <f t="shared" si="0"/>
        <v/>
      </c>
      <c r="N51" s="65" t="str">
        <f t="shared" si="1"/>
        <v/>
      </c>
      <c r="O51" s="65">
        <v>19.2</v>
      </c>
      <c r="P51" s="65" t="s">
        <v>492</v>
      </c>
      <c r="Q51" s="65" t="str">
        <f t="shared" si="2"/>
        <v/>
      </c>
      <c r="R51" s="68" t="str">
        <f t="shared" si="3"/>
        <v>Mortgages / loans provided for council house purchase</v>
      </c>
    </row>
    <row r="52" spans="2:18" x14ac:dyDescent="0.25">
      <c r="B52" s="170" t="s">
        <v>92</v>
      </c>
      <c r="C52" s="69"/>
      <c r="D52" s="70" t="s">
        <v>2211</v>
      </c>
      <c r="E52" s="73"/>
      <c r="H52" s="65" t="s">
        <v>468</v>
      </c>
      <c r="I52" s="65" t="s">
        <v>495</v>
      </c>
      <c r="M52" s="65" t="str">
        <f t="shared" si="0"/>
        <v/>
      </c>
      <c r="N52" s="65" t="str">
        <f t="shared" si="1"/>
        <v/>
      </c>
      <c r="O52" s="65">
        <v>20</v>
      </c>
      <c r="P52" s="65" t="s">
        <v>496</v>
      </c>
      <c r="Q52" s="65" t="str">
        <f t="shared" si="2"/>
        <v/>
      </c>
      <c r="R52" s="68" t="str">
        <f t="shared" si="3"/>
        <v>Improvements and repairs to HRA PRCs</v>
      </c>
    </row>
    <row r="53" spans="2:18" x14ac:dyDescent="0.25">
      <c r="B53" s="170" t="s">
        <v>2230</v>
      </c>
      <c r="C53" s="69"/>
      <c r="D53" s="70" t="s">
        <v>2231</v>
      </c>
      <c r="E53" s="73"/>
      <c r="H53" s="65" t="s">
        <v>462</v>
      </c>
      <c r="I53" s="65" t="s">
        <v>499</v>
      </c>
      <c r="M53" s="65" t="str">
        <f t="shared" si="0"/>
        <v/>
      </c>
      <c r="N53" s="65" t="str">
        <f t="shared" si="1"/>
        <v/>
      </c>
      <c r="O53" s="65">
        <v>21</v>
      </c>
      <c r="P53" s="65" t="s">
        <v>500</v>
      </c>
      <c r="Q53" s="65" t="str">
        <f t="shared" si="2"/>
        <v/>
      </c>
      <c r="R53" s="68" t="str">
        <f t="shared" si="3"/>
        <v>Improvements and repairs to other HRA dwellings</v>
      </c>
    </row>
    <row r="54" spans="2:18" x14ac:dyDescent="0.25">
      <c r="B54" s="170" t="s">
        <v>99</v>
      </c>
      <c r="C54" s="69"/>
      <c r="D54" s="70" t="s">
        <v>2540</v>
      </c>
      <c r="E54" s="73"/>
      <c r="H54" s="65" t="s">
        <v>384</v>
      </c>
      <c r="I54" s="65" t="s">
        <v>504</v>
      </c>
      <c r="M54" s="65" t="str">
        <f t="shared" si="0"/>
        <v/>
      </c>
      <c r="N54" s="65" t="str">
        <f t="shared" si="1"/>
        <v/>
      </c>
      <c r="O54" s="65">
        <v>22</v>
      </c>
      <c r="P54" s="65" t="s">
        <v>505</v>
      </c>
      <c r="Q54" s="65" t="str">
        <f t="shared" si="2"/>
        <v/>
      </c>
      <c r="R54" s="68" t="str">
        <f t="shared" si="3"/>
        <v>Low cost home ownership (HRA)</v>
      </c>
    </row>
    <row r="55" spans="2:18" x14ac:dyDescent="0.25">
      <c r="B55" s="170" t="s">
        <v>106</v>
      </c>
      <c r="C55" s="72"/>
      <c r="D55" s="70" t="s">
        <v>2541</v>
      </c>
      <c r="E55" s="73"/>
      <c r="H55" s="65" t="s">
        <v>508</v>
      </c>
      <c r="I55" s="65" t="s">
        <v>509</v>
      </c>
      <c r="M55" s="65" t="str">
        <f t="shared" si="0"/>
        <v/>
      </c>
      <c r="N55" s="65" t="str">
        <f t="shared" si="1"/>
        <v/>
      </c>
      <c r="O55" s="65">
        <v>23</v>
      </c>
      <c r="P55" s="65" t="s">
        <v>510</v>
      </c>
      <c r="Q55" s="65" t="str">
        <f t="shared" si="2"/>
        <v/>
      </c>
      <c r="R55" s="68" t="str">
        <f t="shared" si="3"/>
        <v>Other HRA</v>
      </c>
    </row>
    <row r="56" spans="2:18" x14ac:dyDescent="0.25">
      <c r="B56" s="170" t="s">
        <v>98</v>
      </c>
      <c r="C56" s="69"/>
      <c r="D56" s="70" t="s">
        <v>2574</v>
      </c>
      <c r="E56" s="73"/>
      <c r="H56" s="65" t="s">
        <v>513</v>
      </c>
      <c r="I56" s="65" t="s">
        <v>514</v>
      </c>
      <c r="M56" s="65" t="str">
        <f t="shared" si="0"/>
        <v/>
      </c>
      <c r="N56" s="65" t="str">
        <f t="shared" si="1"/>
        <v/>
      </c>
      <c r="O56" s="65">
        <v>24</v>
      </c>
      <c r="P56" s="65" t="s">
        <v>515</v>
      </c>
      <c r="Q56" s="65" t="str">
        <f t="shared" si="2"/>
        <v>(lines 16 to 23)</v>
      </c>
      <c r="R56" s="68" t="str">
        <f t="shared" si="3"/>
        <v xml:space="preserve">cyfanswm Housing Revenue Account </v>
      </c>
    </row>
    <row r="57" spans="2:18" x14ac:dyDescent="0.25">
      <c r="B57" s="170" t="s">
        <v>96</v>
      </c>
      <c r="C57" s="72"/>
      <c r="D57" s="70" t="s">
        <v>2575</v>
      </c>
      <c r="E57" s="73"/>
      <c r="H57" s="65" t="s">
        <v>518</v>
      </c>
      <c r="I57" s="65" t="s">
        <v>519</v>
      </c>
      <c r="M57" s="65" t="str">
        <f t="shared" si="0"/>
        <v/>
      </c>
      <c r="N57" s="65" t="str">
        <f t="shared" si="1"/>
        <v/>
      </c>
      <c r="O57" s="65">
        <v>25</v>
      </c>
      <c r="P57" s="65" t="s">
        <v>520</v>
      </c>
      <c r="Q57" s="65" t="str">
        <f t="shared" si="2"/>
        <v/>
      </c>
      <c r="R57" s="68" t="str">
        <f t="shared" si="3"/>
        <v>Environmental work in renewal areas</v>
      </c>
    </row>
    <row r="58" spans="2:18" x14ac:dyDescent="0.25">
      <c r="B58" s="170" t="s">
        <v>2670</v>
      </c>
      <c r="C58" s="69"/>
      <c r="D58" s="70" t="s">
        <v>2671</v>
      </c>
      <c r="E58" s="73"/>
      <c r="H58" s="65" t="s">
        <v>523</v>
      </c>
      <c r="I58" s="65" t="s">
        <v>524</v>
      </c>
      <c r="M58" s="65" t="str">
        <f t="shared" si="0"/>
        <v/>
      </c>
      <c r="N58" s="65" t="str">
        <f t="shared" si="1"/>
        <v/>
      </c>
      <c r="O58" s="65">
        <v>26</v>
      </c>
      <c r="P58" s="65" t="s">
        <v>525</v>
      </c>
      <c r="Q58" s="65" t="str">
        <f t="shared" si="2"/>
        <v/>
      </c>
      <c r="R58" s="68" t="str">
        <f t="shared" si="3"/>
        <v>Group repair</v>
      </c>
    </row>
    <row r="59" spans="2:18" ht="37.5" x14ac:dyDescent="0.25">
      <c r="B59" s="170" t="s">
        <v>1300</v>
      </c>
      <c r="C59" s="72"/>
      <c r="D59" s="70" t="s">
        <v>2677</v>
      </c>
      <c r="E59" s="73"/>
      <c r="H59" s="65" t="s">
        <v>528</v>
      </c>
      <c r="I59" s="65" t="s">
        <v>529</v>
      </c>
      <c r="M59" s="65" t="str">
        <f t="shared" si="0"/>
        <v/>
      </c>
      <c r="N59" s="65" t="str">
        <f t="shared" si="1"/>
        <v/>
      </c>
      <c r="O59" s="65">
        <v>27</v>
      </c>
      <c r="P59" s="65" t="s">
        <v>530</v>
      </c>
      <c r="Q59" s="65" t="str">
        <f t="shared" si="2"/>
        <v/>
      </c>
      <c r="R59" s="68" t="str">
        <f t="shared" si="3"/>
        <v>Slum clearance</v>
      </c>
    </row>
    <row r="60" spans="2:18" x14ac:dyDescent="0.25">
      <c r="B60" s="170" t="s">
        <v>94</v>
      </c>
      <c r="C60" s="69"/>
      <c r="D60" s="70" t="s">
        <v>2705</v>
      </c>
      <c r="E60" s="73"/>
      <c r="H60" s="65" t="s">
        <v>533</v>
      </c>
      <c r="I60" s="65" t="s">
        <v>534</v>
      </c>
      <c r="M60" s="65" t="str">
        <f t="shared" si="0"/>
        <v/>
      </c>
      <c r="N60" s="65" t="str">
        <f t="shared" si="1"/>
        <v/>
      </c>
      <c r="O60" s="65">
        <v>28</v>
      </c>
      <c r="P60" s="65" t="s">
        <v>535</v>
      </c>
      <c r="Q60" s="65" t="str">
        <f t="shared" si="2"/>
        <v/>
      </c>
      <c r="R60" s="68" t="str">
        <f t="shared" si="3"/>
        <v>Low cost home ownership (non-HRA)</v>
      </c>
    </row>
    <row r="61" spans="2:18" x14ac:dyDescent="0.25">
      <c r="B61" s="170" t="s">
        <v>95</v>
      </c>
      <c r="C61" s="69"/>
      <c r="D61" s="70" t="s">
        <v>2776</v>
      </c>
      <c r="E61" s="73"/>
      <c r="H61" s="65" t="s">
        <v>538</v>
      </c>
      <c r="I61" s="65" t="s">
        <v>539</v>
      </c>
      <c r="M61" s="65" t="str">
        <f t="shared" si="0"/>
        <v/>
      </c>
      <c r="N61" s="65" t="str">
        <f t="shared" si="1"/>
        <v/>
      </c>
      <c r="O61" s="65">
        <v>29</v>
      </c>
      <c r="P61" s="65" t="s">
        <v>540</v>
      </c>
      <c r="Q61" s="65" t="str">
        <f t="shared" si="2"/>
        <v/>
      </c>
      <c r="R61" s="68" t="str">
        <f t="shared" si="3"/>
        <v>Other council fund housing</v>
      </c>
    </row>
    <row r="62" spans="2:18" x14ac:dyDescent="0.25">
      <c r="B62" s="170" t="s">
        <v>2874</v>
      </c>
      <c r="C62" s="69"/>
      <c r="D62" s="70" t="s">
        <v>2875</v>
      </c>
      <c r="E62" s="73"/>
      <c r="H62" s="65" t="s">
        <v>543</v>
      </c>
      <c r="I62" s="65" t="s">
        <v>544</v>
      </c>
      <c r="M62" s="65" t="str">
        <f t="shared" si="0"/>
        <v/>
      </c>
      <c r="N62" s="65" t="str">
        <f t="shared" si="1"/>
        <v/>
      </c>
      <c r="O62" s="65">
        <v>30</v>
      </c>
      <c r="P62" s="65" t="s">
        <v>545</v>
      </c>
      <c r="Q62" s="65" t="str">
        <f t="shared" si="2"/>
        <v/>
      </c>
      <c r="R62" s="68" t="str">
        <f t="shared" si="3"/>
        <v>Renovation grants</v>
      </c>
    </row>
    <row r="63" spans="2:18" x14ac:dyDescent="0.25">
      <c r="B63" s="170" t="s">
        <v>2886</v>
      </c>
      <c r="C63" s="69"/>
      <c r="D63" s="70" t="s">
        <v>1569</v>
      </c>
      <c r="E63" s="73"/>
      <c r="H63" s="65" t="s">
        <v>548</v>
      </c>
      <c r="I63" s="65" t="s">
        <v>549</v>
      </c>
      <c r="M63" s="65" t="str">
        <f t="shared" si="0"/>
        <v/>
      </c>
      <c r="N63" s="65" t="str">
        <f t="shared" si="1"/>
        <v/>
      </c>
      <c r="O63" s="65">
        <v>31</v>
      </c>
      <c r="P63" s="65" t="s">
        <v>550</v>
      </c>
      <c r="Q63" s="65" t="str">
        <f t="shared" si="2"/>
        <v/>
      </c>
      <c r="R63" s="68" t="str">
        <f t="shared" si="3"/>
        <v>Other grants</v>
      </c>
    </row>
    <row r="64" spans="2:18" x14ac:dyDescent="0.25">
      <c r="B64" s="170" t="s">
        <v>2923</v>
      </c>
      <c r="C64" s="69"/>
      <c r="D64" s="73" t="s">
        <v>2924</v>
      </c>
      <c r="E64" s="73"/>
      <c r="H64" s="65" t="s">
        <v>552</v>
      </c>
      <c r="I64" s="65" t="s">
        <v>553</v>
      </c>
      <c r="M64" s="65" t="str">
        <f t="shared" si="0"/>
        <v/>
      </c>
      <c r="N64" s="65" t="str">
        <f t="shared" si="1"/>
        <v/>
      </c>
      <c r="O64" s="65">
        <v>32</v>
      </c>
      <c r="P64" s="65" t="s">
        <v>554</v>
      </c>
      <c r="Q64" s="65" t="str">
        <f t="shared" si="2"/>
        <v>(lines 25 to 31)</v>
      </c>
      <c r="R64" s="68" t="str">
        <f t="shared" si="3"/>
        <v xml:space="preserve">cyfanswm council fund housing </v>
      </c>
    </row>
    <row r="65" spans="2:18" x14ac:dyDescent="0.25">
      <c r="B65" s="170" t="s">
        <v>1107</v>
      </c>
      <c r="C65" s="69"/>
      <c r="D65" s="73" t="s">
        <v>1108</v>
      </c>
      <c r="E65" s="73"/>
      <c r="H65" s="65" t="s">
        <v>557</v>
      </c>
      <c r="I65" s="65" t="s">
        <v>558</v>
      </c>
      <c r="M65" s="65" t="str">
        <f t="shared" si="0"/>
        <v/>
      </c>
      <c r="N65" s="65" t="str">
        <f t="shared" si="1"/>
        <v/>
      </c>
      <c r="O65" s="65">
        <v>33</v>
      </c>
      <c r="P65" s="65" t="s">
        <v>559</v>
      </c>
      <c r="Q65" s="65" t="str">
        <f t="shared" si="2"/>
        <v/>
      </c>
      <c r="R65" s="68" t="str">
        <f t="shared" si="3"/>
        <v>Lending to registered social landlords</v>
      </c>
    </row>
    <row r="66" spans="2:18" x14ac:dyDescent="0.25">
      <c r="B66" s="170" t="s">
        <v>824</v>
      </c>
      <c r="C66" s="69"/>
      <c r="D66" s="73" t="s">
        <v>2927</v>
      </c>
      <c r="E66" s="73"/>
      <c r="H66" s="65" t="s">
        <v>562</v>
      </c>
      <c r="I66" s="65" t="s">
        <v>563</v>
      </c>
      <c r="M66" s="65" t="str">
        <f t="shared" si="0"/>
        <v/>
      </c>
      <c r="N66" s="65" t="str">
        <f t="shared" si="1"/>
        <v/>
      </c>
      <c r="O66" s="65">
        <v>34</v>
      </c>
      <c r="P66" s="65" t="s">
        <v>564</v>
      </c>
      <c r="Q66" s="65" t="str">
        <f t="shared" si="2"/>
        <v/>
      </c>
      <c r="R66" s="68" t="str">
        <f t="shared" si="3"/>
        <v>Lending to other borrowers</v>
      </c>
    </row>
    <row r="67" spans="2:18" x14ac:dyDescent="0.25">
      <c r="B67" s="170" t="s">
        <v>1342</v>
      </c>
      <c r="C67" s="69"/>
      <c r="D67" s="73" t="s">
        <v>2928</v>
      </c>
      <c r="E67" s="73"/>
      <c r="H67" s="65" t="s">
        <v>567</v>
      </c>
      <c r="I67" s="65" t="s">
        <v>568</v>
      </c>
      <c r="M67" s="65" t="str">
        <f t="shared" ref="M67:M130" si="4">IF(ISERROR(FIND("=",P67)),"",RIGHT(P67,LEN(P67)-FIND("=",P67)+3))</f>
        <v/>
      </c>
      <c r="N67" s="65" t="str">
        <f t="shared" ref="N67:N130" si="5">IF(ISERROR(FIND(" (include",P67)),"",RIGHT(P67,LEN(P67)-FIND(" (include",P67)))</f>
        <v/>
      </c>
      <c r="O67" s="65">
        <v>35</v>
      </c>
      <c r="P67" s="65" t="s">
        <v>569</v>
      </c>
      <c r="Q67" s="65" t="str">
        <f t="shared" ref="Q67:Q130" si="6">IF(ISERROR(FIND(" (line",P67)),"",RIGHT(P67,LEN(P67)-FIND(" (line",P67)))</f>
        <v>(lines 33 and 34)</v>
      </c>
      <c r="R67" s="68" t="str">
        <f t="shared" ref="R67:R130" si="7">LEFT(P67,LEN(P67)-LEN(Q67))</f>
        <v xml:space="preserve">cyfanswm housing / SDA Act advances </v>
      </c>
    </row>
    <row r="68" spans="2:18" x14ac:dyDescent="0.25">
      <c r="B68" s="170" t="s">
        <v>1159</v>
      </c>
      <c r="C68" s="69"/>
      <c r="D68" s="73" t="s">
        <v>1160</v>
      </c>
      <c r="E68" s="73"/>
      <c r="H68" s="65" t="s">
        <v>572</v>
      </c>
      <c r="I68" s="65" t="s">
        <v>573</v>
      </c>
      <c r="M68" s="65" t="str">
        <f t="shared" si="4"/>
        <v/>
      </c>
      <c r="N68" s="65" t="str">
        <f t="shared" si="5"/>
        <v/>
      </c>
      <c r="O68" s="65">
        <v>36</v>
      </c>
      <c r="P68" s="65" t="s">
        <v>574</v>
      </c>
      <c r="Q68" s="65" t="str">
        <f t="shared" si="6"/>
        <v>(lines 24+32+35)</v>
      </c>
      <c r="R68" s="68" t="str">
        <f t="shared" si="7"/>
        <v xml:space="preserve">cyfanswm housing </v>
      </c>
    </row>
    <row r="69" spans="2:18" ht="25" x14ac:dyDescent="0.25">
      <c r="B69" s="170" t="s">
        <v>309</v>
      </c>
      <c r="C69" s="69"/>
      <c r="D69" s="73"/>
      <c r="E69" s="73"/>
      <c r="H69" s="65" t="s">
        <v>577</v>
      </c>
      <c r="I69" s="65" t="s">
        <v>578</v>
      </c>
      <c r="M69" s="65" t="str">
        <f t="shared" si="4"/>
        <v/>
      </c>
      <c r="N69" s="65" t="str">
        <f t="shared" si="5"/>
        <v/>
      </c>
      <c r="O69" s="65">
        <v>37</v>
      </c>
      <c r="P69" s="65" t="s">
        <v>579</v>
      </c>
      <c r="Q69" s="65" t="str">
        <f t="shared" si="6"/>
        <v/>
      </c>
      <c r="R69" s="68" t="str">
        <f t="shared" si="7"/>
        <v>Library services</v>
      </c>
    </row>
    <row r="70" spans="2:18" x14ac:dyDescent="0.25">
      <c r="B70" s="170" t="s">
        <v>2940</v>
      </c>
      <c r="C70" s="69"/>
      <c r="D70" s="73"/>
      <c r="E70" s="73"/>
      <c r="H70" s="65" t="s">
        <v>582</v>
      </c>
      <c r="I70" s="65" t="s">
        <v>583</v>
      </c>
      <c r="M70" s="65" t="str">
        <f t="shared" si="4"/>
        <v/>
      </c>
      <c r="N70" s="65" t="str">
        <f t="shared" si="5"/>
        <v/>
      </c>
      <c r="O70" s="65">
        <v>38</v>
      </c>
      <c r="P70" s="65" t="s">
        <v>584</v>
      </c>
      <c r="Q70" s="65" t="str">
        <f t="shared" si="6"/>
        <v/>
      </c>
      <c r="R70" s="68" t="str">
        <f t="shared" si="7"/>
        <v>Museums and galleries</v>
      </c>
    </row>
    <row r="71" spans="2:18" x14ac:dyDescent="0.25">
      <c r="B71" s="170" t="s">
        <v>222</v>
      </c>
      <c r="C71" s="69"/>
      <c r="D71" s="73" t="s">
        <v>2943</v>
      </c>
      <c r="E71" s="73"/>
      <c r="H71" s="65" t="s">
        <v>587</v>
      </c>
      <c r="I71" s="65" t="s">
        <v>588</v>
      </c>
      <c r="M71" s="65" t="str">
        <f t="shared" si="4"/>
        <v/>
      </c>
      <c r="N71" s="65" t="str">
        <f t="shared" si="5"/>
        <v/>
      </c>
      <c r="O71" s="65">
        <v>39</v>
      </c>
      <c r="P71" s="65" t="s">
        <v>589</v>
      </c>
      <c r="Q71" s="65" t="str">
        <f t="shared" si="6"/>
        <v/>
      </c>
      <c r="R71" s="68" t="str">
        <f t="shared" si="7"/>
        <v>Arts activities and facilities (including theatres)</v>
      </c>
    </row>
    <row r="72" spans="2:18" x14ac:dyDescent="0.25">
      <c r="B72" s="170" t="s">
        <v>221</v>
      </c>
      <c r="C72" s="69"/>
      <c r="D72" s="73" t="s">
        <v>1573</v>
      </c>
      <c r="E72" s="73"/>
      <c r="H72" s="65" t="s">
        <v>592</v>
      </c>
      <c r="I72" s="65" t="s">
        <v>593</v>
      </c>
      <c r="M72" s="65" t="str">
        <f t="shared" si="4"/>
        <v/>
      </c>
      <c r="N72" s="65" t="str">
        <f t="shared" si="5"/>
        <v/>
      </c>
      <c r="O72" s="65">
        <v>40</v>
      </c>
      <c r="P72" s="65" t="s">
        <v>594</v>
      </c>
      <c r="Q72" s="65" t="str">
        <f t="shared" si="6"/>
        <v>(lines 37 to 39)</v>
      </c>
      <c r="R72" s="68" t="str">
        <f t="shared" si="7"/>
        <v xml:space="preserve">cyfanswm libraries, culture and heritage </v>
      </c>
    </row>
    <row r="73" spans="2:18" x14ac:dyDescent="0.25">
      <c r="B73" s="170" t="s">
        <v>3002</v>
      </c>
      <c r="C73" s="69"/>
      <c r="D73" s="73" t="s">
        <v>3003</v>
      </c>
      <c r="E73" s="73"/>
      <c r="H73" s="65" t="s">
        <v>597</v>
      </c>
      <c r="I73" s="65" t="s">
        <v>598</v>
      </c>
      <c r="M73" s="65" t="str">
        <f t="shared" si="4"/>
        <v/>
      </c>
      <c r="N73" s="65" t="str">
        <f t="shared" si="5"/>
        <v/>
      </c>
      <c r="O73" s="65">
        <v>41</v>
      </c>
      <c r="P73" s="65" t="s">
        <v>599</v>
      </c>
      <c r="Q73" s="65" t="str">
        <f t="shared" si="6"/>
        <v/>
      </c>
      <c r="R73" s="68" t="str">
        <f t="shared" si="7"/>
        <v>Land drainage and flood prevention</v>
      </c>
    </row>
    <row r="74" spans="2:18" x14ac:dyDescent="0.25">
      <c r="B74" s="170" t="s">
        <v>3038</v>
      </c>
      <c r="C74" s="69"/>
      <c r="D74" s="73" t="s">
        <v>3039</v>
      </c>
      <c r="E74" s="73"/>
      <c r="H74" s="65" t="s">
        <v>602</v>
      </c>
      <c r="I74" s="65" t="s">
        <v>603</v>
      </c>
      <c r="M74" s="65" t="str">
        <f t="shared" si="4"/>
        <v/>
      </c>
      <c r="N74" s="65" t="str">
        <f t="shared" si="5"/>
        <v/>
      </c>
      <c r="O74" s="65">
        <v>42</v>
      </c>
      <c r="P74" s="65" t="s">
        <v>604</v>
      </c>
      <c r="Q74" s="65" t="str">
        <f t="shared" si="6"/>
        <v/>
      </c>
      <c r="R74" s="68" t="str">
        <f t="shared" si="7"/>
        <v>Coast protection</v>
      </c>
    </row>
    <row r="75" spans="2:18" x14ac:dyDescent="0.25">
      <c r="B75" s="170" t="s">
        <v>3054</v>
      </c>
      <c r="C75" s="69"/>
      <c r="D75" s="73" t="s">
        <v>3055</v>
      </c>
      <c r="E75" s="73"/>
      <c r="H75" s="65" t="s">
        <v>607</v>
      </c>
      <c r="I75" s="65" t="s">
        <v>608</v>
      </c>
      <c r="M75" s="65" t="str">
        <f t="shared" si="4"/>
        <v/>
      </c>
      <c r="N75" s="65" t="str">
        <f t="shared" si="5"/>
        <v/>
      </c>
      <c r="O75" s="65">
        <v>43</v>
      </c>
      <c r="P75" s="65" t="s">
        <v>609</v>
      </c>
      <c r="Q75" s="65" t="str">
        <f t="shared" si="6"/>
        <v/>
      </c>
      <c r="R75" s="68" t="str">
        <f t="shared" si="7"/>
        <v>Other agriculture and fisheries</v>
      </c>
    </row>
    <row r="76" spans="2:18" x14ac:dyDescent="0.25">
      <c r="B76" s="170" t="s">
        <v>1293</v>
      </c>
      <c r="C76" s="69"/>
      <c r="D76" s="73" t="s">
        <v>1433</v>
      </c>
      <c r="E76" s="73"/>
      <c r="H76" s="65" t="s">
        <v>612</v>
      </c>
      <c r="I76" s="65" t="s">
        <v>613</v>
      </c>
      <c r="M76" s="65" t="str">
        <f t="shared" si="4"/>
        <v/>
      </c>
      <c r="N76" s="65" t="str">
        <f t="shared" si="5"/>
        <v/>
      </c>
      <c r="O76" s="65">
        <v>44</v>
      </c>
      <c r="P76" s="65" t="s">
        <v>614</v>
      </c>
      <c r="Q76" s="65" t="str">
        <f t="shared" si="6"/>
        <v>(lines 41 to 43)</v>
      </c>
      <c r="R76" s="68" t="str">
        <f t="shared" si="7"/>
        <v xml:space="preserve">cyfanswm agriculture and fisheries </v>
      </c>
    </row>
    <row r="77" spans="2:18" x14ac:dyDescent="0.25">
      <c r="B77" s="170" t="s">
        <v>1252</v>
      </c>
      <c r="C77" s="69"/>
      <c r="D77" s="73" t="s">
        <v>3067</v>
      </c>
      <c r="E77" s="73"/>
      <c r="H77" s="65" t="s">
        <v>617</v>
      </c>
      <c r="I77" s="65" t="s">
        <v>618</v>
      </c>
      <c r="M77" s="65" t="str">
        <f t="shared" si="4"/>
        <v/>
      </c>
      <c r="N77" s="65" t="str">
        <f t="shared" si="5"/>
        <v/>
      </c>
      <c r="O77" s="65">
        <v>46</v>
      </c>
      <c r="P77" s="65" t="s">
        <v>619</v>
      </c>
      <c r="Q77" s="65" t="str">
        <f t="shared" si="6"/>
        <v/>
      </c>
      <c r="R77" s="68" t="str">
        <f t="shared" si="7"/>
        <v>Sports facilities</v>
      </c>
    </row>
    <row r="78" spans="2:18" x14ac:dyDescent="0.25">
      <c r="B78" s="170" t="s">
        <v>232</v>
      </c>
      <c r="C78" s="69"/>
      <c r="D78" s="73" t="s">
        <v>3072</v>
      </c>
      <c r="E78" s="73"/>
      <c r="H78" s="65" t="s">
        <v>622</v>
      </c>
      <c r="I78" s="65" t="s">
        <v>623</v>
      </c>
      <c r="M78" s="65" t="str">
        <f t="shared" si="4"/>
        <v/>
      </c>
      <c r="N78" s="65" t="str">
        <f t="shared" si="5"/>
        <v/>
      </c>
      <c r="O78" s="65">
        <v>47</v>
      </c>
      <c r="P78" s="65" t="s">
        <v>624</v>
      </c>
      <c r="Q78" s="65" t="str">
        <f t="shared" si="6"/>
        <v/>
      </c>
      <c r="R78" s="68" t="str">
        <f t="shared" si="7"/>
        <v>Sports development and children's play</v>
      </c>
    </row>
    <row r="79" spans="2:18" x14ac:dyDescent="0.25">
      <c r="B79" s="170" t="s">
        <v>229</v>
      </c>
      <c r="C79" s="69"/>
      <c r="D79" s="73" t="s">
        <v>3073</v>
      </c>
      <c r="E79" s="73"/>
      <c r="H79" s="65" t="s">
        <v>627</v>
      </c>
      <c r="I79" s="65" t="s">
        <v>628</v>
      </c>
      <c r="M79" s="65" t="str">
        <f t="shared" si="4"/>
        <v/>
      </c>
      <c r="N79" s="65" t="str">
        <f t="shared" si="5"/>
        <v/>
      </c>
      <c r="O79" s="65">
        <v>48</v>
      </c>
      <c r="P79" s="65" t="s">
        <v>629</v>
      </c>
      <c r="Q79" s="65" t="str">
        <f t="shared" si="6"/>
        <v>(lines 46 and 47)</v>
      </c>
      <c r="R79" s="68" t="str">
        <f t="shared" si="7"/>
        <v xml:space="preserve">cyfanswm sport and recreation </v>
      </c>
    </row>
    <row r="80" spans="2:18" ht="25" x14ac:dyDescent="0.25">
      <c r="B80" s="170" t="s">
        <v>3076</v>
      </c>
      <c r="C80" s="69"/>
      <c r="D80" s="73" t="s">
        <v>3077</v>
      </c>
      <c r="E80" s="73"/>
      <c r="H80" s="65" t="s">
        <v>632</v>
      </c>
      <c r="I80" s="65" t="s">
        <v>633</v>
      </c>
      <c r="M80" s="65" t="str">
        <f t="shared" si="4"/>
        <v/>
      </c>
      <c r="N80" s="65" t="str">
        <f t="shared" si="5"/>
        <v/>
      </c>
      <c r="O80" s="65">
        <v>49</v>
      </c>
      <c r="P80" s="65" t="s">
        <v>634</v>
      </c>
      <c r="Q80" s="65" t="str">
        <f t="shared" si="6"/>
        <v/>
      </c>
      <c r="R80" s="68" t="str">
        <f t="shared" si="7"/>
        <v>Derelict land reclamation (grant aided)</v>
      </c>
    </row>
    <row r="81" spans="2:18" x14ac:dyDescent="0.25">
      <c r="B81" s="170" t="s">
        <v>3164</v>
      </c>
      <c r="C81" s="69"/>
      <c r="D81" s="73" t="s">
        <v>3165</v>
      </c>
      <c r="E81" s="73"/>
      <c r="H81" s="65" t="s">
        <v>637</v>
      </c>
      <c r="I81" s="65" t="s">
        <v>637</v>
      </c>
      <c r="M81" s="65" t="str">
        <f t="shared" si="4"/>
        <v/>
      </c>
      <c r="N81" s="65" t="str">
        <f t="shared" si="5"/>
        <v/>
      </c>
      <c r="O81" s="65">
        <v>50</v>
      </c>
      <c r="P81" s="65" t="s">
        <v>638</v>
      </c>
      <c r="Q81" s="65" t="str">
        <f t="shared" si="6"/>
        <v/>
      </c>
      <c r="R81" s="68" t="str">
        <f t="shared" si="7"/>
        <v>Parks and open spaces</v>
      </c>
    </row>
    <row r="82" spans="2:18" x14ac:dyDescent="0.25">
      <c r="B82" s="170" t="s">
        <v>3175</v>
      </c>
      <c r="C82" s="69"/>
      <c r="D82" s="73" t="s">
        <v>3176</v>
      </c>
      <c r="E82" s="73"/>
      <c r="H82" s="65">
        <v>5</v>
      </c>
      <c r="I82" s="65">
        <v>5</v>
      </c>
      <c r="M82" s="65" t="str">
        <f t="shared" si="4"/>
        <v/>
      </c>
      <c r="N82" s="65" t="str">
        <f t="shared" si="5"/>
        <v/>
      </c>
      <c r="O82" s="65">
        <v>51</v>
      </c>
      <c r="P82" s="65" t="s">
        <v>641</v>
      </c>
      <c r="Q82" s="65" t="str">
        <f t="shared" si="6"/>
        <v/>
      </c>
      <c r="R82" s="68" t="str">
        <f t="shared" si="7"/>
        <v>Waste collection</v>
      </c>
    </row>
    <row r="83" spans="2:18" ht="15.5" x14ac:dyDescent="0.25">
      <c r="B83" s="170" t="s">
        <v>457</v>
      </c>
      <c r="C83" s="72" t="s">
        <v>454</v>
      </c>
      <c r="D83" s="70" t="s">
        <v>458</v>
      </c>
      <c r="E83" s="71"/>
      <c r="H83" s="65" t="s">
        <v>644</v>
      </c>
      <c r="I83" s="65" t="s">
        <v>644</v>
      </c>
      <c r="M83" s="65" t="str">
        <f t="shared" si="4"/>
        <v/>
      </c>
      <c r="N83" s="65" t="str">
        <f t="shared" si="5"/>
        <v/>
      </c>
      <c r="O83" s="65">
        <v>52</v>
      </c>
      <c r="P83" s="65" t="s">
        <v>645</v>
      </c>
      <c r="Q83" s="65" t="str">
        <f t="shared" si="6"/>
        <v/>
      </c>
      <c r="R83" s="68" t="str">
        <f t="shared" si="7"/>
        <v>Waste disposal</v>
      </c>
    </row>
    <row r="84" spans="2:18" x14ac:dyDescent="0.25">
      <c r="B84" s="170" t="s">
        <v>1736</v>
      </c>
      <c r="C84" s="72"/>
      <c r="D84" s="70" t="s">
        <v>1737</v>
      </c>
      <c r="E84" s="73"/>
      <c r="H84" s="65" t="s">
        <v>648</v>
      </c>
      <c r="I84" s="65" t="s">
        <v>648</v>
      </c>
      <c r="M84" s="65" t="str">
        <f t="shared" si="4"/>
        <v/>
      </c>
      <c r="N84" s="65" t="str">
        <f t="shared" si="5"/>
        <v/>
      </c>
      <c r="O84" s="65">
        <v>52.1</v>
      </c>
      <c r="P84" s="65" t="s">
        <v>649</v>
      </c>
      <c r="Q84" s="65" t="str">
        <f t="shared" si="6"/>
        <v/>
      </c>
      <c r="R84" s="68" t="str">
        <f t="shared" si="7"/>
        <v>Trade Waste</v>
      </c>
    </row>
    <row r="85" spans="2:18" x14ac:dyDescent="0.25">
      <c r="B85" s="170" t="s">
        <v>1742</v>
      </c>
      <c r="C85" s="72"/>
      <c r="D85" s="70" t="s">
        <v>1743</v>
      </c>
      <c r="E85" s="73"/>
      <c r="H85" s="65" t="s">
        <v>652</v>
      </c>
      <c r="I85" s="65" t="s">
        <v>653</v>
      </c>
      <c r="M85" s="65" t="str">
        <f t="shared" si="4"/>
        <v/>
      </c>
      <c r="N85" s="65" t="str">
        <f t="shared" si="5"/>
        <v/>
      </c>
      <c r="O85" s="65">
        <v>52.2</v>
      </c>
      <c r="P85" s="65" t="s">
        <v>654</v>
      </c>
      <c r="Q85" s="65" t="str">
        <f t="shared" si="6"/>
        <v/>
      </c>
      <c r="R85" s="68" t="str">
        <f t="shared" si="7"/>
        <v>Recycling</v>
      </c>
    </row>
    <row r="86" spans="2:18" x14ac:dyDescent="0.25">
      <c r="B86" s="170" t="s">
        <v>1746</v>
      </c>
      <c r="C86" s="72"/>
      <c r="D86" s="70" t="s">
        <v>1747</v>
      </c>
      <c r="E86" s="73"/>
      <c r="H86" s="65" t="s">
        <v>657</v>
      </c>
      <c r="I86" s="65" t="s">
        <v>658</v>
      </c>
      <c r="M86" s="65" t="str">
        <f t="shared" si="4"/>
        <v/>
      </c>
      <c r="N86" s="65" t="str">
        <f t="shared" si="5"/>
        <v/>
      </c>
      <c r="O86" s="65">
        <v>52.3</v>
      </c>
      <c r="P86" s="65" t="s">
        <v>659</v>
      </c>
      <c r="Q86" s="65" t="str">
        <f t="shared" si="6"/>
        <v/>
      </c>
      <c r="R86" s="68" t="str">
        <f t="shared" si="7"/>
        <v>Waste Minimisation</v>
      </c>
    </row>
    <row r="87" spans="2:18" x14ac:dyDescent="0.25">
      <c r="B87" s="170" t="s">
        <v>1748</v>
      </c>
      <c r="C87" s="72"/>
      <c r="D87" s="70" t="s">
        <v>1749</v>
      </c>
      <c r="E87" s="73"/>
      <c r="H87" s="65" t="s">
        <v>662</v>
      </c>
      <c r="I87" s="65" t="s">
        <v>663</v>
      </c>
      <c r="M87" s="65" t="str">
        <f t="shared" si="4"/>
        <v/>
      </c>
      <c r="N87" s="65" t="str">
        <f t="shared" si="5"/>
        <v/>
      </c>
      <c r="O87" s="65">
        <v>52.4</v>
      </c>
      <c r="P87" s="65" t="s">
        <v>664</v>
      </c>
      <c r="Q87" s="65" t="str">
        <f t="shared" si="6"/>
        <v/>
      </c>
      <c r="R87" s="68" t="str">
        <f t="shared" si="7"/>
        <v>Climate Change Costs</v>
      </c>
    </row>
    <row r="88" spans="2:18" x14ac:dyDescent="0.25">
      <c r="B88" s="170" t="s">
        <v>1750</v>
      </c>
      <c r="C88" s="72"/>
      <c r="D88" s="70" t="s">
        <v>1751</v>
      </c>
      <c r="E88" s="73"/>
      <c r="H88" s="65" t="s">
        <v>667</v>
      </c>
      <c r="I88" s="65" t="s">
        <v>668</v>
      </c>
      <c r="M88" s="65" t="str">
        <f t="shared" si="4"/>
        <v/>
      </c>
      <c r="N88" s="65" t="str">
        <f t="shared" si="5"/>
        <v/>
      </c>
      <c r="O88" s="65">
        <v>53</v>
      </c>
      <c r="P88" s="65" t="s">
        <v>669</v>
      </c>
      <c r="Q88" s="65" t="str">
        <f t="shared" si="6"/>
        <v/>
      </c>
      <c r="R88" s="68" t="str">
        <f t="shared" si="7"/>
        <v>General administration</v>
      </c>
    </row>
    <row r="89" spans="2:18" x14ac:dyDescent="0.25">
      <c r="B89" s="170" t="s">
        <v>1777</v>
      </c>
      <c r="C89" s="72"/>
      <c r="D89" s="70" t="s">
        <v>1778</v>
      </c>
      <c r="E89" s="73"/>
      <c r="H89" s="65" t="s">
        <v>672</v>
      </c>
      <c r="I89" s="65" t="s">
        <v>673</v>
      </c>
      <c r="M89" s="65" t="str">
        <f t="shared" si="4"/>
        <v/>
      </c>
      <c r="N89" s="65" t="str">
        <f t="shared" si="5"/>
        <v/>
      </c>
      <c r="O89" s="65">
        <v>54</v>
      </c>
      <c r="P89" s="65" t="s">
        <v>674</v>
      </c>
      <c r="Q89" s="65" t="str">
        <f t="shared" si="6"/>
        <v/>
      </c>
      <c r="R89" s="68" t="str">
        <f t="shared" si="7"/>
        <v>Planning and development (including Gypsy sites)</v>
      </c>
    </row>
    <row r="90" spans="2:18" x14ac:dyDescent="0.25">
      <c r="B90" s="170" t="s">
        <v>1785</v>
      </c>
      <c r="C90" s="72"/>
      <c r="D90" s="70" t="s">
        <v>1786</v>
      </c>
      <c r="E90" s="73"/>
      <c r="H90" s="65" t="s">
        <v>677</v>
      </c>
      <c r="I90" s="65" t="s">
        <v>678</v>
      </c>
      <c r="M90" s="65" t="str">
        <f t="shared" si="4"/>
        <v/>
      </c>
      <c r="N90" s="65" t="str">
        <f t="shared" si="5"/>
        <v/>
      </c>
      <c r="O90" s="65">
        <v>55</v>
      </c>
      <c r="P90" s="65" t="s">
        <v>679</v>
      </c>
      <c r="Q90" s="65" t="str">
        <f t="shared" si="6"/>
        <v/>
      </c>
      <c r="R90" s="68" t="str">
        <f t="shared" si="7"/>
        <v>Community safety</v>
      </c>
    </row>
    <row r="91" spans="2:18" x14ac:dyDescent="0.25">
      <c r="B91" s="170" t="s">
        <v>1789</v>
      </c>
      <c r="C91" s="72"/>
      <c r="D91" s="70" t="s">
        <v>1790</v>
      </c>
      <c r="E91" s="73"/>
      <c r="H91" s="65" t="s">
        <v>682</v>
      </c>
      <c r="I91" s="65" t="s">
        <v>683</v>
      </c>
      <c r="M91" s="65" t="str">
        <f t="shared" si="4"/>
        <v/>
      </c>
      <c r="N91" s="65" t="str">
        <f t="shared" si="5"/>
        <v/>
      </c>
      <c r="O91" s="65">
        <v>55.1</v>
      </c>
      <c r="P91" s="65" t="s">
        <v>684</v>
      </c>
      <c r="Q91" s="65" t="str">
        <f t="shared" si="6"/>
        <v/>
      </c>
      <c r="R91" s="68" t="str">
        <f t="shared" si="7"/>
        <v>Community safety (CCTV)</v>
      </c>
    </row>
    <row r="92" spans="2:18" x14ac:dyDescent="0.25">
      <c r="B92" s="170" t="s">
        <v>1791</v>
      </c>
      <c r="C92" s="72"/>
      <c r="D92" s="70" t="s">
        <v>1792</v>
      </c>
      <c r="E92" s="73"/>
      <c r="H92" s="65" t="s">
        <v>687</v>
      </c>
      <c r="I92" s="65" t="s">
        <v>688</v>
      </c>
      <c r="M92" s="65" t="str">
        <f t="shared" si="4"/>
        <v/>
      </c>
      <c r="N92" s="65" t="str">
        <f t="shared" si="5"/>
        <v/>
      </c>
      <c r="O92" s="65">
        <v>56.1</v>
      </c>
      <c r="P92" s="65" t="s">
        <v>689</v>
      </c>
      <c r="Q92" s="65" t="str">
        <f t="shared" si="6"/>
        <v/>
      </c>
      <c r="R92" s="68" t="str">
        <f t="shared" si="7"/>
        <v>Regulatory services (Environmental health)</v>
      </c>
    </row>
    <row r="93" spans="2:18" x14ac:dyDescent="0.25">
      <c r="B93" s="170" t="s">
        <v>1795</v>
      </c>
      <c r="C93" s="72"/>
      <c r="D93" s="70" t="s">
        <v>1796</v>
      </c>
      <c r="E93" s="73"/>
      <c r="H93" s="65" t="s">
        <v>692</v>
      </c>
      <c r="I93" s="65" t="s">
        <v>692</v>
      </c>
      <c r="M93" s="65" t="str">
        <f t="shared" si="4"/>
        <v/>
      </c>
      <c r="N93" s="65" t="str">
        <f t="shared" si="5"/>
        <v/>
      </c>
      <c r="O93" s="65">
        <v>56.2</v>
      </c>
      <c r="P93" s="65" t="s">
        <v>693</v>
      </c>
      <c r="Q93" s="65" t="str">
        <f t="shared" si="6"/>
        <v/>
      </c>
      <c r="R93" s="68" t="str">
        <f t="shared" si="7"/>
        <v>Regulatory services (Trading Standards)</v>
      </c>
    </row>
    <row r="94" spans="2:18" x14ac:dyDescent="0.25">
      <c r="B94" s="170" t="s">
        <v>1814</v>
      </c>
      <c r="C94" s="72"/>
      <c r="D94" s="70" t="s">
        <v>1815</v>
      </c>
      <c r="E94" s="73"/>
      <c r="H94" s="65" t="s">
        <v>644</v>
      </c>
      <c r="I94" s="65" t="s">
        <v>644</v>
      </c>
      <c r="M94" s="65" t="str">
        <f t="shared" si="4"/>
        <v/>
      </c>
      <c r="N94" s="65" t="str">
        <f t="shared" si="5"/>
        <v/>
      </c>
      <c r="O94" s="65">
        <v>57</v>
      </c>
      <c r="P94" s="65" t="s">
        <v>696</v>
      </c>
      <c r="Q94" s="65" t="str">
        <f t="shared" si="6"/>
        <v/>
      </c>
      <c r="R94" s="68" t="str">
        <f t="shared" si="7"/>
        <v>Miscellaneous</v>
      </c>
    </row>
    <row r="95" spans="2:18" x14ac:dyDescent="0.25">
      <c r="B95" s="170" t="s">
        <v>1816</v>
      </c>
      <c r="C95" s="72"/>
      <c r="D95" s="70" t="s">
        <v>1817</v>
      </c>
      <c r="E95" s="73"/>
      <c r="H95" s="65" t="s">
        <v>648</v>
      </c>
      <c r="I95" s="65" t="s">
        <v>648</v>
      </c>
      <c r="M95" s="65" t="str">
        <f t="shared" si="4"/>
        <v/>
      </c>
      <c r="N95" s="65" t="str">
        <f t="shared" si="5"/>
        <v/>
      </c>
      <c r="O95" s="65">
        <v>58</v>
      </c>
      <c r="P95" s="65" t="s">
        <v>699</v>
      </c>
      <c r="Q95" s="65" t="str">
        <f t="shared" si="6"/>
        <v/>
      </c>
      <c r="R95" s="68" t="str">
        <f t="shared" si="7"/>
        <v>Industrial and commercial</v>
      </c>
    </row>
    <row r="96" spans="2:18" x14ac:dyDescent="0.25">
      <c r="B96" s="170" t="s">
        <v>1818</v>
      </c>
      <c r="C96" s="72"/>
      <c r="D96" s="70" t="s">
        <v>1819</v>
      </c>
      <c r="E96" s="73"/>
      <c r="H96" s="65" t="s">
        <v>702</v>
      </c>
      <c r="I96" s="65" t="s">
        <v>703</v>
      </c>
      <c r="M96" s="65" t="str">
        <f t="shared" si="4"/>
        <v/>
      </c>
      <c r="N96" s="65" t="str">
        <f t="shared" si="5"/>
        <v/>
      </c>
      <c r="O96" s="65">
        <v>59</v>
      </c>
      <c r="P96" s="65" t="s">
        <v>704</v>
      </c>
      <c r="Q96" s="65" t="str">
        <f t="shared" si="6"/>
        <v/>
      </c>
      <c r="R96" s="68" t="str">
        <f t="shared" si="7"/>
        <v>Other trading services</v>
      </c>
    </row>
    <row r="97" spans="2:18" x14ac:dyDescent="0.25">
      <c r="B97" s="170" t="s">
        <v>1820</v>
      </c>
      <c r="C97" s="72"/>
      <c r="D97" s="70" t="s">
        <v>1821</v>
      </c>
      <c r="E97" s="73"/>
      <c r="H97" s="65" t="s">
        <v>707</v>
      </c>
      <c r="I97" s="65" t="s">
        <v>708</v>
      </c>
      <c r="M97" s="65" t="str">
        <f t="shared" si="4"/>
        <v/>
      </c>
      <c r="N97" s="65" t="str">
        <f t="shared" si="5"/>
        <v/>
      </c>
      <c r="O97" s="65">
        <v>60</v>
      </c>
      <c r="P97" s="65" t="s">
        <v>709</v>
      </c>
      <c r="Q97" s="65" t="str">
        <f t="shared" si="6"/>
        <v>(lines 49 to 59)</v>
      </c>
      <c r="R97" s="68" t="str">
        <f t="shared" si="7"/>
        <v xml:space="preserve">cyfanswm other environmental services </v>
      </c>
    </row>
    <row r="98" spans="2:18" x14ac:dyDescent="0.25">
      <c r="B98" s="170" t="s">
        <v>1822</v>
      </c>
      <c r="C98" s="72"/>
      <c r="D98" s="70" t="s">
        <v>1823</v>
      </c>
      <c r="E98" s="73"/>
      <c r="H98" s="65" t="s">
        <v>712</v>
      </c>
      <c r="I98" s="65" t="s">
        <v>713</v>
      </c>
      <c r="M98" s="65" t="str">
        <f t="shared" si="4"/>
        <v/>
      </c>
      <c r="N98" s="65" t="str">
        <f t="shared" si="5"/>
        <v/>
      </c>
      <c r="O98" s="65">
        <v>61</v>
      </c>
      <c r="P98" s="65" t="s">
        <v>358</v>
      </c>
      <c r="Q98" s="65" t="str">
        <f t="shared" si="6"/>
        <v/>
      </c>
      <c r="R98" s="68" t="str">
        <f t="shared" si="7"/>
        <v>Fire and rescue service</v>
      </c>
    </row>
    <row r="99" spans="2:18" x14ac:dyDescent="0.25">
      <c r="B99" s="170" t="s">
        <v>1845</v>
      </c>
      <c r="C99" s="72"/>
      <c r="D99" s="70" t="s">
        <v>1846</v>
      </c>
      <c r="E99" s="73"/>
      <c r="H99" s="65" t="s">
        <v>716</v>
      </c>
      <c r="I99" s="65" t="s">
        <v>717</v>
      </c>
      <c r="M99" s="65" t="str">
        <f t="shared" si="4"/>
        <v/>
      </c>
      <c r="N99" s="65" t="str">
        <f t="shared" si="5"/>
        <v/>
      </c>
      <c r="O99" s="65">
        <v>62</v>
      </c>
      <c r="P99" s="65" t="s">
        <v>364</v>
      </c>
      <c r="Q99" s="65" t="str">
        <f t="shared" si="6"/>
        <v/>
      </c>
      <c r="R99" s="68" t="str">
        <f t="shared" si="7"/>
        <v>Police service</v>
      </c>
    </row>
    <row r="100" spans="2:18" x14ac:dyDescent="0.25">
      <c r="B100" s="170" t="s">
        <v>1847</v>
      </c>
      <c r="C100" s="72"/>
      <c r="D100" s="70" t="s">
        <v>1848</v>
      </c>
      <c r="E100" s="73"/>
      <c r="H100" s="65" t="s">
        <v>720</v>
      </c>
      <c r="I100" s="65" t="s">
        <v>721</v>
      </c>
      <c r="M100" s="65" t="str">
        <f t="shared" si="4"/>
        <v/>
      </c>
      <c r="N100" s="65" t="str">
        <f t="shared" si="5"/>
        <v/>
      </c>
      <c r="O100" s="65">
        <v>63</v>
      </c>
      <c r="P100" s="65" t="s">
        <v>722</v>
      </c>
      <c r="Q100" s="65" t="str">
        <f t="shared" si="6"/>
        <v/>
      </c>
      <c r="R100" s="68" t="str">
        <f t="shared" si="7"/>
        <v>Coroners' courts</v>
      </c>
    </row>
    <row r="101" spans="2:18" x14ac:dyDescent="0.25">
      <c r="B101" s="170" t="s">
        <v>1855</v>
      </c>
      <c r="C101" s="72"/>
      <c r="D101" s="70" t="s">
        <v>1856</v>
      </c>
      <c r="E101" s="73"/>
      <c r="H101" s="65" t="s">
        <v>725</v>
      </c>
      <c r="I101" s="65" t="s">
        <v>726</v>
      </c>
      <c r="M101" s="65" t="str">
        <f t="shared" si="4"/>
        <v/>
      </c>
      <c r="N101" s="65" t="str">
        <f t="shared" si="5"/>
        <v/>
      </c>
      <c r="O101" s="65">
        <v>65</v>
      </c>
      <c r="P101" s="65" t="s">
        <v>727</v>
      </c>
      <c r="Q101" s="65" t="str">
        <f t="shared" si="6"/>
        <v>(lines 61 to 63)</v>
      </c>
      <c r="R101" s="68" t="str">
        <f t="shared" si="7"/>
        <v xml:space="preserve">cyfanswm law, order and protective services </v>
      </c>
    </row>
    <row r="102" spans="2:18" x14ac:dyDescent="0.25">
      <c r="B102" s="170" t="s">
        <v>1863</v>
      </c>
      <c r="C102" s="72"/>
      <c r="D102" s="70" t="s">
        <v>1864</v>
      </c>
      <c r="E102" s="73"/>
      <c r="H102" s="65" t="s">
        <v>730</v>
      </c>
      <c r="I102" s="65" t="s">
        <v>731</v>
      </c>
      <c r="M102" s="65" t="str">
        <f t="shared" si="4"/>
        <v/>
      </c>
      <c r="N102" s="65" t="str">
        <f t="shared" si="5"/>
        <v/>
      </c>
      <c r="O102" s="65">
        <v>66</v>
      </c>
      <c r="P102" s="65" t="s">
        <v>732</v>
      </c>
      <c r="Q102" s="65" t="str">
        <f t="shared" si="6"/>
        <v>(lines 6+7+15+36+40+44+48+60+65)</v>
      </c>
      <c r="R102" s="68" t="str">
        <f t="shared" si="7"/>
        <v xml:space="preserve">cyfanswm all services </v>
      </c>
    </row>
    <row r="103" spans="2:18" x14ac:dyDescent="0.25">
      <c r="B103" s="170" t="s">
        <v>1869</v>
      </c>
      <c r="C103" s="72"/>
      <c r="D103" s="70" t="s">
        <v>1870</v>
      </c>
      <c r="E103" s="73"/>
      <c r="H103" s="65" t="s">
        <v>735</v>
      </c>
      <c r="I103" s="65" t="s">
        <v>736</v>
      </c>
      <c r="M103" s="65" t="str">
        <f t="shared" si="4"/>
        <v/>
      </c>
      <c r="N103" s="65" t="str">
        <f t="shared" si="5"/>
        <v/>
      </c>
      <c r="P103" s="65" t="s">
        <v>737</v>
      </c>
      <c r="Q103" s="65" t="str">
        <f t="shared" si="6"/>
        <v/>
      </c>
      <c r="R103" s="68" t="str">
        <f t="shared" si="7"/>
        <v>Figures in blue are calculated, the cells are protected.</v>
      </c>
    </row>
    <row r="104" spans="2:18" x14ac:dyDescent="0.25">
      <c r="B104" s="170" t="s">
        <v>645</v>
      </c>
      <c r="C104" s="72"/>
      <c r="D104" s="70" t="s">
        <v>1872</v>
      </c>
      <c r="E104" s="73"/>
      <c r="H104" s="65" t="s">
        <v>740</v>
      </c>
      <c r="I104" s="65" t="s">
        <v>741</v>
      </c>
      <c r="M104" s="65" t="str">
        <f t="shared" si="4"/>
        <v/>
      </c>
      <c r="N104" s="65" t="str">
        <f t="shared" si="5"/>
        <v/>
      </c>
      <c r="O104" s="65" t="s">
        <v>742</v>
      </c>
      <c r="P104" s="65" t="s">
        <v>743</v>
      </c>
      <c r="Q104" s="65" t="str">
        <f t="shared" si="6"/>
        <v/>
      </c>
      <c r="R104" s="68" t="str">
        <f t="shared" si="7"/>
        <v>Acquisition of land and existing buildings</v>
      </c>
    </row>
    <row r="105" spans="2:18" x14ac:dyDescent="0.25">
      <c r="B105" s="170" t="s">
        <v>1882</v>
      </c>
      <c r="C105" s="72"/>
      <c r="D105" s="70" t="s">
        <v>1883</v>
      </c>
      <c r="E105" s="73"/>
      <c r="H105" s="65" t="s">
        <v>746</v>
      </c>
      <c r="I105" s="65" t="s">
        <v>747</v>
      </c>
      <c r="M105" s="65" t="str">
        <f t="shared" si="4"/>
        <v/>
      </c>
      <c r="N105" s="65" t="str">
        <f t="shared" si="5"/>
        <v/>
      </c>
      <c r="O105" s="65" t="s">
        <v>108</v>
      </c>
      <c r="P105" s="65" t="s">
        <v>748</v>
      </c>
      <c r="Q105" s="65" t="str">
        <f t="shared" si="6"/>
        <v/>
      </c>
      <c r="R105" s="68" t="str">
        <f t="shared" si="7"/>
        <v>New construction, conversion and renovation</v>
      </c>
    </row>
    <row r="106" spans="2:18" x14ac:dyDescent="0.25">
      <c r="B106" s="170" t="s">
        <v>1884</v>
      </c>
      <c r="C106" s="72"/>
      <c r="D106" s="70" t="s">
        <v>1885</v>
      </c>
      <c r="E106" s="73"/>
      <c r="H106" s="65" t="s">
        <v>751</v>
      </c>
      <c r="I106" s="65" t="s">
        <v>752</v>
      </c>
      <c r="M106" s="65" t="str">
        <f t="shared" si="4"/>
        <v/>
      </c>
      <c r="N106" s="65" t="str">
        <f t="shared" si="5"/>
        <v/>
      </c>
      <c r="O106" s="65" t="s">
        <v>109</v>
      </c>
      <c r="P106" s="65" t="s">
        <v>753</v>
      </c>
      <c r="Q106" s="65" t="str">
        <f t="shared" si="6"/>
        <v/>
      </c>
      <c r="R106" s="68" t="str">
        <f t="shared" si="7"/>
        <v>Vehicles</v>
      </c>
    </row>
    <row r="107" spans="2:18" x14ac:dyDescent="0.25">
      <c r="B107" s="170" t="s">
        <v>1886</v>
      </c>
      <c r="C107" s="72"/>
      <c r="D107" s="70" t="s">
        <v>1887</v>
      </c>
      <c r="E107" s="73"/>
      <c r="H107" s="65" t="s">
        <v>756</v>
      </c>
      <c r="I107" s="65" t="s">
        <v>757</v>
      </c>
      <c r="M107" s="65" t="str">
        <f t="shared" si="4"/>
        <v/>
      </c>
      <c r="N107" s="65" t="str">
        <f t="shared" si="5"/>
        <v/>
      </c>
      <c r="O107" s="65" t="s">
        <v>110</v>
      </c>
      <c r="P107" s="65" t="s">
        <v>758</v>
      </c>
      <c r="Q107" s="65" t="str">
        <f t="shared" si="6"/>
        <v/>
      </c>
      <c r="R107" s="68" t="str">
        <f t="shared" si="7"/>
        <v>Plant machinery and equipment</v>
      </c>
    </row>
    <row r="108" spans="2:18" x14ac:dyDescent="0.25">
      <c r="B108" s="170" t="s">
        <v>1888</v>
      </c>
      <c r="C108" s="72"/>
      <c r="D108" s="70" t="s">
        <v>1889</v>
      </c>
      <c r="E108" s="73"/>
      <c r="H108" s="65" t="s">
        <v>761</v>
      </c>
      <c r="I108" s="65" t="s">
        <v>762</v>
      </c>
      <c r="M108" s="65" t="str">
        <f t="shared" si="4"/>
        <v/>
      </c>
      <c r="N108" s="65" t="str">
        <f t="shared" si="5"/>
        <v/>
      </c>
      <c r="O108" s="65" t="s">
        <v>763</v>
      </c>
      <c r="P108" s="65" t="s">
        <v>764</v>
      </c>
      <c r="Q108" s="65" t="str">
        <f t="shared" si="6"/>
        <v/>
      </c>
      <c r="R108" s="68" t="str">
        <f t="shared" si="7"/>
        <v>cyfanswm expenditure on fixed assets</v>
      </c>
    </row>
    <row r="109" spans="2:18" x14ac:dyDescent="0.25">
      <c r="B109" s="170" t="s">
        <v>1890</v>
      </c>
      <c r="C109" s="72"/>
      <c r="D109" s="70" t="s">
        <v>1891</v>
      </c>
      <c r="E109" s="73"/>
      <c r="H109" s="65" t="s">
        <v>767</v>
      </c>
      <c r="I109" s="65" t="s">
        <v>768</v>
      </c>
      <c r="M109" s="65" t="str">
        <f t="shared" si="4"/>
        <v/>
      </c>
      <c r="N109" s="65" t="str">
        <f t="shared" si="5"/>
        <v/>
      </c>
      <c r="O109" s="65" t="s">
        <v>769</v>
      </c>
      <c r="P109" s="65" t="s">
        <v>770</v>
      </c>
      <c r="Q109" s="65" t="str">
        <f t="shared" si="6"/>
        <v/>
      </c>
      <c r="R109" s="68" t="str">
        <f t="shared" si="7"/>
        <v>Capital grants</v>
      </c>
    </row>
    <row r="110" spans="2:18" x14ac:dyDescent="0.25">
      <c r="B110" s="170" t="s">
        <v>1894</v>
      </c>
      <c r="C110" s="72"/>
      <c r="D110" s="70" t="s">
        <v>1895</v>
      </c>
      <c r="E110" s="73"/>
      <c r="H110" s="65" t="s">
        <v>637</v>
      </c>
      <c r="I110" s="65" t="s">
        <v>637</v>
      </c>
      <c r="M110" s="65" t="str">
        <f t="shared" si="4"/>
        <v/>
      </c>
      <c r="N110" s="65" t="str">
        <f t="shared" si="5"/>
        <v/>
      </c>
      <c r="O110" s="65" t="s">
        <v>771</v>
      </c>
      <c r="P110" s="65" t="s">
        <v>772</v>
      </c>
      <c r="Q110" s="65" t="str">
        <f t="shared" si="6"/>
        <v/>
      </c>
      <c r="R110" s="68" t="str">
        <f t="shared" si="7"/>
        <v>Capital advances</v>
      </c>
    </row>
    <row r="111" spans="2:18" x14ac:dyDescent="0.25">
      <c r="B111" s="170" t="s">
        <v>1911</v>
      </c>
      <c r="C111" s="72"/>
      <c r="D111" s="70" t="s">
        <v>1912</v>
      </c>
      <c r="E111" s="73"/>
      <c r="H111" s="65">
        <v>5</v>
      </c>
      <c r="I111" s="65">
        <v>5</v>
      </c>
      <c r="M111" s="65" t="str">
        <f t="shared" si="4"/>
        <v/>
      </c>
      <c r="N111" s="65" t="str">
        <f t="shared" si="5"/>
        <v/>
      </c>
      <c r="O111" s="65" t="s">
        <v>773</v>
      </c>
      <c r="P111" s="65" t="s">
        <v>774</v>
      </c>
      <c r="Q111" s="65" t="str">
        <f t="shared" si="6"/>
        <v/>
      </c>
      <c r="R111" s="68" t="str">
        <f t="shared" si="7"/>
        <v>Intangible fixed assets</v>
      </c>
    </row>
    <row r="112" spans="2:18" x14ac:dyDescent="0.25">
      <c r="B112" s="170" t="s">
        <v>1915</v>
      </c>
      <c r="C112" s="72"/>
      <c r="D112" s="70" t="s">
        <v>1916</v>
      </c>
      <c r="E112" s="73"/>
      <c r="H112" s="65" t="s">
        <v>644</v>
      </c>
      <c r="I112" s="65" t="s">
        <v>644</v>
      </c>
      <c r="M112" s="65" t="str">
        <f t="shared" si="4"/>
        <v/>
      </c>
      <c r="N112" s="65" t="str">
        <f t="shared" si="5"/>
        <v/>
      </c>
      <c r="O112" s="65" t="s">
        <v>777</v>
      </c>
      <c r="P112" s="65" t="s">
        <v>778</v>
      </c>
      <c r="Q112" s="65" t="str">
        <f t="shared" si="6"/>
        <v/>
      </c>
      <c r="R112" s="68" t="str">
        <f t="shared" si="7"/>
        <v>cyfanswm capital expenditure</v>
      </c>
    </row>
    <row r="113" spans="2:18" x14ac:dyDescent="0.25">
      <c r="B113" s="170" t="s">
        <v>1944</v>
      </c>
      <c r="C113" s="72"/>
      <c r="D113" s="70" t="s">
        <v>1945</v>
      </c>
      <c r="E113" s="73"/>
      <c r="H113" s="65" t="s">
        <v>648</v>
      </c>
      <c r="I113" s="65" t="s">
        <v>648</v>
      </c>
      <c r="M113" s="65" t="str">
        <f t="shared" si="4"/>
        <v/>
      </c>
      <c r="N113" s="65" t="str">
        <f t="shared" si="5"/>
        <v/>
      </c>
      <c r="O113" s="65" t="s">
        <v>781</v>
      </c>
      <c r="P113" s="65" t="s">
        <v>782</v>
      </c>
      <c r="Q113" s="65" t="str">
        <f t="shared" si="6"/>
        <v/>
      </c>
      <c r="R113" s="68" t="str">
        <f t="shared" si="7"/>
        <v>Sale of fixed assets</v>
      </c>
    </row>
    <row r="114" spans="2:18" x14ac:dyDescent="0.25">
      <c r="B114" s="170" t="s">
        <v>1946</v>
      </c>
      <c r="C114" s="72"/>
      <c r="D114" s="70" t="s">
        <v>1947</v>
      </c>
      <c r="E114" s="73"/>
      <c r="H114" s="65" t="s">
        <v>785</v>
      </c>
      <c r="I114" s="65" t="s">
        <v>786</v>
      </c>
      <c r="M114" s="65" t="str">
        <f t="shared" si="4"/>
        <v/>
      </c>
      <c r="N114" s="65" t="str">
        <f t="shared" si="5"/>
        <v/>
      </c>
      <c r="O114" s="65" t="s">
        <v>787</v>
      </c>
      <c r="P114" s="65" t="s">
        <v>788</v>
      </c>
      <c r="Q114" s="65" t="str">
        <f t="shared" si="6"/>
        <v/>
      </c>
      <c r="R114" s="68" t="str">
        <f t="shared" si="7"/>
        <v>Repayments of capital advances and grants</v>
      </c>
    </row>
    <row r="115" spans="2:18" x14ac:dyDescent="0.25">
      <c r="B115" s="170" t="s">
        <v>1950</v>
      </c>
      <c r="C115" s="72"/>
      <c r="D115" s="70" t="s">
        <v>1951</v>
      </c>
      <c r="E115" s="73"/>
      <c r="H115" s="65" t="s">
        <v>791</v>
      </c>
      <c r="I115" s="65" t="s">
        <v>792</v>
      </c>
      <c r="M115" s="65" t="str">
        <f t="shared" si="4"/>
        <v/>
      </c>
      <c r="N115" s="65" t="str">
        <f t="shared" si="5"/>
        <v/>
      </c>
      <c r="O115" s="65" t="s">
        <v>793</v>
      </c>
      <c r="P115" s="65" t="s">
        <v>794</v>
      </c>
      <c r="Q115" s="65" t="str">
        <f t="shared" si="6"/>
        <v/>
      </c>
      <c r="R115" s="68" t="str">
        <f t="shared" si="7"/>
        <v>cyfanswm receipts</v>
      </c>
    </row>
    <row r="116" spans="2:18" x14ac:dyDescent="0.25">
      <c r="B116" s="170" t="s">
        <v>1952</v>
      </c>
      <c r="C116" s="72"/>
      <c r="D116" s="70" t="s">
        <v>1953</v>
      </c>
      <c r="E116" s="73"/>
      <c r="H116" s="65" t="s">
        <v>795</v>
      </c>
      <c r="I116" s="65" t="s">
        <v>796</v>
      </c>
      <c r="M116" s="65" t="str">
        <f t="shared" si="4"/>
        <v/>
      </c>
      <c r="N116" s="65" t="str">
        <f t="shared" si="5"/>
        <v/>
      </c>
      <c r="O116" s="65" t="s">
        <v>797</v>
      </c>
      <c r="P116" s="65" t="s">
        <v>798</v>
      </c>
      <c r="Q116" s="65" t="str">
        <f t="shared" si="6"/>
        <v/>
      </c>
      <c r="R116" s="68" t="str">
        <f t="shared" si="7"/>
        <v>Assets not funded by LA capital expenditure</v>
      </c>
    </row>
    <row r="117" spans="2:18" x14ac:dyDescent="0.25">
      <c r="B117" s="170" t="s">
        <v>1954</v>
      </c>
      <c r="C117" s="72"/>
      <c r="D117" s="70" t="s">
        <v>1955</v>
      </c>
      <c r="E117" s="73"/>
      <c r="H117" s="65" t="s">
        <v>801</v>
      </c>
      <c r="I117" s="65" t="s">
        <v>802</v>
      </c>
      <c r="M117" s="65" t="str">
        <f t="shared" si="4"/>
        <v/>
      </c>
      <c r="N117" s="65" t="str">
        <f t="shared" si="5"/>
        <v/>
      </c>
      <c r="P117" s="65" t="s">
        <v>803</v>
      </c>
      <c r="Q117" s="65" t="str">
        <f t="shared" si="6"/>
        <v/>
      </c>
      <c r="R117" s="68" t="str">
        <f t="shared" si="7"/>
        <v>Capital expenditure and receipts</v>
      </c>
    </row>
    <row r="118" spans="2:18" x14ac:dyDescent="0.25">
      <c r="B118" s="170" t="s">
        <v>1958</v>
      </c>
      <c r="C118" s="72"/>
      <c r="D118" s="70" t="s">
        <v>410</v>
      </c>
      <c r="E118" s="73"/>
      <c r="H118" s="65" t="s">
        <v>806</v>
      </c>
      <c r="I118" s="65" t="s">
        <v>807</v>
      </c>
      <c r="M118" s="65" t="str">
        <f t="shared" si="4"/>
        <v/>
      </c>
      <c r="N118" s="65" t="str">
        <f t="shared" si="5"/>
        <v/>
      </c>
      <c r="P118" s="65" t="s">
        <v>808</v>
      </c>
      <c r="Q118" s="65" t="str">
        <f t="shared" si="6"/>
        <v/>
      </c>
      <c r="R118" s="68" t="str">
        <f t="shared" si="7"/>
        <v>Expenditure</v>
      </c>
    </row>
    <row r="119" spans="2:18" x14ac:dyDescent="0.25">
      <c r="B119" s="170" t="s">
        <v>1959</v>
      </c>
      <c r="C119" s="72"/>
      <c r="D119" s="70" t="s">
        <v>1960</v>
      </c>
      <c r="E119" s="73"/>
      <c r="H119" s="65" t="s">
        <v>811</v>
      </c>
      <c r="I119" s="65" t="s">
        <v>812</v>
      </c>
      <c r="M119" s="65" t="str">
        <f t="shared" si="4"/>
        <v/>
      </c>
      <c r="N119" s="65" t="str">
        <f t="shared" si="5"/>
        <v/>
      </c>
      <c r="P119" s="65" t="s">
        <v>813</v>
      </c>
      <c r="Q119" s="65" t="str">
        <f t="shared" si="6"/>
        <v/>
      </c>
      <c r="R119" s="68" t="str">
        <f t="shared" si="7"/>
        <v>Receipts</v>
      </c>
    </row>
    <row r="120" spans="2:18" x14ac:dyDescent="0.25">
      <c r="B120" s="170" t="s">
        <v>1961</v>
      </c>
      <c r="C120" s="72"/>
      <c r="D120" s="70" t="s">
        <v>1962</v>
      </c>
      <c r="E120" s="73"/>
      <c r="H120" s="65" t="s">
        <v>816</v>
      </c>
      <c r="I120" s="65" t="s">
        <v>817</v>
      </c>
      <c r="M120" s="65" t="str">
        <f t="shared" si="4"/>
        <v/>
      </c>
      <c r="N120" s="65" t="str">
        <f t="shared" si="5"/>
        <v/>
      </c>
      <c r="P120" s="65" t="s">
        <v>818</v>
      </c>
      <c r="Q120" s="65" t="str">
        <f t="shared" si="6"/>
        <v/>
      </c>
      <c r="R120" s="68" t="str">
        <f t="shared" si="7"/>
        <v>Memo</v>
      </c>
    </row>
    <row r="121" spans="2:18" x14ac:dyDescent="0.25">
      <c r="B121" s="170" t="s">
        <v>1963</v>
      </c>
      <c r="C121" s="72"/>
      <c r="D121" s="70" t="s">
        <v>1964</v>
      </c>
      <c r="E121" s="73"/>
      <c r="H121" s="65" t="s">
        <v>821</v>
      </c>
      <c r="I121" s="65" t="s">
        <v>822</v>
      </c>
      <c r="M121" s="65" t="str">
        <f t="shared" si="4"/>
        <v/>
      </c>
      <c r="N121" s="65" t="str">
        <f t="shared" si="5"/>
        <v/>
      </c>
      <c r="P121" s="65" t="s">
        <v>823</v>
      </c>
      <c r="Q121" s="65" t="str">
        <f t="shared" si="6"/>
        <v/>
      </c>
      <c r="R121" s="68" t="str">
        <f t="shared" si="7"/>
        <v>£ thousand</v>
      </c>
    </row>
    <row r="122" spans="2:18" x14ac:dyDescent="0.25">
      <c r="B122" s="170" t="s">
        <v>1969</v>
      </c>
      <c r="C122" s="72"/>
      <c r="D122" s="70" t="s">
        <v>1970</v>
      </c>
      <c r="E122" s="73"/>
      <c r="H122" s="65" t="s">
        <v>826</v>
      </c>
      <c r="I122" s="65" t="s">
        <v>827</v>
      </c>
      <c r="M122" s="65" t="str">
        <f t="shared" si="4"/>
        <v/>
      </c>
      <c r="N122" s="65" t="str">
        <f t="shared" si="5"/>
        <v/>
      </c>
      <c r="Q122" s="65" t="str">
        <f t="shared" si="6"/>
        <v/>
      </c>
      <c r="R122" s="68" t="str">
        <f t="shared" si="7"/>
        <v/>
      </c>
    </row>
    <row r="123" spans="2:18" ht="13" x14ac:dyDescent="0.3">
      <c r="B123" s="170" t="s">
        <v>1971</v>
      </c>
      <c r="C123" s="72"/>
      <c r="D123" s="70" t="s">
        <v>1972</v>
      </c>
      <c r="E123" s="73"/>
      <c r="H123" s="65" t="s">
        <v>830</v>
      </c>
      <c r="I123" s="65" t="s">
        <v>831</v>
      </c>
      <c r="M123" s="65" t="str">
        <f t="shared" si="4"/>
        <v/>
      </c>
      <c r="N123" s="65" t="str">
        <f t="shared" si="5"/>
        <v/>
      </c>
      <c r="O123" s="64" t="s">
        <v>832</v>
      </c>
      <c r="P123" s="65" t="s">
        <v>833</v>
      </c>
      <c r="Q123" s="65" t="str">
        <f t="shared" si="6"/>
        <v/>
      </c>
      <c r="R123" s="68" t="str">
        <f t="shared" si="7"/>
        <v>COR 4:         Capital outturn 4</v>
      </c>
    </row>
    <row r="124" spans="2:18" x14ac:dyDescent="0.25">
      <c r="B124" s="170" t="s">
        <v>1975</v>
      </c>
      <c r="C124" s="72"/>
      <c r="D124" s="70" t="s">
        <v>1976</v>
      </c>
      <c r="E124" s="73"/>
      <c r="H124" s="65" t="s">
        <v>836</v>
      </c>
      <c r="I124" s="65" t="s">
        <v>837</v>
      </c>
      <c r="M124" s="65" t="str">
        <f t="shared" si="4"/>
        <v/>
      </c>
      <c r="N124" s="65" t="str">
        <f t="shared" si="5"/>
        <v/>
      </c>
      <c r="P124" s="65" t="s">
        <v>838</v>
      </c>
      <c r="Q124" s="65" t="str">
        <f t="shared" si="6"/>
        <v/>
      </c>
      <c r="R124" s="68" t="str">
        <f t="shared" si="7"/>
        <v>Financing of capital expenditure and capital account summary, 2014-15</v>
      </c>
    </row>
    <row r="125" spans="2:18" x14ac:dyDescent="0.25">
      <c r="B125" s="170" t="s">
        <v>391</v>
      </c>
      <c r="C125" s="72"/>
      <c r="D125" s="70" t="s">
        <v>1993</v>
      </c>
      <c r="E125" s="73"/>
      <c r="H125" s="65" t="s">
        <v>841</v>
      </c>
      <c r="I125" s="65" t="s">
        <v>842</v>
      </c>
      <c r="M125" s="65" t="str">
        <f t="shared" si="4"/>
        <v/>
      </c>
      <c r="N125" s="65" t="str">
        <f t="shared" si="5"/>
        <v/>
      </c>
      <c r="P125" s="65" t="s">
        <v>843</v>
      </c>
      <c r="Q125" s="65" t="str">
        <f t="shared" si="6"/>
        <v/>
      </c>
      <c r="R125" s="68" t="str">
        <f t="shared" si="7"/>
        <v>Service block (COR 1-2 corresponding references)</v>
      </c>
    </row>
    <row r="126" spans="2:18" x14ac:dyDescent="0.25">
      <c r="B126" s="170" t="s">
        <v>2008</v>
      </c>
      <c r="C126" s="72"/>
      <c r="D126" s="70" t="s">
        <v>2009</v>
      </c>
      <c r="E126" s="73"/>
      <c r="H126" s="65" t="s">
        <v>846</v>
      </c>
      <c r="I126" s="65" t="s">
        <v>847</v>
      </c>
      <c r="M126" s="65" t="str">
        <f t="shared" si="4"/>
        <v/>
      </c>
      <c r="N126" s="65" t="str">
        <f t="shared" si="5"/>
        <v/>
      </c>
      <c r="O126" s="65">
        <v>1</v>
      </c>
      <c r="P126" s="65" t="s">
        <v>848</v>
      </c>
      <c r="Q126" s="65" t="str">
        <f t="shared" si="6"/>
        <v>(line 6)</v>
      </c>
      <c r="R126" s="68" t="str">
        <f t="shared" si="7"/>
        <v xml:space="preserve">Education </v>
      </c>
    </row>
    <row r="127" spans="2:18" x14ac:dyDescent="0.25">
      <c r="B127" s="170" t="s">
        <v>2010</v>
      </c>
      <c r="C127" s="72"/>
      <c r="D127" s="70" t="s">
        <v>2011</v>
      </c>
      <c r="E127" s="73"/>
      <c r="H127" s="65" t="s">
        <v>851</v>
      </c>
      <c r="I127" s="65" t="s">
        <v>852</v>
      </c>
      <c r="M127" s="65" t="str">
        <f t="shared" si="4"/>
        <v/>
      </c>
      <c r="N127" s="65" t="str">
        <f t="shared" si="5"/>
        <v/>
      </c>
      <c r="O127" s="65">
        <v>2</v>
      </c>
      <c r="P127" s="65" t="s">
        <v>853</v>
      </c>
      <c r="Q127" s="65" t="str">
        <f t="shared" si="6"/>
        <v>(line 7)</v>
      </c>
      <c r="R127" s="68" t="str">
        <f t="shared" si="7"/>
        <v xml:space="preserve">Social services </v>
      </c>
    </row>
    <row r="128" spans="2:18" x14ac:dyDescent="0.25">
      <c r="B128" s="170" t="s">
        <v>2012</v>
      </c>
      <c r="C128" s="72"/>
      <c r="D128" s="70" t="s">
        <v>2013</v>
      </c>
      <c r="E128" s="73"/>
      <c r="H128" s="65" t="s">
        <v>856</v>
      </c>
      <c r="I128" s="65" t="s">
        <v>857</v>
      </c>
      <c r="M128" s="65" t="str">
        <f t="shared" si="4"/>
        <v/>
      </c>
      <c r="N128" s="65" t="str">
        <f t="shared" si="5"/>
        <v/>
      </c>
      <c r="O128" s="65">
        <v>3</v>
      </c>
      <c r="P128" s="65" t="s">
        <v>858</v>
      </c>
      <c r="Q128" s="65" t="str">
        <f t="shared" si="6"/>
        <v>(line 15)</v>
      </c>
      <c r="R128" s="68" t="str">
        <f t="shared" si="7"/>
        <v xml:space="preserve">Transport </v>
      </c>
    </row>
    <row r="129" spans="2:18" x14ac:dyDescent="0.25">
      <c r="B129" s="170" t="s">
        <v>2014</v>
      </c>
      <c r="C129" s="72"/>
      <c r="D129" s="70" t="s">
        <v>2015</v>
      </c>
      <c r="E129" s="73"/>
      <c r="H129" s="65" t="s">
        <v>861</v>
      </c>
      <c r="I129" s="65" t="s">
        <v>862</v>
      </c>
      <c r="M129" s="65" t="str">
        <f t="shared" si="4"/>
        <v/>
      </c>
      <c r="N129" s="65" t="str">
        <f t="shared" si="5"/>
        <v/>
      </c>
      <c r="O129" s="65">
        <v>4</v>
      </c>
      <c r="P129" s="65" t="s">
        <v>863</v>
      </c>
      <c r="Q129" s="65" t="str">
        <f t="shared" si="6"/>
        <v>(line 36)</v>
      </c>
      <c r="R129" s="68" t="str">
        <f t="shared" si="7"/>
        <v xml:space="preserve">Housing </v>
      </c>
    </row>
    <row r="130" spans="2:18" x14ac:dyDescent="0.25">
      <c r="B130" s="170" t="s">
        <v>2040</v>
      </c>
      <c r="C130" s="72"/>
      <c r="D130" s="70" t="s">
        <v>2041</v>
      </c>
      <c r="E130" s="73"/>
      <c r="H130" s="65" t="s">
        <v>866</v>
      </c>
      <c r="I130" s="65" t="s">
        <v>867</v>
      </c>
      <c r="M130" s="65" t="str">
        <f t="shared" si="4"/>
        <v/>
      </c>
      <c r="N130" s="65" t="str">
        <f t="shared" si="5"/>
        <v/>
      </c>
      <c r="O130" s="65">
        <v>5</v>
      </c>
      <c r="P130" s="65" t="s">
        <v>868</v>
      </c>
      <c r="Q130" s="65" t="str">
        <f t="shared" si="6"/>
        <v>(line 40)</v>
      </c>
      <c r="R130" s="68" t="str">
        <f t="shared" si="7"/>
        <v xml:space="preserve">Libraries, culture and heritage </v>
      </c>
    </row>
    <row r="131" spans="2:18" x14ac:dyDescent="0.25">
      <c r="B131" s="170" t="s">
        <v>2053</v>
      </c>
      <c r="C131" s="72"/>
      <c r="D131" s="70" t="s">
        <v>2054</v>
      </c>
      <c r="E131" s="73"/>
      <c r="H131" s="65" t="s">
        <v>871</v>
      </c>
      <c r="I131" s="65" t="s">
        <v>872</v>
      </c>
      <c r="M131" s="65" t="str">
        <f t="shared" ref="M131:M194" si="8">IF(ISERROR(FIND("=",P131)),"",RIGHT(P131,LEN(P131)-FIND("=",P131)+3))</f>
        <v/>
      </c>
      <c r="N131" s="65" t="str">
        <f t="shared" ref="N131:N194" si="9">IF(ISERROR(FIND(" (include",P131)),"",RIGHT(P131,LEN(P131)-FIND(" (include",P131)))</f>
        <v/>
      </c>
      <c r="O131" s="65">
        <v>6</v>
      </c>
      <c r="P131" s="65" t="s">
        <v>873</v>
      </c>
      <c r="Q131" s="65" t="str">
        <f t="shared" ref="Q131:Q152" si="10">IF(ISERROR(FIND(" (line",P131)),"",RIGHT(P131,LEN(P131)-FIND(" (line",P131)))</f>
        <v>(line 44)</v>
      </c>
      <c r="R131" s="68" t="str">
        <f t="shared" ref="R131:R194" si="11">LEFT(P131,LEN(P131)-LEN(Q131))</f>
        <v xml:space="preserve">Agriculture and fisheries </v>
      </c>
    </row>
    <row r="132" spans="2:18" x14ac:dyDescent="0.25">
      <c r="B132" s="170" t="s">
        <v>2055</v>
      </c>
      <c r="C132" s="72"/>
      <c r="D132" s="70" t="s">
        <v>2056</v>
      </c>
      <c r="E132" s="73"/>
      <c r="H132" s="65" t="s">
        <v>876</v>
      </c>
      <c r="I132" s="65" t="s">
        <v>877</v>
      </c>
      <c r="M132" s="65" t="str">
        <f t="shared" si="8"/>
        <v/>
      </c>
      <c r="N132" s="65" t="str">
        <f t="shared" si="9"/>
        <v/>
      </c>
      <c r="O132" s="65">
        <v>7</v>
      </c>
      <c r="P132" s="65" t="s">
        <v>878</v>
      </c>
      <c r="Q132" s="65" t="str">
        <f t="shared" si="10"/>
        <v>(line 48)</v>
      </c>
      <c r="R132" s="68" t="str">
        <f t="shared" si="11"/>
        <v xml:space="preserve">Sport and recreation </v>
      </c>
    </row>
    <row r="133" spans="2:18" x14ac:dyDescent="0.25">
      <c r="B133" s="170" t="s">
        <v>2057</v>
      </c>
      <c r="C133" s="72"/>
      <c r="D133" s="70" t="s">
        <v>2058</v>
      </c>
      <c r="E133" s="73"/>
      <c r="H133" s="65" t="s">
        <v>881</v>
      </c>
      <c r="I133" s="65" t="s">
        <v>882</v>
      </c>
      <c r="M133" s="65" t="str">
        <f t="shared" si="8"/>
        <v/>
      </c>
      <c r="N133" s="65" t="str">
        <f t="shared" si="9"/>
        <v/>
      </c>
      <c r="O133" s="65">
        <v>8</v>
      </c>
      <c r="P133" s="65" t="s">
        <v>883</v>
      </c>
      <c r="Q133" s="65" t="str">
        <f t="shared" si="10"/>
        <v>(line 60)</v>
      </c>
      <c r="R133" s="68" t="str">
        <f t="shared" si="11"/>
        <v xml:space="preserve">Other environmental services </v>
      </c>
    </row>
    <row r="134" spans="2:18" x14ac:dyDescent="0.25">
      <c r="B134" s="170" t="s">
        <v>2059</v>
      </c>
      <c r="C134" s="72"/>
      <c r="D134" s="70" t="s">
        <v>2060</v>
      </c>
      <c r="E134" s="73"/>
      <c r="H134" s="65" t="s">
        <v>886</v>
      </c>
      <c r="I134" s="65" t="s">
        <v>887</v>
      </c>
      <c r="M134" s="65" t="str">
        <f t="shared" si="8"/>
        <v/>
      </c>
      <c r="N134" s="65" t="str">
        <f t="shared" si="9"/>
        <v/>
      </c>
      <c r="O134" s="65">
        <v>9</v>
      </c>
      <c r="P134" s="65" t="s">
        <v>888</v>
      </c>
      <c r="Q134" s="65" t="str">
        <f t="shared" si="10"/>
        <v>(line 61)</v>
      </c>
      <c r="R134" s="68" t="str">
        <f t="shared" si="11"/>
        <v xml:space="preserve">Fire and rescue service </v>
      </c>
    </row>
    <row r="135" spans="2:18" x14ac:dyDescent="0.25">
      <c r="B135" s="170" t="s">
        <v>2061</v>
      </c>
      <c r="C135" s="72"/>
      <c r="D135" s="70" t="s">
        <v>2062</v>
      </c>
      <c r="E135" s="73"/>
      <c r="H135" s="65" t="s">
        <v>891</v>
      </c>
      <c r="I135" s="65" t="s">
        <v>892</v>
      </c>
      <c r="M135" s="65" t="str">
        <f t="shared" si="8"/>
        <v/>
      </c>
      <c r="N135" s="65" t="str">
        <f t="shared" si="9"/>
        <v/>
      </c>
      <c r="O135" s="65">
        <v>10</v>
      </c>
      <c r="P135" s="65" t="s">
        <v>893</v>
      </c>
      <c r="Q135" s="65" t="str">
        <f t="shared" si="10"/>
        <v>(line 62)</v>
      </c>
      <c r="R135" s="68" t="str">
        <f t="shared" si="11"/>
        <v xml:space="preserve">Police service </v>
      </c>
    </row>
    <row r="136" spans="2:18" x14ac:dyDescent="0.25">
      <c r="B136" s="170" t="s">
        <v>2063</v>
      </c>
      <c r="C136" s="72"/>
      <c r="D136" s="70" t="s">
        <v>2064</v>
      </c>
      <c r="E136" s="73"/>
      <c r="H136" s="65" t="s">
        <v>896</v>
      </c>
      <c r="I136" s="65" t="s">
        <v>897</v>
      </c>
      <c r="M136" s="65" t="str">
        <f t="shared" si="8"/>
        <v/>
      </c>
      <c r="N136" s="65" t="str">
        <f t="shared" si="9"/>
        <v/>
      </c>
      <c r="O136" s="65">
        <v>11</v>
      </c>
      <c r="P136" s="65" t="s">
        <v>898</v>
      </c>
      <c r="Q136" s="65" t="str">
        <f t="shared" si="10"/>
        <v>(line 63)</v>
      </c>
      <c r="R136" s="68" t="str">
        <f t="shared" si="11"/>
        <v xml:space="preserve">Courts </v>
      </c>
    </row>
    <row r="137" spans="2:18" x14ac:dyDescent="0.25">
      <c r="B137" s="170" t="s">
        <v>2065</v>
      </c>
      <c r="C137" s="72"/>
      <c r="D137" s="70" t="s">
        <v>2066</v>
      </c>
      <c r="E137" s="73"/>
      <c r="H137" s="65" t="s">
        <v>901</v>
      </c>
      <c r="I137" s="65" t="s">
        <v>901</v>
      </c>
      <c r="M137" s="65" t="str">
        <f t="shared" si="8"/>
        <v/>
      </c>
      <c r="N137" s="65" t="str">
        <f t="shared" si="9"/>
        <v/>
      </c>
      <c r="O137" s="65">
        <v>12</v>
      </c>
      <c r="P137" s="65" t="s">
        <v>902</v>
      </c>
      <c r="Q137" s="65" t="str">
        <f t="shared" si="10"/>
        <v>(lines 1 to 11)</v>
      </c>
      <c r="R137" s="68" t="str">
        <f t="shared" si="11"/>
        <v xml:space="preserve">cyfanswm expenditure / receipts (accruals) </v>
      </c>
    </row>
    <row r="138" spans="2:18" x14ac:dyDescent="0.25">
      <c r="B138" s="170" t="s">
        <v>2067</v>
      </c>
      <c r="C138" s="72"/>
      <c r="D138" s="70" t="s">
        <v>2068</v>
      </c>
      <c r="E138" s="73"/>
      <c r="H138" s="65" t="s">
        <v>905</v>
      </c>
      <c r="I138" s="65" t="s">
        <v>906</v>
      </c>
      <c r="M138" s="65" t="str">
        <f t="shared" si="8"/>
        <v/>
      </c>
      <c r="N138" s="65" t="str">
        <f t="shared" si="9"/>
        <v/>
      </c>
      <c r="O138" s="65">
        <v>13</v>
      </c>
      <c r="P138" s="65" t="s">
        <v>907</v>
      </c>
      <c r="Q138" s="65" t="str">
        <f t="shared" si="10"/>
        <v/>
      </c>
      <c r="R138" s="68" t="str">
        <f t="shared" si="11"/>
        <v>cyfanswm expenditure treated as capital expenditure by virtue of a section 16(2)(b) direction (cyfanswm column 4, lines 1 to 11)</v>
      </c>
    </row>
    <row r="139" spans="2:18" x14ac:dyDescent="0.25">
      <c r="B139" s="170" t="s">
        <v>2069</v>
      </c>
      <c r="C139" s="72"/>
      <c r="D139" s="70" t="s">
        <v>2070</v>
      </c>
      <c r="E139" s="73"/>
      <c r="H139" s="65" t="s">
        <v>257</v>
      </c>
      <c r="I139" s="65" t="s">
        <v>910</v>
      </c>
      <c r="M139" s="65" t="str">
        <f t="shared" si="8"/>
        <v/>
      </c>
      <c r="N139" s="65" t="str">
        <f t="shared" si="9"/>
        <v/>
      </c>
      <c r="O139" s="65">
        <v>14</v>
      </c>
      <c r="P139" s="65" t="s">
        <v>911</v>
      </c>
      <c r="Q139" s="65" t="str">
        <f t="shared" si="10"/>
        <v/>
      </c>
      <c r="R139" s="68" t="str">
        <f t="shared" si="11"/>
        <v>Large Scale Voluntary Transfer (LSVT) levy</v>
      </c>
    </row>
    <row r="140" spans="2:18" x14ac:dyDescent="0.25">
      <c r="B140" s="170" t="s">
        <v>2071</v>
      </c>
      <c r="C140" s="72"/>
      <c r="D140" s="70" t="s">
        <v>2072</v>
      </c>
      <c r="E140" s="73"/>
      <c r="H140" s="65" t="s">
        <v>914</v>
      </c>
      <c r="I140" s="65" t="s">
        <v>915</v>
      </c>
      <c r="M140" s="65" t="str">
        <f t="shared" si="8"/>
        <v/>
      </c>
      <c r="N140" s="65" t="str">
        <f t="shared" si="9"/>
        <v/>
      </c>
      <c r="O140" s="65">
        <v>15</v>
      </c>
      <c r="P140" s="65" t="s">
        <v>916</v>
      </c>
      <c r="Q140" s="65" t="str">
        <f t="shared" si="10"/>
        <v/>
      </c>
      <c r="R140" s="68" t="str">
        <f t="shared" si="11"/>
        <v>cyfanswm expenditure and other transactions (cyfanswm lines 12 to 14, column 3)</v>
      </c>
    </row>
    <row r="141" spans="2:18" ht="37.5" x14ac:dyDescent="0.25">
      <c r="B141" s="170" t="s">
        <v>2073</v>
      </c>
      <c r="C141" s="72"/>
      <c r="D141" s="70" t="s">
        <v>2074</v>
      </c>
      <c r="E141" s="73"/>
      <c r="H141" s="65" t="s">
        <v>919</v>
      </c>
      <c r="I141" s="65" t="s">
        <v>920</v>
      </c>
      <c r="M141" s="65" t="str">
        <f t="shared" si="8"/>
        <v/>
      </c>
      <c r="N141" s="65" t="str">
        <f t="shared" si="9"/>
        <v/>
      </c>
      <c r="O141" s="65" t="s">
        <v>742</v>
      </c>
      <c r="P141" s="74" t="s">
        <v>3448</v>
      </c>
      <c r="Q141" s="65" t="str">
        <f t="shared" si="10"/>
        <v/>
      </c>
      <c r="R141" s="68" t="str">
        <f t="shared" si="11"/>
        <v>cyfanswm / expenditure 
COR 1-2, 
column 9</v>
      </c>
    </row>
    <row r="142" spans="2:18" x14ac:dyDescent="0.25">
      <c r="B142" s="170" t="s">
        <v>2075</v>
      </c>
      <c r="C142" s="72"/>
      <c r="D142" s="70" t="s">
        <v>2076</v>
      </c>
      <c r="E142" s="73"/>
      <c r="H142" s="65" t="s">
        <v>923</v>
      </c>
      <c r="I142" s="65" t="s">
        <v>924</v>
      </c>
      <c r="M142" s="65" t="str">
        <f t="shared" si="8"/>
        <v/>
      </c>
      <c r="N142" s="65" t="str">
        <f t="shared" si="9"/>
        <v/>
      </c>
      <c r="O142" s="65" t="s">
        <v>108</v>
      </c>
      <c r="P142" s="65" t="s">
        <v>925</v>
      </c>
      <c r="Q142" s="65" t="str">
        <f t="shared" si="10"/>
        <v/>
      </c>
      <c r="R142" s="68" t="str">
        <f t="shared" si="11"/>
        <v>Acquisition of share or loan capital</v>
      </c>
    </row>
    <row r="143" spans="2:18" x14ac:dyDescent="0.25">
      <c r="B143" s="170" t="s">
        <v>2077</v>
      </c>
      <c r="C143" s="72"/>
      <c r="D143" s="70" t="s">
        <v>2078</v>
      </c>
      <c r="E143" s="73"/>
      <c r="H143" s="65" t="s">
        <v>928</v>
      </c>
      <c r="I143" s="65" t="s">
        <v>929</v>
      </c>
      <c r="M143" s="65" t="str">
        <f t="shared" si="8"/>
        <v/>
      </c>
      <c r="N143" s="65" t="str">
        <f t="shared" si="9"/>
        <v/>
      </c>
      <c r="O143" s="65" t="s">
        <v>930</v>
      </c>
      <c r="P143" s="65" t="s">
        <v>3449</v>
      </c>
      <c r="Q143" s="65" t="str">
        <f t="shared" si="10"/>
        <v/>
      </c>
      <c r="R143" s="68" t="str">
        <f t="shared" si="11"/>
        <v>cyfanswm / capital expenditure</v>
      </c>
    </row>
    <row r="144" spans="2:18" x14ac:dyDescent="0.25">
      <c r="B144" s="170" t="s">
        <v>2079</v>
      </c>
      <c r="C144" s="72"/>
      <c r="D144" s="70" t="s">
        <v>2080</v>
      </c>
      <c r="E144" s="73"/>
      <c r="H144" s="65" t="s">
        <v>933</v>
      </c>
      <c r="I144" s="65" t="s">
        <v>934</v>
      </c>
      <c r="M144" s="65" t="str">
        <f t="shared" si="8"/>
        <v/>
      </c>
      <c r="N144" s="65" t="str">
        <f t="shared" si="9"/>
        <v/>
      </c>
      <c r="O144" s="65" t="s">
        <v>110</v>
      </c>
      <c r="P144" s="65" t="s">
        <v>935</v>
      </c>
      <c r="Q144" s="65" t="str">
        <f t="shared" si="10"/>
        <v/>
      </c>
      <c r="R144" s="68" t="str">
        <f t="shared" si="11"/>
        <v>Expenditure by section 16(2) direction</v>
      </c>
    </row>
    <row r="145" spans="2:18" ht="37.5" x14ac:dyDescent="0.25">
      <c r="B145" s="170" t="s">
        <v>2081</v>
      </c>
      <c r="C145" s="72"/>
      <c r="D145" s="70" t="s">
        <v>2082</v>
      </c>
      <c r="E145" s="73"/>
      <c r="H145" s="65" t="s">
        <v>938</v>
      </c>
      <c r="I145" s="65" t="s">
        <v>939</v>
      </c>
      <c r="M145" s="65" t="str">
        <f t="shared" si="8"/>
        <v/>
      </c>
      <c r="N145" s="65" t="str">
        <f t="shared" si="9"/>
        <v/>
      </c>
      <c r="O145" s="65" t="s">
        <v>769</v>
      </c>
      <c r="P145" s="74" t="s">
        <v>3450</v>
      </c>
      <c r="Q145" s="65" t="str">
        <f t="shared" si="10"/>
        <v/>
      </c>
      <c r="R145" s="68" t="str">
        <f t="shared" si="11"/>
        <v>cyfanswm / receipts 
COR 1-2, 
column 13</v>
      </c>
    </row>
    <row r="146" spans="2:18" x14ac:dyDescent="0.25">
      <c r="B146" s="170" t="s">
        <v>2083</v>
      </c>
      <c r="C146" s="72"/>
      <c r="D146" s="70" t="s">
        <v>2084</v>
      </c>
      <c r="E146" s="73"/>
      <c r="H146" s="65" t="s">
        <v>942</v>
      </c>
      <c r="I146" s="65" t="s">
        <v>943</v>
      </c>
      <c r="M146" s="65" t="str">
        <f t="shared" si="8"/>
        <v/>
      </c>
      <c r="N146" s="65" t="str">
        <f t="shared" si="9"/>
        <v/>
      </c>
      <c r="O146" s="65" t="s">
        <v>771</v>
      </c>
      <c r="P146" s="65" t="s">
        <v>944</v>
      </c>
      <c r="Q146" s="65" t="str">
        <f t="shared" si="10"/>
        <v/>
      </c>
      <c r="R146" s="68" t="str">
        <f t="shared" si="11"/>
        <v>Disposal of share or loan capital</v>
      </c>
    </row>
    <row r="147" spans="2:18" x14ac:dyDescent="0.25">
      <c r="B147" s="170" t="s">
        <v>2085</v>
      </c>
      <c r="C147" s="72"/>
      <c r="D147" s="70" t="s">
        <v>2086</v>
      </c>
      <c r="E147" s="73"/>
      <c r="H147" s="65" t="s">
        <v>947</v>
      </c>
      <c r="I147" s="65" t="s">
        <v>948</v>
      </c>
      <c r="M147" s="65" t="str">
        <f t="shared" si="8"/>
        <v/>
      </c>
      <c r="N147" s="65" t="str">
        <f t="shared" si="9"/>
        <v/>
      </c>
      <c r="O147" s="65" t="s">
        <v>949</v>
      </c>
      <c r="P147" s="65" t="s">
        <v>3451</v>
      </c>
      <c r="Q147" s="65" t="str">
        <f t="shared" si="10"/>
        <v/>
      </c>
      <c r="R147" s="68" t="str">
        <f t="shared" si="11"/>
        <v>cyfanswm / capital receipts</v>
      </c>
    </row>
    <row r="148" spans="2:18" x14ac:dyDescent="0.25">
      <c r="B148" s="170" t="s">
        <v>2087</v>
      </c>
      <c r="C148" s="72"/>
      <c r="D148" s="70" t="s">
        <v>2088</v>
      </c>
      <c r="E148" s="73"/>
      <c r="H148" s="65" t="s">
        <v>952</v>
      </c>
      <c r="I148" s="65" t="s">
        <v>953</v>
      </c>
      <c r="M148" s="65" t="str">
        <f t="shared" si="8"/>
        <v/>
      </c>
      <c r="N148" s="65" t="str">
        <f t="shared" si="9"/>
        <v/>
      </c>
      <c r="Q148" s="65" t="str">
        <f t="shared" si="10"/>
        <v/>
      </c>
      <c r="R148" s="68" t="str">
        <f t="shared" si="11"/>
        <v/>
      </c>
    </row>
    <row r="149" spans="2:18" ht="13" x14ac:dyDescent="0.3">
      <c r="B149" s="170" t="s">
        <v>2089</v>
      </c>
      <c r="C149" s="72"/>
      <c r="D149" s="70" t="s">
        <v>2090</v>
      </c>
      <c r="E149" s="73"/>
      <c r="H149" s="65" t="s">
        <v>956</v>
      </c>
      <c r="I149" s="65" t="s">
        <v>957</v>
      </c>
      <c r="M149" s="65" t="str">
        <f t="shared" si="8"/>
        <v/>
      </c>
      <c r="N149" s="65" t="str">
        <f t="shared" si="9"/>
        <v/>
      </c>
      <c r="O149" s="64" t="s">
        <v>958</v>
      </c>
      <c r="Q149" s="65" t="str">
        <f t="shared" si="10"/>
        <v/>
      </c>
      <c r="R149" s="68" t="str">
        <f t="shared" si="11"/>
        <v/>
      </c>
    </row>
    <row r="150" spans="2:18" x14ac:dyDescent="0.25">
      <c r="B150" s="170" t="s">
        <v>2093</v>
      </c>
      <c r="C150" s="72"/>
      <c r="D150" s="70" t="s">
        <v>2094</v>
      </c>
      <c r="E150" s="73"/>
      <c r="H150" s="65" t="s">
        <v>961</v>
      </c>
      <c r="I150" s="65" t="s">
        <v>962</v>
      </c>
      <c r="M150" s="65" t="str">
        <f t="shared" si="8"/>
        <v/>
      </c>
      <c r="N150" s="65" t="str">
        <f t="shared" si="9"/>
        <v/>
      </c>
      <c r="P150" s="65" t="s">
        <v>963</v>
      </c>
      <c r="Q150" s="65" t="str">
        <f t="shared" si="10"/>
        <v/>
      </c>
      <c r="R150" s="68" t="str">
        <f t="shared" si="11"/>
        <v>COR 4: Capital outturn 4</v>
      </c>
    </row>
    <row r="151" spans="2:18" x14ac:dyDescent="0.25">
      <c r="B151" s="170" t="s">
        <v>2105</v>
      </c>
      <c r="C151" s="72"/>
      <c r="D151" s="70" t="s">
        <v>2106</v>
      </c>
      <c r="E151" s="73"/>
      <c r="H151" s="65" t="s">
        <v>830</v>
      </c>
      <c r="I151" s="65" t="s">
        <v>831</v>
      </c>
      <c r="M151" s="65" t="str">
        <f t="shared" si="8"/>
        <v/>
      </c>
      <c r="N151" s="65" t="str">
        <f t="shared" si="9"/>
        <v/>
      </c>
      <c r="P151" s="65" t="s">
        <v>838</v>
      </c>
      <c r="Q151" s="65" t="str">
        <f t="shared" si="10"/>
        <v/>
      </c>
      <c r="R151" s="68" t="str">
        <f t="shared" si="11"/>
        <v>Financing of capital expenditure and capital account summary, 2014-15</v>
      </c>
    </row>
    <row r="152" spans="2:18" x14ac:dyDescent="0.25">
      <c r="B152" s="170" t="s">
        <v>2111</v>
      </c>
      <c r="C152" s="72"/>
      <c r="D152" s="70" t="s">
        <v>2112</v>
      </c>
      <c r="E152" s="73"/>
      <c r="H152" s="65" t="s">
        <v>968</v>
      </c>
      <c r="I152" s="65" t="s">
        <v>969</v>
      </c>
      <c r="M152" s="65" t="str">
        <f t="shared" si="8"/>
        <v/>
      </c>
      <c r="N152" s="65" t="str">
        <f t="shared" si="9"/>
        <v/>
      </c>
      <c r="P152" s="65" t="s">
        <v>970</v>
      </c>
      <c r="Q152" s="65" t="str">
        <f t="shared" si="10"/>
        <v/>
      </c>
      <c r="R152" s="68" t="str">
        <f t="shared" si="11"/>
        <v>cyfanswm capital expenditure and receipts:</v>
      </c>
    </row>
    <row r="153" spans="2:18" x14ac:dyDescent="0.25">
      <c r="B153" s="170" t="s">
        <v>2119</v>
      </c>
      <c r="C153" s="72"/>
      <c r="D153" s="70" t="s">
        <v>2120</v>
      </c>
      <c r="E153" s="73"/>
      <c r="H153" s="65" t="s">
        <v>973</v>
      </c>
      <c r="I153" s="65" t="s">
        <v>974</v>
      </c>
      <c r="M153" s="65" t="str">
        <f t="shared" si="8"/>
        <v/>
      </c>
      <c r="N153" s="65" t="str">
        <f t="shared" si="9"/>
        <v/>
      </c>
      <c r="O153" s="65">
        <v>19</v>
      </c>
      <c r="P153" s="65" t="s">
        <v>975</v>
      </c>
      <c r="Q153" s="65" t="str">
        <f>IF(ISERROR(FIND(" (line",P153)),"",RIGHT(P153,LEN(P153)-FIND(" (line",P153)))</f>
        <v/>
      </c>
      <c r="R153" s="68" t="str">
        <f t="shared" si="11"/>
        <v>cyfanswm capital expenditure (COR4, line 15, column 3)</v>
      </c>
    </row>
    <row r="154" spans="2:18" x14ac:dyDescent="0.25">
      <c r="B154" s="170" t="s">
        <v>2121</v>
      </c>
      <c r="C154" s="72"/>
      <c r="D154" s="70" t="s">
        <v>2122</v>
      </c>
      <c r="E154" s="73"/>
      <c r="H154" s="65" t="s">
        <v>978</v>
      </c>
      <c r="I154" s="65" t="s">
        <v>979</v>
      </c>
      <c r="M154" s="65" t="str">
        <f t="shared" si="8"/>
        <v/>
      </c>
      <c r="N154" s="65" t="str">
        <f t="shared" si="9"/>
        <v/>
      </c>
      <c r="P154" s="65" t="s">
        <v>980</v>
      </c>
      <c r="Q154" s="65" t="str">
        <f t="shared" ref="Q154:Q217" si="12">IF(ISERROR(FIND(" (line",P154)),"",RIGHT(P154,LEN(P154)-FIND(" (line",P154)))</f>
        <v/>
      </c>
      <c r="R154" s="68" t="str">
        <f t="shared" si="11"/>
        <v>Resources to be used to finance capital expenditure:</v>
      </c>
    </row>
    <row r="155" spans="2:18" x14ac:dyDescent="0.25">
      <c r="B155" s="170" t="s">
        <v>2131</v>
      </c>
      <c r="C155" s="72"/>
      <c r="D155" s="70" t="s">
        <v>2132</v>
      </c>
      <c r="E155" s="73"/>
      <c r="H155" s="65" t="s">
        <v>983</v>
      </c>
      <c r="I155" s="65" t="s">
        <v>984</v>
      </c>
      <c r="M155" s="65" t="str">
        <f t="shared" si="8"/>
        <v/>
      </c>
      <c r="N155" s="65" t="str">
        <f t="shared" si="9"/>
        <v/>
      </c>
      <c r="O155" s="65">
        <v>23</v>
      </c>
      <c r="P155" s="65" t="s">
        <v>985</v>
      </c>
      <c r="Q155" s="65" t="str">
        <f t="shared" si="12"/>
        <v/>
      </c>
      <c r="R155" s="68" t="str">
        <f t="shared" si="11"/>
        <v>Capital grants from the Welsh Government and other UK Government Departments</v>
      </c>
    </row>
    <row r="156" spans="2:18" x14ac:dyDescent="0.25">
      <c r="B156" s="170" t="s">
        <v>2135</v>
      </c>
      <c r="C156" s="72"/>
      <c r="D156" s="70" t="s">
        <v>2136</v>
      </c>
      <c r="E156" s="73"/>
      <c r="H156" s="65" t="s">
        <v>988</v>
      </c>
      <c r="I156" s="65" t="s">
        <v>989</v>
      </c>
      <c r="M156" s="65" t="str">
        <f t="shared" si="8"/>
        <v/>
      </c>
      <c r="N156" s="65" t="str">
        <f t="shared" si="9"/>
        <v/>
      </c>
      <c r="O156" s="65">
        <v>24</v>
      </c>
      <c r="P156" s="65" t="s">
        <v>990</v>
      </c>
      <c r="Q156" s="65" t="str">
        <f t="shared" si="12"/>
        <v/>
      </c>
      <c r="R156" s="68" t="str">
        <f t="shared" si="11"/>
        <v>Grants from European Community Structural Funds (including ERDF)</v>
      </c>
    </row>
    <row r="157" spans="2:18" x14ac:dyDescent="0.25">
      <c r="B157" s="170" t="s">
        <v>2137</v>
      </c>
      <c r="C157" s="72"/>
      <c r="D157" s="70" t="s">
        <v>2138</v>
      </c>
      <c r="E157" s="73"/>
      <c r="H157" s="65" t="s">
        <v>993</v>
      </c>
      <c r="I157" s="65" t="s">
        <v>994</v>
      </c>
      <c r="M157" s="65" t="str">
        <f t="shared" si="8"/>
        <v/>
      </c>
      <c r="N157" s="65" t="str">
        <f t="shared" si="9"/>
        <v/>
      </c>
      <c r="O157" s="65">
        <v>50</v>
      </c>
      <c r="P157" s="65" t="s">
        <v>995</v>
      </c>
      <c r="Q157" s="65" t="str">
        <f t="shared" si="12"/>
        <v/>
      </c>
      <c r="R157" s="68" t="str">
        <f t="shared" si="11"/>
        <v>Grants and contributions from Welsh Government sponsored public bodies / non-departmental public bodies</v>
      </c>
    </row>
    <row r="158" spans="2:18" x14ac:dyDescent="0.25">
      <c r="B158" s="170" t="s">
        <v>2139</v>
      </c>
      <c r="C158" s="72"/>
      <c r="D158" s="70" t="s">
        <v>2140</v>
      </c>
      <c r="E158" s="73"/>
      <c r="H158" s="65" t="s">
        <v>998</v>
      </c>
      <c r="I158" s="65" t="s">
        <v>999</v>
      </c>
      <c r="M158" s="65" t="str">
        <f t="shared" si="8"/>
        <v/>
      </c>
      <c r="N158" s="65" t="str">
        <f t="shared" si="9"/>
        <v/>
      </c>
      <c r="O158" s="65">
        <v>51</v>
      </c>
      <c r="P158" s="65" t="s">
        <v>1000</v>
      </c>
      <c r="Q158" s="65" t="str">
        <f t="shared" si="12"/>
        <v/>
      </c>
      <c r="R158" s="68" t="str">
        <f t="shared" si="11"/>
        <v>Funding from National Lottery</v>
      </c>
    </row>
    <row r="159" spans="2:18" x14ac:dyDescent="0.25">
      <c r="B159" s="170" t="s">
        <v>2153</v>
      </c>
      <c r="C159" s="72"/>
      <c r="D159" s="70" t="s">
        <v>2154</v>
      </c>
      <c r="E159" s="73"/>
      <c r="H159" s="65" t="s">
        <v>1003</v>
      </c>
      <c r="I159" s="65" t="s">
        <v>1004</v>
      </c>
      <c r="M159" s="65" t="str">
        <f t="shared" si="8"/>
        <v/>
      </c>
      <c r="N159" s="65" t="str">
        <f t="shared" si="9"/>
        <v/>
      </c>
      <c r="O159" s="65">
        <v>52</v>
      </c>
      <c r="P159" s="65" t="s">
        <v>1005</v>
      </c>
      <c r="Q159" s="65" t="str">
        <f t="shared" si="12"/>
        <v/>
      </c>
      <c r="R159" s="68" t="str">
        <f t="shared" si="11"/>
        <v>Other grants and contributions including those from private developers</v>
      </c>
    </row>
    <row r="160" spans="2:18" x14ac:dyDescent="0.25">
      <c r="B160" s="170" t="s">
        <v>2155</v>
      </c>
      <c r="C160" s="72"/>
      <c r="D160" s="70" t="s">
        <v>2156</v>
      </c>
      <c r="E160" s="73"/>
      <c r="H160" s="65" t="s">
        <v>1008</v>
      </c>
      <c r="I160" s="65" t="s">
        <v>1009</v>
      </c>
      <c r="M160" s="65" t="str">
        <f t="shared" si="8"/>
        <v/>
      </c>
      <c r="N160" s="65" t="str">
        <f t="shared" si="9"/>
        <v/>
      </c>
      <c r="O160" s="65">
        <v>25</v>
      </c>
      <c r="P160" s="65" t="s">
        <v>1010</v>
      </c>
      <c r="Q160" s="65" t="str">
        <f t="shared" si="12"/>
        <v>(lines 50 to 52)</v>
      </c>
      <c r="R160" s="68" t="str">
        <f t="shared" si="11"/>
        <v xml:space="preserve">Capital grants and contributions from other sources </v>
      </c>
    </row>
    <row r="161" spans="2:18" x14ac:dyDescent="0.25">
      <c r="B161" s="170" t="s">
        <v>2157</v>
      </c>
      <c r="C161" s="72"/>
      <c r="D161" s="77" t="s">
        <v>2158</v>
      </c>
      <c r="E161" s="73"/>
      <c r="H161" s="65" t="s">
        <v>1013</v>
      </c>
      <c r="I161" s="65" t="s">
        <v>1014</v>
      </c>
      <c r="M161" s="65" t="str">
        <f t="shared" si="8"/>
        <v/>
      </c>
      <c r="N161" s="65" t="str">
        <f t="shared" si="9"/>
        <v/>
      </c>
      <c r="O161" s="65">
        <v>26</v>
      </c>
      <c r="P161" s="65" t="s">
        <v>1015</v>
      </c>
      <c r="Q161" s="65" t="str">
        <f t="shared" si="12"/>
        <v/>
      </c>
      <c r="R161" s="68" t="str">
        <f t="shared" si="11"/>
        <v>Use of capital receipts</v>
      </c>
    </row>
    <row r="162" spans="2:18" x14ac:dyDescent="0.25">
      <c r="B162" s="170" t="s">
        <v>2165</v>
      </c>
      <c r="C162" s="72"/>
      <c r="D162" s="70" t="s">
        <v>2166</v>
      </c>
      <c r="E162" s="73"/>
      <c r="H162" s="65" t="s">
        <v>1018</v>
      </c>
      <c r="I162" s="65" t="s">
        <v>1019</v>
      </c>
      <c r="M162" s="65" t="str">
        <f t="shared" si="8"/>
        <v/>
      </c>
      <c r="N162" s="65" t="str">
        <f t="shared" si="9"/>
        <v/>
      </c>
      <c r="O162" s="65">
        <v>27</v>
      </c>
      <c r="P162" s="65" t="s">
        <v>1020</v>
      </c>
      <c r="Q162" s="65" t="str">
        <f t="shared" si="12"/>
        <v/>
      </c>
      <c r="R162" s="68" t="str">
        <f t="shared" si="11"/>
        <v>Major Repairs Allowance (MRA)</v>
      </c>
    </row>
    <row r="163" spans="2:18" x14ac:dyDescent="0.25">
      <c r="B163" s="170" t="s">
        <v>2187</v>
      </c>
      <c r="C163" s="72"/>
      <c r="D163" s="70" t="s">
        <v>2188</v>
      </c>
      <c r="E163" s="73"/>
      <c r="H163" s="65" t="s">
        <v>1023</v>
      </c>
      <c r="I163" s="65" t="s">
        <v>1024</v>
      </c>
      <c r="M163" s="65" t="str">
        <f t="shared" si="8"/>
        <v/>
      </c>
      <c r="N163" s="65" t="str">
        <f t="shared" si="9"/>
        <v/>
      </c>
      <c r="O163" s="65">
        <v>28</v>
      </c>
      <c r="P163" s="65" t="s">
        <v>1025</v>
      </c>
      <c r="Q163" s="65" t="str">
        <f t="shared" si="12"/>
        <v/>
      </c>
      <c r="R163" s="68" t="str">
        <f t="shared" si="11"/>
        <v>Capital expenditure charged to a revenue account (non-HRA)</v>
      </c>
    </row>
    <row r="164" spans="2:18" x14ac:dyDescent="0.25">
      <c r="B164" s="170" t="s">
        <v>2200</v>
      </c>
      <c r="C164" s="72"/>
      <c r="D164" s="70" t="s">
        <v>2201</v>
      </c>
      <c r="E164" s="73"/>
      <c r="H164" s="65" t="s">
        <v>1028</v>
      </c>
      <c r="I164" s="65" t="s">
        <v>1029</v>
      </c>
      <c r="M164" s="65" t="str">
        <f t="shared" si="8"/>
        <v/>
      </c>
      <c r="N164" s="65" t="str">
        <f t="shared" si="9"/>
        <v/>
      </c>
      <c r="O164" s="65">
        <v>29</v>
      </c>
      <c r="P164" s="65" t="s">
        <v>1030</v>
      </c>
      <c r="Q164" s="65" t="str">
        <f t="shared" si="12"/>
        <v/>
      </c>
      <c r="R164" s="68" t="str">
        <f t="shared" si="11"/>
        <v>Capital expenditure charged to a revenue account (HRA)</v>
      </c>
    </row>
    <row r="165" spans="2:18" x14ac:dyDescent="0.25">
      <c r="B165" s="170" t="s">
        <v>2206</v>
      </c>
      <c r="C165" s="72"/>
      <c r="D165" s="70" t="s">
        <v>2207</v>
      </c>
      <c r="E165" s="73"/>
      <c r="H165" s="65" t="s">
        <v>1033</v>
      </c>
      <c r="I165" s="65" t="s">
        <v>1034</v>
      </c>
      <c r="M165" s="65" t="str">
        <f t="shared" si="8"/>
        <v/>
      </c>
      <c r="N165" s="65" t="str">
        <f t="shared" si="9"/>
        <v/>
      </c>
      <c r="O165" s="65">
        <v>30.1</v>
      </c>
      <c r="P165" s="65" t="s">
        <v>1035</v>
      </c>
      <c r="Q165" s="65" t="str">
        <f t="shared" si="12"/>
        <v/>
      </c>
      <c r="R165" s="68" t="str">
        <f t="shared" si="11"/>
        <v>Borrowing and credit arrangements that attract central government support (non-HRA)</v>
      </c>
    </row>
    <row r="166" spans="2:18" x14ac:dyDescent="0.25">
      <c r="B166" s="170" t="s">
        <v>2209</v>
      </c>
      <c r="C166" s="72"/>
      <c r="D166" s="70" t="s">
        <v>2210</v>
      </c>
      <c r="E166" s="73"/>
      <c r="H166" s="65" t="s">
        <v>1038</v>
      </c>
      <c r="I166" s="65" t="s">
        <v>1039</v>
      </c>
      <c r="M166" s="65" t="str">
        <f t="shared" si="8"/>
        <v/>
      </c>
      <c r="N166" s="65" t="str">
        <f t="shared" si="9"/>
        <v/>
      </c>
      <c r="O166" s="65">
        <v>30.2</v>
      </c>
      <c r="P166" s="65" t="s">
        <v>1040</v>
      </c>
      <c r="Q166" s="65" t="str">
        <f t="shared" si="12"/>
        <v/>
      </c>
      <c r="R166" s="68" t="str">
        <f t="shared" si="11"/>
        <v>Borrowing and credit arrangements that attract central government support (HRA)</v>
      </c>
    </row>
    <row r="167" spans="2:18" x14ac:dyDescent="0.25">
      <c r="B167" s="170" t="s">
        <v>2218</v>
      </c>
      <c r="C167" s="72"/>
      <c r="D167" s="70" t="s">
        <v>2219</v>
      </c>
      <c r="E167" s="73"/>
      <c r="H167" s="65" t="s">
        <v>1043</v>
      </c>
      <c r="I167" s="65" t="s">
        <v>1044</v>
      </c>
      <c r="M167" s="65" t="str">
        <f t="shared" si="8"/>
        <v/>
      </c>
      <c r="N167" s="65" t="str">
        <f t="shared" si="9"/>
        <v/>
      </c>
      <c r="O167" s="65">
        <v>30</v>
      </c>
      <c r="P167" s="65" t="s">
        <v>1045</v>
      </c>
      <c r="Q167" s="65" t="str">
        <f t="shared" si="12"/>
        <v/>
      </c>
      <c r="R167" s="68" t="str">
        <f t="shared" si="11"/>
        <v>Borrowing and credit arrangements that attract central government support (Lines 30.1 and 30.2)</v>
      </c>
    </row>
    <row r="168" spans="2:18" x14ac:dyDescent="0.25">
      <c r="B168" s="170" t="s">
        <v>2220</v>
      </c>
      <c r="C168" s="72"/>
      <c r="D168" s="70" t="s">
        <v>2221</v>
      </c>
      <c r="E168" s="73"/>
      <c r="H168" s="65" t="s">
        <v>1048</v>
      </c>
      <c r="I168" s="65" t="s">
        <v>1049</v>
      </c>
      <c r="M168" s="65" t="str">
        <f t="shared" si="8"/>
        <v/>
      </c>
      <c r="N168" s="65" t="str">
        <f t="shared" si="9"/>
        <v/>
      </c>
      <c r="O168" s="65">
        <v>31.1</v>
      </c>
      <c r="P168" s="65" t="s">
        <v>1050</v>
      </c>
      <c r="Q168" s="65" t="str">
        <f t="shared" si="12"/>
        <v/>
      </c>
      <c r="R168" s="68" t="str">
        <f t="shared" si="11"/>
        <v>Other borrowing and credit arrangements (non-HRA)</v>
      </c>
    </row>
    <row r="169" spans="2:18" x14ac:dyDescent="0.25">
      <c r="B169" s="170" t="s">
        <v>2246</v>
      </c>
      <c r="C169" s="72"/>
      <c r="D169" s="70" t="s">
        <v>2247</v>
      </c>
      <c r="E169" s="73"/>
      <c r="H169" s="65" t="s">
        <v>1053</v>
      </c>
      <c r="I169" s="65" t="s">
        <v>1054</v>
      </c>
      <c r="M169" s="65" t="str">
        <f t="shared" si="8"/>
        <v/>
      </c>
      <c r="N169" s="65" t="str">
        <f t="shared" si="9"/>
        <v/>
      </c>
      <c r="O169" s="65">
        <v>31.2</v>
      </c>
      <c r="P169" s="65" t="s">
        <v>1055</v>
      </c>
      <c r="Q169" s="65" t="str">
        <f t="shared" si="12"/>
        <v/>
      </c>
      <c r="R169" s="68" t="str">
        <f t="shared" si="11"/>
        <v>Other borrowing and credit arrangements (HRA)</v>
      </c>
    </row>
    <row r="170" spans="2:18" x14ac:dyDescent="0.25">
      <c r="B170" s="170" t="s">
        <v>2250</v>
      </c>
      <c r="C170" s="72"/>
      <c r="D170" s="70" t="s">
        <v>2251</v>
      </c>
      <c r="E170" s="73"/>
      <c r="M170" s="65" t="str">
        <f t="shared" si="8"/>
        <v/>
      </c>
      <c r="N170" s="65" t="str">
        <f t="shared" si="9"/>
        <v/>
      </c>
      <c r="O170" s="65">
        <v>31</v>
      </c>
      <c r="P170" s="65" t="s">
        <v>1058</v>
      </c>
      <c r="Q170" s="65" t="str">
        <f t="shared" si="12"/>
        <v/>
      </c>
      <c r="R170" s="68" t="str">
        <f t="shared" si="11"/>
        <v>Other borrowing and credit arrangements (Lines 31.1 and 31.2)</v>
      </c>
    </row>
    <row r="171" spans="2:18" x14ac:dyDescent="0.25">
      <c r="B171" s="170" t="s">
        <v>2252</v>
      </c>
      <c r="C171" s="72"/>
      <c r="D171" s="70" t="s">
        <v>2253</v>
      </c>
      <c r="E171" s="73"/>
      <c r="M171" s="65" t="str">
        <f t="shared" si="8"/>
        <v/>
      </c>
      <c r="N171" s="65" t="str">
        <f t="shared" si="9"/>
        <v/>
      </c>
      <c r="O171" s="65">
        <v>32</v>
      </c>
      <c r="P171" s="65" t="s">
        <v>1061</v>
      </c>
      <c r="Q171" s="65" t="str">
        <f t="shared" si="12"/>
        <v/>
      </c>
      <c r="R171" s="68" t="str">
        <f t="shared" si="11"/>
        <v>cyfanswm resources used to finance capital expenditure (the sum of the figures in the white cells above)</v>
      </c>
    </row>
    <row r="172" spans="2:18" x14ac:dyDescent="0.25">
      <c r="B172" s="170" t="s">
        <v>2254</v>
      </c>
      <c r="C172" s="72"/>
      <c r="D172" s="70" t="s">
        <v>2255</v>
      </c>
      <c r="E172" s="73"/>
      <c r="M172" s="65" t="str">
        <f t="shared" si="8"/>
        <v/>
      </c>
      <c r="N172" s="65" t="str">
        <f t="shared" si="9"/>
        <v/>
      </c>
      <c r="P172" s="65" t="s">
        <v>1064</v>
      </c>
      <c r="Q172" s="65" t="str">
        <f t="shared" si="12"/>
        <v/>
      </c>
      <c r="R172" s="68" t="str">
        <f t="shared" si="11"/>
        <v>PLEASE COMPLETE THE LINES BELOW ON A PFI ON-BALANCE SHEET BASIS</v>
      </c>
    </row>
    <row r="173" spans="2:18" x14ac:dyDescent="0.25">
      <c r="B173" s="170" t="s">
        <v>2264</v>
      </c>
      <c r="C173" s="72"/>
      <c r="D173" s="70" t="s">
        <v>2265</v>
      </c>
      <c r="E173" s="73"/>
      <c r="M173" s="65" t="str">
        <f t="shared" si="8"/>
        <v/>
      </c>
      <c r="N173" s="65" t="str">
        <f t="shared" si="9"/>
        <v/>
      </c>
      <c r="P173" s="65" t="s">
        <v>1067</v>
      </c>
      <c r="Q173" s="65" t="str">
        <f t="shared" si="12"/>
        <v/>
      </c>
      <c r="R173" s="68" t="str">
        <f t="shared" si="11"/>
        <v>Capital financing requirement:</v>
      </c>
    </row>
    <row r="174" spans="2:18" x14ac:dyDescent="0.25">
      <c r="B174" s="170" t="s">
        <v>2274</v>
      </c>
      <c r="C174" s="72"/>
      <c r="D174" s="70" t="s">
        <v>2275</v>
      </c>
      <c r="E174" s="73"/>
      <c r="M174" s="65" t="str">
        <f t="shared" si="8"/>
        <v/>
      </c>
      <c r="N174" s="65" t="str">
        <f t="shared" si="9"/>
        <v/>
      </c>
      <c r="O174" s="65">
        <v>33</v>
      </c>
      <c r="P174" s="65" t="s">
        <v>1070</v>
      </c>
      <c r="Q174" s="65" t="str">
        <f t="shared" si="12"/>
        <v/>
      </c>
      <c r="R174" s="68" t="str">
        <f t="shared" si="11"/>
        <v>Capital Financing Requirement as at 1 April</v>
      </c>
    </row>
    <row r="175" spans="2:18" x14ac:dyDescent="0.25">
      <c r="B175" s="170" t="s">
        <v>2276</v>
      </c>
      <c r="C175" s="72"/>
      <c r="D175" s="70" t="s">
        <v>2277</v>
      </c>
      <c r="E175" s="73"/>
      <c r="M175" s="65" t="str">
        <f t="shared" si="8"/>
        <v/>
      </c>
      <c r="N175" s="65" t="str">
        <f t="shared" si="9"/>
        <v/>
      </c>
      <c r="O175" s="65">
        <v>34</v>
      </c>
      <c r="P175" s="65" t="s">
        <v>1073</v>
      </c>
      <c r="Q175" s="65" t="str">
        <f t="shared" si="12"/>
        <v>(line 30 plus line 31)</v>
      </c>
      <c r="R175" s="68" t="str">
        <f t="shared" si="11"/>
        <v xml:space="preserve">Capital expenditure resourced by means of credit </v>
      </c>
    </row>
    <row r="176" spans="2:18" x14ac:dyDescent="0.25">
      <c r="B176" s="170" t="s">
        <v>2278</v>
      </c>
      <c r="C176" s="72"/>
      <c r="D176" s="70" t="s">
        <v>2279</v>
      </c>
      <c r="E176" s="73"/>
      <c r="M176" s="65" t="str">
        <f t="shared" si="8"/>
        <v/>
      </c>
      <c r="N176" s="65" t="str">
        <f t="shared" si="9"/>
        <v/>
      </c>
      <c r="O176" s="65">
        <v>35</v>
      </c>
      <c r="P176" s="65" t="s">
        <v>1076</v>
      </c>
      <c r="Q176" s="65" t="str">
        <f t="shared" si="12"/>
        <v/>
      </c>
      <c r="R176" s="68" t="str">
        <f t="shared" si="11"/>
        <v>Minimum Revenue Provision &amp; voluntary contributions</v>
      </c>
    </row>
    <row r="177" spans="2:18" x14ac:dyDescent="0.25">
      <c r="B177" s="170" t="s">
        <v>2280</v>
      </c>
      <c r="C177" s="72"/>
      <c r="D177" s="70" t="s">
        <v>2281</v>
      </c>
      <c r="E177" s="73"/>
      <c r="M177" s="65" t="str">
        <f t="shared" si="8"/>
        <v/>
      </c>
      <c r="N177" s="65" t="str">
        <f t="shared" si="9"/>
        <v/>
      </c>
      <c r="O177" s="65">
        <v>36</v>
      </c>
      <c r="P177" s="65" t="s">
        <v>1079</v>
      </c>
      <c r="Q177" s="65" t="str">
        <f t="shared" si="12"/>
        <v>(line 34 less line 35)</v>
      </c>
      <c r="R177" s="68" t="str">
        <f t="shared" si="11"/>
        <v xml:space="preserve">Change in Capital Financing Requirement </v>
      </c>
    </row>
    <row r="178" spans="2:18" x14ac:dyDescent="0.25">
      <c r="B178" s="170" t="s">
        <v>2286</v>
      </c>
      <c r="C178" s="72"/>
      <c r="D178" s="70" t="s">
        <v>2286</v>
      </c>
      <c r="E178" s="73"/>
      <c r="M178" s="65" t="str">
        <f t="shared" si="8"/>
        <v/>
      </c>
      <c r="N178" s="65" t="str">
        <f t="shared" si="9"/>
        <v/>
      </c>
      <c r="O178" s="65">
        <v>37</v>
      </c>
      <c r="P178" s="65" t="s">
        <v>1082</v>
      </c>
      <c r="Q178" s="65" t="str">
        <f t="shared" si="12"/>
        <v>(line 33 plus line 36)</v>
      </c>
      <c r="R178" s="68" t="str">
        <f t="shared" si="11"/>
        <v xml:space="preserve">Capital Financing Requirement as at 31 March </v>
      </c>
    </row>
    <row r="179" spans="2:18" x14ac:dyDescent="0.25">
      <c r="B179" s="170" t="s">
        <v>2293</v>
      </c>
      <c r="C179" s="72"/>
      <c r="D179" s="70" t="s">
        <v>2294</v>
      </c>
      <c r="E179" s="73"/>
      <c r="M179" s="65" t="str">
        <f t="shared" si="8"/>
        <v/>
      </c>
      <c r="N179" s="65" t="str">
        <f t="shared" si="9"/>
        <v/>
      </c>
      <c r="P179" s="65" t="s">
        <v>1085</v>
      </c>
      <c r="Q179" s="65" t="str">
        <f t="shared" si="12"/>
        <v/>
      </c>
      <c r="R179" s="68" t="str">
        <f t="shared" si="11"/>
        <v>Borrowing, credit and investments at start of year:</v>
      </c>
    </row>
    <row r="180" spans="2:18" x14ac:dyDescent="0.25">
      <c r="B180" s="170" t="s">
        <v>2295</v>
      </c>
      <c r="C180" s="72"/>
      <c r="D180" s="70" t="s">
        <v>2296</v>
      </c>
      <c r="E180" s="73"/>
      <c r="M180" s="65" t="str">
        <f t="shared" si="8"/>
        <v/>
      </c>
      <c r="N180" s="65" t="str">
        <f t="shared" si="9"/>
        <v/>
      </c>
      <c r="O180" s="65">
        <v>38</v>
      </c>
      <c r="P180" s="65" t="s">
        <v>1088</v>
      </c>
      <c r="Q180" s="65" t="str">
        <f t="shared" si="12"/>
        <v/>
      </c>
      <c r="R180" s="68" t="str">
        <f t="shared" si="11"/>
        <v>Gross borrowing as at start of year</v>
      </c>
    </row>
    <row r="181" spans="2:18" x14ac:dyDescent="0.25">
      <c r="B181" s="170" t="s">
        <v>2297</v>
      </c>
      <c r="C181" s="72"/>
      <c r="D181" s="70" t="s">
        <v>2298</v>
      </c>
      <c r="E181" s="73"/>
      <c r="M181" s="65" t="str">
        <f t="shared" si="8"/>
        <v/>
      </c>
      <c r="N181" s="65" t="str">
        <f t="shared" si="9"/>
        <v/>
      </c>
      <c r="O181" s="65">
        <v>39</v>
      </c>
      <c r="P181" s="65" t="s">
        <v>1091</v>
      </c>
      <c r="Q181" s="65" t="str">
        <f t="shared" si="12"/>
        <v/>
      </c>
      <c r="R181" s="68" t="str">
        <f t="shared" si="11"/>
        <v>Other long-term liabilities as at start of year</v>
      </c>
    </row>
    <row r="182" spans="2:18" x14ac:dyDescent="0.25">
      <c r="B182" s="170" t="s">
        <v>2301</v>
      </c>
      <c r="C182" s="72"/>
      <c r="D182" s="70" t="s">
        <v>2302</v>
      </c>
      <c r="E182" s="73"/>
      <c r="M182" s="65" t="str">
        <f t="shared" si="8"/>
        <v/>
      </c>
      <c r="N182" s="65" t="str">
        <f t="shared" si="9"/>
        <v/>
      </c>
      <c r="O182" s="65">
        <v>40</v>
      </c>
      <c r="P182" s="65" t="s">
        <v>1094</v>
      </c>
      <c r="Q182" s="65" t="str">
        <f t="shared" si="12"/>
        <v/>
      </c>
      <c r="R182" s="68" t="str">
        <f t="shared" si="11"/>
        <v>Investments as at start of year</v>
      </c>
    </row>
    <row r="183" spans="2:18" x14ac:dyDescent="0.25">
      <c r="B183" s="170" t="s">
        <v>579</v>
      </c>
      <c r="C183" s="72"/>
      <c r="D183" s="70" t="s">
        <v>2310</v>
      </c>
      <c r="E183" s="73"/>
      <c r="M183" s="65" t="str">
        <f t="shared" si="8"/>
        <v/>
      </c>
      <c r="N183" s="65" t="str">
        <f t="shared" si="9"/>
        <v/>
      </c>
      <c r="P183" s="65" t="s">
        <v>1097</v>
      </c>
      <c r="Q183" s="65" t="str">
        <f t="shared" si="12"/>
        <v/>
      </c>
      <c r="R183" s="68" t="str">
        <f t="shared" si="11"/>
        <v>Borrowing, credit and investments at end of year:</v>
      </c>
    </row>
    <row r="184" spans="2:18" x14ac:dyDescent="0.25">
      <c r="B184" s="170" t="s">
        <v>2311</v>
      </c>
      <c r="C184" s="72"/>
      <c r="D184" s="70" t="s">
        <v>2312</v>
      </c>
      <c r="E184" s="73"/>
      <c r="M184" s="65" t="str">
        <f t="shared" si="8"/>
        <v/>
      </c>
      <c r="N184" s="65" t="str">
        <f t="shared" si="9"/>
        <v/>
      </c>
      <c r="O184" s="65">
        <v>41</v>
      </c>
      <c r="P184" s="65" t="s">
        <v>1100</v>
      </c>
      <c r="Q184" s="65" t="str">
        <f t="shared" si="12"/>
        <v/>
      </c>
      <c r="R184" s="68" t="str">
        <f t="shared" si="11"/>
        <v>Gross borrowing as at year end</v>
      </c>
    </row>
    <row r="185" spans="2:18" x14ac:dyDescent="0.25">
      <c r="B185" s="170" t="s">
        <v>2313</v>
      </c>
      <c r="C185" s="72"/>
      <c r="D185" s="70" t="s">
        <v>2314</v>
      </c>
      <c r="E185" s="73"/>
      <c r="M185" s="65" t="str">
        <f t="shared" si="8"/>
        <v/>
      </c>
      <c r="N185" s="65" t="str">
        <f t="shared" si="9"/>
        <v/>
      </c>
      <c r="O185" s="65">
        <v>42</v>
      </c>
      <c r="P185" s="65" t="s">
        <v>1103</v>
      </c>
      <c r="Q185" s="65" t="str">
        <f t="shared" si="12"/>
        <v/>
      </c>
      <c r="R185" s="68" t="str">
        <f t="shared" si="11"/>
        <v>Other long-term liabilities as at year end</v>
      </c>
    </row>
    <row r="186" spans="2:18" x14ac:dyDescent="0.25">
      <c r="B186" s="170" t="s">
        <v>2331</v>
      </c>
      <c r="C186" s="72"/>
      <c r="D186" s="70" t="s">
        <v>2332</v>
      </c>
      <c r="E186" s="73"/>
      <c r="M186" s="65" t="str">
        <f t="shared" si="8"/>
        <v/>
      </c>
      <c r="N186" s="65" t="str">
        <f t="shared" si="9"/>
        <v/>
      </c>
      <c r="O186" s="65">
        <v>43</v>
      </c>
      <c r="P186" s="65" t="s">
        <v>1106</v>
      </c>
      <c r="Q186" s="65" t="str">
        <f t="shared" si="12"/>
        <v/>
      </c>
      <c r="R186" s="68" t="str">
        <f t="shared" si="11"/>
        <v>Investments as at year end</v>
      </c>
    </row>
    <row r="187" spans="2:18" x14ac:dyDescent="0.25">
      <c r="B187" s="170" t="s">
        <v>2341</v>
      </c>
      <c r="C187" s="72"/>
      <c r="D187" s="70" t="s">
        <v>2342</v>
      </c>
      <c r="E187" s="73"/>
      <c r="M187" s="65" t="str">
        <f t="shared" si="8"/>
        <v/>
      </c>
      <c r="N187" s="65" t="str">
        <f t="shared" si="9"/>
        <v/>
      </c>
      <c r="P187" s="65" t="s">
        <v>1109</v>
      </c>
      <c r="Q187" s="65" t="str">
        <f t="shared" si="12"/>
        <v/>
      </c>
      <c r="R187" s="68" t="str">
        <f t="shared" si="11"/>
        <v>Operational boundary and authorised limit:</v>
      </c>
    </row>
    <row r="188" spans="2:18" x14ac:dyDescent="0.25">
      <c r="B188" s="170" t="s">
        <v>2343</v>
      </c>
      <c r="C188" s="72"/>
      <c r="D188" s="70" t="s">
        <v>1308</v>
      </c>
      <c r="E188" s="73"/>
      <c r="M188" s="65" t="str">
        <f t="shared" si="8"/>
        <v/>
      </c>
      <c r="N188" s="65" t="str">
        <f t="shared" si="9"/>
        <v/>
      </c>
      <c r="O188" s="65">
        <v>44</v>
      </c>
      <c r="P188" s="65" t="s">
        <v>1111</v>
      </c>
      <c r="Q188" s="65" t="str">
        <f t="shared" si="12"/>
        <v/>
      </c>
      <c r="R188" s="68" t="str">
        <f t="shared" si="11"/>
        <v>Operational boundary for external debt as at start of year</v>
      </c>
    </row>
    <row r="189" spans="2:18" x14ac:dyDescent="0.25">
      <c r="B189" s="170" t="s">
        <v>2352</v>
      </c>
      <c r="C189" s="72"/>
      <c r="D189" s="70" t="s">
        <v>2353</v>
      </c>
      <c r="E189" s="73"/>
      <c r="M189" s="65" t="str">
        <f t="shared" si="8"/>
        <v/>
      </c>
      <c r="N189" s="65" t="str">
        <f t="shared" si="9"/>
        <v/>
      </c>
      <c r="O189" s="65">
        <v>45</v>
      </c>
      <c r="P189" s="65" t="s">
        <v>1112</v>
      </c>
      <c r="Q189" s="65" t="str">
        <f t="shared" si="12"/>
        <v/>
      </c>
      <c r="R189" s="68" t="str">
        <f t="shared" si="11"/>
        <v>Authorised limit for external debt as at start of year</v>
      </c>
    </row>
    <row r="190" spans="2:18" x14ac:dyDescent="0.25">
      <c r="B190" s="170" t="s">
        <v>2358</v>
      </c>
      <c r="C190" s="72"/>
      <c r="D190" s="70" t="s">
        <v>2359</v>
      </c>
      <c r="E190" s="73"/>
      <c r="M190" s="65" t="str">
        <f t="shared" si="8"/>
        <v/>
      </c>
      <c r="N190" s="65" t="str">
        <f t="shared" si="9"/>
        <v/>
      </c>
      <c r="O190" s="65">
        <v>46</v>
      </c>
      <c r="P190" s="65" t="s">
        <v>1113</v>
      </c>
      <c r="Q190" s="65" t="str">
        <f t="shared" si="12"/>
        <v/>
      </c>
      <c r="R190" s="68" t="str">
        <f t="shared" si="11"/>
        <v>Operational boundary for external debt as at year end</v>
      </c>
    </row>
    <row r="191" spans="2:18" x14ac:dyDescent="0.25">
      <c r="B191" s="170" t="s">
        <v>2360</v>
      </c>
      <c r="C191" s="72"/>
      <c r="D191" s="70" t="s">
        <v>2359</v>
      </c>
      <c r="E191" s="73"/>
      <c r="M191" s="65" t="str">
        <f t="shared" si="8"/>
        <v/>
      </c>
      <c r="N191" s="65" t="str">
        <f t="shared" si="9"/>
        <v/>
      </c>
      <c r="O191" s="65">
        <v>47</v>
      </c>
      <c r="P191" s="65" t="s">
        <v>1114</v>
      </c>
      <c r="Q191" s="65" t="str">
        <f t="shared" si="12"/>
        <v/>
      </c>
      <c r="R191" s="68" t="str">
        <f t="shared" si="11"/>
        <v>Authorised limit for external debt as at year end</v>
      </c>
    </row>
    <row r="192" spans="2:18" x14ac:dyDescent="0.25">
      <c r="B192" s="170" t="s">
        <v>2361</v>
      </c>
      <c r="C192" s="72"/>
      <c r="D192" s="70" t="s">
        <v>2362</v>
      </c>
      <c r="E192" s="73"/>
      <c r="M192" s="65" t="str">
        <f t="shared" si="8"/>
        <v/>
      </c>
      <c r="N192" s="65" t="str">
        <f t="shared" si="9"/>
        <v/>
      </c>
      <c r="P192" s="65" t="s">
        <v>1117</v>
      </c>
      <c r="Q192" s="65" t="str">
        <f t="shared" si="12"/>
        <v/>
      </c>
      <c r="R192" s="68" t="str">
        <f t="shared" si="11"/>
        <v>cyfanswm receipts:</v>
      </c>
    </row>
    <row r="193" spans="2:18" x14ac:dyDescent="0.25">
      <c r="B193" s="170" t="s">
        <v>2372</v>
      </c>
      <c r="C193" s="72"/>
      <c r="D193" s="70" t="s">
        <v>2373</v>
      </c>
      <c r="E193" s="73"/>
      <c r="M193" s="65" t="str">
        <f t="shared" si="8"/>
        <v/>
      </c>
      <c r="N193" s="65" t="str">
        <f t="shared" si="9"/>
        <v/>
      </c>
      <c r="O193" s="65">
        <v>20</v>
      </c>
      <c r="P193" s="65" t="s">
        <v>1120</v>
      </c>
      <c r="Q193" s="65" t="str">
        <f t="shared" si="12"/>
        <v/>
      </c>
      <c r="R193" s="68" t="str">
        <f t="shared" si="11"/>
        <v>cyfanswm in-year capital receipts - HRA (COR1-2, line 24, column 13)</v>
      </c>
    </row>
    <row r="194" spans="2:18" x14ac:dyDescent="0.25">
      <c r="B194" s="170" t="s">
        <v>2375</v>
      </c>
      <c r="C194" s="72"/>
      <c r="D194" s="70" t="s">
        <v>2376</v>
      </c>
      <c r="E194" s="73"/>
      <c r="M194" s="65" t="str">
        <f t="shared" si="8"/>
        <v/>
      </c>
      <c r="N194" s="65" t="str">
        <f t="shared" si="9"/>
        <v/>
      </c>
      <c r="O194" s="65">
        <v>21</v>
      </c>
      <c r="P194" s="65" t="s">
        <v>1123</v>
      </c>
      <c r="Q194" s="65" t="str">
        <f t="shared" si="12"/>
        <v/>
      </c>
      <c r="R194" s="68" t="str">
        <f t="shared" si="11"/>
        <v>cyfanswm in-year capital receipts non HRA (COR1-2, line 66 minus line 24, column 13)</v>
      </c>
    </row>
    <row r="195" spans="2:18" x14ac:dyDescent="0.25">
      <c r="B195" s="170" t="s">
        <v>693</v>
      </c>
      <c r="C195" s="72"/>
      <c r="D195" s="70" t="s">
        <v>2380</v>
      </c>
      <c r="E195" s="73"/>
      <c r="M195" s="65" t="str">
        <f t="shared" ref="M195:M258" si="13">IF(ISERROR(FIND("=",P195)),"",RIGHT(P195,LEN(P195)-FIND("=",P195)+3))</f>
        <v/>
      </c>
      <c r="N195" s="65" t="str">
        <f t="shared" ref="N195:N258" si="14">IF(ISERROR(FIND(" (include",P195)),"",RIGHT(P195,LEN(P195)-FIND(" (include",P195)))</f>
        <v/>
      </c>
      <c r="O195" s="65">
        <v>22</v>
      </c>
      <c r="P195" s="65" t="s">
        <v>1126</v>
      </c>
      <c r="Q195" s="65" t="str">
        <f t="shared" si="12"/>
        <v>(lines 20 and 21)</v>
      </c>
      <c r="R195" s="68" t="str">
        <f t="shared" ref="R195:R258" si="15">LEFT(P195,LEN(P195)-LEN(Q195))</f>
        <v xml:space="preserve">cyfanswm in-year capital receipts </v>
      </c>
    </row>
    <row r="196" spans="2:18" x14ac:dyDescent="0.25">
      <c r="B196" s="170" t="s">
        <v>2383</v>
      </c>
      <c r="C196" s="72"/>
      <c r="D196" s="70" t="s">
        <v>2384</v>
      </c>
      <c r="E196" s="73"/>
      <c r="M196" s="65" t="str">
        <f t="shared" si="13"/>
        <v/>
      </c>
      <c r="N196" s="65" t="str">
        <f t="shared" si="14"/>
        <v/>
      </c>
      <c r="P196" s="65" t="s">
        <v>1129</v>
      </c>
      <c r="Q196" s="65" t="str">
        <f t="shared" si="12"/>
        <v/>
      </c>
      <c r="R196" s="68" t="str">
        <f t="shared" si="15"/>
        <v>Memorandum:</v>
      </c>
    </row>
    <row r="197" spans="2:18" x14ac:dyDescent="0.25">
      <c r="B197" s="170" t="s">
        <v>2395</v>
      </c>
      <c r="C197" s="72"/>
      <c r="D197" s="70" t="s">
        <v>2396</v>
      </c>
      <c r="E197" s="73"/>
      <c r="M197" s="65" t="str">
        <f t="shared" si="13"/>
        <v/>
      </c>
      <c r="N197" s="65" t="str">
        <f t="shared" si="14"/>
        <v/>
      </c>
      <c r="P197" s="65" t="s">
        <v>1132</v>
      </c>
      <c r="Q197" s="65" t="str">
        <f t="shared" si="12"/>
        <v/>
      </c>
      <c r="R197" s="68" t="str">
        <f t="shared" si="15"/>
        <v>Additional liabilities of Local Authority companies:</v>
      </c>
    </row>
    <row r="198" spans="2:18" x14ac:dyDescent="0.25">
      <c r="B198" s="170" t="s">
        <v>2397</v>
      </c>
      <c r="C198" s="72"/>
      <c r="D198" s="70" t="s">
        <v>2398</v>
      </c>
      <c r="E198" s="73"/>
      <c r="M198" s="65" t="str">
        <f t="shared" si="13"/>
        <v/>
      </c>
      <c r="N198" s="65" t="str">
        <f t="shared" si="14"/>
        <v/>
      </c>
      <c r="O198" s="65">
        <v>48</v>
      </c>
      <c r="P198" s="65" t="s">
        <v>1135</v>
      </c>
      <c r="Q198" s="65" t="str">
        <f t="shared" si="12"/>
        <v/>
      </c>
      <c r="R198" s="68" t="str">
        <f t="shared" si="15"/>
        <v>Gross borrowing and other long-term liabilities as at start of year</v>
      </c>
    </row>
    <row r="199" spans="2:18" x14ac:dyDescent="0.25">
      <c r="B199" s="170" t="s">
        <v>2408</v>
      </c>
      <c r="C199" s="72"/>
      <c r="D199" s="70" t="s">
        <v>2409</v>
      </c>
      <c r="E199" s="73"/>
      <c r="M199" s="65" t="str">
        <f t="shared" si="13"/>
        <v/>
      </c>
      <c r="N199" s="65" t="str">
        <f t="shared" si="14"/>
        <v/>
      </c>
      <c r="O199" s="65">
        <v>49</v>
      </c>
      <c r="P199" s="65" t="s">
        <v>1138</v>
      </c>
      <c r="Q199" s="65" t="str">
        <f t="shared" si="12"/>
        <v/>
      </c>
      <c r="R199" s="68" t="str">
        <f t="shared" si="15"/>
        <v>Gross borrowing and other long-term liabilities as at end of year</v>
      </c>
    </row>
    <row r="200" spans="2:18" x14ac:dyDescent="0.25">
      <c r="B200" s="170" t="s">
        <v>2414</v>
      </c>
      <c r="C200" s="72"/>
      <c r="D200" s="70" t="s">
        <v>2415</v>
      </c>
      <c r="E200" s="73"/>
      <c r="M200" s="65" t="str">
        <f t="shared" si="13"/>
        <v/>
      </c>
      <c r="N200" s="65" t="str">
        <f t="shared" si="14"/>
        <v/>
      </c>
      <c r="P200" s="65" t="s">
        <v>1141</v>
      </c>
      <c r="Q200" s="65" t="str">
        <f t="shared" si="12"/>
        <v/>
      </c>
      <c r="R200" s="68" t="str">
        <f t="shared" si="15"/>
        <v>Gross HRA unsupported borrowing:</v>
      </c>
    </row>
    <row r="201" spans="2:18" x14ac:dyDescent="0.25">
      <c r="B201" s="170" t="s">
        <v>2423</v>
      </c>
      <c r="C201" s="72"/>
      <c r="D201" s="70" t="s">
        <v>2424</v>
      </c>
      <c r="E201" s="73"/>
      <c r="M201" s="65" t="str">
        <f t="shared" si="13"/>
        <v/>
      </c>
      <c r="N201" s="65" t="str">
        <f t="shared" si="14"/>
        <v/>
      </c>
      <c r="O201" s="65">
        <v>54</v>
      </c>
      <c r="P201" s="65" t="s">
        <v>1144</v>
      </c>
      <c r="Q201" s="65" t="str">
        <f t="shared" si="12"/>
        <v/>
      </c>
      <c r="R201" s="68" t="str">
        <f t="shared" si="15"/>
        <v>At start of year</v>
      </c>
    </row>
    <row r="202" spans="2:18" x14ac:dyDescent="0.25">
      <c r="B202" s="170" t="s">
        <v>2425</v>
      </c>
      <c r="C202" s="72"/>
      <c r="D202" s="70" t="s">
        <v>2426</v>
      </c>
      <c r="E202" s="73"/>
      <c r="M202" s="65" t="str">
        <f t="shared" si="13"/>
        <v/>
      </c>
      <c r="N202" s="65" t="str">
        <f t="shared" si="14"/>
        <v/>
      </c>
      <c r="O202" s="65">
        <v>55</v>
      </c>
      <c r="P202" s="65" t="s">
        <v>1147</v>
      </c>
      <c r="Q202" s="65" t="str">
        <f t="shared" si="12"/>
        <v/>
      </c>
      <c r="R202" s="68" t="str">
        <f t="shared" si="15"/>
        <v>At end of year</v>
      </c>
    </row>
    <row r="203" spans="2:18" x14ac:dyDescent="0.25">
      <c r="B203" s="170" t="s">
        <v>2427</v>
      </c>
      <c r="C203" s="72"/>
      <c r="D203" s="70" t="s">
        <v>2428</v>
      </c>
      <c r="E203" s="73"/>
      <c r="M203" s="65" t="str">
        <f t="shared" si="13"/>
        <v/>
      </c>
      <c r="N203" s="65" t="str">
        <f t="shared" si="14"/>
        <v/>
      </c>
      <c r="P203" s="65" t="s">
        <v>1150</v>
      </c>
      <c r="Q203" s="65" t="str">
        <f t="shared" si="12"/>
        <v/>
      </c>
      <c r="R203" s="68" t="str">
        <f t="shared" si="15"/>
        <v>The Authority’s figures for the LGBI for highways’ improvements</v>
      </c>
    </row>
    <row r="204" spans="2:18" x14ac:dyDescent="0.25">
      <c r="B204" s="170" t="s">
        <v>2429</v>
      </c>
      <c r="C204" s="72"/>
      <c r="D204" s="70" t="s">
        <v>2430</v>
      </c>
      <c r="E204" s="73"/>
      <c r="M204" s="65" t="str">
        <f t="shared" si="13"/>
        <v/>
      </c>
      <c r="N204" s="65" t="str">
        <f t="shared" si="14"/>
        <v/>
      </c>
      <c r="O204" s="65">
        <v>56</v>
      </c>
      <c r="P204" s="65" t="s">
        <v>1153</v>
      </c>
      <c r="Q204" s="65" t="str">
        <f t="shared" si="12"/>
        <v/>
      </c>
      <c r="R204" s="68" t="str">
        <f t="shared" si="15"/>
        <v>Amount included in line 31.1 above relating to the LGBI for highways’ improvements</v>
      </c>
    </row>
    <row r="205" spans="2:18" x14ac:dyDescent="0.25">
      <c r="B205" s="170" t="s">
        <v>2431</v>
      </c>
      <c r="C205" s="72"/>
      <c r="D205" s="70" t="s">
        <v>2432</v>
      </c>
      <c r="E205" s="73"/>
      <c r="M205" s="65" t="str">
        <f t="shared" si="13"/>
        <v/>
      </c>
      <c r="N205" s="65" t="str">
        <f t="shared" si="14"/>
        <v/>
      </c>
      <c r="P205" s="65" t="s">
        <v>1155</v>
      </c>
      <c r="Q205" s="65" t="str">
        <f t="shared" si="12"/>
        <v/>
      </c>
      <c r="R205" s="68" t="str">
        <f t="shared" si="15"/>
        <v>Please use white cells for input only</v>
      </c>
    </row>
    <row r="206" spans="2:18" x14ac:dyDescent="0.25">
      <c r="B206" s="170" t="s">
        <v>2433</v>
      </c>
      <c r="C206" s="72"/>
      <c r="D206" s="70" t="s">
        <v>2434</v>
      </c>
      <c r="E206" s="73"/>
      <c r="M206" s="65" t="str">
        <f t="shared" si="13"/>
        <v/>
      </c>
      <c r="N206" s="65" t="str">
        <f t="shared" si="14"/>
        <v/>
      </c>
      <c r="P206" s="65" t="s">
        <v>1158</v>
      </c>
      <c r="Q206" s="65" t="str">
        <f t="shared" si="12"/>
        <v/>
      </c>
      <c r="R206" s="68" t="str">
        <f t="shared" si="15"/>
        <v>Blue cells are calculated</v>
      </c>
    </row>
    <row r="207" spans="2:18" x14ac:dyDescent="0.25">
      <c r="B207" s="170" t="s">
        <v>2435</v>
      </c>
      <c r="C207" s="72"/>
      <c r="D207" s="70" t="s">
        <v>2436</v>
      </c>
      <c r="E207" s="73"/>
      <c r="M207" s="65" t="str">
        <f t="shared" si="13"/>
        <v/>
      </c>
      <c r="N207" s="65" t="str">
        <f t="shared" si="14"/>
        <v/>
      </c>
      <c r="P207" s="65" t="s">
        <v>1161</v>
      </c>
      <c r="Q207" s="65" t="str">
        <f t="shared" si="12"/>
        <v/>
      </c>
      <c r="R207" s="68" t="str">
        <f t="shared" si="15"/>
        <v>Gold cells are not used</v>
      </c>
    </row>
    <row r="208" spans="2:18" x14ac:dyDescent="0.25">
      <c r="B208" s="170" t="s">
        <v>2437</v>
      </c>
      <c r="C208" s="72"/>
      <c r="D208" s="70" t="s">
        <v>2438</v>
      </c>
      <c r="E208" s="73"/>
      <c r="M208" s="65" t="str">
        <f t="shared" si="13"/>
        <v/>
      </c>
      <c r="N208" s="65" t="str">
        <f t="shared" si="14"/>
        <v/>
      </c>
      <c r="P208" s="68" t="s">
        <v>1164</v>
      </c>
      <c r="Q208" s="65" t="str">
        <f t="shared" si="12"/>
        <v/>
      </c>
      <c r="R208" s="68" t="str">
        <f t="shared" si="15"/>
        <v xml:space="preserve">Lines 32 and 19 should be equal.  Any difference is shown here:          </v>
      </c>
    </row>
    <row r="209" spans="2:18" x14ac:dyDescent="0.25">
      <c r="B209" s="170" t="s">
        <v>2439</v>
      </c>
      <c r="C209" s="72"/>
      <c r="D209" s="70" t="s">
        <v>2440</v>
      </c>
      <c r="E209" s="73"/>
      <c r="M209" s="65" t="str">
        <f t="shared" si="13"/>
        <v/>
      </c>
      <c r="N209" s="65" t="str">
        <f t="shared" si="14"/>
        <v/>
      </c>
      <c r="P209" s="65" t="s">
        <v>1167</v>
      </c>
      <c r="Q209" s="65" t="str">
        <f t="shared" si="12"/>
        <v/>
      </c>
      <c r="R209" s="68" t="str">
        <f t="shared" si="15"/>
        <v>On Balance Sheet PFI Financing</v>
      </c>
    </row>
    <row r="210" spans="2:18" x14ac:dyDescent="0.25">
      <c r="B210" s="170" t="s">
        <v>2441</v>
      </c>
      <c r="C210" s="72"/>
      <c r="D210" s="70" t="s">
        <v>2442</v>
      </c>
      <c r="E210" s="73"/>
      <c r="M210" s="65" t="str">
        <f t="shared" si="13"/>
        <v/>
      </c>
      <c r="N210" s="65" t="str">
        <f t="shared" si="14"/>
        <v/>
      </c>
      <c r="Q210" s="65" t="str">
        <f t="shared" si="12"/>
        <v/>
      </c>
      <c r="R210" s="68" t="str">
        <f t="shared" si="15"/>
        <v/>
      </c>
    </row>
    <row r="211" spans="2:18" ht="13" x14ac:dyDescent="0.3">
      <c r="B211" s="170" t="s">
        <v>2443</v>
      </c>
      <c r="C211" s="72"/>
      <c r="D211" s="70" t="s">
        <v>2444</v>
      </c>
      <c r="E211" s="73"/>
      <c r="M211" s="65" t="str">
        <f t="shared" si="13"/>
        <v/>
      </c>
      <c r="N211" s="65" t="str">
        <f t="shared" si="14"/>
        <v/>
      </c>
      <c r="O211" s="64" t="s">
        <v>1172</v>
      </c>
      <c r="Q211" s="65" t="str">
        <f t="shared" si="12"/>
        <v/>
      </c>
      <c r="R211" s="68" t="str">
        <f t="shared" si="15"/>
        <v/>
      </c>
    </row>
    <row r="212" spans="2:18" x14ac:dyDescent="0.25">
      <c r="B212" s="170" t="s">
        <v>2445</v>
      </c>
      <c r="C212" s="72"/>
      <c r="D212" s="70" t="s">
        <v>2446</v>
      </c>
      <c r="E212" s="73"/>
      <c r="M212" s="65" t="str">
        <f t="shared" si="13"/>
        <v/>
      </c>
      <c r="N212" s="65" t="str">
        <f t="shared" si="14"/>
        <v/>
      </c>
      <c r="Q212" s="65" t="str">
        <f t="shared" si="12"/>
        <v/>
      </c>
      <c r="R212" s="68" t="str">
        <f t="shared" si="15"/>
        <v/>
      </c>
    </row>
    <row r="213" spans="2:18" x14ac:dyDescent="0.25">
      <c r="B213" s="170" t="s">
        <v>2447</v>
      </c>
      <c r="C213" s="72"/>
      <c r="D213" s="70" t="s">
        <v>2448</v>
      </c>
      <c r="E213" s="73"/>
      <c r="M213" s="65" t="str">
        <f t="shared" si="13"/>
        <v/>
      </c>
      <c r="N213" s="65" t="str">
        <f t="shared" si="14"/>
        <v/>
      </c>
      <c r="P213" s="65" t="s">
        <v>1177</v>
      </c>
      <c r="Q213" s="65" t="str">
        <f t="shared" si="12"/>
        <v/>
      </c>
      <c r="R213" s="68" t="str">
        <f t="shared" si="15"/>
        <v>Validation checks</v>
      </c>
    </row>
    <row r="214" spans="2:18" x14ac:dyDescent="0.25">
      <c r="B214" s="170" t="s">
        <v>2449</v>
      </c>
      <c r="C214" s="72"/>
      <c r="D214" s="70" t="s">
        <v>2450</v>
      </c>
      <c r="E214" s="73"/>
      <c r="M214" s="65" t="str">
        <f t="shared" si="13"/>
        <v/>
      </c>
      <c r="N214" s="65" t="str">
        <f t="shared" si="14"/>
        <v/>
      </c>
      <c r="P214" s="65" t="s">
        <v>1180</v>
      </c>
      <c r="Q214" s="65" t="str">
        <f t="shared" si="12"/>
        <v/>
      </c>
      <c r="R214" s="68" t="str">
        <f t="shared" si="15"/>
        <v>CAPITAL FINANCING</v>
      </c>
    </row>
    <row r="215" spans="2:18" x14ac:dyDescent="0.25">
      <c r="B215" s="170" t="s">
        <v>2451</v>
      </c>
      <c r="C215" s="72"/>
      <c r="D215" s="70" t="s">
        <v>2452</v>
      </c>
      <c r="E215" s="73"/>
      <c r="M215" s="65" t="str">
        <f t="shared" si="13"/>
        <v/>
      </c>
      <c r="N215" s="65" t="str">
        <f t="shared" si="14"/>
        <v/>
      </c>
      <c r="O215" s="65">
        <v>1</v>
      </c>
      <c r="P215" s="65" t="s">
        <v>1183</v>
      </c>
      <c r="Q215" s="65" t="str">
        <f t="shared" si="12"/>
        <v/>
      </c>
      <c r="R215" s="68" t="str">
        <f t="shared" si="15"/>
        <v>Line 30.1 and 30.2 greater than 0</v>
      </c>
    </row>
    <row r="216" spans="2:18" x14ac:dyDescent="0.25">
      <c r="B216" s="170" t="s">
        <v>2453</v>
      </c>
      <c r="C216" s="72"/>
      <c r="D216" s="70" t="s">
        <v>2454</v>
      </c>
      <c r="E216" s="73"/>
      <c r="M216" s="65" t="str">
        <f t="shared" si="13"/>
        <v/>
      </c>
      <c r="N216" s="65" t="str">
        <f t="shared" si="14"/>
        <v/>
      </c>
      <c r="O216" s="65">
        <v>2</v>
      </c>
      <c r="P216" s="65" t="s">
        <v>1186</v>
      </c>
      <c r="Q216" s="65" t="str">
        <f t="shared" si="12"/>
        <v/>
      </c>
      <c r="R216" s="68" t="str">
        <f t="shared" si="15"/>
        <v>Line 35 as a percentage of line 33</v>
      </c>
    </row>
    <row r="217" spans="2:18" x14ac:dyDescent="0.25">
      <c r="B217" s="170" t="s">
        <v>2455</v>
      </c>
      <c r="C217" s="72"/>
      <c r="D217" s="70" t="s">
        <v>2456</v>
      </c>
      <c r="E217" s="73"/>
      <c r="M217" s="65" t="str">
        <f t="shared" si="13"/>
        <v/>
      </c>
      <c r="N217" s="65" t="str">
        <f t="shared" si="14"/>
        <v/>
      </c>
      <c r="O217" s="65">
        <v>3</v>
      </c>
      <c r="P217" s="65" t="s">
        <v>1189</v>
      </c>
      <c r="Q217" s="65" t="str">
        <f t="shared" si="12"/>
        <v/>
      </c>
      <c r="R217" s="68" t="str">
        <f t="shared" si="15"/>
        <v>Line 38 + line 39 greater than 0</v>
      </c>
    </row>
    <row r="218" spans="2:18" x14ac:dyDescent="0.25">
      <c r="B218" s="170" t="s">
        <v>2457</v>
      </c>
      <c r="C218" s="72"/>
      <c r="D218" s="70" t="s">
        <v>2458</v>
      </c>
      <c r="E218" s="73"/>
      <c r="M218" s="65" t="str">
        <f t="shared" si="13"/>
        <v/>
      </c>
      <c r="N218" s="65" t="str">
        <f t="shared" si="14"/>
        <v/>
      </c>
      <c r="O218" s="65">
        <v>4</v>
      </c>
      <c r="P218" s="65" t="s">
        <v>1192</v>
      </c>
      <c r="Q218" s="65" t="str">
        <f t="shared" ref="Q218:Q261" si="16">IF(ISERROR(FIND(" (line",P218)),"",RIGHT(P218,LEN(P218)-FIND(" (line",P218)))</f>
        <v/>
      </c>
      <c r="R218" s="68" t="str">
        <f t="shared" si="15"/>
        <v>Line 38 + line 39 as a percentage of line 33</v>
      </c>
    </row>
    <row r="219" spans="2:18" x14ac:dyDescent="0.25">
      <c r="B219" s="170" t="s">
        <v>2459</v>
      </c>
      <c r="C219" s="72"/>
      <c r="D219" s="70" t="s">
        <v>2460</v>
      </c>
      <c r="E219" s="73"/>
      <c r="M219" s="65" t="str">
        <f t="shared" si="13"/>
        <v/>
      </c>
      <c r="N219" s="65" t="str">
        <f t="shared" si="14"/>
        <v/>
      </c>
      <c r="O219" s="65">
        <v>5</v>
      </c>
      <c r="P219" s="65" t="s">
        <v>1195</v>
      </c>
      <c r="Q219" s="65" t="str">
        <f t="shared" si="16"/>
        <v/>
      </c>
      <c r="R219" s="68" t="str">
        <f t="shared" si="15"/>
        <v>Line 40 or 43 greater than 1</v>
      </c>
    </row>
    <row r="220" spans="2:18" x14ac:dyDescent="0.25">
      <c r="B220" s="170" t="s">
        <v>2461</v>
      </c>
      <c r="C220" s="72"/>
      <c r="D220" s="70" t="s">
        <v>2462</v>
      </c>
      <c r="E220" s="73"/>
      <c r="M220" s="65" t="str">
        <f t="shared" si="13"/>
        <v/>
      </c>
      <c r="N220" s="65" t="str">
        <f t="shared" si="14"/>
        <v/>
      </c>
      <c r="O220" s="65">
        <v>6</v>
      </c>
      <c r="P220" s="65" t="s">
        <v>1198</v>
      </c>
      <c r="Q220" s="65" t="str">
        <f t="shared" si="16"/>
        <v/>
      </c>
      <c r="R220" s="68" t="str">
        <f t="shared" si="15"/>
        <v>Line 41 + line 42 greater than 0</v>
      </c>
    </row>
    <row r="221" spans="2:18" x14ac:dyDescent="0.25">
      <c r="B221" s="170" t="s">
        <v>2463</v>
      </c>
      <c r="C221" s="72"/>
      <c r="D221" s="70" t="s">
        <v>2464</v>
      </c>
      <c r="E221" s="73"/>
      <c r="M221" s="65" t="str">
        <f t="shared" si="13"/>
        <v/>
      </c>
      <c r="N221" s="65" t="str">
        <f t="shared" si="14"/>
        <v/>
      </c>
      <c r="O221" s="65">
        <v>7</v>
      </c>
      <c r="P221" s="65" t="s">
        <v>1201</v>
      </c>
      <c r="Q221" s="65" t="str">
        <f t="shared" si="16"/>
        <v/>
      </c>
      <c r="R221" s="68" t="str">
        <f t="shared" si="15"/>
        <v>Line 44 greater than or equal to line 38 + line 39</v>
      </c>
    </row>
    <row r="222" spans="2:18" x14ac:dyDescent="0.25">
      <c r="B222" s="170" t="s">
        <v>2465</v>
      </c>
      <c r="C222" s="72"/>
      <c r="D222" s="70" t="s">
        <v>2466</v>
      </c>
      <c r="E222" s="73"/>
      <c r="M222" s="65" t="str">
        <f t="shared" si="13"/>
        <v/>
      </c>
      <c r="N222" s="65" t="str">
        <f t="shared" si="14"/>
        <v/>
      </c>
      <c r="O222" s="65">
        <v>8</v>
      </c>
      <c r="P222" s="65" t="s">
        <v>1204</v>
      </c>
      <c r="Q222" s="65" t="str">
        <f t="shared" si="16"/>
        <v/>
      </c>
      <c r="R222" s="68" t="str">
        <f t="shared" si="15"/>
        <v>Line 45 greater than or equal to line 44</v>
      </c>
    </row>
    <row r="223" spans="2:18" x14ac:dyDescent="0.25">
      <c r="B223" s="170" t="s">
        <v>2467</v>
      </c>
      <c r="C223" s="72"/>
      <c r="D223" s="70" t="s">
        <v>2468</v>
      </c>
      <c r="E223" s="73"/>
      <c r="M223" s="65" t="str">
        <f t="shared" si="13"/>
        <v/>
      </c>
      <c r="N223" s="65" t="str">
        <f t="shared" si="14"/>
        <v/>
      </c>
      <c r="O223" s="65">
        <v>9</v>
      </c>
      <c r="P223" s="65" t="s">
        <v>1207</v>
      </c>
      <c r="Q223" s="65" t="str">
        <f t="shared" si="16"/>
        <v/>
      </c>
      <c r="R223" s="68" t="str">
        <f t="shared" si="15"/>
        <v>Line 47 greater than or equal to line 46</v>
      </c>
    </row>
    <row r="224" spans="2:18" x14ac:dyDescent="0.25">
      <c r="B224" s="170" t="s">
        <v>2469</v>
      </c>
      <c r="C224" s="72"/>
      <c r="D224" s="70" t="s">
        <v>2470</v>
      </c>
      <c r="E224" s="73"/>
      <c r="M224" s="65" t="str">
        <f t="shared" si="13"/>
        <v/>
      </c>
      <c r="N224" s="65" t="str">
        <f t="shared" si="14"/>
        <v/>
      </c>
      <c r="O224" s="65">
        <v>10</v>
      </c>
      <c r="P224" s="65" t="s">
        <v>1210</v>
      </c>
      <c r="Q224" s="65" t="str">
        <f t="shared" si="16"/>
        <v/>
      </c>
      <c r="R224" s="68" t="str">
        <f t="shared" si="15"/>
        <v>Line 46 greater than or equal to line 41 + line 42</v>
      </c>
    </row>
    <row r="225" spans="2:18" x14ac:dyDescent="0.25">
      <c r="B225" s="170" t="s">
        <v>2471</v>
      </c>
      <c r="C225" s="72"/>
      <c r="D225" s="70" t="s">
        <v>2472</v>
      </c>
      <c r="E225" s="73"/>
      <c r="M225" s="65" t="str">
        <f t="shared" si="13"/>
        <v/>
      </c>
      <c r="N225" s="65" t="str">
        <f t="shared" si="14"/>
        <v/>
      </c>
      <c r="O225" s="65">
        <v>11</v>
      </c>
      <c r="P225" s="65" t="s">
        <v>1213</v>
      </c>
      <c r="Q225" s="65" t="str">
        <f t="shared" si="16"/>
        <v/>
      </c>
      <c r="R225" s="68" t="str">
        <f t="shared" si="15"/>
        <v>Line 45 greater than or equal to line 37</v>
      </c>
    </row>
    <row r="226" spans="2:18" x14ac:dyDescent="0.25">
      <c r="B226" s="170" t="s">
        <v>2473</v>
      </c>
      <c r="C226" s="72"/>
      <c r="D226" s="70" t="s">
        <v>2474</v>
      </c>
      <c r="E226" s="73"/>
      <c r="M226" s="65" t="str">
        <f t="shared" si="13"/>
        <v/>
      </c>
      <c r="N226" s="65" t="str">
        <f t="shared" si="14"/>
        <v/>
      </c>
      <c r="O226" s="65">
        <v>12</v>
      </c>
      <c r="P226" s="65" t="s">
        <v>1216</v>
      </c>
      <c r="Q226" s="65" t="str">
        <f t="shared" si="16"/>
        <v/>
      </c>
      <c r="R226" s="68" t="str">
        <f t="shared" si="15"/>
        <v>Line 47 greater than or equal to line 37</v>
      </c>
    </row>
    <row r="227" spans="2:18" x14ac:dyDescent="0.25">
      <c r="B227" s="170" t="s">
        <v>2475</v>
      </c>
      <c r="C227" s="72"/>
      <c r="D227" s="70" t="s">
        <v>2476</v>
      </c>
      <c r="E227" s="73"/>
      <c r="M227" s="65" t="str">
        <f t="shared" si="13"/>
        <v/>
      </c>
      <c r="N227" s="65" t="str">
        <f t="shared" si="14"/>
        <v/>
      </c>
      <c r="O227" s="65">
        <v>13</v>
      </c>
      <c r="P227" s="65" t="s">
        <v>1219</v>
      </c>
      <c r="Q227" s="65" t="str">
        <f t="shared" si="16"/>
        <v/>
      </c>
      <c r="R227" s="68" t="str">
        <f t="shared" si="15"/>
        <v>Line 48 less than half of line 38 + line 39</v>
      </c>
    </row>
    <row r="228" spans="2:18" x14ac:dyDescent="0.25">
      <c r="B228" s="170" t="s">
        <v>2477</v>
      </c>
      <c r="C228" s="72"/>
      <c r="D228" s="70" t="s">
        <v>2478</v>
      </c>
      <c r="E228" s="73"/>
      <c r="M228" s="65" t="str">
        <f t="shared" si="13"/>
        <v/>
      </c>
      <c r="N228" s="65" t="str">
        <f t="shared" si="14"/>
        <v/>
      </c>
      <c r="O228" s="65">
        <v>14</v>
      </c>
      <c r="P228" s="65" t="s">
        <v>1222</v>
      </c>
      <c r="Q228" s="65" t="str">
        <f t="shared" si="16"/>
        <v/>
      </c>
      <c r="R228" s="68" t="str">
        <f t="shared" si="15"/>
        <v>Line 49 + less than half of line 41 + line 42</v>
      </c>
    </row>
    <row r="229" spans="2:18" x14ac:dyDescent="0.25">
      <c r="B229" s="170" t="s">
        <v>2479</v>
      </c>
      <c r="C229" s="72"/>
      <c r="D229" s="70" t="s">
        <v>2480</v>
      </c>
      <c r="E229" s="73"/>
      <c r="M229" s="65" t="str">
        <f t="shared" si="13"/>
        <v/>
      </c>
      <c r="N229" s="65" t="str">
        <f t="shared" si="14"/>
        <v/>
      </c>
      <c r="O229" s="65">
        <v>15</v>
      </c>
      <c r="P229" s="65" t="s">
        <v>1225</v>
      </c>
      <c r="Q229" s="65" t="str">
        <f t="shared" si="16"/>
        <v/>
      </c>
      <c r="R229" s="68" t="str">
        <f t="shared" si="15"/>
        <v>Line 43 greater than 0</v>
      </c>
    </row>
    <row r="230" spans="2:18" x14ac:dyDescent="0.25">
      <c r="B230" s="170" t="s">
        <v>2481</v>
      </c>
      <c r="C230" s="72"/>
      <c r="D230" s="70" t="s">
        <v>2482</v>
      </c>
      <c r="E230" s="73"/>
      <c r="M230" s="65" t="str">
        <f t="shared" si="13"/>
        <v/>
      </c>
      <c r="N230" s="65" t="str">
        <f t="shared" si="14"/>
        <v/>
      </c>
      <c r="O230" s="65">
        <v>16</v>
      </c>
      <c r="P230" s="65" t="s">
        <v>1228</v>
      </c>
      <c r="Q230" s="65" t="str">
        <f t="shared" si="16"/>
        <v/>
      </c>
      <c r="R230" s="68" t="str">
        <f t="shared" si="15"/>
        <v>Line 44 greater than 0</v>
      </c>
    </row>
    <row r="231" spans="2:18" x14ac:dyDescent="0.25">
      <c r="B231" s="170" t="s">
        <v>2483</v>
      </c>
      <c r="C231" s="72"/>
      <c r="D231" s="70" t="s">
        <v>2484</v>
      </c>
      <c r="E231" s="73"/>
      <c r="M231" s="65" t="str">
        <f t="shared" si="13"/>
        <v/>
      </c>
      <c r="N231" s="65" t="str">
        <f t="shared" si="14"/>
        <v/>
      </c>
      <c r="O231" s="65">
        <v>17</v>
      </c>
      <c r="P231" s="65" t="s">
        <v>1231</v>
      </c>
      <c r="Q231" s="65" t="str">
        <f t="shared" si="16"/>
        <v/>
      </c>
      <c r="R231" s="68" t="str">
        <f t="shared" si="15"/>
        <v>Line 45 greater than 0</v>
      </c>
    </row>
    <row r="232" spans="2:18" x14ac:dyDescent="0.25">
      <c r="B232" s="170" t="s">
        <v>2485</v>
      </c>
      <c r="C232" s="72"/>
      <c r="D232" s="70" t="s">
        <v>2486</v>
      </c>
      <c r="E232" s="73"/>
      <c r="M232" s="65" t="str">
        <f t="shared" si="13"/>
        <v/>
      </c>
      <c r="N232" s="65" t="str">
        <f t="shared" si="14"/>
        <v/>
      </c>
      <c r="O232" s="65">
        <v>18</v>
      </c>
      <c r="P232" s="65" t="s">
        <v>1234</v>
      </c>
      <c r="Q232" s="65" t="str">
        <f t="shared" si="16"/>
        <v/>
      </c>
      <c r="R232" s="68" t="str">
        <f t="shared" si="15"/>
        <v>Line 46 greater than 0</v>
      </c>
    </row>
    <row r="233" spans="2:18" x14ac:dyDescent="0.25">
      <c r="B233" s="170" t="s">
        <v>2487</v>
      </c>
      <c r="C233" s="72"/>
      <c r="D233" s="70" t="s">
        <v>2488</v>
      </c>
      <c r="E233" s="73"/>
      <c r="M233" s="65" t="str">
        <f t="shared" si="13"/>
        <v/>
      </c>
      <c r="N233" s="65" t="str">
        <f t="shared" si="14"/>
        <v/>
      </c>
      <c r="O233" s="65">
        <v>19</v>
      </c>
      <c r="P233" s="65" t="s">
        <v>1237</v>
      </c>
      <c r="Q233" s="65" t="str">
        <f t="shared" si="16"/>
        <v/>
      </c>
      <c r="R233" s="68" t="str">
        <f t="shared" si="15"/>
        <v>Line 47 greater than 0</v>
      </c>
    </row>
    <row r="234" spans="2:18" x14ac:dyDescent="0.25">
      <c r="B234" s="170" t="s">
        <v>2493</v>
      </c>
      <c r="C234" s="72"/>
      <c r="D234" s="70" t="s">
        <v>2494</v>
      </c>
      <c r="E234" s="73"/>
      <c r="M234" s="65" t="str">
        <f t="shared" si="13"/>
        <v/>
      </c>
      <c r="N234" s="65" t="str">
        <f t="shared" si="14"/>
        <v/>
      </c>
      <c r="P234" s="65" t="s">
        <v>1240</v>
      </c>
      <c r="Q234" s="65" t="str">
        <f t="shared" si="16"/>
        <v/>
      </c>
      <c r="R234" s="68" t="str">
        <f t="shared" si="15"/>
        <v>Difference</v>
      </c>
    </row>
    <row r="235" spans="2:18" x14ac:dyDescent="0.25">
      <c r="B235" s="170" t="s">
        <v>2497</v>
      </c>
      <c r="C235" s="72"/>
      <c r="D235" s="70" t="s">
        <v>2498</v>
      </c>
      <c r="E235" s="73"/>
      <c r="M235" s="65" t="str">
        <f t="shared" si="13"/>
        <v/>
      </c>
      <c r="N235" s="65" t="str">
        <f t="shared" si="14"/>
        <v/>
      </c>
      <c r="P235" s="65" t="s">
        <v>1243</v>
      </c>
      <c r="Q235" s="65" t="str">
        <f t="shared" si="16"/>
        <v/>
      </c>
      <c r="R235" s="68" t="str">
        <f t="shared" si="15"/>
        <v>cyfanswm</v>
      </c>
    </row>
    <row r="236" spans="2:18" x14ac:dyDescent="0.25">
      <c r="B236" s="170" t="s">
        <v>2499</v>
      </c>
      <c r="C236" s="72"/>
      <c r="D236" s="70" t="s">
        <v>2500</v>
      </c>
      <c r="E236" s="73"/>
      <c r="M236" s="65" t="str">
        <f t="shared" si="13"/>
        <v/>
      </c>
      <c r="N236" s="65" t="str">
        <f t="shared" si="14"/>
        <v/>
      </c>
      <c r="P236" s="65" t="s">
        <v>1246</v>
      </c>
      <c r="Q236" s="65" t="str">
        <f t="shared" si="16"/>
        <v/>
      </c>
      <c r="R236" s="68" t="str">
        <f t="shared" si="15"/>
        <v>comment</v>
      </c>
    </row>
    <row r="237" spans="2:18" x14ac:dyDescent="0.25">
      <c r="B237" s="170" t="s">
        <v>2505</v>
      </c>
      <c r="C237" s="72"/>
      <c r="D237" s="70" t="s">
        <v>2506</v>
      </c>
      <c r="E237" s="73"/>
      <c r="M237" s="65" t="str">
        <f t="shared" si="13"/>
        <v/>
      </c>
      <c r="N237" s="65" t="str">
        <f t="shared" si="14"/>
        <v/>
      </c>
      <c r="P237" s="65" t="s">
        <v>1249</v>
      </c>
      <c r="Q237" s="65" t="str">
        <f t="shared" si="16"/>
        <v/>
      </c>
      <c r="R237" s="68" t="str">
        <f t="shared" si="15"/>
        <v>Please comment below if necessary</v>
      </c>
    </row>
    <row r="238" spans="2:18" x14ac:dyDescent="0.25">
      <c r="B238" s="170" t="s">
        <v>2507</v>
      </c>
      <c r="C238" s="72"/>
      <c r="D238" s="70" t="s">
        <v>2508</v>
      </c>
      <c r="E238" s="73"/>
      <c r="M238" s="65" t="str">
        <f t="shared" si="13"/>
        <v/>
      </c>
      <c r="N238" s="65" t="str">
        <f t="shared" si="14"/>
        <v/>
      </c>
      <c r="P238" s="65" t="s">
        <v>1252</v>
      </c>
      <c r="Q238" s="65" t="str">
        <f t="shared" si="16"/>
        <v/>
      </c>
      <c r="R238" s="68" t="str">
        <f t="shared" si="15"/>
        <v>Please comment</v>
      </c>
    </row>
    <row r="239" spans="2:18" x14ac:dyDescent="0.25">
      <c r="B239" s="170" t="s">
        <v>2509</v>
      </c>
      <c r="C239" s="72"/>
      <c r="D239" s="70" t="s">
        <v>2510</v>
      </c>
      <c r="E239" s="73"/>
      <c r="M239" s="65" t="str">
        <f t="shared" si="13"/>
        <v/>
      </c>
      <c r="N239" s="65" t="str">
        <f t="shared" si="14"/>
        <v/>
      </c>
      <c r="P239" s="65" t="s">
        <v>1255</v>
      </c>
      <c r="Q239" s="65" t="str">
        <f t="shared" si="16"/>
        <v/>
      </c>
      <c r="R239" s="68" t="str">
        <f t="shared" si="15"/>
        <v>Clear</v>
      </c>
    </row>
    <row r="240" spans="2:18" ht="13" x14ac:dyDescent="0.3">
      <c r="B240" s="170" t="s">
        <v>2511</v>
      </c>
      <c r="C240" s="72"/>
      <c r="D240" s="70" t="s">
        <v>2512</v>
      </c>
      <c r="E240" s="73"/>
      <c r="M240" s="65" t="str">
        <f t="shared" si="13"/>
        <v/>
      </c>
      <c r="N240" s="65" t="str">
        <f t="shared" si="14"/>
        <v/>
      </c>
      <c r="O240" s="64" t="s">
        <v>1258</v>
      </c>
      <c r="Q240" s="65" t="str">
        <f t="shared" si="16"/>
        <v/>
      </c>
      <c r="R240" s="68" t="str">
        <f t="shared" si="15"/>
        <v/>
      </c>
    </row>
    <row r="241" spans="2:18" x14ac:dyDescent="0.25">
      <c r="B241" s="170" t="s">
        <v>2513</v>
      </c>
      <c r="C241" s="72"/>
      <c r="D241" s="70" t="s">
        <v>2514</v>
      </c>
      <c r="E241" s="73"/>
      <c r="M241" s="65" t="str">
        <f t="shared" si="13"/>
        <v/>
      </c>
      <c r="N241" s="65" t="str">
        <f t="shared" si="14"/>
        <v/>
      </c>
      <c r="P241" s="65" t="s">
        <v>1261</v>
      </c>
      <c r="Q241" s="65" t="str">
        <f t="shared" si="16"/>
        <v/>
      </c>
      <c r="R241" s="68" t="str">
        <f t="shared" si="15"/>
        <v>Please use the box below to give a brief supporting narrative of any major change in circumstances that might have an influence on</v>
      </c>
    </row>
    <row r="242" spans="2:18" x14ac:dyDescent="0.25">
      <c r="B242" s="170" t="s">
        <v>2515</v>
      </c>
      <c r="C242" s="72"/>
      <c r="D242" s="70" t="s">
        <v>2516</v>
      </c>
      <c r="E242" s="73"/>
      <c r="M242" s="65" t="str">
        <f t="shared" si="13"/>
        <v/>
      </c>
      <c r="N242" s="65" t="str">
        <f t="shared" si="14"/>
        <v/>
      </c>
      <c r="P242" s="65" t="s">
        <v>1264</v>
      </c>
      <c r="Q242" s="65" t="str">
        <f t="shared" si="16"/>
        <v/>
      </c>
      <c r="R242" s="68" t="str">
        <f t="shared" si="15"/>
        <v>forecast figures around this time.</v>
      </c>
    </row>
    <row r="243" spans="2:18" x14ac:dyDescent="0.25">
      <c r="B243" s="170" t="s">
        <v>2517</v>
      </c>
      <c r="C243" s="72"/>
      <c r="D243" s="70" t="s">
        <v>2518</v>
      </c>
      <c r="E243" s="73"/>
      <c r="M243" s="65" t="str">
        <f t="shared" si="13"/>
        <v/>
      </c>
      <c r="N243" s="65" t="str">
        <f t="shared" si="14"/>
        <v/>
      </c>
      <c r="P243" s="65" t="s">
        <v>1267</v>
      </c>
      <c r="Q243" s="65" t="str">
        <f t="shared" si="16"/>
        <v/>
      </c>
      <c r="R243" s="68" t="str">
        <f t="shared" si="15"/>
        <v>For example, significant changes or shifts in forecasts could be caused by: delays to projects, changing priorities for capital investment</v>
      </c>
    </row>
    <row r="244" spans="2:18" x14ac:dyDescent="0.25">
      <c r="B244" s="170" t="s">
        <v>2519</v>
      </c>
      <c r="C244" s="72"/>
      <c r="D244" s="70" t="s">
        <v>2520</v>
      </c>
      <c r="E244" s="73"/>
      <c r="M244" s="65" t="str">
        <f t="shared" si="13"/>
        <v/>
      </c>
      <c r="N244" s="65" t="str">
        <f t="shared" si="14"/>
        <v/>
      </c>
      <c r="P244" s="65" t="s">
        <v>1270</v>
      </c>
      <c r="Q244" s="65" t="str">
        <f t="shared" si="16"/>
        <v/>
      </c>
      <c r="R244" s="68" t="str">
        <f t="shared" si="15"/>
        <v>or to tentatively identify any capital expenditure which may need to be covered by a capitalisation direction.</v>
      </c>
    </row>
    <row r="245" spans="2:18" x14ac:dyDescent="0.25">
      <c r="B245" s="170" t="s">
        <v>2525</v>
      </c>
      <c r="C245" s="72"/>
      <c r="D245" s="70" t="s">
        <v>2526</v>
      </c>
      <c r="E245" s="73"/>
      <c r="M245" s="65" t="str">
        <f t="shared" si="13"/>
        <v/>
      </c>
      <c r="N245" s="65" t="str">
        <f t="shared" si="14"/>
        <v/>
      </c>
      <c r="Q245" s="65" t="str">
        <f t="shared" si="16"/>
        <v/>
      </c>
      <c r="R245" s="68" t="str">
        <f t="shared" si="15"/>
        <v/>
      </c>
    </row>
    <row r="246" spans="2:18" ht="13" x14ac:dyDescent="0.3">
      <c r="B246" s="170" t="s">
        <v>2527</v>
      </c>
      <c r="C246" s="72"/>
      <c r="D246" s="70" t="s">
        <v>2528</v>
      </c>
      <c r="E246" s="73"/>
      <c r="M246" s="65" t="str">
        <f t="shared" si="13"/>
        <v/>
      </c>
      <c r="N246" s="65" t="str">
        <f t="shared" si="14"/>
        <v/>
      </c>
      <c r="P246" s="64" t="s">
        <v>95</v>
      </c>
      <c r="Q246" s="65" t="str">
        <f t="shared" si="16"/>
        <v/>
      </c>
      <c r="R246" s="68" t="str">
        <f t="shared" si="15"/>
        <v>Survey Response Burden</v>
      </c>
    </row>
    <row r="247" spans="2:18" x14ac:dyDescent="0.25">
      <c r="B247" s="170" t="s">
        <v>2535</v>
      </c>
      <c r="C247" s="72"/>
      <c r="D247" s="70" t="s">
        <v>2536</v>
      </c>
      <c r="E247" s="73"/>
      <c r="M247" s="65" t="str">
        <f t="shared" si="13"/>
        <v/>
      </c>
      <c r="N247" s="65" t="str">
        <f t="shared" si="14"/>
        <v/>
      </c>
      <c r="P247" s="65" t="s">
        <v>106</v>
      </c>
      <c r="Q247" s="65" t="str">
        <f t="shared" si="16"/>
        <v/>
      </c>
      <c r="R247" s="68" t="str">
        <f t="shared" si="15"/>
        <v xml:space="preserve">The Welsh Government are monitoring the burden of completing this data collection form. </v>
      </c>
    </row>
    <row r="248" spans="2:18" x14ac:dyDescent="0.25">
      <c r="B248" s="170" t="s">
        <v>2537</v>
      </c>
      <c r="C248" s="72"/>
      <c r="D248" s="70" t="s">
        <v>2538</v>
      </c>
      <c r="E248" s="73"/>
      <c r="M248" s="65" t="str">
        <f t="shared" si="13"/>
        <v/>
      </c>
      <c r="N248" s="65" t="str">
        <f t="shared" si="14"/>
        <v/>
      </c>
      <c r="P248" s="65" t="s">
        <v>96</v>
      </c>
      <c r="Q248" s="65" t="str">
        <f t="shared" si="16"/>
        <v/>
      </c>
      <c r="R248" s="68" t="str">
        <f t="shared" si="15"/>
        <v>Please enter the time it has taken you (and any colleagues) to prepare and send the return.</v>
      </c>
    </row>
    <row r="249" spans="2:18" x14ac:dyDescent="0.25">
      <c r="B249" s="170" t="s">
        <v>722</v>
      </c>
      <c r="C249" s="72"/>
      <c r="D249" s="70" t="s">
        <v>2539</v>
      </c>
      <c r="E249" s="73"/>
      <c r="M249" s="65" t="str">
        <f t="shared" si="13"/>
        <v/>
      </c>
      <c r="N249" s="65" t="str">
        <f t="shared" si="14"/>
        <v/>
      </c>
      <c r="P249" s="65" t="s">
        <v>97</v>
      </c>
      <c r="Q249" s="65" t="str">
        <f t="shared" si="16"/>
        <v/>
      </c>
      <c r="R249" s="68" t="str">
        <f t="shared" si="15"/>
        <v>Please only include time spent on activities to prepare and send this return, such as:</v>
      </c>
    </row>
    <row r="250" spans="2:18" x14ac:dyDescent="0.25">
      <c r="B250" s="170" t="s">
        <v>2542</v>
      </c>
      <c r="C250" s="72"/>
      <c r="D250" s="70" t="s">
        <v>2543</v>
      </c>
      <c r="E250" s="73"/>
      <c r="M250" s="65" t="str">
        <f t="shared" si="13"/>
        <v/>
      </c>
      <c r="N250" s="65" t="str">
        <f t="shared" si="14"/>
        <v/>
      </c>
      <c r="P250" s="65" t="s">
        <v>1283</v>
      </c>
      <c r="Q250" s="65" t="str">
        <f t="shared" si="16"/>
        <v/>
      </c>
      <c r="R250" s="68" t="str">
        <f t="shared" si="15"/>
        <v>collection, analysis and aggregation of records and data required;</v>
      </c>
    </row>
    <row r="251" spans="2:18" x14ac:dyDescent="0.25">
      <c r="B251" s="170" t="s">
        <v>2549</v>
      </c>
      <c r="C251" s="72"/>
      <c r="D251" s="70" t="s">
        <v>2550</v>
      </c>
      <c r="E251" s="73"/>
      <c r="M251" s="65" t="str">
        <f t="shared" si="13"/>
        <v/>
      </c>
      <c r="N251" s="65" t="str">
        <f t="shared" si="14"/>
        <v/>
      </c>
      <c r="P251" s="65" t="s">
        <v>1286</v>
      </c>
      <c r="Q251" s="65" t="str">
        <f t="shared" si="16"/>
        <v/>
      </c>
      <c r="R251" s="68" t="str">
        <f t="shared" si="15"/>
        <v>completing, checking, amending and approving the form.</v>
      </c>
    </row>
    <row r="252" spans="2:18" x14ac:dyDescent="0.25">
      <c r="B252" s="170" t="s">
        <v>2551</v>
      </c>
      <c r="C252" s="72"/>
      <c r="D252" s="70" t="s">
        <v>2550</v>
      </c>
      <c r="E252" s="73"/>
      <c r="M252" s="65" t="str">
        <f t="shared" si="13"/>
        <v/>
      </c>
      <c r="N252" s="65" t="str">
        <f t="shared" si="14"/>
        <v/>
      </c>
      <c r="P252" s="65" t="s">
        <v>98</v>
      </c>
      <c r="Q252" s="65" t="str">
        <f t="shared" si="16"/>
        <v/>
      </c>
      <c r="R252" s="68" t="str">
        <f t="shared" si="15"/>
        <v>Hours taken</v>
      </c>
    </row>
    <row r="253" spans="2:18" x14ac:dyDescent="0.25">
      <c r="B253" s="170" t="s">
        <v>2552</v>
      </c>
      <c r="C253" s="72"/>
      <c r="D253" s="70" t="s">
        <v>2553</v>
      </c>
      <c r="E253" s="73"/>
      <c r="M253" s="65" t="str">
        <f t="shared" si="13"/>
        <v/>
      </c>
      <c r="N253" s="65" t="str">
        <f t="shared" si="14"/>
        <v/>
      </c>
      <c r="P253" s="65" t="s">
        <v>99</v>
      </c>
      <c r="Q253" s="65" t="str">
        <f t="shared" si="16"/>
        <v/>
      </c>
      <c r="R253" s="68" t="str">
        <f t="shared" si="15"/>
        <v>Please feel free to add any comments</v>
      </c>
    </row>
    <row r="254" spans="2:18" ht="13" x14ac:dyDescent="0.3">
      <c r="B254" s="170" t="s">
        <v>2554</v>
      </c>
      <c r="C254" s="72"/>
      <c r="D254" s="70" t="s">
        <v>2555</v>
      </c>
      <c r="E254" s="73"/>
      <c r="M254" s="65" t="str">
        <f t="shared" si="13"/>
        <v/>
      </c>
      <c r="N254" s="65" t="str">
        <f t="shared" si="14"/>
        <v/>
      </c>
      <c r="P254" s="64" t="s">
        <v>1293</v>
      </c>
      <c r="Q254" s="65" t="str">
        <f t="shared" si="16"/>
        <v/>
      </c>
      <c r="R254" s="68" t="str">
        <f t="shared" si="15"/>
        <v>Comments</v>
      </c>
    </row>
    <row r="255" spans="2:18" x14ac:dyDescent="0.25">
      <c r="B255" s="170" t="s">
        <v>2556</v>
      </c>
      <c r="C255" s="72"/>
      <c r="D255" s="70" t="s">
        <v>2557</v>
      </c>
      <c r="E255" s="73"/>
      <c r="M255" s="65" t="str">
        <f t="shared" si="13"/>
        <v/>
      </c>
      <c r="N255" s="65" t="str">
        <f t="shared" si="14"/>
        <v/>
      </c>
      <c r="P255" s="65" t="s">
        <v>105</v>
      </c>
      <c r="Q255" s="65" t="str">
        <f t="shared" si="16"/>
        <v/>
      </c>
      <c r="R255" s="68" t="str">
        <f t="shared" si="15"/>
        <v>Click the link below for notes for guidance for individual forms (Web access required)</v>
      </c>
    </row>
    <row r="256" spans="2:18" x14ac:dyDescent="0.25">
      <c r="B256" s="170" t="s">
        <v>2558</v>
      </c>
      <c r="C256" s="72"/>
      <c r="D256" s="70" t="s">
        <v>2559</v>
      </c>
      <c r="E256" s="73"/>
      <c r="M256" s="65" t="str">
        <f t="shared" si="13"/>
        <v/>
      </c>
      <c r="N256" s="65" t="str">
        <f t="shared" si="14"/>
        <v/>
      </c>
      <c r="P256" s="65" t="s">
        <v>91</v>
      </c>
      <c r="Q256" s="65" t="str">
        <f t="shared" si="16"/>
        <v/>
      </c>
      <c r="R256" s="68" t="str">
        <f t="shared" si="15"/>
        <v>Notes for guidance hyperlink</v>
      </c>
    </row>
    <row r="257" spans="2:18" x14ac:dyDescent="0.25">
      <c r="B257" s="170" t="s">
        <v>2560</v>
      </c>
      <c r="C257" s="72"/>
      <c r="D257" s="70" t="s">
        <v>2561</v>
      </c>
      <c r="E257" s="73"/>
      <c r="M257" s="65" t="str">
        <f t="shared" si="13"/>
        <v/>
      </c>
      <c r="N257" s="65" t="str">
        <f t="shared" si="14"/>
        <v/>
      </c>
      <c r="P257" s="75" t="s">
        <v>1300</v>
      </c>
      <c r="Q257" s="65" t="str">
        <f t="shared" si="16"/>
        <v/>
      </c>
      <c r="R257" s="68" t="str">
        <f t="shared" si="15"/>
        <v>We are continually striving to improve the form to make it easier to complete, whilst still ensuring data integrity and consistency across all authorities. If you have any comments or suggestions that may be useful,  please note them below:</v>
      </c>
    </row>
    <row r="258" spans="2:18" x14ac:dyDescent="0.25">
      <c r="B258" s="170" t="s">
        <v>2562</v>
      </c>
      <c r="C258" s="72"/>
      <c r="D258" s="70" t="s">
        <v>2563</v>
      </c>
      <c r="E258" s="73"/>
      <c r="M258" s="65" t="str">
        <f t="shared" si="13"/>
        <v/>
      </c>
      <c r="N258" s="65" t="str">
        <f t="shared" si="14"/>
        <v/>
      </c>
      <c r="P258" s="65" t="s">
        <v>92</v>
      </c>
      <c r="Q258" s="65" t="str">
        <f t="shared" si="16"/>
        <v/>
      </c>
      <c r="R258" s="68" t="str">
        <f t="shared" si="15"/>
        <v>Form Design</v>
      </c>
    </row>
    <row r="259" spans="2:18" x14ac:dyDescent="0.25">
      <c r="B259" s="170" t="s">
        <v>2564</v>
      </c>
      <c r="C259" s="72"/>
      <c r="D259" s="70" t="s">
        <v>2565</v>
      </c>
      <c r="E259" s="73"/>
      <c r="M259" s="65" t="str">
        <f t="shared" ref="M259:M322" si="17">IF(ISERROR(FIND("=",P259)),"",RIGHT(P259,LEN(P259)-FIND("=",P259)+3))</f>
        <v/>
      </c>
      <c r="N259" s="65" t="str">
        <f t="shared" ref="N259:N322" si="18">IF(ISERROR(FIND(" (include",P259)),"",RIGHT(P259,LEN(P259)-FIND(" (include",P259)))</f>
        <v/>
      </c>
      <c r="P259" s="65" t="s">
        <v>52</v>
      </c>
      <c r="Q259" s="65" t="str">
        <f t="shared" si="16"/>
        <v/>
      </c>
      <c r="R259" s="68" t="str">
        <f>LEFT(P259,LEN(P259)-LEN(Q259))</f>
        <v>Validation</v>
      </c>
    </row>
    <row r="260" spans="2:18" x14ac:dyDescent="0.25">
      <c r="B260" s="170" t="s">
        <v>2568</v>
      </c>
      <c r="C260" s="72"/>
      <c r="D260" s="70" t="s">
        <v>2569</v>
      </c>
      <c r="E260" s="73"/>
      <c r="M260" s="65" t="str">
        <f t="shared" si="17"/>
        <v/>
      </c>
      <c r="N260" s="65" t="str">
        <f t="shared" si="18"/>
        <v/>
      </c>
      <c r="P260" s="65" t="s">
        <v>93</v>
      </c>
      <c r="Q260" s="65" t="str">
        <f t="shared" si="16"/>
        <v/>
      </c>
      <c r="R260" s="68" t="str">
        <f>LEFT(P260,LEN(P260)-LEN(Q260))</f>
        <v>Documentation</v>
      </c>
    </row>
    <row r="261" spans="2:18" x14ac:dyDescent="0.25">
      <c r="B261" s="170" t="s">
        <v>2570</v>
      </c>
      <c r="C261" s="72"/>
      <c r="D261" s="70" t="s">
        <v>2571</v>
      </c>
      <c r="E261" s="73"/>
      <c r="M261" s="65" t="str">
        <f t="shared" si="17"/>
        <v/>
      </c>
      <c r="N261" s="65" t="str">
        <f t="shared" si="18"/>
        <v/>
      </c>
      <c r="P261" s="65" t="s">
        <v>1309</v>
      </c>
      <c r="Q261" s="65" t="str">
        <f t="shared" si="16"/>
        <v/>
      </c>
      <c r="R261" s="68" t="str">
        <f>LEFT(P261,LEN(P261)-LEN(Q261))</f>
        <v>General comments</v>
      </c>
    </row>
    <row r="262" spans="2:18" x14ac:dyDescent="0.25">
      <c r="B262" s="170" t="s">
        <v>2572</v>
      </c>
      <c r="C262" s="72"/>
      <c r="D262" s="70" t="s">
        <v>2573</v>
      </c>
      <c r="E262" s="73"/>
      <c r="M262" s="65" t="str">
        <f t="shared" si="17"/>
        <v/>
      </c>
      <c r="N262" s="65" t="str">
        <f t="shared" si="18"/>
        <v/>
      </c>
      <c r="R262" s="65"/>
    </row>
    <row r="263" spans="2:18" x14ac:dyDescent="0.25">
      <c r="B263" s="170" t="s">
        <v>2587</v>
      </c>
      <c r="C263" s="72"/>
      <c r="D263" s="70" t="s">
        <v>2588</v>
      </c>
      <c r="E263" s="73"/>
      <c r="M263" s="65" t="str">
        <f t="shared" si="17"/>
        <v/>
      </c>
      <c r="N263" s="65" t="str">
        <f t="shared" si="18"/>
        <v/>
      </c>
      <c r="R263" s="65"/>
    </row>
    <row r="264" spans="2:18" x14ac:dyDescent="0.25">
      <c r="B264" s="170" t="s">
        <v>2589</v>
      </c>
      <c r="C264" s="72"/>
      <c r="D264" s="70" t="s">
        <v>2590</v>
      </c>
      <c r="E264" s="73"/>
      <c r="M264" s="65" t="str">
        <f t="shared" si="17"/>
        <v/>
      </c>
      <c r="N264" s="65" t="str">
        <f t="shared" si="18"/>
        <v/>
      </c>
      <c r="R264" s="65"/>
    </row>
    <row r="265" spans="2:18" x14ac:dyDescent="0.25">
      <c r="B265" s="170" t="s">
        <v>2591</v>
      </c>
      <c r="C265" s="72"/>
      <c r="D265" s="70" t="s">
        <v>2592</v>
      </c>
      <c r="E265" s="73"/>
      <c r="M265" s="65" t="str">
        <f t="shared" si="17"/>
        <v/>
      </c>
      <c r="N265" s="65" t="str">
        <f t="shared" si="18"/>
        <v/>
      </c>
      <c r="R265" s="65"/>
    </row>
    <row r="266" spans="2:18" x14ac:dyDescent="0.25">
      <c r="B266" s="170" t="s">
        <v>2593</v>
      </c>
      <c r="C266" s="72"/>
      <c r="D266" s="70" t="s">
        <v>2594</v>
      </c>
      <c r="E266" s="73"/>
      <c r="M266" s="65" t="str">
        <f t="shared" si="17"/>
        <v/>
      </c>
      <c r="N266" s="65" t="str">
        <f t="shared" si="18"/>
        <v/>
      </c>
      <c r="R266" s="65"/>
    </row>
    <row r="267" spans="2:18" x14ac:dyDescent="0.25">
      <c r="B267" s="170" t="s">
        <v>2603</v>
      </c>
      <c r="C267" s="72"/>
      <c r="D267" s="70" t="s">
        <v>2604</v>
      </c>
      <c r="E267" s="73"/>
      <c r="M267" s="65" t="str">
        <f t="shared" si="17"/>
        <v/>
      </c>
      <c r="N267" s="65" t="str">
        <f t="shared" si="18"/>
        <v/>
      </c>
      <c r="R267" s="65"/>
    </row>
    <row r="268" spans="2:18" x14ac:dyDescent="0.25">
      <c r="B268" s="170" t="s">
        <v>2609</v>
      </c>
      <c r="C268" s="72"/>
      <c r="D268" s="70" t="s">
        <v>2610</v>
      </c>
      <c r="E268" s="73"/>
      <c r="M268" s="65" t="str">
        <f t="shared" si="17"/>
        <v/>
      </c>
      <c r="N268" s="65" t="str">
        <f t="shared" si="18"/>
        <v/>
      </c>
      <c r="R268" s="65"/>
    </row>
    <row r="269" spans="2:18" x14ac:dyDescent="0.25">
      <c r="B269" s="170" t="s">
        <v>2613</v>
      </c>
      <c r="C269" s="72"/>
      <c r="D269" s="70" t="s">
        <v>2614</v>
      </c>
      <c r="E269" s="73"/>
      <c r="M269" s="65" t="str">
        <f t="shared" si="17"/>
        <v/>
      </c>
      <c r="N269" s="65" t="str">
        <f t="shared" si="18"/>
        <v/>
      </c>
      <c r="R269" s="65"/>
    </row>
    <row r="270" spans="2:18" x14ac:dyDescent="0.25">
      <c r="B270" s="170" t="s">
        <v>2619</v>
      </c>
      <c r="C270" s="72"/>
      <c r="D270" s="70" t="s">
        <v>2620</v>
      </c>
      <c r="E270" s="73"/>
      <c r="M270" s="65" t="str">
        <f t="shared" si="17"/>
        <v/>
      </c>
      <c r="N270" s="65" t="str">
        <f t="shared" si="18"/>
        <v/>
      </c>
      <c r="R270" s="65"/>
    </row>
    <row r="271" spans="2:18" x14ac:dyDescent="0.25">
      <c r="B271" s="170" t="s">
        <v>460</v>
      </c>
      <c r="C271" s="72"/>
      <c r="D271" s="70" t="s">
        <v>2625</v>
      </c>
      <c r="E271" s="73"/>
      <c r="M271" s="65" t="str">
        <f t="shared" si="17"/>
        <v/>
      </c>
      <c r="N271" s="65" t="str">
        <f t="shared" si="18"/>
        <v/>
      </c>
      <c r="R271" s="65"/>
    </row>
    <row r="272" spans="2:18" x14ac:dyDescent="0.25">
      <c r="B272" s="170" t="s">
        <v>2626</v>
      </c>
      <c r="C272" s="72"/>
      <c r="D272" s="70" t="s">
        <v>2627</v>
      </c>
      <c r="E272" s="73"/>
      <c r="M272" s="65" t="str">
        <f t="shared" si="17"/>
        <v/>
      </c>
      <c r="N272" s="65" t="str">
        <f t="shared" si="18"/>
        <v/>
      </c>
      <c r="R272" s="65"/>
    </row>
    <row r="273" spans="2:18" x14ac:dyDescent="0.25">
      <c r="B273" s="170" t="s">
        <v>2628</v>
      </c>
      <c r="C273" s="72"/>
      <c r="D273" s="70" t="s">
        <v>2629</v>
      </c>
      <c r="E273" s="73"/>
      <c r="M273" s="65" t="str">
        <f t="shared" si="17"/>
        <v/>
      </c>
      <c r="N273" s="65" t="str">
        <f t="shared" si="18"/>
        <v/>
      </c>
      <c r="R273" s="65"/>
    </row>
    <row r="274" spans="2:18" x14ac:dyDescent="0.25">
      <c r="B274" s="170" t="s">
        <v>2632</v>
      </c>
      <c r="C274" s="72"/>
      <c r="D274" s="70" t="s">
        <v>2633</v>
      </c>
      <c r="E274" s="73"/>
      <c r="M274" s="65" t="str">
        <f t="shared" si="17"/>
        <v/>
      </c>
      <c r="N274" s="65" t="str">
        <f t="shared" si="18"/>
        <v/>
      </c>
      <c r="R274" s="65"/>
    </row>
    <row r="275" spans="2:18" x14ac:dyDescent="0.25">
      <c r="B275" s="170" t="s">
        <v>2634</v>
      </c>
      <c r="C275" s="72"/>
      <c r="D275" s="70" t="s">
        <v>2635</v>
      </c>
      <c r="E275" s="73"/>
      <c r="M275" s="65" t="str">
        <f t="shared" si="17"/>
        <v/>
      </c>
      <c r="N275" s="65" t="str">
        <f t="shared" si="18"/>
        <v/>
      </c>
      <c r="R275" s="65"/>
    </row>
    <row r="276" spans="2:18" x14ac:dyDescent="0.25">
      <c r="B276" s="170" t="s">
        <v>2640</v>
      </c>
      <c r="C276" s="72"/>
      <c r="D276" s="70" t="s">
        <v>2641</v>
      </c>
      <c r="E276" s="73"/>
      <c r="M276" s="65" t="str">
        <f t="shared" si="17"/>
        <v/>
      </c>
      <c r="N276" s="65" t="str">
        <f t="shared" si="18"/>
        <v/>
      </c>
      <c r="R276" s="65"/>
    </row>
    <row r="277" spans="2:18" x14ac:dyDescent="0.25">
      <c r="B277" s="170" t="s">
        <v>2642</v>
      </c>
      <c r="C277" s="72"/>
      <c r="D277" s="70" t="s">
        <v>2643</v>
      </c>
      <c r="E277" s="73"/>
      <c r="M277" s="65" t="str">
        <f t="shared" si="17"/>
        <v/>
      </c>
      <c r="N277" s="65" t="str">
        <f t="shared" si="18"/>
        <v/>
      </c>
      <c r="R277" s="65"/>
    </row>
    <row r="278" spans="2:18" x14ac:dyDescent="0.25">
      <c r="B278" s="170" t="s">
        <v>2644</v>
      </c>
      <c r="C278" s="72"/>
      <c r="D278" s="70" t="s">
        <v>2645</v>
      </c>
      <c r="E278" s="73"/>
      <c r="M278" s="65" t="str">
        <f t="shared" si="17"/>
        <v/>
      </c>
      <c r="N278" s="65" t="str">
        <f t="shared" si="18"/>
        <v/>
      </c>
      <c r="R278" s="65"/>
    </row>
    <row r="279" spans="2:18" x14ac:dyDescent="0.25">
      <c r="B279" s="170" t="s">
        <v>2650</v>
      </c>
      <c r="C279" s="72"/>
      <c r="D279" s="70" t="s">
        <v>2651</v>
      </c>
      <c r="E279" s="73"/>
      <c r="M279" s="65" t="str">
        <f t="shared" si="17"/>
        <v/>
      </c>
      <c r="N279" s="65" t="str">
        <f t="shared" si="18"/>
        <v/>
      </c>
      <c r="R279" s="65"/>
    </row>
    <row r="280" spans="2:18" x14ac:dyDescent="0.25">
      <c r="B280" s="170" t="s">
        <v>2654</v>
      </c>
      <c r="C280" s="72"/>
      <c r="D280" s="70" t="s">
        <v>2655</v>
      </c>
      <c r="E280" s="73"/>
      <c r="M280" s="65" t="str">
        <f t="shared" si="17"/>
        <v/>
      </c>
      <c r="N280" s="65" t="str">
        <f t="shared" si="18"/>
        <v/>
      </c>
      <c r="R280" s="65"/>
    </row>
    <row r="281" spans="2:18" x14ac:dyDescent="0.25">
      <c r="B281" s="170" t="s">
        <v>2666</v>
      </c>
      <c r="C281" s="72"/>
      <c r="D281" s="70" t="s">
        <v>2667</v>
      </c>
      <c r="E281" s="73"/>
      <c r="M281" s="65" t="str">
        <f t="shared" si="17"/>
        <v/>
      </c>
      <c r="N281" s="65" t="str">
        <f t="shared" si="18"/>
        <v/>
      </c>
      <c r="R281" s="65"/>
    </row>
    <row r="282" spans="2:18" x14ac:dyDescent="0.25">
      <c r="B282" s="170" t="s">
        <v>2678</v>
      </c>
      <c r="C282" s="72"/>
      <c r="D282" s="70" t="s">
        <v>2679</v>
      </c>
      <c r="E282" s="73"/>
      <c r="M282" s="65" t="str">
        <f t="shared" si="17"/>
        <v/>
      </c>
      <c r="N282" s="65" t="str">
        <f t="shared" si="18"/>
        <v/>
      </c>
      <c r="R282" s="65"/>
    </row>
    <row r="283" spans="2:18" x14ac:dyDescent="0.25">
      <c r="B283" s="170" t="s">
        <v>2683</v>
      </c>
      <c r="C283" s="72"/>
      <c r="D283" s="70" t="s">
        <v>2684</v>
      </c>
      <c r="E283" s="73"/>
      <c r="M283" s="65" t="str">
        <f t="shared" si="17"/>
        <v/>
      </c>
      <c r="N283" s="65" t="str">
        <f t="shared" si="18"/>
        <v/>
      </c>
      <c r="R283" s="65"/>
    </row>
    <row r="284" spans="2:18" x14ac:dyDescent="0.25">
      <c r="B284" s="170" t="s">
        <v>2699</v>
      </c>
      <c r="C284" s="72"/>
      <c r="D284" s="70" t="s">
        <v>2700</v>
      </c>
      <c r="E284" s="73"/>
      <c r="M284" s="65" t="str">
        <f t="shared" si="17"/>
        <v/>
      </c>
      <c r="N284" s="65" t="str">
        <f t="shared" si="18"/>
        <v/>
      </c>
      <c r="R284" s="65"/>
    </row>
    <row r="285" spans="2:18" x14ac:dyDescent="0.25">
      <c r="B285" s="170" t="s">
        <v>2703</v>
      </c>
      <c r="C285" s="72"/>
      <c r="D285" s="70" t="s">
        <v>2704</v>
      </c>
      <c r="E285" s="73"/>
      <c r="M285" s="65" t="str">
        <f t="shared" si="17"/>
        <v/>
      </c>
      <c r="N285" s="65" t="str">
        <f t="shared" si="18"/>
        <v/>
      </c>
      <c r="R285" s="65"/>
    </row>
    <row r="286" spans="2:18" x14ac:dyDescent="0.25">
      <c r="B286" s="170" t="s">
        <v>2713</v>
      </c>
      <c r="C286" s="72"/>
      <c r="D286" s="70" t="s">
        <v>2714</v>
      </c>
      <c r="E286" s="73"/>
      <c r="M286" s="65" t="str">
        <f t="shared" si="17"/>
        <v/>
      </c>
      <c r="N286" s="65" t="str">
        <f t="shared" si="18"/>
        <v/>
      </c>
      <c r="R286" s="65"/>
    </row>
    <row r="287" spans="2:18" x14ac:dyDescent="0.25">
      <c r="B287" s="170" t="s">
        <v>2734</v>
      </c>
      <c r="C287" s="72"/>
      <c r="D287" s="70" t="s">
        <v>2735</v>
      </c>
      <c r="E287" s="73"/>
      <c r="M287" s="65" t="str">
        <f t="shared" si="17"/>
        <v/>
      </c>
      <c r="N287" s="65" t="str">
        <f t="shared" si="18"/>
        <v/>
      </c>
      <c r="R287" s="65"/>
    </row>
    <row r="288" spans="2:18" x14ac:dyDescent="0.25">
      <c r="B288" s="170" t="s">
        <v>2736</v>
      </c>
      <c r="C288" s="72"/>
      <c r="D288" s="70" t="s">
        <v>1002</v>
      </c>
      <c r="E288" s="73"/>
      <c r="M288" s="65" t="str">
        <f t="shared" si="17"/>
        <v/>
      </c>
      <c r="N288" s="65" t="str">
        <f t="shared" si="18"/>
        <v/>
      </c>
      <c r="R288" s="65"/>
    </row>
    <row r="289" spans="2:18" x14ac:dyDescent="0.25">
      <c r="B289" s="170" t="s">
        <v>2743</v>
      </c>
      <c r="C289" s="72"/>
      <c r="D289" s="70" t="s">
        <v>2744</v>
      </c>
      <c r="E289" s="73"/>
      <c r="M289" s="65" t="str">
        <f t="shared" si="17"/>
        <v/>
      </c>
      <c r="N289" s="65" t="str">
        <f t="shared" si="18"/>
        <v/>
      </c>
      <c r="R289" s="65"/>
    </row>
    <row r="290" spans="2:18" x14ac:dyDescent="0.25">
      <c r="B290" s="170" t="s">
        <v>2745</v>
      </c>
      <c r="C290" s="72"/>
      <c r="D290" s="70" t="s">
        <v>2746</v>
      </c>
      <c r="E290" s="73"/>
      <c r="M290" s="65" t="str">
        <f t="shared" si="17"/>
        <v/>
      </c>
      <c r="N290" s="65" t="str">
        <f t="shared" si="18"/>
        <v/>
      </c>
      <c r="R290" s="65"/>
    </row>
    <row r="291" spans="2:18" x14ac:dyDescent="0.25">
      <c r="B291" s="170" t="s">
        <v>599</v>
      </c>
      <c r="C291" s="72"/>
      <c r="D291" s="70" t="s">
        <v>2747</v>
      </c>
      <c r="E291" s="73"/>
      <c r="M291" s="65" t="str">
        <f t="shared" si="17"/>
        <v/>
      </c>
      <c r="N291" s="65" t="str">
        <f t="shared" si="18"/>
        <v/>
      </c>
      <c r="R291" s="65"/>
    </row>
    <row r="292" spans="2:18" x14ac:dyDescent="0.25">
      <c r="B292" s="170" t="s">
        <v>2748</v>
      </c>
      <c r="C292" s="72"/>
      <c r="D292" s="70" t="s">
        <v>2749</v>
      </c>
      <c r="E292" s="73"/>
      <c r="M292" s="65" t="str">
        <f t="shared" si="17"/>
        <v/>
      </c>
      <c r="N292" s="65" t="str">
        <f t="shared" si="18"/>
        <v/>
      </c>
      <c r="R292" s="65"/>
    </row>
    <row r="293" spans="2:18" x14ac:dyDescent="0.25">
      <c r="B293" s="170" t="s">
        <v>2760</v>
      </c>
      <c r="C293" s="72"/>
      <c r="D293" s="70" t="s">
        <v>2761</v>
      </c>
      <c r="E293" s="73"/>
      <c r="M293" s="65" t="str">
        <f t="shared" si="17"/>
        <v/>
      </c>
      <c r="N293" s="65" t="str">
        <f t="shared" si="18"/>
        <v/>
      </c>
      <c r="R293" s="65"/>
    </row>
    <row r="294" spans="2:18" x14ac:dyDescent="0.25">
      <c r="B294" s="170" t="s">
        <v>2762</v>
      </c>
      <c r="C294" s="72"/>
      <c r="D294" s="70" t="s">
        <v>2763</v>
      </c>
      <c r="E294" s="73"/>
      <c r="M294" s="65" t="str">
        <f t="shared" si="17"/>
        <v/>
      </c>
      <c r="N294" s="65" t="str">
        <f t="shared" si="18"/>
        <v/>
      </c>
      <c r="R294" s="65"/>
    </row>
    <row r="295" spans="2:18" x14ac:dyDescent="0.25">
      <c r="B295" s="170" t="s">
        <v>2764</v>
      </c>
      <c r="C295" s="72"/>
      <c r="D295" s="70" t="s">
        <v>2765</v>
      </c>
      <c r="E295" s="73"/>
      <c r="M295" s="65" t="str">
        <f t="shared" si="17"/>
        <v/>
      </c>
      <c r="N295" s="65" t="str">
        <f t="shared" si="18"/>
        <v/>
      </c>
      <c r="R295" s="65"/>
    </row>
    <row r="296" spans="2:18" x14ac:dyDescent="0.25">
      <c r="B296" s="170" t="s">
        <v>2766</v>
      </c>
      <c r="C296" s="72"/>
      <c r="D296" s="70" t="s">
        <v>2767</v>
      </c>
      <c r="E296" s="73"/>
      <c r="M296" s="65" t="str">
        <f t="shared" si="17"/>
        <v/>
      </c>
      <c r="N296" s="65" t="str">
        <f t="shared" si="18"/>
        <v/>
      </c>
      <c r="R296" s="65"/>
    </row>
    <row r="297" spans="2:18" x14ac:dyDescent="0.25">
      <c r="B297" s="170" t="s">
        <v>2772</v>
      </c>
      <c r="C297" s="72"/>
      <c r="D297" s="70" t="s">
        <v>2773</v>
      </c>
      <c r="E297" s="73"/>
      <c r="M297" s="65" t="str">
        <f t="shared" si="17"/>
        <v/>
      </c>
      <c r="N297" s="65" t="str">
        <f t="shared" si="18"/>
        <v/>
      </c>
      <c r="R297" s="65"/>
    </row>
    <row r="298" spans="2:18" x14ac:dyDescent="0.25">
      <c r="B298" s="170" t="s">
        <v>2779</v>
      </c>
      <c r="C298" s="72"/>
      <c r="D298" s="70" t="s">
        <v>2780</v>
      </c>
      <c r="E298" s="73"/>
      <c r="M298" s="65" t="str">
        <f t="shared" si="17"/>
        <v/>
      </c>
      <c r="N298" s="65" t="str">
        <f t="shared" si="18"/>
        <v/>
      </c>
      <c r="R298" s="65"/>
    </row>
    <row r="299" spans="2:18" x14ac:dyDescent="0.25">
      <c r="B299" s="170" t="s">
        <v>2797</v>
      </c>
      <c r="C299" s="72"/>
      <c r="D299" s="70" t="s">
        <v>2798</v>
      </c>
      <c r="E299" s="73"/>
      <c r="M299" s="65" t="str">
        <f t="shared" si="17"/>
        <v/>
      </c>
      <c r="N299" s="65" t="str">
        <f t="shared" si="18"/>
        <v/>
      </c>
      <c r="R299" s="65"/>
    </row>
    <row r="300" spans="2:18" x14ac:dyDescent="0.25">
      <c r="B300" s="170" t="s">
        <v>2803</v>
      </c>
      <c r="C300" s="72"/>
      <c r="D300" s="70" t="s">
        <v>2804</v>
      </c>
      <c r="E300" s="73"/>
      <c r="M300" s="65" t="str">
        <f t="shared" si="17"/>
        <v/>
      </c>
      <c r="N300" s="65" t="str">
        <f t="shared" si="18"/>
        <v/>
      </c>
      <c r="R300" s="65"/>
    </row>
    <row r="301" spans="2:18" ht="37.5" x14ac:dyDescent="0.25">
      <c r="B301" s="170" t="s">
        <v>254</v>
      </c>
      <c r="C301" s="69" t="s">
        <v>255</v>
      </c>
      <c r="D301" s="70" t="s">
        <v>256</v>
      </c>
      <c r="E301" s="71"/>
      <c r="M301" s="65" t="str">
        <f t="shared" si="17"/>
        <v/>
      </c>
      <c r="N301" s="65" t="str">
        <f t="shared" si="18"/>
        <v/>
      </c>
      <c r="R301" s="65"/>
    </row>
    <row r="302" spans="2:18" ht="15.5" x14ac:dyDescent="0.25">
      <c r="B302" s="170" t="s">
        <v>260</v>
      </c>
      <c r="C302" s="69" t="s">
        <v>261</v>
      </c>
      <c r="D302" s="70" t="s">
        <v>262</v>
      </c>
      <c r="E302" s="71"/>
      <c r="M302" s="65" t="str">
        <f t="shared" si="17"/>
        <v/>
      </c>
      <c r="N302" s="65" t="str">
        <f t="shared" si="18"/>
        <v/>
      </c>
      <c r="R302" s="65"/>
    </row>
    <row r="303" spans="2:18" ht="25" x14ac:dyDescent="0.25">
      <c r="B303" s="170" t="s">
        <v>265</v>
      </c>
      <c r="C303" s="69" t="s">
        <v>266</v>
      </c>
      <c r="D303" s="70" t="s">
        <v>267</v>
      </c>
      <c r="E303" s="71"/>
      <c r="M303" s="65" t="str">
        <f t="shared" si="17"/>
        <v/>
      </c>
      <c r="N303" s="65" t="str">
        <f t="shared" si="18"/>
        <v/>
      </c>
      <c r="R303" s="65"/>
    </row>
    <row r="304" spans="2:18" ht="25" x14ac:dyDescent="0.25">
      <c r="B304" s="170" t="s">
        <v>270</v>
      </c>
      <c r="C304" s="69" t="s">
        <v>271</v>
      </c>
      <c r="D304" s="70" t="s">
        <v>272</v>
      </c>
      <c r="E304" s="71"/>
      <c r="M304" s="65" t="str">
        <f t="shared" si="17"/>
        <v/>
      </c>
      <c r="N304" s="65" t="str">
        <f t="shared" si="18"/>
        <v/>
      </c>
      <c r="R304" s="65"/>
    </row>
    <row r="305" spans="2:18" ht="25" x14ac:dyDescent="0.25">
      <c r="B305" s="170" t="s">
        <v>275</v>
      </c>
      <c r="C305" s="69" t="s">
        <v>276</v>
      </c>
      <c r="D305" s="70" t="s">
        <v>277</v>
      </c>
      <c r="E305" s="71"/>
      <c r="M305" s="65" t="str">
        <f t="shared" si="17"/>
        <v/>
      </c>
      <c r="N305" s="65" t="str">
        <f t="shared" si="18"/>
        <v/>
      </c>
      <c r="R305" s="65"/>
    </row>
    <row r="306" spans="2:18" ht="25" x14ac:dyDescent="0.25">
      <c r="B306" s="170" t="s">
        <v>280</v>
      </c>
      <c r="C306" s="69" t="s">
        <v>281</v>
      </c>
      <c r="D306" s="70" t="s">
        <v>282</v>
      </c>
      <c r="E306" s="71"/>
      <c r="M306" s="65" t="str">
        <f t="shared" si="17"/>
        <v/>
      </c>
      <c r="N306" s="65" t="str">
        <f t="shared" si="18"/>
        <v/>
      </c>
      <c r="R306" s="65"/>
    </row>
    <row r="307" spans="2:18" ht="25" x14ac:dyDescent="0.25">
      <c r="B307" s="170" t="s">
        <v>286</v>
      </c>
      <c r="C307" s="69" t="s">
        <v>287</v>
      </c>
      <c r="D307" s="70" t="s">
        <v>288</v>
      </c>
      <c r="E307" s="71"/>
      <c r="M307" s="65" t="str">
        <f t="shared" si="17"/>
        <v/>
      </c>
      <c r="N307" s="65" t="str">
        <f t="shared" si="18"/>
        <v/>
      </c>
      <c r="R307" s="65"/>
    </row>
    <row r="308" spans="2:18" ht="15.5" x14ac:dyDescent="0.25">
      <c r="B308" s="170" t="s">
        <v>292</v>
      </c>
      <c r="C308" s="72" t="s">
        <v>293</v>
      </c>
      <c r="D308" s="70" t="s">
        <v>294</v>
      </c>
      <c r="E308" s="71"/>
      <c r="M308" s="65" t="str">
        <f t="shared" si="17"/>
        <v/>
      </c>
      <c r="N308" s="65" t="str">
        <f t="shared" si="18"/>
        <v/>
      </c>
      <c r="R308" s="65"/>
    </row>
    <row r="309" spans="2:18" ht="25" x14ac:dyDescent="0.25">
      <c r="B309" s="170" t="s">
        <v>298</v>
      </c>
      <c r="C309" s="69" t="s">
        <v>299</v>
      </c>
      <c r="D309" s="70" t="s">
        <v>300</v>
      </c>
      <c r="E309" s="71"/>
      <c r="M309" s="65" t="str">
        <f t="shared" si="17"/>
        <v/>
      </c>
      <c r="N309" s="65" t="str">
        <f t="shared" si="18"/>
        <v/>
      </c>
      <c r="R309" s="65"/>
    </row>
    <row r="310" spans="2:18" ht="15.5" x14ac:dyDescent="0.25">
      <c r="B310" s="170" t="s">
        <v>304</v>
      </c>
      <c r="C310" s="69" t="s">
        <v>305</v>
      </c>
      <c r="D310" s="70" t="s">
        <v>306</v>
      </c>
      <c r="E310" s="71"/>
      <c r="M310" s="65" t="str">
        <f t="shared" si="17"/>
        <v/>
      </c>
      <c r="N310" s="65" t="str">
        <f t="shared" si="18"/>
        <v/>
      </c>
      <c r="R310" s="65"/>
    </row>
    <row r="311" spans="2:18" ht="15.5" x14ac:dyDescent="0.25">
      <c r="B311" s="170" t="s">
        <v>310</v>
      </c>
      <c r="C311" s="69" t="s">
        <v>311</v>
      </c>
      <c r="D311" s="70" t="s">
        <v>312</v>
      </c>
      <c r="E311" s="71"/>
      <c r="M311" s="65" t="str">
        <f t="shared" si="17"/>
        <v/>
      </c>
      <c r="N311" s="65" t="str">
        <f t="shared" si="18"/>
        <v/>
      </c>
      <c r="R311" s="65"/>
    </row>
    <row r="312" spans="2:18" ht="15.5" x14ac:dyDescent="0.25">
      <c r="B312" s="170" t="s">
        <v>316</v>
      </c>
      <c r="C312" s="69" t="s">
        <v>317</v>
      </c>
      <c r="D312" s="70" t="s">
        <v>318</v>
      </c>
      <c r="E312" s="71"/>
      <c r="M312" s="65" t="str">
        <f t="shared" si="17"/>
        <v/>
      </c>
      <c r="N312" s="65" t="str">
        <f t="shared" si="18"/>
        <v/>
      </c>
      <c r="R312" s="65"/>
    </row>
    <row r="313" spans="2:18" ht="15.5" x14ac:dyDescent="0.25">
      <c r="B313" s="170" t="s">
        <v>322</v>
      </c>
      <c r="C313" s="69" t="s">
        <v>323</v>
      </c>
      <c r="D313" s="70" t="s">
        <v>324</v>
      </c>
      <c r="E313" s="71"/>
      <c r="M313" s="65" t="str">
        <f t="shared" si="17"/>
        <v/>
      </c>
      <c r="N313" s="65" t="str">
        <f t="shared" si="18"/>
        <v/>
      </c>
      <c r="R313" s="65"/>
    </row>
    <row r="314" spans="2:18" ht="15.5" x14ac:dyDescent="0.25">
      <c r="B314" s="170" t="s">
        <v>328</v>
      </c>
      <c r="C314" s="69" t="s">
        <v>329</v>
      </c>
      <c r="D314" s="70" t="s">
        <v>330</v>
      </c>
      <c r="E314" s="71"/>
      <c r="M314" s="65" t="str">
        <f t="shared" si="17"/>
        <v/>
      </c>
      <c r="N314" s="65" t="str">
        <f t="shared" si="18"/>
        <v/>
      </c>
      <c r="R314" s="65"/>
    </row>
    <row r="315" spans="2:18" ht="15.5" x14ac:dyDescent="0.25">
      <c r="B315" s="170" t="s">
        <v>334</v>
      </c>
      <c r="C315" s="69" t="s">
        <v>335</v>
      </c>
      <c r="D315" s="70" t="s">
        <v>336</v>
      </c>
      <c r="E315" s="71"/>
      <c r="M315" s="65" t="str">
        <f t="shared" si="17"/>
        <v/>
      </c>
      <c r="N315" s="65" t="str">
        <f t="shared" si="18"/>
        <v/>
      </c>
      <c r="R315" s="65"/>
    </row>
    <row r="316" spans="2:18" ht="15.5" x14ac:dyDescent="0.25">
      <c r="B316" s="170" t="s">
        <v>340</v>
      </c>
      <c r="C316" s="69" t="s">
        <v>341</v>
      </c>
      <c r="D316" s="70" t="s">
        <v>342</v>
      </c>
      <c r="E316" s="71"/>
      <c r="M316" s="65" t="str">
        <f t="shared" si="17"/>
        <v/>
      </c>
      <c r="N316" s="65" t="str">
        <f t="shared" si="18"/>
        <v/>
      </c>
      <c r="R316" s="65"/>
    </row>
    <row r="317" spans="2:18" ht="15.5" x14ac:dyDescent="0.25">
      <c r="B317" s="170" t="s">
        <v>345</v>
      </c>
      <c r="C317" s="69" t="s">
        <v>346</v>
      </c>
      <c r="D317" s="70" t="s">
        <v>347</v>
      </c>
      <c r="E317" s="71"/>
      <c r="M317" s="65" t="str">
        <f t="shared" si="17"/>
        <v/>
      </c>
      <c r="N317" s="65" t="str">
        <f t="shared" si="18"/>
        <v/>
      </c>
      <c r="R317" s="65"/>
    </row>
    <row r="318" spans="2:18" ht="15.5" x14ac:dyDescent="0.25">
      <c r="B318" s="170" t="s">
        <v>350</v>
      </c>
      <c r="C318" s="69" t="s">
        <v>331</v>
      </c>
      <c r="D318" s="70" t="s">
        <v>351</v>
      </c>
      <c r="E318" s="71"/>
      <c r="M318" s="65" t="str">
        <f t="shared" si="17"/>
        <v/>
      </c>
      <c r="N318" s="65" t="str">
        <f t="shared" si="18"/>
        <v/>
      </c>
      <c r="R318" s="65"/>
    </row>
    <row r="319" spans="2:18" ht="15.5" x14ac:dyDescent="0.25">
      <c r="B319" s="170" t="s">
        <v>354</v>
      </c>
      <c r="C319" s="69" t="s">
        <v>355</v>
      </c>
      <c r="D319" s="70" t="s">
        <v>356</v>
      </c>
      <c r="E319" s="71"/>
      <c r="M319" s="65" t="str">
        <f t="shared" si="17"/>
        <v/>
      </c>
      <c r="N319" s="65" t="str">
        <f t="shared" si="18"/>
        <v/>
      </c>
      <c r="R319" s="65"/>
    </row>
    <row r="320" spans="2:18" ht="15.5" x14ac:dyDescent="0.25">
      <c r="B320" s="170" t="s">
        <v>358</v>
      </c>
      <c r="C320" s="69" t="s">
        <v>359</v>
      </c>
      <c r="D320" s="70" t="s">
        <v>360</v>
      </c>
      <c r="E320" s="71"/>
      <c r="M320" s="65" t="str">
        <f t="shared" si="17"/>
        <v/>
      </c>
      <c r="N320" s="65" t="str">
        <f t="shared" si="18"/>
        <v/>
      </c>
      <c r="R320" s="65"/>
    </row>
    <row r="321" spans="2:18" ht="15.5" x14ac:dyDescent="0.25">
      <c r="B321" s="170" t="s">
        <v>364</v>
      </c>
      <c r="C321" s="69" t="s">
        <v>365</v>
      </c>
      <c r="D321" s="70" t="s">
        <v>366</v>
      </c>
      <c r="E321" s="71"/>
      <c r="M321" s="65" t="str">
        <f t="shared" si="17"/>
        <v/>
      </c>
      <c r="N321" s="65" t="str">
        <f t="shared" si="18"/>
        <v/>
      </c>
      <c r="R321" s="65"/>
    </row>
    <row r="322" spans="2:18" ht="15.5" x14ac:dyDescent="0.25">
      <c r="B322" s="170" t="s">
        <v>369</v>
      </c>
      <c r="C322" s="69" t="s">
        <v>370</v>
      </c>
      <c r="D322" s="70" t="s">
        <v>371</v>
      </c>
      <c r="E322" s="71"/>
      <c r="M322" s="65" t="str">
        <f t="shared" si="17"/>
        <v/>
      </c>
      <c r="N322" s="65" t="str">
        <f t="shared" si="18"/>
        <v/>
      </c>
      <c r="R322" s="65"/>
    </row>
    <row r="323" spans="2:18" ht="15.5" x14ac:dyDescent="0.25">
      <c r="B323" s="170" t="s">
        <v>374</v>
      </c>
      <c r="C323" s="69" t="s">
        <v>337</v>
      </c>
      <c r="D323" s="70" t="s">
        <v>375</v>
      </c>
      <c r="E323" s="71"/>
      <c r="M323" s="65" t="str">
        <f t="shared" ref="M323:M386" si="19">IF(ISERROR(FIND("=",P323)),"",RIGHT(P323,LEN(P323)-FIND("=",P323)+3))</f>
        <v/>
      </c>
      <c r="N323" s="65" t="str">
        <f t="shared" ref="N323:N386" si="20">IF(ISERROR(FIND(" (include",P323)),"",RIGHT(P323,LEN(P323)-FIND(" (include",P323)))</f>
        <v/>
      </c>
      <c r="R323" s="65"/>
    </row>
    <row r="324" spans="2:18" ht="15.5" x14ac:dyDescent="0.25">
      <c r="B324" s="170" t="s">
        <v>378</v>
      </c>
      <c r="C324" s="69" t="s">
        <v>379</v>
      </c>
      <c r="D324" s="70" t="s">
        <v>380</v>
      </c>
      <c r="E324" s="71"/>
      <c r="M324" s="65" t="str">
        <f t="shared" si="19"/>
        <v/>
      </c>
      <c r="N324" s="65" t="str">
        <f t="shared" si="20"/>
        <v/>
      </c>
      <c r="R324" s="65"/>
    </row>
    <row r="325" spans="2:18" ht="15.5" x14ac:dyDescent="0.25">
      <c r="B325" s="170" t="s">
        <v>383</v>
      </c>
      <c r="C325" s="69" t="s">
        <v>384</v>
      </c>
      <c r="D325" s="70" t="s">
        <v>385</v>
      </c>
      <c r="E325" s="71"/>
      <c r="M325" s="65" t="str">
        <f t="shared" si="19"/>
        <v/>
      </c>
      <c r="N325" s="65" t="str">
        <f t="shared" si="20"/>
        <v/>
      </c>
      <c r="R325" s="65"/>
    </row>
    <row r="326" spans="2:18" ht="15.5" x14ac:dyDescent="0.25">
      <c r="B326" s="170" t="s">
        <v>388</v>
      </c>
      <c r="C326" s="73" t="s">
        <v>263</v>
      </c>
      <c r="D326" s="73" t="s">
        <v>389</v>
      </c>
      <c r="E326" s="71"/>
      <c r="M326" s="65" t="str">
        <f t="shared" si="19"/>
        <v/>
      </c>
      <c r="N326" s="65" t="str">
        <f t="shared" si="20"/>
        <v/>
      </c>
      <c r="R326" s="65"/>
    </row>
    <row r="327" spans="2:18" ht="15.5" x14ac:dyDescent="0.25">
      <c r="B327" s="170" t="s">
        <v>392</v>
      </c>
      <c r="C327" s="69" t="s">
        <v>273</v>
      </c>
      <c r="D327" s="70" t="s">
        <v>393</v>
      </c>
      <c r="E327" s="71"/>
      <c r="M327" s="65" t="str">
        <f t="shared" si="19"/>
        <v/>
      </c>
      <c r="N327" s="65" t="str">
        <f t="shared" si="20"/>
        <v/>
      </c>
      <c r="R327" s="65"/>
    </row>
    <row r="328" spans="2:18" ht="15.5" x14ac:dyDescent="0.25">
      <c r="B328" s="170" t="s">
        <v>396</v>
      </c>
      <c r="C328" s="73" t="s">
        <v>257</v>
      </c>
      <c r="D328" s="73" t="s">
        <v>397</v>
      </c>
      <c r="E328" s="71"/>
      <c r="M328" s="65" t="str">
        <f t="shared" si="19"/>
        <v/>
      </c>
      <c r="N328" s="65" t="str">
        <f t="shared" si="20"/>
        <v/>
      </c>
      <c r="R328" s="65"/>
    </row>
    <row r="329" spans="2:18" ht="15.5" x14ac:dyDescent="0.25">
      <c r="B329" s="170" t="s">
        <v>400</v>
      </c>
      <c r="C329" s="69" t="s">
        <v>401</v>
      </c>
      <c r="D329" s="70" t="s">
        <v>402</v>
      </c>
      <c r="E329" s="71"/>
      <c r="M329" s="65" t="str">
        <f t="shared" si="19"/>
        <v/>
      </c>
      <c r="N329" s="65" t="str">
        <f t="shared" si="20"/>
        <v/>
      </c>
      <c r="R329" s="65"/>
    </row>
    <row r="330" spans="2:18" ht="15.5" x14ac:dyDescent="0.25">
      <c r="B330" s="170" t="s">
        <v>404</v>
      </c>
      <c r="C330" s="69" t="s">
        <v>289</v>
      </c>
      <c r="D330" s="70" t="s">
        <v>405</v>
      </c>
      <c r="E330" s="71"/>
      <c r="M330" s="65" t="str">
        <f t="shared" si="19"/>
        <v/>
      </c>
      <c r="N330" s="65" t="str">
        <f t="shared" si="20"/>
        <v/>
      </c>
      <c r="R330" s="65"/>
    </row>
    <row r="331" spans="2:18" ht="15.5" x14ac:dyDescent="0.25">
      <c r="B331" s="170" t="s">
        <v>409</v>
      </c>
      <c r="C331" s="69" t="s">
        <v>278</v>
      </c>
      <c r="D331" s="70" t="s">
        <v>410</v>
      </c>
      <c r="E331" s="71"/>
      <c r="M331" s="65" t="str">
        <f t="shared" si="19"/>
        <v/>
      </c>
      <c r="N331" s="65" t="str">
        <f t="shared" si="20"/>
        <v/>
      </c>
      <c r="R331" s="65"/>
    </row>
    <row r="332" spans="2:18" ht="15.5" x14ac:dyDescent="0.25">
      <c r="B332" s="170" t="s">
        <v>414</v>
      </c>
      <c r="C332" s="69" t="s">
        <v>411</v>
      </c>
      <c r="D332" s="70" t="s">
        <v>415</v>
      </c>
      <c r="E332" s="71"/>
      <c r="M332" s="65" t="str">
        <f t="shared" si="19"/>
        <v/>
      </c>
      <c r="N332" s="65" t="str">
        <f t="shared" si="20"/>
        <v/>
      </c>
      <c r="R332" s="65"/>
    </row>
    <row r="333" spans="2:18" ht="15.5" x14ac:dyDescent="0.25">
      <c r="B333" s="170" t="s">
        <v>419</v>
      </c>
      <c r="C333" s="69" t="s">
        <v>416</v>
      </c>
      <c r="D333" s="70" t="s">
        <v>420</v>
      </c>
      <c r="E333" s="71"/>
      <c r="M333" s="65" t="str">
        <f t="shared" si="19"/>
        <v/>
      </c>
      <c r="N333" s="65" t="str">
        <f t="shared" si="20"/>
        <v/>
      </c>
      <c r="R333" s="65"/>
    </row>
    <row r="334" spans="2:18" ht="15.5" x14ac:dyDescent="0.25">
      <c r="B334" s="170" t="s">
        <v>423</v>
      </c>
      <c r="C334" s="70" t="s">
        <v>283</v>
      </c>
      <c r="D334" s="70" t="s">
        <v>424</v>
      </c>
      <c r="E334" s="71"/>
      <c r="M334" s="65" t="str">
        <f t="shared" si="19"/>
        <v/>
      </c>
      <c r="N334" s="65" t="str">
        <f t="shared" si="20"/>
        <v/>
      </c>
      <c r="R334" s="65"/>
    </row>
    <row r="335" spans="2:18" ht="15.5" x14ac:dyDescent="0.25">
      <c r="B335" s="170" t="s">
        <v>427</v>
      </c>
      <c r="C335" s="69" t="s">
        <v>295</v>
      </c>
      <c r="D335" s="70" t="s">
        <v>428</v>
      </c>
      <c r="E335" s="71"/>
      <c r="M335" s="65" t="str">
        <f t="shared" si="19"/>
        <v/>
      </c>
      <c r="N335" s="65" t="str">
        <f t="shared" si="20"/>
        <v/>
      </c>
      <c r="R335" s="65"/>
    </row>
    <row r="336" spans="2:18" ht="15.5" x14ac:dyDescent="0.25">
      <c r="B336" s="170" t="s">
        <v>431</v>
      </c>
      <c r="C336" s="69" t="s">
        <v>301</v>
      </c>
      <c r="D336" s="70" t="s">
        <v>432</v>
      </c>
      <c r="E336" s="71"/>
      <c r="M336" s="65" t="str">
        <f t="shared" si="19"/>
        <v/>
      </c>
      <c r="N336" s="65" t="str">
        <f t="shared" si="20"/>
        <v/>
      </c>
      <c r="R336" s="65"/>
    </row>
    <row r="337" spans="2:18" ht="15.5" x14ac:dyDescent="0.25">
      <c r="B337" s="170" t="s">
        <v>435</v>
      </c>
      <c r="C337" s="69" t="s">
        <v>307</v>
      </c>
      <c r="D337" s="70" t="s">
        <v>436</v>
      </c>
      <c r="E337" s="71"/>
      <c r="M337" s="65" t="str">
        <f t="shared" si="19"/>
        <v/>
      </c>
      <c r="N337" s="65" t="str">
        <f t="shared" si="20"/>
        <v/>
      </c>
      <c r="R337" s="65"/>
    </row>
    <row r="338" spans="2:18" ht="15.5" x14ac:dyDescent="0.25">
      <c r="B338" s="170" t="s">
        <v>439</v>
      </c>
      <c r="C338" s="69" t="s">
        <v>313</v>
      </c>
      <c r="D338" s="70" t="s">
        <v>440</v>
      </c>
      <c r="E338" s="71"/>
      <c r="M338" s="65" t="str">
        <f t="shared" si="19"/>
        <v/>
      </c>
      <c r="N338" s="65" t="str">
        <f t="shared" si="20"/>
        <v/>
      </c>
      <c r="R338" s="65"/>
    </row>
    <row r="339" spans="2:18" ht="15.5" x14ac:dyDescent="0.25">
      <c r="B339" s="170" t="s">
        <v>443</v>
      </c>
      <c r="C339" s="69" t="s">
        <v>406</v>
      </c>
      <c r="D339" s="70" t="s">
        <v>444</v>
      </c>
      <c r="E339" s="71"/>
      <c r="M339" s="65" t="str">
        <f t="shared" si="19"/>
        <v/>
      </c>
      <c r="N339" s="65" t="str">
        <f t="shared" si="20"/>
        <v/>
      </c>
      <c r="R339" s="65"/>
    </row>
    <row r="340" spans="2:18" ht="37.5" x14ac:dyDescent="0.25">
      <c r="B340" s="170" t="s">
        <v>448</v>
      </c>
      <c r="C340" s="69" t="s">
        <v>325</v>
      </c>
      <c r="D340" s="70" t="s">
        <v>449</v>
      </c>
      <c r="E340" s="71"/>
      <c r="M340" s="65" t="str">
        <f t="shared" si="19"/>
        <v/>
      </c>
      <c r="N340" s="65" t="str">
        <f t="shared" si="20"/>
        <v/>
      </c>
      <c r="R340" s="65"/>
    </row>
    <row r="341" spans="2:18" ht="15.5" x14ac:dyDescent="0.25">
      <c r="B341" s="170" t="s">
        <v>452</v>
      </c>
      <c r="C341" s="69" t="s">
        <v>319</v>
      </c>
      <c r="D341" s="70" t="s">
        <v>453</v>
      </c>
      <c r="E341" s="71"/>
      <c r="M341" s="65" t="str">
        <f t="shared" si="19"/>
        <v/>
      </c>
      <c r="N341" s="65" t="str">
        <f t="shared" si="20"/>
        <v/>
      </c>
      <c r="R341" s="65"/>
    </row>
    <row r="342" spans="2:18" ht="15.5" x14ac:dyDescent="0.25">
      <c r="B342" s="170" t="s">
        <v>461</v>
      </c>
      <c r="C342" s="69" t="s">
        <v>462</v>
      </c>
      <c r="D342" s="70" t="s">
        <v>463</v>
      </c>
      <c r="E342" s="71"/>
      <c r="M342" s="65" t="str">
        <f t="shared" si="19"/>
        <v/>
      </c>
      <c r="N342" s="65" t="str">
        <f t="shared" si="20"/>
        <v/>
      </c>
      <c r="R342" s="65"/>
    </row>
    <row r="343" spans="2:18" ht="15.5" x14ac:dyDescent="0.25">
      <c r="B343" s="170" t="s">
        <v>467</v>
      </c>
      <c r="C343" s="69" t="s">
        <v>468</v>
      </c>
      <c r="D343" s="70" t="s">
        <v>469</v>
      </c>
      <c r="E343" s="71"/>
      <c r="M343" s="65" t="str">
        <f t="shared" si="19"/>
        <v/>
      </c>
      <c r="N343" s="65" t="str">
        <f t="shared" si="20"/>
        <v/>
      </c>
      <c r="R343" s="65"/>
    </row>
    <row r="344" spans="2:18" ht="15.5" x14ac:dyDescent="0.25">
      <c r="B344" s="170" t="s">
        <v>473</v>
      </c>
      <c r="C344" s="69" t="s">
        <v>445</v>
      </c>
      <c r="D344" s="70" t="s">
        <v>474</v>
      </c>
      <c r="E344" s="71"/>
      <c r="M344" s="65" t="str">
        <f t="shared" si="19"/>
        <v/>
      </c>
      <c r="N344" s="65" t="str">
        <f t="shared" si="20"/>
        <v/>
      </c>
      <c r="R344" s="65"/>
    </row>
    <row r="345" spans="2:18" ht="15.5" x14ac:dyDescent="0.25">
      <c r="B345" s="170" t="s">
        <v>478</v>
      </c>
      <c r="C345" s="69" t="s">
        <v>470</v>
      </c>
      <c r="D345" s="70" t="s">
        <v>479</v>
      </c>
      <c r="E345" s="71"/>
      <c r="M345" s="65" t="str">
        <f t="shared" si="19"/>
        <v/>
      </c>
      <c r="N345" s="65" t="str">
        <f t="shared" si="20"/>
        <v/>
      </c>
      <c r="R345" s="65"/>
    </row>
    <row r="346" spans="2:18" ht="15.5" x14ac:dyDescent="0.25">
      <c r="B346" s="170" t="s">
        <v>478</v>
      </c>
      <c r="C346" s="69" t="s">
        <v>475</v>
      </c>
      <c r="D346" s="70" t="s">
        <v>479</v>
      </c>
      <c r="E346" s="71"/>
      <c r="M346" s="65" t="str">
        <f t="shared" si="19"/>
        <v/>
      </c>
      <c r="N346" s="65" t="str">
        <f t="shared" si="20"/>
        <v/>
      </c>
      <c r="R346" s="65"/>
    </row>
    <row r="347" spans="2:18" ht="15.5" x14ac:dyDescent="0.25">
      <c r="B347" s="170" t="s">
        <v>485</v>
      </c>
      <c r="C347" s="69" t="s">
        <v>482</v>
      </c>
      <c r="D347" s="70" t="s">
        <v>486</v>
      </c>
      <c r="E347" s="71"/>
      <c r="M347" s="65" t="str">
        <f t="shared" si="19"/>
        <v/>
      </c>
      <c r="N347" s="65" t="str">
        <f t="shared" si="20"/>
        <v/>
      </c>
      <c r="R347" s="65"/>
    </row>
    <row r="348" spans="2:18" ht="15.5" x14ac:dyDescent="0.25">
      <c r="B348" s="170" t="s">
        <v>485</v>
      </c>
      <c r="C348" s="69" t="s">
        <v>487</v>
      </c>
      <c r="D348" s="70" t="s">
        <v>486</v>
      </c>
      <c r="E348" s="71"/>
      <c r="M348" s="65" t="str">
        <f t="shared" si="19"/>
        <v/>
      </c>
      <c r="N348" s="65" t="str">
        <f t="shared" si="20"/>
        <v/>
      </c>
      <c r="R348" s="65"/>
    </row>
    <row r="349" spans="2:18" ht="15.5" x14ac:dyDescent="0.25">
      <c r="B349" s="170" t="s">
        <v>493</v>
      </c>
      <c r="C349" s="69" t="s">
        <v>464</v>
      </c>
      <c r="D349" s="70" t="s">
        <v>494</v>
      </c>
      <c r="E349" s="71"/>
      <c r="M349" s="65" t="str">
        <f t="shared" si="19"/>
        <v/>
      </c>
      <c r="N349" s="65" t="str">
        <f t="shared" si="20"/>
        <v/>
      </c>
      <c r="R349" s="65"/>
    </row>
    <row r="350" spans="2:18" ht="15.5" x14ac:dyDescent="0.25">
      <c r="B350" s="170" t="s">
        <v>497</v>
      </c>
      <c r="C350" s="69" t="s">
        <v>490</v>
      </c>
      <c r="D350" s="70" t="s">
        <v>498</v>
      </c>
      <c r="E350" s="71"/>
      <c r="M350" s="65" t="str">
        <f t="shared" si="19"/>
        <v/>
      </c>
      <c r="N350" s="65" t="str">
        <f t="shared" si="20"/>
        <v/>
      </c>
      <c r="R350" s="65"/>
    </row>
    <row r="351" spans="2:18" ht="37.5" x14ac:dyDescent="0.25">
      <c r="B351" s="170" t="s">
        <v>501</v>
      </c>
      <c r="C351" s="69" t="s">
        <v>502</v>
      </c>
      <c r="D351" s="73" t="s">
        <v>503</v>
      </c>
      <c r="E351" s="73"/>
      <c r="M351" s="65" t="str">
        <f t="shared" si="19"/>
        <v/>
      </c>
      <c r="N351" s="65" t="str">
        <f t="shared" si="20"/>
        <v/>
      </c>
      <c r="R351" s="65"/>
    </row>
    <row r="352" spans="2:18" x14ac:dyDescent="0.25">
      <c r="B352" s="170" t="s">
        <v>506</v>
      </c>
      <c r="C352" s="73"/>
      <c r="D352" s="73" t="s">
        <v>507</v>
      </c>
      <c r="E352" s="73"/>
      <c r="M352" s="65" t="str">
        <f t="shared" si="19"/>
        <v/>
      </c>
      <c r="N352" s="65" t="str">
        <f t="shared" si="20"/>
        <v/>
      </c>
      <c r="R352" s="65"/>
    </row>
    <row r="353" spans="2:18" x14ac:dyDescent="0.25">
      <c r="B353" s="170" t="s">
        <v>511</v>
      </c>
      <c r="C353" s="73"/>
      <c r="D353" s="73" t="s">
        <v>512</v>
      </c>
      <c r="E353" s="73"/>
      <c r="M353" s="65" t="str">
        <f t="shared" si="19"/>
        <v/>
      </c>
      <c r="N353" s="65" t="str">
        <f t="shared" si="20"/>
        <v/>
      </c>
      <c r="R353" s="65"/>
    </row>
    <row r="354" spans="2:18" x14ac:dyDescent="0.25">
      <c r="B354" s="170" t="s">
        <v>516</v>
      </c>
      <c r="C354" s="73"/>
      <c r="D354" s="73" t="s">
        <v>517</v>
      </c>
      <c r="E354" s="73"/>
      <c r="M354" s="65" t="str">
        <f t="shared" si="19"/>
        <v/>
      </c>
      <c r="N354" s="65" t="str">
        <f t="shared" si="20"/>
        <v/>
      </c>
      <c r="R354" s="65"/>
    </row>
    <row r="355" spans="2:18" ht="25" x14ac:dyDescent="0.25">
      <c r="B355" s="170" t="s">
        <v>521</v>
      </c>
      <c r="C355" s="73"/>
      <c r="D355" s="170" t="s">
        <v>522</v>
      </c>
      <c r="E355" s="73"/>
      <c r="M355" s="65" t="str">
        <f t="shared" si="19"/>
        <v/>
      </c>
      <c r="N355" s="65" t="str">
        <f t="shared" si="20"/>
        <v/>
      </c>
      <c r="R355" s="65"/>
    </row>
    <row r="356" spans="2:18" x14ac:dyDescent="0.25">
      <c r="B356" s="170" t="s">
        <v>526</v>
      </c>
      <c r="C356" s="73"/>
      <c r="D356" s="73" t="s">
        <v>527</v>
      </c>
      <c r="E356" s="73"/>
      <c r="M356" s="65" t="str">
        <f t="shared" si="19"/>
        <v/>
      </c>
      <c r="N356" s="65" t="str">
        <f t="shared" si="20"/>
        <v/>
      </c>
      <c r="R356" s="65"/>
    </row>
    <row r="357" spans="2:18" x14ac:dyDescent="0.25">
      <c r="B357" s="170" t="s">
        <v>531</v>
      </c>
      <c r="C357" s="73"/>
      <c r="D357" s="73" t="s">
        <v>532</v>
      </c>
      <c r="E357" s="73"/>
      <c r="M357" s="65" t="str">
        <f t="shared" si="19"/>
        <v/>
      </c>
      <c r="N357" s="65" t="str">
        <f t="shared" si="20"/>
        <v/>
      </c>
      <c r="R357" s="65"/>
    </row>
    <row r="358" spans="2:18" x14ac:dyDescent="0.25">
      <c r="B358" s="170" t="s">
        <v>536</v>
      </c>
      <c r="C358" s="73"/>
      <c r="D358" s="73" t="s">
        <v>537</v>
      </c>
      <c r="E358" s="73"/>
      <c r="M358" s="65" t="str">
        <f t="shared" si="19"/>
        <v/>
      </c>
      <c r="N358" s="65" t="str">
        <f t="shared" si="20"/>
        <v/>
      </c>
      <c r="R358" s="65"/>
    </row>
    <row r="359" spans="2:18" x14ac:dyDescent="0.25">
      <c r="B359" s="170" t="s">
        <v>541</v>
      </c>
      <c r="C359" s="73"/>
      <c r="D359" s="73" t="s">
        <v>542</v>
      </c>
      <c r="E359" s="73"/>
      <c r="M359" s="65" t="str">
        <f t="shared" si="19"/>
        <v/>
      </c>
      <c r="N359" s="65" t="str">
        <f t="shared" si="20"/>
        <v/>
      </c>
      <c r="R359" s="65"/>
    </row>
    <row r="360" spans="2:18" x14ac:dyDescent="0.25">
      <c r="B360" s="170" t="s">
        <v>546</v>
      </c>
      <c r="C360" s="73"/>
      <c r="D360" s="73" t="s">
        <v>547</v>
      </c>
      <c r="E360" s="73"/>
      <c r="M360" s="65" t="str">
        <f t="shared" si="19"/>
        <v/>
      </c>
      <c r="N360" s="65" t="str">
        <f t="shared" si="20"/>
        <v/>
      </c>
      <c r="R360" s="65"/>
    </row>
    <row r="361" spans="2:18" x14ac:dyDescent="0.25">
      <c r="B361" s="170" t="s">
        <v>551</v>
      </c>
      <c r="C361" s="73"/>
      <c r="D361" s="73" t="s">
        <v>537</v>
      </c>
      <c r="E361" s="73"/>
      <c r="M361" s="65" t="str">
        <f t="shared" si="19"/>
        <v/>
      </c>
      <c r="N361" s="65" t="str">
        <f t="shared" si="20"/>
        <v/>
      </c>
      <c r="R361" s="65"/>
    </row>
    <row r="362" spans="2:18" x14ac:dyDescent="0.25">
      <c r="B362" s="170" t="s">
        <v>555</v>
      </c>
      <c r="C362" s="73"/>
      <c r="D362" s="73" t="s">
        <v>556</v>
      </c>
      <c r="E362" s="73"/>
      <c r="M362" s="65" t="str">
        <f t="shared" si="19"/>
        <v/>
      </c>
      <c r="N362" s="65" t="str">
        <f t="shared" si="20"/>
        <v/>
      </c>
      <c r="R362" s="65"/>
    </row>
    <row r="363" spans="2:18" x14ac:dyDescent="0.25">
      <c r="B363" s="170" t="s">
        <v>560</v>
      </c>
      <c r="C363" s="73"/>
      <c r="D363" s="73" t="s">
        <v>561</v>
      </c>
      <c r="E363" s="73"/>
      <c r="M363" s="65" t="str">
        <f t="shared" si="19"/>
        <v/>
      </c>
      <c r="N363" s="65" t="str">
        <f t="shared" si="20"/>
        <v/>
      </c>
      <c r="R363" s="65"/>
    </row>
    <row r="364" spans="2:18" x14ac:dyDescent="0.25">
      <c r="B364" s="170" t="s">
        <v>565</v>
      </c>
      <c r="C364" s="73"/>
      <c r="D364" s="73" t="s">
        <v>566</v>
      </c>
      <c r="E364" s="73"/>
      <c r="M364" s="65" t="str">
        <f t="shared" si="19"/>
        <v/>
      </c>
      <c r="N364" s="65" t="str">
        <f t="shared" si="20"/>
        <v/>
      </c>
      <c r="R364" s="65"/>
    </row>
    <row r="365" spans="2:18" x14ac:dyDescent="0.25">
      <c r="B365" s="170" t="s">
        <v>570</v>
      </c>
      <c r="C365" s="73"/>
      <c r="D365" s="73" t="s">
        <v>571</v>
      </c>
      <c r="E365" s="73"/>
      <c r="M365" s="65" t="str">
        <f t="shared" si="19"/>
        <v/>
      </c>
      <c r="N365" s="65" t="str">
        <f t="shared" si="20"/>
        <v/>
      </c>
      <c r="R365" s="65"/>
    </row>
    <row r="366" spans="2:18" x14ac:dyDescent="0.25">
      <c r="B366" s="170" t="s">
        <v>575</v>
      </c>
      <c r="C366" s="73"/>
      <c r="D366" s="73" t="s">
        <v>576</v>
      </c>
      <c r="E366" s="73"/>
      <c r="M366" s="65" t="str">
        <f t="shared" si="19"/>
        <v/>
      </c>
      <c r="N366" s="65" t="str">
        <f t="shared" si="20"/>
        <v/>
      </c>
      <c r="R366" s="65"/>
    </row>
    <row r="367" spans="2:18" x14ac:dyDescent="0.25">
      <c r="B367" s="170" t="s">
        <v>580</v>
      </c>
      <c r="C367" s="73"/>
      <c r="D367" s="73" t="s">
        <v>581</v>
      </c>
      <c r="E367" s="73"/>
      <c r="M367" s="65" t="str">
        <f t="shared" si="19"/>
        <v/>
      </c>
      <c r="N367" s="65" t="str">
        <f t="shared" si="20"/>
        <v/>
      </c>
      <c r="R367" s="65"/>
    </row>
    <row r="368" spans="2:18" x14ac:dyDescent="0.25">
      <c r="B368" s="170" t="s">
        <v>585</v>
      </c>
      <c r="C368" s="73"/>
      <c r="D368" s="73" t="s">
        <v>586</v>
      </c>
      <c r="E368" s="73"/>
      <c r="M368" s="65" t="str">
        <f t="shared" si="19"/>
        <v/>
      </c>
      <c r="N368" s="65" t="str">
        <f t="shared" si="20"/>
        <v/>
      </c>
      <c r="R368" s="65"/>
    </row>
    <row r="369" spans="2:18" x14ac:dyDescent="0.25">
      <c r="B369" s="170" t="s">
        <v>590</v>
      </c>
      <c r="C369" s="73"/>
      <c r="D369" s="73" t="s">
        <v>591</v>
      </c>
      <c r="E369" s="73"/>
      <c r="M369" s="65" t="str">
        <f t="shared" si="19"/>
        <v/>
      </c>
      <c r="N369" s="65" t="str">
        <f t="shared" si="20"/>
        <v/>
      </c>
      <c r="R369" s="65"/>
    </row>
    <row r="370" spans="2:18" x14ac:dyDescent="0.25">
      <c r="B370" s="170" t="s">
        <v>595</v>
      </c>
      <c r="C370" s="73"/>
      <c r="D370" s="73" t="s">
        <v>596</v>
      </c>
      <c r="E370" s="73"/>
      <c r="M370" s="65" t="str">
        <f t="shared" si="19"/>
        <v/>
      </c>
      <c r="N370" s="65" t="str">
        <f t="shared" si="20"/>
        <v/>
      </c>
      <c r="R370" s="65"/>
    </row>
    <row r="371" spans="2:18" x14ac:dyDescent="0.25">
      <c r="B371" s="170" t="s">
        <v>600</v>
      </c>
      <c r="C371" s="73"/>
      <c r="D371" s="73" t="s">
        <v>601</v>
      </c>
      <c r="E371" s="73"/>
      <c r="M371" s="65" t="str">
        <f t="shared" si="19"/>
        <v/>
      </c>
      <c r="N371" s="65" t="str">
        <f t="shared" si="20"/>
        <v/>
      </c>
      <c r="R371" s="65"/>
    </row>
    <row r="372" spans="2:18" x14ac:dyDescent="0.25">
      <c r="B372" s="170" t="s">
        <v>605</v>
      </c>
      <c r="C372" s="73"/>
      <c r="D372" s="73" t="s">
        <v>606</v>
      </c>
      <c r="E372" s="73"/>
      <c r="M372" s="65" t="str">
        <f t="shared" si="19"/>
        <v/>
      </c>
      <c r="N372" s="65" t="str">
        <f t="shared" si="20"/>
        <v/>
      </c>
      <c r="R372" s="65"/>
    </row>
    <row r="373" spans="2:18" x14ac:dyDescent="0.25">
      <c r="B373" s="170" t="s">
        <v>610</v>
      </c>
      <c r="C373" s="73"/>
      <c r="D373" s="73" t="s">
        <v>611</v>
      </c>
      <c r="E373" s="73"/>
      <c r="M373" s="65" t="str">
        <f t="shared" si="19"/>
        <v/>
      </c>
      <c r="N373" s="65" t="str">
        <f t="shared" si="20"/>
        <v/>
      </c>
      <c r="R373" s="65"/>
    </row>
    <row r="374" spans="2:18" x14ac:dyDescent="0.25">
      <c r="B374" s="170" t="s">
        <v>615</v>
      </c>
      <c r="C374" s="73"/>
      <c r="D374" s="73" t="s">
        <v>616</v>
      </c>
      <c r="E374" s="73"/>
      <c r="M374" s="65" t="str">
        <f t="shared" si="19"/>
        <v/>
      </c>
      <c r="N374" s="65" t="str">
        <f t="shared" si="20"/>
        <v/>
      </c>
      <c r="R374" s="65"/>
    </row>
    <row r="375" spans="2:18" x14ac:dyDescent="0.25">
      <c r="B375" s="170" t="s">
        <v>620</v>
      </c>
      <c r="C375" s="73"/>
      <c r="D375" s="73" t="s">
        <v>621</v>
      </c>
      <c r="E375" s="73"/>
      <c r="M375" s="65" t="str">
        <f t="shared" si="19"/>
        <v/>
      </c>
      <c r="N375" s="65" t="str">
        <f t="shared" si="20"/>
        <v/>
      </c>
      <c r="R375" s="65"/>
    </row>
    <row r="376" spans="2:18" x14ac:dyDescent="0.25">
      <c r="B376" s="170" t="s">
        <v>625</v>
      </c>
      <c r="C376" s="73"/>
      <c r="D376" s="73" t="s">
        <v>626</v>
      </c>
      <c r="E376" s="73"/>
      <c r="M376" s="65" t="str">
        <f t="shared" si="19"/>
        <v/>
      </c>
      <c r="N376" s="65" t="str">
        <f t="shared" si="20"/>
        <v/>
      </c>
      <c r="R376" s="65"/>
    </row>
    <row r="377" spans="2:18" x14ac:dyDescent="0.25">
      <c r="B377" s="170" t="s">
        <v>630</v>
      </c>
      <c r="C377" s="73"/>
      <c r="D377" s="73" t="s">
        <v>631</v>
      </c>
      <c r="E377" s="73"/>
      <c r="M377" s="65" t="str">
        <f t="shared" si="19"/>
        <v/>
      </c>
      <c r="N377" s="65" t="str">
        <f t="shared" si="20"/>
        <v/>
      </c>
      <c r="R377" s="65"/>
    </row>
    <row r="378" spans="2:18" x14ac:dyDescent="0.25">
      <c r="B378" s="170" t="s">
        <v>635</v>
      </c>
      <c r="C378" s="73"/>
      <c r="D378" s="73" t="s">
        <v>636</v>
      </c>
      <c r="E378" s="73"/>
      <c r="M378" s="65" t="str">
        <f t="shared" si="19"/>
        <v/>
      </c>
      <c r="N378" s="65" t="str">
        <f t="shared" si="20"/>
        <v/>
      </c>
      <c r="R378" s="65"/>
    </row>
    <row r="379" spans="2:18" x14ac:dyDescent="0.25">
      <c r="B379" s="170" t="s">
        <v>639</v>
      </c>
      <c r="C379" s="73"/>
      <c r="D379" s="73" t="s">
        <v>640</v>
      </c>
      <c r="E379" s="73"/>
      <c r="M379" s="65" t="str">
        <f t="shared" si="19"/>
        <v/>
      </c>
      <c r="N379" s="65" t="str">
        <f t="shared" si="20"/>
        <v/>
      </c>
      <c r="R379" s="65"/>
    </row>
    <row r="380" spans="2:18" x14ac:dyDescent="0.25">
      <c r="B380" s="170" t="s">
        <v>642</v>
      </c>
      <c r="C380" s="73"/>
      <c r="D380" s="73" t="s">
        <v>643</v>
      </c>
      <c r="E380" s="73"/>
      <c r="M380" s="65" t="str">
        <f t="shared" si="19"/>
        <v/>
      </c>
      <c r="N380" s="65" t="str">
        <f t="shared" si="20"/>
        <v/>
      </c>
      <c r="R380" s="65"/>
    </row>
    <row r="381" spans="2:18" x14ac:dyDescent="0.25">
      <c r="B381" s="170" t="s">
        <v>646</v>
      </c>
      <c r="C381" s="73"/>
      <c r="D381" s="73" t="s">
        <v>647</v>
      </c>
      <c r="E381" s="73"/>
      <c r="M381" s="65" t="str">
        <f t="shared" si="19"/>
        <v/>
      </c>
      <c r="N381" s="65" t="str">
        <f t="shared" si="20"/>
        <v/>
      </c>
      <c r="R381" s="65"/>
    </row>
    <row r="382" spans="2:18" x14ac:dyDescent="0.25">
      <c r="B382" s="170" t="s">
        <v>650</v>
      </c>
      <c r="C382" s="73"/>
      <c r="D382" s="73" t="s">
        <v>651</v>
      </c>
      <c r="E382" s="73"/>
      <c r="M382" s="65" t="str">
        <f t="shared" si="19"/>
        <v/>
      </c>
      <c r="N382" s="65" t="str">
        <f t="shared" si="20"/>
        <v/>
      </c>
      <c r="R382" s="65"/>
    </row>
    <row r="383" spans="2:18" x14ac:dyDescent="0.25">
      <c r="B383" s="170" t="s">
        <v>655</v>
      </c>
      <c r="C383" s="73"/>
      <c r="D383" s="73" t="s">
        <v>656</v>
      </c>
      <c r="E383" s="73"/>
      <c r="M383" s="65" t="str">
        <f t="shared" si="19"/>
        <v/>
      </c>
      <c r="N383" s="65" t="str">
        <f t="shared" si="20"/>
        <v/>
      </c>
      <c r="R383" s="65"/>
    </row>
    <row r="384" spans="2:18" x14ac:dyDescent="0.25">
      <c r="B384" s="170" t="s">
        <v>660</v>
      </c>
      <c r="C384" s="73"/>
      <c r="D384" s="73" t="s">
        <v>661</v>
      </c>
      <c r="E384" s="73"/>
      <c r="M384" s="65" t="str">
        <f t="shared" si="19"/>
        <v/>
      </c>
      <c r="N384" s="65" t="str">
        <f t="shared" si="20"/>
        <v/>
      </c>
      <c r="R384" s="65"/>
    </row>
    <row r="385" spans="2:18" x14ac:dyDescent="0.25">
      <c r="B385" s="170" t="s">
        <v>665</v>
      </c>
      <c r="C385" s="73"/>
      <c r="D385" s="73" t="s">
        <v>666</v>
      </c>
      <c r="E385" s="73"/>
      <c r="M385" s="65" t="str">
        <f t="shared" si="19"/>
        <v/>
      </c>
      <c r="N385" s="65" t="str">
        <f t="shared" si="20"/>
        <v/>
      </c>
      <c r="R385" s="65"/>
    </row>
    <row r="386" spans="2:18" x14ac:dyDescent="0.25">
      <c r="B386" s="170" t="s">
        <v>670</v>
      </c>
      <c r="C386" s="73"/>
      <c r="D386" s="73" t="s">
        <v>671</v>
      </c>
      <c r="E386" s="73"/>
      <c r="M386" s="65" t="str">
        <f t="shared" si="19"/>
        <v/>
      </c>
      <c r="N386" s="65" t="str">
        <f t="shared" si="20"/>
        <v/>
      </c>
      <c r="R386" s="65"/>
    </row>
    <row r="387" spans="2:18" x14ac:dyDescent="0.25">
      <c r="B387" s="170" t="s">
        <v>675</v>
      </c>
      <c r="C387" s="73"/>
      <c r="D387" s="73" t="s">
        <v>676</v>
      </c>
      <c r="E387" s="73"/>
      <c r="M387" s="65" t="str">
        <f t="shared" ref="M387:M413" si="21">IF(ISERROR(FIND("=",P387)),"",RIGHT(P387,LEN(P387)-FIND("=",P387)+3))</f>
        <v/>
      </c>
      <c r="N387" s="65" t="str">
        <f t="shared" ref="N387:N450" si="22">IF(ISERROR(FIND(" (include",P387)),"",RIGHT(P387,LEN(P387)-FIND(" (include",P387)))</f>
        <v/>
      </c>
      <c r="R387" s="65"/>
    </row>
    <row r="388" spans="2:18" x14ac:dyDescent="0.25">
      <c r="B388" s="170" t="s">
        <v>680</v>
      </c>
      <c r="C388" s="73"/>
      <c r="D388" s="73" t="s">
        <v>681</v>
      </c>
      <c r="E388" s="73"/>
      <c r="M388" s="65" t="str">
        <f t="shared" si="21"/>
        <v/>
      </c>
      <c r="N388" s="65" t="str">
        <f t="shared" si="22"/>
        <v/>
      </c>
      <c r="R388" s="65"/>
    </row>
    <row r="389" spans="2:18" x14ac:dyDescent="0.25">
      <c r="B389" s="170" t="s">
        <v>685</v>
      </c>
      <c r="C389" s="73"/>
      <c r="D389" s="73" t="s">
        <v>686</v>
      </c>
      <c r="E389" s="73"/>
      <c r="M389" s="65" t="str">
        <f t="shared" si="21"/>
        <v/>
      </c>
      <c r="N389" s="65" t="str">
        <f t="shared" si="22"/>
        <v/>
      </c>
      <c r="R389" s="65"/>
    </row>
    <row r="390" spans="2:18" x14ac:dyDescent="0.25">
      <c r="B390" s="170" t="s">
        <v>690</v>
      </c>
      <c r="C390" s="73"/>
      <c r="D390" s="73" t="s">
        <v>691</v>
      </c>
      <c r="E390" s="73"/>
      <c r="M390" s="65" t="str">
        <f t="shared" si="21"/>
        <v/>
      </c>
      <c r="N390" s="65" t="str">
        <f t="shared" si="22"/>
        <v/>
      </c>
      <c r="R390" s="65"/>
    </row>
    <row r="391" spans="2:18" x14ac:dyDescent="0.25">
      <c r="B391" s="170" t="s">
        <v>694</v>
      </c>
      <c r="C391" s="73"/>
      <c r="D391" s="73" t="s">
        <v>695</v>
      </c>
      <c r="E391" s="73"/>
      <c r="M391" s="65" t="str">
        <f t="shared" si="21"/>
        <v/>
      </c>
      <c r="N391" s="65" t="str">
        <f t="shared" si="22"/>
        <v/>
      </c>
      <c r="R391" s="65"/>
    </row>
    <row r="392" spans="2:18" x14ac:dyDescent="0.25">
      <c r="B392" s="170" t="s">
        <v>697</v>
      </c>
      <c r="C392" s="73"/>
      <c r="D392" s="73" t="s">
        <v>698</v>
      </c>
      <c r="E392" s="73"/>
      <c r="M392" s="65" t="str">
        <f t="shared" si="21"/>
        <v/>
      </c>
      <c r="N392" s="65" t="str">
        <f t="shared" si="22"/>
        <v/>
      </c>
      <c r="R392" s="65"/>
    </row>
    <row r="393" spans="2:18" x14ac:dyDescent="0.25">
      <c r="B393" s="170" t="s">
        <v>700</v>
      </c>
      <c r="C393" s="73"/>
      <c r="D393" s="73" t="s">
        <v>701</v>
      </c>
      <c r="E393" s="73"/>
      <c r="M393" s="65" t="str">
        <f t="shared" si="21"/>
        <v/>
      </c>
      <c r="N393" s="65" t="str">
        <f t="shared" si="22"/>
        <v/>
      </c>
      <c r="R393" s="65"/>
    </row>
    <row r="394" spans="2:18" x14ac:dyDescent="0.25">
      <c r="B394" s="170" t="s">
        <v>705</v>
      </c>
      <c r="C394" s="73"/>
      <c r="D394" s="73" t="s">
        <v>706</v>
      </c>
      <c r="E394" s="73"/>
      <c r="M394" s="65" t="str">
        <f t="shared" si="21"/>
        <v/>
      </c>
      <c r="N394" s="65" t="str">
        <f t="shared" si="22"/>
        <v/>
      </c>
      <c r="R394" s="65"/>
    </row>
    <row r="395" spans="2:18" x14ac:dyDescent="0.25">
      <c r="B395" s="170" t="s">
        <v>710</v>
      </c>
      <c r="C395" s="73"/>
      <c r="D395" s="73" t="s">
        <v>711</v>
      </c>
      <c r="E395" s="73"/>
      <c r="M395" s="65" t="str">
        <f t="shared" si="21"/>
        <v/>
      </c>
      <c r="N395" s="65" t="str">
        <f t="shared" si="22"/>
        <v/>
      </c>
      <c r="R395" s="65"/>
    </row>
    <row r="396" spans="2:18" x14ac:dyDescent="0.25">
      <c r="B396" s="170" t="s">
        <v>714</v>
      </c>
      <c r="C396" s="73"/>
      <c r="D396" s="73" t="s">
        <v>715</v>
      </c>
      <c r="E396" s="73"/>
      <c r="M396" s="65" t="str">
        <f t="shared" si="21"/>
        <v/>
      </c>
      <c r="N396" s="65" t="str">
        <f t="shared" si="22"/>
        <v/>
      </c>
      <c r="R396" s="65"/>
    </row>
    <row r="397" spans="2:18" x14ac:dyDescent="0.25">
      <c r="B397" s="170" t="s">
        <v>718</v>
      </c>
      <c r="C397" s="73"/>
      <c r="D397" s="73" t="s">
        <v>719</v>
      </c>
      <c r="E397" s="73"/>
      <c r="M397" s="65" t="str">
        <f t="shared" si="21"/>
        <v/>
      </c>
      <c r="N397" s="65" t="str">
        <f t="shared" si="22"/>
        <v/>
      </c>
      <c r="R397" s="65"/>
    </row>
    <row r="398" spans="2:18" x14ac:dyDescent="0.25">
      <c r="B398" s="170" t="s">
        <v>723</v>
      </c>
      <c r="C398" s="73"/>
      <c r="D398" s="73" t="s">
        <v>724</v>
      </c>
      <c r="E398" s="73"/>
      <c r="M398" s="65" t="str">
        <f t="shared" si="21"/>
        <v/>
      </c>
      <c r="N398" s="65" t="str">
        <f t="shared" si="22"/>
        <v/>
      </c>
      <c r="R398" s="65"/>
    </row>
    <row r="399" spans="2:18" x14ac:dyDescent="0.25">
      <c r="B399" s="170" t="s">
        <v>728</v>
      </c>
      <c r="C399" s="73"/>
      <c r="D399" s="73" t="s">
        <v>729</v>
      </c>
      <c r="E399" s="73"/>
      <c r="M399" s="65" t="str">
        <f t="shared" si="21"/>
        <v/>
      </c>
      <c r="N399" s="65" t="str">
        <f t="shared" si="22"/>
        <v/>
      </c>
      <c r="R399" s="65"/>
    </row>
    <row r="400" spans="2:18" x14ac:dyDescent="0.25">
      <c r="B400" s="170" t="s">
        <v>733</v>
      </c>
      <c r="C400" s="73"/>
      <c r="D400" s="73" t="s">
        <v>734</v>
      </c>
      <c r="E400" s="73"/>
      <c r="M400" s="65" t="str">
        <f t="shared" si="21"/>
        <v/>
      </c>
      <c r="N400" s="65" t="str">
        <f t="shared" si="22"/>
        <v/>
      </c>
      <c r="R400" s="65"/>
    </row>
    <row r="401" spans="2:18" x14ac:dyDescent="0.25">
      <c r="B401" s="170" t="s">
        <v>738</v>
      </c>
      <c r="C401" s="73"/>
      <c r="D401" s="73" t="s">
        <v>739</v>
      </c>
      <c r="E401" s="73"/>
      <c r="M401" s="65" t="str">
        <f t="shared" si="21"/>
        <v/>
      </c>
      <c r="N401" s="65" t="str">
        <f t="shared" si="22"/>
        <v/>
      </c>
      <c r="R401" s="65"/>
    </row>
    <row r="402" spans="2:18" x14ac:dyDescent="0.25">
      <c r="B402" s="170" t="s">
        <v>744</v>
      </c>
      <c r="C402" s="73"/>
      <c r="D402" s="73" t="s">
        <v>745</v>
      </c>
      <c r="E402" s="73"/>
      <c r="M402" s="65" t="str">
        <f t="shared" si="21"/>
        <v/>
      </c>
      <c r="N402" s="65" t="str">
        <f t="shared" si="22"/>
        <v/>
      </c>
      <c r="R402" s="65"/>
    </row>
    <row r="403" spans="2:18" x14ac:dyDescent="0.25">
      <c r="B403" s="170" t="s">
        <v>749</v>
      </c>
      <c r="C403" s="73"/>
      <c r="D403" s="73" t="s">
        <v>750</v>
      </c>
      <c r="E403" s="73"/>
      <c r="M403" s="65" t="str">
        <f t="shared" si="21"/>
        <v/>
      </c>
      <c r="N403" s="65" t="str">
        <f t="shared" si="22"/>
        <v/>
      </c>
      <c r="R403" s="65"/>
    </row>
    <row r="404" spans="2:18" x14ac:dyDescent="0.25">
      <c r="B404" s="170" t="s">
        <v>754</v>
      </c>
      <c r="C404" s="73"/>
      <c r="D404" s="73" t="s">
        <v>755</v>
      </c>
      <c r="E404" s="73"/>
      <c r="M404" s="65" t="str">
        <f t="shared" si="21"/>
        <v/>
      </c>
      <c r="N404" s="65" t="str">
        <f t="shared" si="22"/>
        <v/>
      </c>
      <c r="R404" s="65"/>
    </row>
    <row r="405" spans="2:18" x14ac:dyDescent="0.25">
      <c r="B405" s="170" t="s">
        <v>759</v>
      </c>
      <c r="C405" s="73"/>
      <c r="D405" s="73" t="s">
        <v>760</v>
      </c>
      <c r="E405" s="73"/>
      <c r="M405" s="65" t="str">
        <f t="shared" si="21"/>
        <v/>
      </c>
      <c r="N405" s="65" t="str">
        <f t="shared" si="22"/>
        <v/>
      </c>
      <c r="R405" s="65"/>
    </row>
    <row r="406" spans="2:18" x14ac:dyDescent="0.25">
      <c r="B406" s="170" t="s">
        <v>765</v>
      </c>
      <c r="C406" s="73"/>
      <c r="D406" s="73" t="s">
        <v>766</v>
      </c>
      <c r="E406" s="73"/>
      <c r="M406" s="65" t="str">
        <f t="shared" si="21"/>
        <v/>
      </c>
      <c r="N406" s="65" t="str">
        <f t="shared" si="22"/>
        <v/>
      </c>
      <c r="R406" s="65"/>
    </row>
    <row r="407" spans="2:18" x14ac:dyDescent="0.25">
      <c r="B407" s="170" t="s">
        <v>3534</v>
      </c>
      <c r="C407" s="73"/>
      <c r="D407" s="73" t="s">
        <v>3535</v>
      </c>
      <c r="E407" s="73"/>
      <c r="M407" s="65" t="str">
        <f t="shared" si="21"/>
        <v/>
      </c>
      <c r="N407" s="65" t="str">
        <f t="shared" si="22"/>
        <v/>
      </c>
      <c r="R407" s="65"/>
    </row>
    <row r="408" spans="2:18" x14ac:dyDescent="0.25">
      <c r="B408" s="170" t="s">
        <v>3543</v>
      </c>
      <c r="C408" s="73"/>
      <c r="D408" s="73" t="s">
        <v>3544</v>
      </c>
      <c r="E408" s="73"/>
      <c r="M408" s="65" t="str">
        <f t="shared" si="21"/>
        <v/>
      </c>
      <c r="N408" s="65" t="str">
        <f t="shared" si="22"/>
        <v/>
      </c>
      <c r="R408" s="65"/>
    </row>
    <row r="409" spans="2:18" x14ac:dyDescent="0.25">
      <c r="B409" s="170" t="s">
        <v>775</v>
      </c>
      <c r="C409" s="73"/>
      <c r="D409" s="73" t="s">
        <v>776</v>
      </c>
      <c r="E409" s="73"/>
      <c r="M409" s="65" t="str">
        <f t="shared" si="21"/>
        <v/>
      </c>
      <c r="N409" s="65" t="str">
        <f t="shared" si="22"/>
        <v/>
      </c>
      <c r="R409" s="65"/>
    </row>
    <row r="410" spans="2:18" x14ac:dyDescent="0.25">
      <c r="B410" s="170" t="s">
        <v>779</v>
      </c>
      <c r="C410" s="73"/>
      <c r="D410" s="73" t="s">
        <v>780</v>
      </c>
      <c r="E410" s="73"/>
      <c r="M410" s="65" t="str">
        <f t="shared" si="21"/>
        <v/>
      </c>
      <c r="N410" s="65" t="str">
        <f t="shared" si="22"/>
        <v/>
      </c>
      <c r="R410" s="65"/>
    </row>
    <row r="411" spans="2:18" x14ac:dyDescent="0.25">
      <c r="B411" s="170" t="s">
        <v>783</v>
      </c>
      <c r="C411" s="73"/>
      <c r="D411" s="73" t="s">
        <v>784</v>
      </c>
      <c r="E411" s="73"/>
      <c r="M411" s="65" t="str">
        <f t="shared" si="21"/>
        <v/>
      </c>
      <c r="N411" s="65" t="str">
        <f t="shared" si="22"/>
        <v/>
      </c>
      <c r="R411" s="65"/>
    </row>
    <row r="412" spans="2:18" x14ac:dyDescent="0.25">
      <c r="B412" s="170" t="s">
        <v>789</v>
      </c>
      <c r="C412" s="73"/>
      <c r="D412" s="73" t="s">
        <v>790</v>
      </c>
      <c r="E412" s="73"/>
      <c r="M412" s="65" t="str">
        <f t="shared" si="21"/>
        <v/>
      </c>
      <c r="N412" s="65" t="str">
        <f t="shared" si="22"/>
        <v/>
      </c>
      <c r="R412" s="65"/>
    </row>
    <row r="413" spans="2:18" x14ac:dyDescent="0.25">
      <c r="B413" s="170" t="s">
        <v>350</v>
      </c>
      <c r="C413" s="73"/>
      <c r="D413" s="73" t="s">
        <v>351</v>
      </c>
      <c r="E413" s="73"/>
      <c r="M413" s="65" t="str">
        <f t="shared" si="21"/>
        <v/>
      </c>
      <c r="N413" s="65" t="str">
        <f t="shared" si="22"/>
        <v/>
      </c>
      <c r="R413" s="65"/>
    </row>
    <row r="414" spans="2:18" x14ac:dyDescent="0.25">
      <c r="B414" s="170" t="s">
        <v>799</v>
      </c>
      <c r="C414" s="73"/>
      <c r="D414" s="73" t="s">
        <v>800</v>
      </c>
      <c r="E414" s="73"/>
      <c r="N414" s="65" t="str">
        <f t="shared" si="22"/>
        <v/>
      </c>
      <c r="R414" s="65"/>
    </row>
    <row r="415" spans="2:18" x14ac:dyDescent="0.25">
      <c r="B415" s="170" t="s">
        <v>804</v>
      </c>
      <c r="C415" s="73"/>
      <c r="D415" s="73" t="s">
        <v>805</v>
      </c>
      <c r="E415" s="73"/>
      <c r="N415" s="65" t="str">
        <f t="shared" si="22"/>
        <v/>
      </c>
      <c r="R415" s="65"/>
    </row>
    <row r="416" spans="2:18" x14ac:dyDescent="0.25">
      <c r="B416" s="170" t="s">
        <v>809</v>
      </c>
      <c r="C416" s="73"/>
      <c r="D416" s="73" t="s">
        <v>810</v>
      </c>
      <c r="E416" s="73"/>
      <c r="N416" s="65" t="str">
        <f t="shared" si="22"/>
        <v/>
      </c>
      <c r="R416" s="65"/>
    </row>
    <row r="417" spans="2:18" x14ac:dyDescent="0.25">
      <c r="B417" s="170" t="s">
        <v>814</v>
      </c>
      <c r="C417" s="73"/>
      <c r="D417" s="73" t="s">
        <v>815</v>
      </c>
      <c r="E417" s="73"/>
      <c r="N417" s="65" t="str">
        <f t="shared" si="22"/>
        <v/>
      </c>
      <c r="R417" s="65"/>
    </row>
    <row r="418" spans="2:18" x14ac:dyDescent="0.25">
      <c r="B418" s="170" t="s">
        <v>819</v>
      </c>
      <c r="C418" s="73"/>
      <c r="D418" s="73" t="s">
        <v>820</v>
      </c>
      <c r="E418" s="73"/>
      <c r="N418" s="65" t="str">
        <f t="shared" si="22"/>
        <v/>
      </c>
      <c r="R418" s="65"/>
    </row>
    <row r="419" spans="2:18" x14ac:dyDescent="0.25">
      <c r="B419" s="170" t="s">
        <v>828</v>
      </c>
      <c r="C419" s="73"/>
      <c r="D419" s="73" t="s">
        <v>829</v>
      </c>
      <c r="E419" s="73"/>
      <c r="N419" s="65" t="str">
        <f t="shared" si="22"/>
        <v/>
      </c>
      <c r="R419" s="65"/>
    </row>
    <row r="420" spans="2:18" x14ac:dyDescent="0.25">
      <c r="B420" s="170" t="s">
        <v>834</v>
      </c>
      <c r="C420" s="73"/>
      <c r="D420" s="73" t="s">
        <v>835</v>
      </c>
      <c r="E420" s="73"/>
      <c r="N420" s="65" t="str">
        <f t="shared" si="22"/>
        <v/>
      </c>
      <c r="R420" s="65"/>
    </row>
    <row r="421" spans="2:18" x14ac:dyDescent="0.25">
      <c r="B421" s="170" t="s">
        <v>839</v>
      </c>
      <c r="C421" s="73"/>
      <c r="D421" s="73" t="s">
        <v>840</v>
      </c>
      <c r="E421" s="73"/>
      <c r="N421" s="65" t="str">
        <f t="shared" si="22"/>
        <v/>
      </c>
      <c r="R421" s="65"/>
    </row>
    <row r="422" spans="2:18" x14ac:dyDescent="0.25">
      <c r="B422" s="170" t="s">
        <v>844</v>
      </c>
      <c r="C422" s="73"/>
      <c r="D422" s="73" t="s">
        <v>845</v>
      </c>
      <c r="E422" s="73"/>
      <c r="N422" s="65" t="str">
        <f t="shared" si="22"/>
        <v/>
      </c>
      <c r="R422" s="65"/>
    </row>
    <row r="423" spans="2:18" x14ac:dyDescent="0.25">
      <c r="B423" s="170" t="s">
        <v>849</v>
      </c>
      <c r="C423" s="73"/>
      <c r="D423" s="73" t="s">
        <v>850</v>
      </c>
      <c r="E423" s="73"/>
      <c r="N423" s="65" t="str">
        <f t="shared" si="22"/>
        <v/>
      </c>
      <c r="R423" s="65"/>
    </row>
    <row r="424" spans="2:18" x14ac:dyDescent="0.25">
      <c r="B424" s="170" t="s">
        <v>854</v>
      </c>
      <c r="C424" s="73"/>
      <c r="D424" s="73" t="s">
        <v>855</v>
      </c>
      <c r="E424" s="73"/>
      <c r="N424" s="65" t="str">
        <f t="shared" si="22"/>
        <v/>
      </c>
      <c r="R424" s="65"/>
    </row>
    <row r="425" spans="2:18" x14ac:dyDescent="0.25">
      <c r="B425" s="170" t="s">
        <v>859</v>
      </c>
      <c r="C425" s="73"/>
      <c r="D425" s="73" t="s">
        <v>860</v>
      </c>
      <c r="E425" s="73"/>
      <c r="N425" s="65" t="str">
        <f t="shared" si="22"/>
        <v/>
      </c>
      <c r="R425" s="65"/>
    </row>
    <row r="426" spans="2:18" x14ac:dyDescent="0.25">
      <c r="B426" s="170" t="s">
        <v>864</v>
      </c>
      <c r="C426" s="73"/>
      <c r="D426" s="73" t="s">
        <v>865</v>
      </c>
      <c r="E426" s="73"/>
      <c r="N426" s="65" t="str">
        <f t="shared" si="22"/>
        <v/>
      </c>
      <c r="R426" s="65"/>
    </row>
    <row r="427" spans="2:18" x14ac:dyDescent="0.25">
      <c r="B427" s="170" t="s">
        <v>869</v>
      </c>
      <c r="C427" s="73"/>
      <c r="D427" s="73" t="s">
        <v>870</v>
      </c>
      <c r="E427" s="73"/>
      <c r="N427" s="65" t="str">
        <f t="shared" si="22"/>
        <v/>
      </c>
      <c r="R427" s="65"/>
    </row>
    <row r="428" spans="2:18" x14ac:dyDescent="0.25">
      <c r="B428" s="170" t="s">
        <v>874</v>
      </c>
      <c r="C428" s="73"/>
      <c r="D428" s="73" t="s">
        <v>875</v>
      </c>
      <c r="E428" s="73"/>
      <c r="N428" s="65" t="str">
        <f t="shared" si="22"/>
        <v/>
      </c>
      <c r="R428" s="65"/>
    </row>
    <row r="429" spans="2:18" x14ac:dyDescent="0.25">
      <c r="B429" s="170" t="s">
        <v>879</v>
      </c>
      <c r="C429" s="73"/>
      <c r="D429" s="73" t="s">
        <v>880</v>
      </c>
      <c r="E429" s="73"/>
      <c r="N429" s="65" t="str">
        <f t="shared" si="22"/>
        <v/>
      </c>
      <c r="R429" s="65"/>
    </row>
    <row r="430" spans="2:18" x14ac:dyDescent="0.25">
      <c r="B430" s="170" t="s">
        <v>884</v>
      </c>
      <c r="C430" s="73"/>
      <c r="D430" s="73" t="s">
        <v>885</v>
      </c>
      <c r="E430" s="73"/>
      <c r="N430" s="65" t="str">
        <f t="shared" si="22"/>
        <v/>
      </c>
      <c r="R430" s="65"/>
    </row>
    <row r="431" spans="2:18" x14ac:dyDescent="0.25">
      <c r="B431" s="170" t="s">
        <v>889</v>
      </c>
      <c r="C431" s="73"/>
      <c r="D431" s="73" t="s">
        <v>890</v>
      </c>
      <c r="E431" s="73"/>
      <c r="N431" s="65" t="str">
        <f t="shared" si="22"/>
        <v/>
      </c>
      <c r="R431" s="65"/>
    </row>
    <row r="432" spans="2:18" x14ac:dyDescent="0.25">
      <c r="B432" s="170" t="s">
        <v>894</v>
      </c>
      <c r="C432" s="73"/>
      <c r="D432" s="73" t="s">
        <v>895</v>
      </c>
      <c r="E432" s="73"/>
      <c r="N432" s="65" t="str">
        <f t="shared" si="22"/>
        <v/>
      </c>
      <c r="R432" s="65"/>
    </row>
    <row r="433" spans="2:18" x14ac:dyDescent="0.25">
      <c r="B433" s="170" t="s">
        <v>899</v>
      </c>
      <c r="C433" s="73"/>
      <c r="D433" s="73" t="s">
        <v>900</v>
      </c>
      <c r="E433" s="73"/>
      <c r="N433" s="65" t="str">
        <f t="shared" si="22"/>
        <v/>
      </c>
      <c r="R433" s="65"/>
    </row>
    <row r="434" spans="2:18" x14ac:dyDescent="0.25">
      <c r="B434" s="170" t="s">
        <v>903</v>
      </c>
      <c r="C434" s="73"/>
      <c r="D434" s="73" t="s">
        <v>904</v>
      </c>
      <c r="E434" s="73"/>
      <c r="N434" s="65" t="str">
        <f t="shared" si="22"/>
        <v/>
      </c>
      <c r="R434" s="65"/>
    </row>
    <row r="435" spans="2:18" x14ac:dyDescent="0.25">
      <c r="B435" s="170" t="s">
        <v>908</v>
      </c>
      <c r="C435" s="73"/>
      <c r="D435" s="73" t="s">
        <v>909</v>
      </c>
      <c r="E435" s="73"/>
      <c r="N435" s="65" t="str">
        <f t="shared" si="22"/>
        <v/>
      </c>
      <c r="R435" s="65"/>
    </row>
    <row r="436" spans="2:18" x14ac:dyDescent="0.25">
      <c r="B436" s="170" t="s">
        <v>912</v>
      </c>
      <c r="C436" s="73"/>
      <c r="D436" s="73" t="s">
        <v>913</v>
      </c>
      <c r="E436" s="73"/>
      <c r="N436" s="65" t="str">
        <f t="shared" si="22"/>
        <v/>
      </c>
      <c r="R436" s="65"/>
    </row>
    <row r="437" spans="2:18" x14ac:dyDescent="0.25">
      <c r="B437" s="90" t="s">
        <v>917</v>
      </c>
      <c r="C437" s="73"/>
      <c r="D437" s="73" t="s">
        <v>918</v>
      </c>
      <c r="E437" s="73"/>
      <c r="N437" s="65" t="str">
        <f t="shared" si="22"/>
        <v/>
      </c>
      <c r="R437" s="65"/>
    </row>
    <row r="438" spans="2:18" x14ac:dyDescent="0.25">
      <c r="B438" s="170" t="s">
        <v>921</v>
      </c>
      <c r="C438" s="73"/>
      <c r="D438" s="73" t="s">
        <v>922</v>
      </c>
      <c r="E438" s="73"/>
      <c r="N438" s="65" t="str">
        <f t="shared" si="22"/>
        <v/>
      </c>
      <c r="R438" s="65"/>
    </row>
    <row r="439" spans="2:18" x14ac:dyDescent="0.25">
      <c r="B439" s="170" t="s">
        <v>926</v>
      </c>
      <c r="C439" s="73"/>
      <c r="D439" s="73" t="s">
        <v>927</v>
      </c>
      <c r="E439" s="73"/>
      <c r="N439" s="65" t="str">
        <f t="shared" si="22"/>
        <v/>
      </c>
      <c r="R439" s="65"/>
    </row>
    <row r="440" spans="2:18" x14ac:dyDescent="0.25">
      <c r="B440" s="170" t="s">
        <v>931</v>
      </c>
      <c r="C440" s="73"/>
      <c r="D440" s="73" t="s">
        <v>932</v>
      </c>
      <c r="E440" s="73"/>
      <c r="N440" s="65" t="str">
        <f t="shared" si="22"/>
        <v/>
      </c>
      <c r="R440" s="65"/>
    </row>
    <row r="441" spans="2:18" x14ac:dyDescent="0.25">
      <c r="B441" s="170" t="s">
        <v>936</v>
      </c>
      <c r="C441" s="73"/>
      <c r="D441" s="73" t="s">
        <v>937</v>
      </c>
      <c r="E441" s="73"/>
      <c r="N441" s="65" t="str">
        <f t="shared" si="22"/>
        <v/>
      </c>
      <c r="R441" s="65"/>
    </row>
    <row r="442" spans="2:18" x14ac:dyDescent="0.25">
      <c r="B442" s="170" t="s">
        <v>940</v>
      </c>
      <c r="C442" s="73"/>
      <c r="D442" s="73" t="s">
        <v>941</v>
      </c>
      <c r="E442" s="73"/>
      <c r="N442" s="65" t="str">
        <f t="shared" si="22"/>
        <v/>
      </c>
      <c r="R442" s="65"/>
    </row>
    <row r="443" spans="2:18" x14ac:dyDescent="0.25">
      <c r="B443" s="170" t="s">
        <v>945</v>
      </c>
      <c r="C443" s="73"/>
      <c r="D443" s="73" t="s">
        <v>946</v>
      </c>
      <c r="E443" s="73"/>
      <c r="N443" s="65" t="str">
        <f t="shared" si="22"/>
        <v/>
      </c>
      <c r="R443" s="65"/>
    </row>
    <row r="444" spans="2:18" x14ac:dyDescent="0.25">
      <c r="B444" s="170" t="s">
        <v>950</v>
      </c>
      <c r="C444" s="73"/>
      <c r="D444" s="73" t="s">
        <v>951</v>
      </c>
      <c r="E444" s="73"/>
      <c r="N444" s="65" t="str">
        <f t="shared" si="22"/>
        <v/>
      </c>
      <c r="R444" s="65"/>
    </row>
    <row r="445" spans="2:18" x14ac:dyDescent="0.25">
      <c r="B445" s="170" t="s">
        <v>954</v>
      </c>
      <c r="C445" s="73"/>
      <c r="D445" s="73" t="s">
        <v>955</v>
      </c>
      <c r="E445" s="73"/>
      <c r="N445" s="65" t="str">
        <f t="shared" si="22"/>
        <v/>
      </c>
      <c r="R445" s="65"/>
    </row>
    <row r="446" spans="2:18" x14ac:dyDescent="0.25">
      <c r="B446" s="170" t="s">
        <v>959</v>
      </c>
      <c r="C446" s="73"/>
      <c r="D446" s="73" t="s">
        <v>960</v>
      </c>
      <c r="E446" s="73"/>
      <c r="N446" s="65" t="str">
        <f t="shared" si="22"/>
        <v/>
      </c>
      <c r="R446" s="65"/>
    </row>
    <row r="447" spans="2:18" x14ac:dyDescent="0.25">
      <c r="B447" s="170" t="s">
        <v>964</v>
      </c>
      <c r="C447" s="73"/>
      <c r="D447" s="73" t="s">
        <v>965</v>
      </c>
      <c r="E447" s="73"/>
      <c r="N447" s="65" t="str">
        <f t="shared" si="22"/>
        <v/>
      </c>
      <c r="R447" s="65"/>
    </row>
    <row r="448" spans="2:18" x14ac:dyDescent="0.25">
      <c r="B448" s="170" t="s">
        <v>966</v>
      </c>
      <c r="C448" s="73"/>
      <c r="D448" s="73" t="s">
        <v>967</v>
      </c>
      <c r="E448" s="73"/>
      <c r="N448" s="65" t="str">
        <f t="shared" si="22"/>
        <v/>
      </c>
      <c r="R448" s="65"/>
    </row>
    <row r="449" spans="2:18" x14ac:dyDescent="0.25">
      <c r="B449" s="170" t="s">
        <v>971</v>
      </c>
      <c r="C449" s="73"/>
      <c r="D449" s="73" t="s">
        <v>972</v>
      </c>
      <c r="E449" s="73"/>
      <c r="N449" s="65" t="str">
        <f t="shared" si="22"/>
        <v/>
      </c>
      <c r="R449" s="65"/>
    </row>
    <row r="450" spans="2:18" x14ac:dyDescent="0.25">
      <c r="B450" s="170" t="s">
        <v>976</v>
      </c>
      <c r="C450" s="73"/>
      <c r="D450" s="73" t="s">
        <v>977</v>
      </c>
      <c r="E450" s="73"/>
      <c r="N450" s="65" t="str">
        <f t="shared" si="22"/>
        <v/>
      </c>
      <c r="R450" s="65"/>
    </row>
    <row r="451" spans="2:18" x14ac:dyDescent="0.25">
      <c r="B451" s="170" t="s">
        <v>981</v>
      </c>
      <c r="C451" s="73"/>
      <c r="D451" s="73" t="s">
        <v>982</v>
      </c>
      <c r="E451" s="73"/>
      <c r="N451" s="65" t="str">
        <f t="shared" ref="N451:N514" si="23">IF(ISERROR(FIND(" (include",P451)),"",RIGHT(P451,LEN(P451)-FIND(" (include",P451)))</f>
        <v/>
      </c>
      <c r="R451" s="65"/>
    </row>
    <row r="452" spans="2:18" x14ac:dyDescent="0.25">
      <c r="B452" s="170" t="s">
        <v>986</v>
      </c>
      <c r="C452" s="73"/>
      <c r="D452" s="73" t="s">
        <v>987</v>
      </c>
      <c r="E452" s="73"/>
      <c r="N452" s="65" t="str">
        <f t="shared" si="23"/>
        <v/>
      </c>
      <c r="R452" s="65"/>
    </row>
    <row r="453" spans="2:18" x14ac:dyDescent="0.25">
      <c r="B453" s="170" t="s">
        <v>991</v>
      </c>
      <c r="C453" s="73"/>
      <c r="D453" s="73" t="s">
        <v>992</v>
      </c>
      <c r="E453" s="73"/>
      <c r="N453" s="65" t="str">
        <f t="shared" si="23"/>
        <v/>
      </c>
      <c r="R453" s="65"/>
    </row>
    <row r="454" spans="2:18" x14ac:dyDescent="0.25">
      <c r="B454" s="170" t="s">
        <v>996</v>
      </c>
      <c r="C454" s="73"/>
      <c r="D454" s="73" t="s">
        <v>997</v>
      </c>
      <c r="E454" s="73"/>
      <c r="N454" s="65" t="str">
        <f t="shared" si="23"/>
        <v/>
      </c>
      <c r="R454" s="65"/>
    </row>
    <row r="455" spans="2:18" x14ac:dyDescent="0.25">
      <c r="B455" s="170" t="s">
        <v>1001</v>
      </c>
      <c r="C455" s="73"/>
      <c r="D455" s="73" t="s">
        <v>1002</v>
      </c>
      <c r="E455" s="73"/>
      <c r="N455" s="65" t="str">
        <f t="shared" si="23"/>
        <v/>
      </c>
      <c r="R455" s="65"/>
    </row>
    <row r="456" spans="2:18" x14ac:dyDescent="0.25">
      <c r="B456" s="170" t="s">
        <v>1006</v>
      </c>
      <c r="C456" s="73"/>
      <c r="D456" s="73" t="s">
        <v>1007</v>
      </c>
      <c r="E456" s="73"/>
      <c r="N456" s="65" t="str">
        <f t="shared" si="23"/>
        <v/>
      </c>
      <c r="R456" s="65"/>
    </row>
    <row r="457" spans="2:18" x14ac:dyDescent="0.25">
      <c r="B457" s="170" t="s">
        <v>1011</v>
      </c>
      <c r="C457" s="73"/>
      <c r="D457" s="73" t="s">
        <v>1012</v>
      </c>
      <c r="E457" s="73"/>
      <c r="N457" s="65" t="str">
        <f t="shared" si="23"/>
        <v/>
      </c>
      <c r="R457" s="65"/>
    </row>
    <row r="458" spans="2:18" x14ac:dyDescent="0.25">
      <c r="B458" s="170" t="s">
        <v>1016</v>
      </c>
      <c r="C458" s="73"/>
      <c r="D458" s="73" t="s">
        <v>1017</v>
      </c>
      <c r="E458" s="73"/>
      <c r="N458" s="65" t="str">
        <f t="shared" si="23"/>
        <v/>
      </c>
      <c r="R458" s="65"/>
    </row>
    <row r="459" spans="2:18" x14ac:dyDescent="0.25">
      <c r="B459" s="170" t="s">
        <v>1021</v>
      </c>
      <c r="C459" s="73"/>
      <c r="D459" s="73" t="s">
        <v>1022</v>
      </c>
      <c r="E459" s="73"/>
      <c r="N459" s="65" t="str">
        <f t="shared" si="23"/>
        <v/>
      </c>
      <c r="R459" s="65"/>
    </row>
    <row r="460" spans="2:18" x14ac:dyDescent="0.25">
      <c r="B460" s="170" t="s">
        <v>1026</v>
      </c>
      <c r="C460" s="73"/>
      <c r="D460" s="73" t="s">
        <v>1027</v>
      </c>
      <c r="E460" s="73"/>
      <c r="N460" s="65" t="str">
        <f t="shared" si="23"/>
        <v/>
      </c>
      <c r="R460" s="65"/>
    </row>
    <row r="461" spans="2:18" x14ac:dyDescent="0.25">
      <c r="B461" s="170" t="s">
        <v>1031</v>
      </c>
      <c r="C461" s="73"/>
      <c r="D461" s="73" t="s">
        <v>1032</v>
      </c>
      <c r="E461" s="73"/>
      <c r="N461" s="65" t="str">
        <f t="shared" si="23"/>
        <v/>
      </c>
      <c r="R461" s="65"/>
    </row>
    <row r="462" spans="2:18" x14ac:dyDescent="0.25">
      <c r="B462" s="170" t="s">
        <v>1036</v>
      </c>
      <c r="C462" s="73"/>
      <c r="D462" s="73" t="s">
        <v>1037</v>
      </c>
      <c r="E462" s="73"/>
      <c r="N462" s="65" t="str">
        <f t="shared" si="23"/>
        <v/>
      </c>
      <c r="R462" s="65"/>
    </row>
    <row r="463" spans="2:18" x14ac:dyDescent="0.25">
      <c r="B463" s="170" t="s">
        <v>1041</v>
      </c>
      <c r="C463" s="73"/>
      <c r="D463" s="73" t="s">
        <v>1042</v>
      </c>
      <c r="E463" s="73"/>
      <c r="N463" s="65" t="str">
        <f t="shared" si="23"/>
        <v/>
      </c>
      <c r="R463" s="65"/>
    </row>
    <row r="464" spans="2:18" x14ac:dyDescent="0.25">
      <c r="B464" s="170" t="s">
        <v>1046</v>
      </c>
      <c r="C464" s="73"/>
      <c r="D464" s="73" t="s">
        <v>1047</v>
      </c>
      <c r="E464" s="73"/>
      <c r="N464" s="65" t="str">
        <f t="shared" si="23"/>
        <v/>
      </c>
      <c r="R464" s="65"/>
    </row>
    <row r="465" spans="2:18" x14ac:dyDescent="0.25">
      <c r="B465" s="170" t="s">
        <v>1051</v>
      </c>
      <c r="C465" s="73"/>
      <c r="D465" s="73" t="s">
        <v>1052</v>
      </c>
      <c r="E465" s="73"/>
      <c r="N465" s="65" t="str">
        <f t="shared" si="23"/>
        <v/>
      </c>
      <c r="R465" s="65"/>
    </row>
    <row r="466" spans="2:18" x14ac:dyDescent="0.25">
      <c r="B466" s="170" t="s">
        <v>1056</v>
      </c>
      <c r="C466" s="73"/>
      <c r="D466" s="73" t="s">
        <v>1057</v>
      </c>
      <c r="E466" s="73"/>
      <c r="N466" s="65" t="str">
        <f t="shared" si="23"/>
        <v/>
      </c>
      <c r="R466" s="65"/>
    </row>
    <row r="467" spans="2:18" x14ac:dyDescent="0.25">
      <c r="B467" s="170" t="s">
        <v>1059</v>
      </c>
      <c r="C467" s="73"/>
      <c r="D467" s="73" t="s">
        <v>1060</v>
      </c>
      <c r="E467" s="73"/>
      <c r="N467" s="65" t="str">
        <f t="shared" si="23"/>
        <v/>
      </c>
      <c r="R467" s="65"/>
    </row>
    <row r="468" spans="2:18" x14ac:dyDescent="0.25">
      <c r="B468" s="170" t="s">
        <v>1062</v>
      </c>
      <c r="C468" s="73"/>
      <c r="D468" s="73" t="s">
        <v>1063</v>
      </c>
      <c r="E468" s="73"/>
      <c r="N468" s="65" t="str">
        <f t="shared" si="23"/>
        <v/>
      </c>
      <c r="R468" s="65"/>
    </row>
    <row r="469" spans="2:18" x14ac:dyDescent="0.25">
      <c r="B469" s="170" t="s">
        <v>1065</v>
      </c>
      <c r="C469" s="73"/>
      <c r="D469" s="73" t="s">
        <v>1066</v>
      </c>
      <c r="E469" s="73"/>
      <c r="N469" s="65" t="str">
        <f t="shared" si="23"/>
        <v/>
      </c>
      <c r="R469" s="65"/>
    </row>
    <row r="470" spans="2:18" x14ac:dyDescent="0.25">
      <c r="B470" s="170" t="s">
        <v>1068</v>
      </c>
      <c r="C470" s="73"/>
      <c r="D470" s="73" t="s">
        <v>1069</v>
      </c>
      <c r="E470" s="73"/>
      <c r="N470" s="65" t="str">
        <f t="shared" si="23"/>
        <v/>
      </c>
      <c r="R470" s="65"/>
    </row>
    <row r="471" spans="2:18" x14ac:dyDescent="0.25">
      <c r="B471" s="170" t="s">
        <v>1071</v>
      </c>
      <c r="C471" s="73"/>
      <c r="D471" s="73" t="s">
        <v>1072</v>
      </c>
      <c r="E471" s="73"/>
      <c r="N471" s="65" t="str">
        <f t="shared" si="23"/>
        <v/>
      </c>
      <c r="R471" s="65"/>
    </row>
    <row r="472" spans="2:18" x14ac:dyDescent="0.25">
      <c r="B472" s="170" t="s">
        <v>1074</v>
      </c>
      <c r="C472" s="73"/>
      <c r="D472" s="73" t="s">
        <v>1075</v>
      </c>
      <c r="E472" s="73"/>
      <c r="N472" s="65" t="str">
        <f t="shared" si="23"/>
        <v/>
      </c>
      <c r="R472" s="65"/>
    </row>
    <row r="473" spans="2:18" x14ac:dyDescent="0.25">
      <c r="B473" s="170" t="s">
        <v>1077</v>
      </c>
      <c r="C473" s="73"/>
      <c r="D473" s="73" t="s">
        <v>1078</v>
      </c>
      <c r="E473" s="73"/>
      <c r="N473" s="65" t="str">
        <f t="shared" si="23"/>
        <v/>
      </c>
      <c r="R473" s="65"/>
    </row>
    <row r="474" spans="2:18" x14ac:dyDescent="0.25">
      <c r="B474" s="170" t="s">
        <v>1080</v>
      </c>
      <c r="C474" s="73"/>
      <c r="D474" s="73" t="s">
        <v>1081</v>
      </c>
      <c r="E474" s="73"/>
      <c r="N474" s="65" t="str">
        <f t="shared" si="23"/>
        <v/>
      </c>
      <c r="R474" s="65"/>
    </row>
    <row r="475" spans="2:18" x14ac:dyDescent="0.25">
      <c r="B475" s="170" t="s">
        <v>1083</v>
      </c>
      <c r="C475" s="73"/>
      <c r="D475" s="73" t="s">
        <v>1084</v>
      </c>
      <c r="E475" s="73"/>
      <c r="N475" s="65" t="str">
        <f t="shared" si="23"/>
        <v/>
      </c>
      <c r="R475" s="65"/>
    </row>
    <row r="476" spans="2:18" x14ac:dyDescent="0.25">
      <c r="B476" s="170" t="s">
        <v>1086</v>
      </c>
      <c r="C476" s="73"/>
      <c r="D476" s="73" t="s">
        <v>1087</v>
      </c>
      <c r="E476" s="73"/>
      <c r="N476" s="65" t="str">
        <f t="shared" si="23"/>
        <v/>
      </c>
      <c r="R476" s="65"/>
    </row>
    <row r="477" spans="2:18" x14ac:dyDescent="0.25">
      <c r="B477" s="170" t="s">
        <v>1092</v>
      </c>
      <c r="C477" s="73"/>
      <c r="D477" s="73" t="s">
        <v>1093</v>
      </c>
      <c r="E477" s="73"/>
      <c r="N477" s="65" t="str">
        <f t="shared" si="23"/>
        <v/>
      </c>
      <c r="R477" s="65"/>
    </row>
    <row r="478" spans="2:18" x14ac:dyDescent="0.25">
      <c r="B478" s="170" t="s">
        <v>1095</v>
      </c>
      <c r="C478" s="73"/>
      <c r="D478" s="73" t="s">
        <v>1096</v>
      </c>
      <c r="E478" s="73"/>
      <c r="N478" s="65" t="str">
        <f t="shared" si="23"/>
        <v/>
      </c>
      <c r="R478" s="65"/>
    </row>
    <row r="479" spans="2:18" x14ac:dyDescent="0.25">
      <c r="B479" s="170" t="s">
        <v>1098</v>
      </c>
      <c r="C479" s="73"/>
      <c r="D479" s="73" t="s">
        <v>1099</v>
      </c>
      <c r="E479" s="73"/>
      <c r="N479" s="65" t="str">
        <f t="shared" si="23"/>
        <v/>
      </c>
      <c r="R479" s="65"/>
    </row>
    <row r="480" spans="2:18" x14ac:dyDescent="0.25">
      <c r="B480" s="170" t="s">
        <v>1101</v>
      </c>
      <c r="C480" s="73"/>
      <c r="D480" s="73" t="s">
        <v>1102</v>
      </c>
      <c r="E480" s="73"/>
      <c r="N480" s="65" t="str">
        <f t="shared" si="23"/>
        <v/>
      </c>
      <c r="R480" s="65"/>
    </row>
    <row r="481" spans="2:18" x14ac:dyDescent="0.25">
      <c r="B481" s="170" t="s">
        <v>1104</v>
      </c>
      <c r="C481" s="73"/>
      <c r="D481" s="73" t="s">
        <v>1105</v>
      </c>
      <c r="E481" s="73"/>
      <c r="N481" s="65" t="str">
        <f t="shared" si="23"/>
        <v/>
      </c>
      <c r="R481" s="65"/>
    </row>
    <row r="482" spans="2:18" x14ac:dyDescent="0.25">
      <c r="B482" s="170" t="s">
        <v>3537</v>
      </c>
      <c r="C482" s="73"/>
      <c r="D482" s="73" t="s">
        <v>1110</v>
      </c>
      <c r="E482" s="73"/>
      <c r="N482" s="65" t="str">
        <f t="shared" si="23"/>
        <v/>
      </c>
      <c r="R482" s="65"/>
    </row>
    <row r="483" spans="2:18" x14ac:dyDescent="0.25">
      <c r="B483" s="170" t="s">
        <v>3538</v>
      </c>
      <c r="C483" s="73"/>
      <c r="D483" s="73" t="s">
        <v>3539</v>
      </c>
      <c r="E483" s="73"/>
      <c r="N483" s="65" t="str">
        <f t="shared" si="23"/>
        <v/>
      </c>
      <c r="R483" s="65"/>
    </row>
    <row r="484" spans="2:18" x14ac:dyDescent="0.25">
      <c r="B484" s="170" t="s">
        <v>3536</v>
      </c>
      <c r="C484" s="73"/>
      <c r="D484" s="73" t="s">
        <v>3540</v>
      </c>
      <c r="E484" s="73"/>
      <c r="N484" s="65" t="str">
        <f t="shared" si="23"/>
        <v/>
      </c>
      <c r="R484" s="65"/>
    </row>
    <row r="485" spans="2:18" x14ac:dyDescent="0.25">
      <c r="B485" s="170" t="s">
        <v>3536</v>
      </c>
      <c r="C485" s="73"/>
      <c r="D485" s="73" t="s">
        <v>3540</v>
      </c>
      <c r="E485" s="73"/>
      <c r="N485" s="65" t="str">
        <f t="shared" si="23"/>
        <v/>
      </c>
      <c r="R485" s="65"/>
    </row>
    <row r="486" spans="2:18" x14ac:dyDescent="0.25">
      <c r="B486" s="170" t="s">
        <v>1115</v>
      </c>
      <c r="C486" s="73"/>
      <c r="D486" s="73" t="s">
        <v>1116</v>
      </c>
      <c r="E486" s="73"/>
      <c r="N486" s="65" t="str">
        <f t="shared" si="23"/>
        <v/>
      </c>
      <c r="R486" s="65"/>
    </row>
    <row r="487" spans="2:18" x14ac:dyDescent="0.25">
      <c r="B487" s="170" t="s">
        <v>1118</v>
      </c>
      <c r="C487" s="73"/>
      <c r="D487" s="73" t="s">
        <v>1119</v>
      </c>
      <c r="E487" s="73"/>
      <c r="N487" s="65" t="str">
        <f t="shared" si="23"/>
        <v/>
      </c>
      <c r="R487" s="65"/>
    </row>
    <row r="488" spans="2:18" x14ac:dyDescent="0.25">
      <c r="B488" s="170" t="s">
        <v>1121</v>
      </c>
      <c r="C488" s="73"/>
      <c r="D488" s="73" t="s">
        <v>1122</v>
      </c>
      <c r="E488" s="73"/>
      <c r="N488" s="65" t="str">
        <f t="shared" si="23"/>
        <v/>
      </c>
      <c r="R488" s="65"/>
    </row>
    <row r="489" spans="2:18" x14ac:dyDescent="0.25">
      <c r="B489" s="170" t="s">
        <v>1124</v>
      </c>
      <c r="C489" s="73"/>
      <c r="D489" s="73" t="s">
        <v>1125</v>
      </c>
      <c r="E489" s="73"/>
      <c r="N489" s="65" t="str">
        <f t="shared" si="23"/>
        <v/>
      </c>
      <c r="R489" s="65"/>
    </row>
    <row r="490" spans="2:18" x14ac:dyDescent="0.25">
      <c r="B490" s="170" t="s">
        <v>1127</v>
      </c>
      <c r="C490" s="73"/>
      <c r="D490" s="73" t="s">
        <v>1128</v>
      </c>
      <c r="E490" s="73"/>
      <c r="N490" s="65" t="str">
        <f t="shared" si="23"/>
        <v/>
      </c>
      <c r="R490" s="65"/>
    </row>
    <row r="491" spans="2:18" x14ac:dyDescent="0.25">
      <c r="B491" s="170" t="s">
        <v>1130</v>
      </c>
      <c r="C491" s="73"/>
      <c r="D491" s="73" t="s">
        <v>1131</v>
      </c>
      <c r="E491" s="73"/>
      <c r="N491" s="65" t="str">
        <f t="shared" si="23"/>
        <v/>
      </c>
      <c r="R491" s="65"/>
    </row>
    <row r="492" spans="2:18" x14ac:dyDescent="0.25">
      <c r="B492" s="170" t="s">
        <v>1133</v>
      </c>
      <c r="C492" s="73"/>
      <c r="D492" s="73" t="s">
        <v>1134</v>
      </c>
      <c r="E492" s="73"/>
      <c r="N492" s="65" t="str">
        <f t="shared" si="23"/>
        <v/>
      </c>
      <c r="R492" s="65"/>
    </row>
    <row r="493" spans="2:18" x14ac:dyDescent="0.25">
      <c r="B493" s="170" t="s">
        <v>1136</v>
      </c>
      <c r="C493" s="73"/>
      <c r="D493" s="73" t="s">
        <v>1137</v>
      </c>
      <c r="E493" s="73"/>
      <c r="N493" s="65" t="str">
        <f t="shared" si="23"/>
        <v/>
      </c>
      <c r="R493" s="65"/>
    </row>
    <row r="494" spans="2:18" x14ac:dyDescent="0.25">
      <c r="B494" s="170" t="s">
        <v>1139</v>
      </c>
      <c r="C494" s="73"/>
      <c r="D494" s="73" t="s">
        <v>1140</v>
      </c>
      <c r="E494" s="73"/>
      <c r="N494" s="65" t="str">
        <f t="shared" si="23"/>
        <v/>
      </c>
      <c r="R494" s="65"/>
    </row>
    <row r="495" spans="2:18" x14ac:dyDescent="0.25">
      <c r="B495" s="170" t="s">
        <v>1142</v>
      </c>
      <c r="C495" s="73"/>
      <c r="D495" s="73" t="s">
        <v>1143</v>
      </c>
      <c r="E495" s="73"/>
      <c r="N495" s="65" t="str">
        <f t="shared" si="23"/>
        <v/>
      </c>
      <c r="R495" s="65"/>
    </row>
    <row r="496" spans="2:18" x14ac:dyDescent="0.25">
      <c r="B496" s="170" t="s">
        <v>1145</v>
      </c>
      <c r="C496" s="73"/>
      <c r="D496" s="73" t="s">
        <v>1146</v>
      </c>
      <c r="E496" s="73"/>
      <c r="N496" s="65" t="str">
        <f t="shared" si="23"/>
        <v/>
      </c>
      <c r="R496" s="65"/>
    </row>
    <row r="497" spans="2:18" x14ac:dyDescent="0.25">
      <c r="B497" s="170" t="s">
        <v>1148</v>
      </c>
      <c r="C497" s="73"/>
      <c r="D497" s="73" t="s">
        <v>1149</v>
      </c>
      <c r="E497" s="73"/>
      <c r="N497" s="65" t="str">
        <f t="shared" si="23"/>
        <v/>
      </c>
      <c r="R497" s="65"/>
    </row>
    <row r="498" spans="2:18" x14ac:dyDescent="0.25">
      <c r="B498" s="170" t="s">
        <v>1151</v>
      </c>
      <c r="C498" s="73"/>
      <c r="D498" s="73" t="s">
        <v>1152</v>
      </c>
      <c r="E498" s="73"/>
      <c r="N498" s="65" t="str">
        <f t="shared" si="23"/>
        <v/>
      </c>
      <c r="R498" s="65"/>
    </row>
    <row r="499" spans="2:18" x14ac:dyDescent="0.25">
      <c r="B499" s="170" t="s">
        <v>1154</v>
      </c>
      <c r="C499" s="73"/>
      <c r="D499" s="73" t="s">
        <v>1154</v>
      </c>
      <c r="E499" s="73"/>
      <c r="N499" s="65" t="str">
        <f t="shared" si="23"/>
        <v/>
      </c>
      <c r="R499" s="65"/>
    </row>
    <row r="500" spans="2:18" x14ac:dyDescent="0.25">
      <c r="B500" s="170" t="s">
        <v>1156</v>
      </c>
      <c r="C500" s="73"/>
      <c r="D500" s="73" t="s">
        <v>1157</v>
      </c>
      <c r="E500" s="73"/>
      <c r="N500" s="65" t="str">
        <f t="shared" si="23"/>
        <v/>
      </c>
      <c r="R500" s="65"/>
    </row>
    <row r="501" spans="2:18" x14ac:dyDescent="0.25">
      <c r="B501" s="170" t="s">
        <v>1162</v>
      </c>
      <c r="C501" s="73"/>
      <c r="D501" s="73" t="s">
        <v>1163</v>
      </c>
      <c r="E501" s="73"/>
      <c r="N501" s="65" t="str">
        <f t="shared" si="23"/>
        <v/>
      </c>
      <c r="R501" s="65"/>
    </row>
    <row r="502" spans="2:18" x14ac:dyDescent="0.25">
      <c r="B502" s="170" t="s">
        <v>1165</v>
      </c>
      <c r="C502" s="73"/>
      <c r="D502" s="73" t="s">
        <v>1166</v>
      </c>
      <c r="E502" s="73"/>
      <c r="N502" s="65" t="str">
        <f t="shared" si="23"/>
        <v/>
      </c>
      <c r="R502" s="65"/>
    </row>
    <row r="503" spans="2:18" x14ac:dyDescent="0.25">
      <c r="B503" s="170" t="s">
        <v>1168</v>
      </c>
      <c r="C503" s="73"/>
      <c r="D503" s="73" t="s">
        <v>1169</v>
      </c>
      <c r="E503" s="73"/>
      <c r="N503" s="65" t="str">
        <f t="shared" si="23"/>
        <v/>
      </c>
      <c r="R503" s="65"/>
    </row>
    <row r="504" spans="2:18" x14ac:dyDescent="0.25">
      <c r="B504" s="170" t="s">
        <v>1170</v>
      </c>
      <c r="C504" s="73"/>
      <c r="D504" s="73" t="s">
        <v>1171</v>
      </c>
      <c r="E504" s="73"/>
      <c r="N504" s="65" t="str">
        <f t="shared" si="23"/>
        <v/>
      </c>
      <c r="R504" s="65"/>
    </row>
    <row r="505" spans="2:18" x14ac:dyDescent="0.25">
      <c r="B505" s="170" t="s">
        <v>1173</v>
      </c>
      <c r="C505" s="73"/>
      <c r="D505" s="73" t="s">
        <v>1174</v>
      </c>
      <c r="E505" s="73"/>
      <c r="N505" s="65" t="str">
        <f t="shared" si="23"/>
        <v/>
      </c>
      <c r="R505" s="65"/>
    </row>
    <row r="506" spans="2:18" x14ac:dyDescent="0.25">
      <c r="B506" s="170" t="s">
        <v>1175</v>
      </c>
      <c r="C506" s="73"/>
      <c r="D506" s="73" t="s">
        <v>1176</v>
      </c>
      <c r="E506" s="73"/>
      <c r="N506" s="65" t="str">
        <f t="shared" si="23"/>
        <v/>
      </c>
      <c r="R506" s="65"/>
    </row>
    <row r="507" spans="2:18" x14ac:dyDescent="0.25">
      <c r="B507" s="170" t="s">
        <v>1178</v>
      </c>
      <c r="C507" s="73"/>
      <c r="D507" s="73" t="s">
        <v>1179</v>
      </c>
      <c r="E507" s="73"/>
      <c r="N507" s="65" t="str">
        <f t="shared" si="23"/>
        <v/>
      </c>
      <c r="R507" s="65"/>
    </row>
    <row r="508" spans="2:18" x14ac:dyDescent="0.25">
      <c r="B508" s="170" t="s">
        <v>1181</v>
      </c>
      <c r="C508" s="73"/>
      <c r="D508" s="73" t="s">
        <v>1182</v>
      </c>
      <c r="E508" s="73"/>
      <c r="N508" s="65" t="str">
        <f t="shared" si="23"/>
        <v/>
      </c>
      <c r="R508" s="65"/>
    </row>
    <row r="509" spans="2:18" x14ac:dyDescent="0.25">
      <c r="B509" s="170" t="s">
        <v>1184</v>
      </c>
      <c r="C509" s="73"/>
      <c r="D509" s="73" t="s">
        <v>1185</v>
      </c>
      <c r="E509" s="73"/>
      <c r="N509" s="65" t="str">
        <f t="shared" si="23"/>
        <v/>
      </c>
      <c r="R509" s="65"/>
    </row>
    <row r="510" spans="2:18" x14ac:dyDescent="0.25">
      <c r="B510" s="170" t="s">
        <v>1187</v>
      </c>
      <c r="C510" s="73"/>
      <c r="D510" s="73" t="s">
        <v>1188</v>
      </c>
      <c r="E510" s="73"/>
      <c r="N510" s="65" t="str">
        <f t="shared" si="23"/>
        <v/>
      </c>
      <c r="R510" s="65"/>
    </row>
    <row r="511" spans="2:18" x14ac:dyDescent="0.25">
      <c r="B511" s="170" t="s">
        <v>1190</v>
      </c>
      <c r="C511" s="73"/>
      <c r="D511" s="73" t="s">
        <v>1191</v>
      </c>
      <c r="E511" s="73"/>
      <c r="N511" s="65" t="str">
        <f t="shared" si="23"/>
        <v/>
      </c>
      <c r="R511" s="65"/>
    </row>
    <row r="512" spans="2:18" x14ac:dyDescent="0.25">
      <c r="B512" s="170" t="s">
        <v>1193</v>
      </c>
      <c r="C512" s="73"/>
      <c r="D512" s="73" t="s">
        <v>1194</v>
      </c>
      <c r="E512" s="73"/>
      <c r="N512" s="65" t="str">
        <f t="shared" si="23"/>
        <v/>
      </c>
      <c r="R512" s="65"/>
    </row>
    <row r="513" spans="2:18" x14ac:dyDescent="0.25">
      <c r="B513" s="170" t="s">
        <v>1196</v>
      </c>
      <c r="C513" s="73"/>
      <c r="D513" s="73" t="s">
        <v>1197</v>
      </c>
      <c r="E513" s="73"/>
      <c r="N513" s="65" t="str">
        <f t="shared" si="23"/>
        <v/>
      </c>
      <c r="R513" s="65"/>
    </row>
    <row r="514" spans="2:18" x14ac:dyDescent="0.25">
      <c r="B514" s="170" t="s">
        <v>1199</v>
      </c>
      <c r="C514" s="73"/>
      <c r="D514" s="73" t="s">
        <v>1200</v>
      </c>
      <c r="E514" s="73"/>
      <c r="N514" s="65" t="str">
        <f t="shared" si="23"/>
        <v/>
      </c>
      <c r="R514" s="65"/>
    </row>
    <row r="515" spans="2:18" x14ac:dyDescent="0.25">
      <c r="B515" s="170" t="s">
        <v>1202</v>
      </c>
      <c r="C515" s="73"/>
      <c r="D515" s="73" t="s">
        <v>1203</v>
      </c>
      <c r="E515" s="73"/>
      <c r="N515" s="65" t="str">
        <f t="shared" ref="N515:N578" si="24">IF(ISERROR(FIND(" (include",P515)),"",RIGHT(P515,LEN(P515)-FIND(" (include",P515)))</f>
        <v/>
      </c>
      <c r="R515" s="65"/>
    </row>
    <row r="516" spans="2:18" x14ac:dyDescent="0.25">
      <c r="B516" s="170" t="s">
        <v>1205</v>
      </c>
      <c r="C516" s="73"/>
      <c r="D516" s="73" t="s">
        <v>1206</v>
      </c>
      <c r="E516" s="73"/>
      <c r="N516" s="65" t="str">
        <f t="shared" si="24"/>
        <v/>
      </c>
      <c r="R516" s="65"/>
    </row>
    <row r="517" spans="2:18" x14ac:dyDescent="0.25">
      <c r="B517" s="170" t="s">
        <v>1208</v>
      </c>
      <c r="C517" s="73"/>
      <c r="D517" s="73" t="s">
        <v>1209</v>
      </c>
      <c r="E517" s="73"/>
      <c r="N517" s="65" t="str">
        <f t="shared" si="24"/>
        <v/>
      </c>
      <c r="R517" s="65"/>
    </row>
    <row r="518" spans="2:18" x14ac:dyDescent="0.25">
      <c r="B518" s="170" t="s">
        <v>1211</v>
      </c>
      <c r="C518" s="73"/>
      <c r="D518" s="73" t="s">
        <v>1212</v>
      </c>
      <c r="E518" s="73"/>
      <c r="N518" s="65" t="str">
        <f t="shared" si="24"/>
        <v/>
      </c>
      <c r="R518" s="65"/>
    </row>
    <row r="519" spans="2:18" x14ac:dyDescent="0.25">
      <c r="B519" s="170" t="s">
        <v>1214</v>
      </c>
      <c r="C519" s="73"/>
      <c r="D519" s="73" t="s">
        <v>1215</v>
      </c>
      <c r="E519" s="73"/>
      <c r="N519" s="65" t="str">
        <f t="shared" si="24"/>
        <v/>
      </c>
      <c r="R519" s="65"/>
    </row>
    <row r="520" spans="2:18" x14ac:dyDescent="0.25">
      <c r="B520" s="170" t="s">
        <v>1217</v>
      </c>
      <c r="C520" s="73"/>
      <c r="D520" s="73" t="s">
        <v>1218</v>
      </c>
      <c r="E520" s="73"/>
      <c r="N520" s="65" t="str">
        <f t="shared" si="24"/>
        <v/>
      </c>
      <c r="R520" s="65"/>
    </row>
    <row r="521" spans="2:18" x14ac:dyDescent="0.25">
      <c r="B521" s="170" t="s">
        <v>1220</v>
      </c>
      <c r="C521" s="73"/>
      <c r="D521" s="73" t="s">
        <v>1221</v>
      </c>
      <c r="E521" s="73"/>
      <c r="N521" s="65" t="str">
        <f t="shared" si="24"/>
        <v/>
      </c>
      <c r="R521" s="65"/>
    </row>
    <row r="522" spans="2:18" x14ac:dyDescent="0.25">
      <c r="B522" s="170" t="s">
        <v>1223</v>
      </c>
      <c r="C522" s="73"/>
      <c r="D522" s="73" t="s">
        <v>1224</v>
      </c>
      <c r="E522" s="73"/>
      <c r="N522" s="65" t="str">
        <f t="shared" si="24"/>
        <v/>
      </c>
      <c r="R522" s="65"/>
    </row>
    <row r="523" spans="2:18" x14ac:dyDescent="0.25">
      <c r="B523" s="170" t="s">
        <v>1226</v>
      </c>
      <c r="C523" s="73"/>
      <c r="D523" s="73" t="s">
        <v>1227</v>
      </c>
      <c r="E523" s="73"/>
      <c r="N523" s="65" t="str">
        <f t="shared" si="24"/>
        <v/>
      </c>
      <c r="R523" s="65"/>
    </row>
    <row r="524" spans="2:18" x14ac:dyDescent="0.25">
      <c r="B524" s="170" t="s">
        <v>1229</v>
      </c>
      <c r="C524" s="73"/>
      <c r="D524" s="73" t="s">
        <v>1230</v>
      </c>
      <c r="E524" s="73"/>
      <c r="N524" s="65" t="str">
        <f t="shared" si="24"/>
        <v/>
      </c>
      <c r="R524" s="65"/>
    </row>
    <row r="525" spans="2:18" x14ac:dyDescent="0.25">
      <c r="B525" s="170" t="s">
        <v>1232</v>
      </c>
      <c r="C525" s="73"/>
      <c r="D525" s="73" t="s">
        <v>1233</v>
      </c>
      <c r="E525" s="73"/>
      <c r="N525" s="65" t="str">
        <f t="shared" si="24"/>
        <v/>
      </c>
      <c r="R525" s="65"/>
    </row>
    <row r="526" spans="2:18" x14ac:dyDescent="0.25">
      <c r="B526" s="170" t="s">
        <v>1235</v>
      </c>
      <c r="C526" s="73"/>
      <c r="D526" s="73" t="s">
        <v>1236</v>
      </c>
      <c r="E526" s="73"/>
      <c r="N526" s="65" t="str">
        <f t="shared" si="24"/>
        <v/>
      </c>
      <c r="R526" s="65"/>
    </row>
    <row r="527" spans="2:18" ht="25" x14ac:dyDescent="0.25">
      <c r="B527" s="170" t="s">
        <v>1238</v>
      </c>
      <c r="C527" s="73"/>
      <c r="D527" s="73" t="s">
        <v>1239</v>
      </c>
      <c r="E527" s="73"/>
      <c r="N527" s="65" t="str">
        <f t="shared" si="24"/>
        <v/>
      </c>
      <c r="R527" s="65"/>
    </row>
    <row r="528" spans="2:18" x14ac:dyDescent="0.25">
      <c r="B528" s="170" t="s">
        <v>1241</v>
      </c>
      <c r="C528" s="73"/>
      <c r="D528" s="73" t="s">
        <v>1242</v>
      </c>
      <c r="E528" s="73"/>
      <c r="N528" s="65" t="str">
        <f t="shared" si="24"/>
        <v/>
      </c>
      <c r="R528" s="65"/>
    </row>
    <row r="529" spans="2:18" x14ac:dyDescent="0.25">
      <c r="B529" s="170" t="s">
        <v>1244</v>
      </c>
      <c r="C529" s="73"/>
      <c r="D529" s="73" t="s">
        <v>1245</v>
      </c>
      <c r="E529" s="73"/>
      <c r="N529" s="65" t="str">
        <f t="shared" si="24"/>
        <v/>
      </c>
      <c r="R529" s="65"/>
    </row>
    <row r="530" spans="2:18" x14ac:dyDescent="0.25">
      <c r="B530" s="170" t="s">
        <v>1247</v>
      </c>
      <c r="C530" s="73"/>
      <c r="D530" s="73" t="s">
        <v>1248</v>
      </c>
      <c r="E530" s="73"/>
      <c r="N530" s="65" t="str">
        <f t="shared" si="24"/>
        <v/>
      </c>
      <c r="R530" s="65"/>
    </row>
    <row r="531" spans="2:18" x14ac:dyDescent="0.25">
      <c r="B531" s="170" t="s">
        <v>1250</v>
      </c>
      <c r="C531" s="73"/>
      <c r="D531" s="73" t="s">
        <v>1251</v>
      </c>
      <c r="E531" s="73"/>
      <c r="N531" s="65" t="str">
        <f t="shared" si="24"/>
        <v/>
      </c>
      <c r="R531" s="65"/>
    </row>
    <row r="532" spans="2:18" x14ac:dyDescent="0.25">
      <c r="B532" s="170" t="s">
        <v>1253</v>
      </c>
      <c r="C532" s="73"/>
      <c r="D532" s="73" t="s">
        <v>1254</v>
      </c>
      <c r="E532" s="73"/>
      <c r="N532" s="65" t="str">
        <f t="shared" si="24"/>
        <v/>
      </c>
      <c r="R532" s="65"/>
    </row>
    <row r="533" spans="2:18" x14ac:dyDescent="0.25">
      <c r="B533" s="170" t="s">
        <v>1256</v>
      </c>
      <c r="C533" s="73"/>
      <c r="D533" s="73" t="s">
        <v>1257</v>
      </c>
      <c r="E533" s="73"/>
      <c r="N533" s="65" t="str">
        <f t="shared" si="24"/>
        <v/>
      </c>
      <c r="R533" s="65"/>
    </row>
    <row r="534" spans="2:18" x14ac:dyDescent="0.25">
      <c r="B534" s="170" t="s">
        <v>1259</v>
      </c>
      <c r="C534" s="73"/>
      <c r="D534" s="73" t="s">
        <v>1260</v>
      </c>
      <c r="E534" s="73"/>
      <c r="N534" s="65" t="str">
        <f t="shared" si="24"/>
        <v/>
      </c>
      <c r="R534" s="65"/>
    </row>
    <row r="535" spans="2:18" x14ac:dyDescent="0.25">
      <c r="B535" s="170" t="s">
        <v>1262</v>
      </c>
      <c r="C535" s="73"/>
      <c r="D535" s="73" t="s">
        <v>1263</v>
      </c>
      <c r="E535" s="73"/>
      <c r="N535" s="65" t="str">
        <f t="shared" si="24"/>
        <v/>
      </c>
      <c r="R535" s="65"/>
    </row>
    <row r="536" spans="2:18" x14ac:dyDescent="0.25">
      <c r="B536" s="170" t="s">
        <v>1265</v>
      </c>
      <c r="C536" s="73"/>
      <c r="D536" s="73" t="s">
        <v>1266</v>
      </c>
      <c r="E536" s="73"/>
      <c r="N536" s="65" t="str">
        <f t="shared" si="24"/>
        <v/>
      </c>
      <c r="R536" s="65"/>
    </row>
    <row r="537" spans="2:18" x14ac:dyDescent="0.25">
      <c r="B537" s="170" t="s">
        <v>1268</v>
      </c>
      <c r="C537" s="73"/>
      <c r="D537" s="73" t="s">
        <v>1269</v>
      </c>
      <c r="E537" s="73"/>
      <c r="N537" s="65" t="str">
        <f t="shared" si="24"/>
        <v/>
      </c>
      <c r="R537" s="65"/>
    </row>
    <row r="538" spans="2:18" x14ac:dyDescent="0.25">
      <c r="B538" s="170" t="s">
        <v>1271</v>
      </c>
      <c r="C538" s="73"/>
      <c r="D538" s="73" t="s">
        <v>1272</v>
      </c>
      <c r="E538" s="73"/>
      <c r="N538" s="65" t="str">
        <f t="shared" si="24"/>
        <v/>
      </c>
      <c r="R538" s="65"/>
    </row>
    <row r="539" spans="2:18" x14ac:dyDescent="0.25">
      <c r="B539" s="170" t="s">
        <v>1273</v>
      </c>
      <c r="C539" s="73"/>
      <c r="D539" s="73" t="s">
        <v>1274</v>
      </c>
      <c r="E539" s="73"/>
      <c r="N539" s="65" t="str">
        <f t="shared" si="24"/>
        <v/>
      </c>
      <c r="R539" s="65"/>
    </row>
    <row r="540" spans="2:18" x14ac:dyDescent="0.25">
      <c r="B540" s="170" t="s">
        <v>1275</v>
      </c>
      <c r="C540" s="73"/>
      <c r="D540" s="73" t="s">
        <v>1276</v>
      </c>
      <c r="E540" s="73"/>
      <c r="N540" s="65" t="str">
        <f t="shared" si="24"/>
        <v/>
      </c>
      <c r="R540" s="65"/>
    </row>
    <row r="541" spans="2:18" x14ac:dyDescent="0.25">
      <c r="B541" s="170" t="s">
        <v>1277</v>
      </c>
      <c r="C541" s="73"/>
      <c r="D541" s="73" t="s">
        <v>1278</v>
      </c>
      <c r="E541" s="73"/>
      <c r="N541" s="65" t="str">
        <f t="shared" si="24"/>
        <v/>
      </c>
      <c r="R541" s="65"/>
    </row>
    <row r="542" spans="2:18" x14ac:dyDescent="0.25">
      <c r="B542" s="170" t="s">
        <v>1279</v>
      </c>
      <c r="C542" s="73"/>
      <c r="D542" s="73" t="s">
        <v>1280</v>
      </c>
      <c r="E542" s="73"/>
      <c r="N542" s="65" t="str">
        <f t="shared" si="24"/>
        <v/>
      </c>
      <c r="R542" s="65"/>
    </row>
    <row r="543" spans="2:18" x14ac:dyDescent="0.25">
      <c r="B543" s="170" t="s">
        <v>1281</v>
      </c>
      <c r="C543" s="73"/>
      <c r="D543" s="73" t="s">
        <v>1282</v>
      </c>
      <c r="E543" s="73"/>
      <c r="N543" s="65" t="str">
        <f t="shared" si="24"/>
        <v/>
      </c>
      <c r="R543" s="65"/>
    </row>
    <row r="544" spans="2:18" x14ac:dyDescent="0.25">
      <c r="B544" s="170" t="s">
        <v>1284</v>
      </c>
      <c r="C544" s="73"/>
      <c r="D544" s="73" t="s">
        <v>1285</v>
      </c>
      <c r="E544" s="73"/>
      <c r="N544" s="65" t="str">
        <f t="shared" si="24"/>
        <v/>
      </c>
      <c r="R544" s="65"/>
    </row>
    <row r="545" spans="2:18" x14ac:dyDescent="0.25">
      <c r="B545" s="170" t="s">
        <v>1287</v>
      </c>
      <c r="C545" s="73"/>
      <c r="D545" s="73" t="s">
        <v>1288</v>
      </c>
      <c r="E545" s="73"/>
      <c r="N545" s="65" t="str">
        <f t="shared" si="24"/>
        <v/>
      </c>
      <c r="R545" s="65"/>
    </row>
    <row r="546" spans="2:18" x14ac:dyDescent="0.25">
      <c r="B546" s="170" t="s">
        <v>1289</v>
      </c>
      <c r="C546" s="73"/>
      <c r="D546" s="73" t="s">
        <v>1290</v>
      </c>
      <c r="E546" s="73"/>
      <c r="N546" s="65" t="str">
        <f t="shared" si="24"/>
        <v/>
      </c>
      <c r="R546" s="65"/>
    </row>
    <row r="547" spans="2:18" x14ac:dyDescent="0.25">
      <c r="B547" s="170" t="s">
        <v>1291</v>
      </c>
      <c r="C547" s="73"/>
      <c r="D547" s="73" t="s">
        <v>1292</v>
      </c>
      <c r="E547" s="73"/>
      <c r="N547" s="65" t="str">
        <f t="shared" si="24"/>
        <v/>
      </c>
      <c r="R547" s="65"/>
    </row>
    <row r="548" spans="2:18" x14ac:dyDescent="0.25">
      <c r="B548" s="170" t="s">
        <v>1294</v>
      </c>
      <c r="C548" s="73"/>
      <c r="D548" s="73" t="s">
        <v>1295</v>
      </c>
      <c r="E548" s="73"/>
      <c r="N548" s="65" t="str">
        <f t="shared" si="24"/>
        <v/>
      </c>
      <c r="R548" s="65"/>
    </row>
    <row r="549" spans="2:18" x14ac:dyDescent="0.25">
      <c r="B549" s="170" t="s">
        <v>1296</v>
      </c>
      <c r="C549" s="73"/>
      <c r="D549" s="73" t="s">
        <v>1297</v>
      </c>
      <c r="E549" s="73"/>
      <c r="N549" s="65" t="str">
        <f t="shared" si="24"/>
        <v/>
      </c>
      <c r="R549" s="65"/>
    </row>
    <row r="550" spans="2:18" x14ac:dyDescent="0.25">
      <c r="B550" s="170" t="s">
        <v>1298</v>
      </c>
      <c r="C550" s="73"/>
      <c r="D550" s="73" t="s">
        <v>1299</v>
      </c>
      <c r="E550" s="73"/>
      <c r="N550" s="65" t="str">
        <f t="shared" si="24"/>
        <v/>
      </c>
      <c r="R550" s="65"/>
    </row>
    <row r="551" spans="2:18" x14ac:dyDescent="0.25">
      <c r="B551" s="170" t="s">
        <v>1301</v>
      </c>
      <c r="C551" s="73"/>
      <c r="D551" s="73" t="s">
        <v>1302</v>
      </c>
      <c r="E551" s="73"/>
      <c r="N551" s="65" t="str">
        <f t="shared" si="24"/>
        <v/>
      </c>
      <c r="R551" s="65"/>
    </row>
    <row r="552" spans="2:18" x14ac:dyDescent="0.25">
      <c r="B552" s="170" t="s">
        <v>1303</v>
      </c>
      <c r="C552" s="73"/>
      <c r="D552" s="73" t="s">
        <v>1304</v>
      </c>
      <c r="E552" s="73"/>
      <c r="N552" s="65" t="str">
        <f t="shared" si="24"/>
        <v/>
      </c>
      <c r="R552" s="65"/>
    </row>
    <row r="553" spans="2:18" x14ac:dyDescent="0.25">
      <c r="B553" s="170" t="s">
        <v>1305</v>
      </c>
      <c r="C553" s="73"/>
      <c r="D553" s="73" t="s">
        <v>1306</v>
      </c>
      <c r="E553" s="73"/>
      <c r="N553" s="65" t="str">
        <f t="shared" si="24"/>
        <v/>
      </c>
      <c r="R553" s="65"/>
    </row>
    <row r="554" spans="2:18" x14ac:dyDescent="0.25">
      <c r="B554" s="170" t="s">
        <v>1307</v>
      </c>
      <c r="C554" s="73"/>
      <c r="D554" s="73" t="s">
        <v>1308</v>
      </c>
      <c r="E554" s="73"/>
      <c r="N554" s="65" t="str">
        <f t="shared" si="24"/>
        <v/>
      </c>
      <c r="R554" s="65"/>
    </row>
    <row r="555" spans="2:18" x14ac:dyDescent="0.25">
      <c r="B555" s="170" t="s">
        <v>1310</v>
      </c>
      <c r="C555" s="73"/>
      <c r="D555" s="73" t="s">
        <v>1311</v>
      </c>
      <c r="E555" s="73"/>
      <c r="N555" s="65" t="str">
        <f t="shared" si="24"/>
        <v/>
      </c>
      <c r="R555" s="65"/>
    </row>
    <row r="556" spans="2:18" x14ac:dyDescent="0.25">
      <c r="B556" s="170" t="s">
        <v>1312</v>
      </c>
      <c r="C556" s="73"/>
      <c r="D556" s="73" t="s">
        <v>1313</v>
      </c>
      <c r="E556" s="73"/>
      <c r="N556" s="65" t="str">
        <f t="shared" si="24"/>
        <v/>
      </c>
      <c r="R556" s="65"/>
    </row>
    <row r="557" spans="2:18" x14ac:dyDescent="0.25">
      <c r="B557" s="170" t="s">
        <v>1314</v>
      </c>
      <c r="C557" s="73"/>
      <c r="D557" s="73" t="s">
        <v>1315</v>
      </c>
      <c r="E557" s="73"/>
      <c r="N557" s="65" t="str">
        <f t="shared" si="24"/>
        <v/>
      </c>
      <c r="R557" s="65"/>
    </row>
    <row r="558" spans="2:18" x14ac:dyDescent="0.25">
      <c r="B558" s="170" t="s">
        <v>1316</v>
      </c>
      <c r="C558" s="73"/>
      <c r="D558" s="73" t="s">
        <v>1317</v>
      </c>
      <c r="E558" s="73"/>
      <c r="N558" s="65" t="str">
        <f t="shared" si="24"/>
        <v/>
      </c>
      <c r="R558" s="65"/>
    </row>
    <row r="559" spans="2:18" x14ac:dyDescent="0.25">
      <c r="B559" s="170" t="s">
        <v>1318</v>
      </c>
      <c r="C559" s="73"/>
      <c r="D559" s="73" t="s">
        <v>1319</v>
      </c>
      <c r="E559" s="73"/>
      <c r="N559" s="65" t="str">
        <f t="shared" si="24"/>
        <v/>
      </c>
      <c r="R559" s="65"/>
    </row>
    <row r="560" spans="2:18" x14ac:dyDescent="0.25">
      <c r="B560" s="170" t="s">
        <v>1320</v>
      </c>
      <c r="C560" s="73"/>
      <c r="D560" s="73" t="s">
        <v>1321</v>
      </c>
      <c r="E560" s="73"/>
      <c r="N560" s="65" t="str">
        <f t="shared" si="24"/>
        <v/>
      </c>
      <c r="R560" s="65"/>
    </row>
    <row r="561" spans="2:18" x14ac:dyDescent="0.25">
      <c r="B561" s="170" t="s">
        <v>1322</v>
      </c>
      <c r="C561" s="73"/>
      <c r="D561" s="73" t="s">
        <v>1323</v>
      </c>
      <c r="E561" s="73"/>
      <c r="N561" s="65" t="str">
        <f t="shared" si="24"/>
        <v/>
      </c>
      <c r="R561" s="65"/>
    </row>
    <row r="562" spans="2:18" x14ac:dyDescent="0.25">
      <c r="B562" s="170" t="s">
        <v>1324</v>
      </c>
      <c r="C562" s="73"/>
      <c r="D562" s="73" t="s">
        <v>1325</v>
      </c>
      <c r="E562" s="73"/>
      <c r="N562" s="65" t="str">
        <f t="shared" si="24"/>
        <v/>
      </c>
      <c r="R562" s="65"/>
    </row>
    <row r="563" spans="2:18" x14ac:dyDescent="0.25">
      <c r="B563" s="170" t="s">
        <v>1326</v>
      </c>
      <c r="C563" s="73"/>
      <c r="D563" s="73" t="s">
        <v>1327</v>
      </c>
      <c r="E563" s="73"/>
      <c r="N563" s="65" t="str">
        <f t="shared" si="24"/>
        <v/>
      </c>
      <c r="R563" s="65"/>
    </row>
    <row r="564" spans="2:18" x14ac:dyDescent="0.25">
      <c r="B564" s="170" t="s">
        <v>1328</v>
      </c>
      <c r="C564" s="73"/>
      <c r="D564" s="73" t="s">
        <v>1329</v>
      </c>
      <c r="E564" s="73"/>
      <c r="N564" s="65" t="str">
        <f t="shared" si="24"/>
        <v/>
      </c>
      <c r="R564" s="65"/>
    </row>
    <row r="565" spans="2:18" x14ac:dyDescent="0.25">
      <c r="B565" s="170" t="s">
        <v>1330</v>
      </c>
      <c r="C565" s="73"/>
      <c r="D565" s="73" t="s">
        <v>1331</v>
      </c>
      <c r="E565" s="73"/>
      <c r="N565" s="65" t="str">
        <f t="shared" si="24"/>
        <v/>
      </c>
      <c r="R565" s="65"/>
    </row>
    <row r="566" spans="2:18" x14ac:dyDescent="0.25">
      <c r="B566" s="170" t="s">
        <v>1332</v>
      </c>
      <c r="C566" s="73"/>
      <c r="D566" s="73" t="s">
        <v>1333</v>
      </c>
      <c r="E566" s="73"/>
      <c r="N566" s="65" t="str">
        <f t="shared" si="24"/>
        <v/>
      </c>
      <c r="R566" s="65"/>
    </row>
    <row r="567" spans="2:18" x14ac:dyDescent="0.25">
      <c r="B567" s="170" t="s">
        <v>1334</v>
      </c>
      <c r="C567" s="73"/>
      <c r="D567" s="73" t="s">
        <v>1335</v>
      </c>
      <c r="E567" s="73"/>
      <c r="N567" s="65" t="str">
        <f t="shared" si="24"/>
        <v/>
      </c>
      <c r="R567" s="65"/>
    </row>
    <row r="568" spans="2:18" x14ac:dyDescent="0.25">
      <c r="B568" s="170" t="s">
        <v>1336</v>
      </c>
      <c r="C568" s="73"/>
      <c r="D568" s="73" t="s">
        <v>1337</v>
      </c>
      <c r="E568" s="73"/>
      <c r="N568" s="65" t="str">
        <f t="shared" si="24"/>
        <v/>
      </c>
      <c r="R568" s="65"/>
    </row>
    <row r="569" spans="2:18" x14ac:dyDescent="0.25">
      <c r="B569" s="170" t="s">
        <v>1338</v>
      </c>
      <c r="C569" s="73"/>
      <c r="D569" s="73" t="s">
        <v>1339</v>
      </c>
      <c r="E569" s="73"/>
      <c r="N569" s="65" t="str">
        <f t="shared" si="24"/>
        <v/>
      </c>
      <c r="R569" s="65"/>
    </row>
    <row r="570" spans="2:18" x14ac:dyDescent="0.25">
      <c r="B570" s="170" t="s">
        <v>1340</v>
      </c>
      <c r="C570" s="73"/>
      <c r="D570" s="73" t="s">
        <v>1341</v>
      </c>
      <c r="E570" s="73"/>
      <c r="N570" s="65" t="str">
        <f t="shared" si="24"/>
        <v/>
      </c>
      <c r="R570" s="65"/>
    </row>
    <row r="571" spans="2:18" x14ac:dyDescent="0.25">
      <c r="B571" s="170" t="s">
        <v>1344</v>
      </c>
      <c r="C571" s="73"/>
      <c r="D571" s="73" t="s">
        <v>1345</v>
      </c>
      <c r="E571" s="73"/>
      <c r="N571" s="65" t="str">
        <f t="shared" si="24"/>
        <v/>
      </c>
      <c r="R571" s="65"/>
    </row>
    <row r="572" spans="2:18" x14ac:dyDescent="0.25">
      <c r="B572" s="170" t="s">
        <v>1346</v>
      </c>
      <c r="C572" s="73"/>
      <c r="D572" s="73" t="s">
        <v>1347</v>
      </c>
      <c r="E572" s="73"/>
      <c r="N572" s="65" t="str">
        <f t="shared" si="24"/>
        <v/>
      </c>
      <c r="R572" s="65"/>
    </row>
    <row r="573" spans="2:18" x14ac:dyDescent="0.25">
      <c r="B573" s="170" t="s">
        <v>1348</v>
      </c>
      <c r="C573" s="73"/>
      <c r="D573" s="73" t="s">
        <v>1349</v>
      </c>
      <c r="E573" s="73"/>
      <c r="N573" s="65" t="str">
        <f t="shared" si="24"/>
        <v/>
      </c>
      <c r="R573" s="65"/>
    </row>
    <row r="574" spans="2:18" x14ac:dyDescent="0.25">
      <c r="B574" s="170" t="s">
        <v>1350</v>
      </c>
      <c r="C574" s="73"/>
      <c r="D574" s="73" t="s">
        <v>1351</v>
      </c>
      <c r="E574" s="73"/>
      <c r="N574" s="65" t="str">
        <f t="shared" si="24"/>
        <v/>
      </c>
      <c r="R574" s="65"/>
    </row>
    <row r="575" spans="2:18" x14ac:dyDescent="0.25">
      <c r="B575" s="170" t="s">
        <v>1352</v>
      </c>
      <c r="C575" s="73"/>
      <c r="D575" s="73" t="s">
        <v>1353</v>
      </c>
      <c r="E575" s="73"/>
      <c r="N575" s="65" t="str">
        <f t="shared" si="24"/>
        <v/>
      </c>
      <c r="R575" s="65"/>
    </row>
    <row r="576" spans="2:18" x14ac:dyDescent="0.25">
      <c r="B576" s="170" t="s">
        <v>1354</v>
      </c>
      <c r="C576" s="73"/>
      <c r="D576" s="73" t="s">
        <v>1355</v>
      </c>
      <c r="E576" s="73"/>
      <c r="N576" s="65" t="str">
        <f t="shared" si="24"/>
        <v/>
      </c>
      <c r="R576" s="65"/>
    </row>
    <row r="577" spans="2:18" x14ac:dyDescent="0.25">
      <c r="B577" s="170" t="s">
        <v>1356</v>
      </c>
      <c r="C577" s="73"/>
      <c r="D577" s="73" t="s">
        <v>1357</v>
      </c>
      <c r="E577" s="73"/>
      <c r="N577" s="65" t="str">
        <f t="shared" si="24"/>
        <v/>
      </c>
      <c r="R577" s="65"/>
    </row>
    <row r="578" spans="2:18" x14ac:dyDescent="0.25">
      <c r="B578" s="170" t="s">
        <v>1358</v>
      </c>
      <c r="C578" s="73"/>
      <c r="D578" s="73" t="s">
        <v>1359</v>
      </c>
      <c r="E578" s="73"/>
      <c r="N578" s="65" t="str">
        <f t="shared" si="24"/>
        <v/>
      </c>
      <c r="R578" s="65"/>
    </row>
    <row r="579" spans="2:18" x14ac:dyDescent="0.25">
      <c r="B579" s="170" t="s">
        <v>1360</v>
      </c>
      <c r="C579" s="73"/>
      <c r="D579" s="73" t="s">
        <v>1361</v>
      </c>
      <c r="E579" s="73"/>
      <c r="N579" s="65" t="str">
        <f t="shared" ref="N579:N642" si="25">IF(ISERROR(FIND(" (include",P579)),"",RIGHT(P579,LEN(P579)-FIND(" (include",P579)))</f>
        <v/>
      </c>
      <c r="R579" s="65"/>
    </row>
    <row r="580" spans="2:18" x14ac:dyDescent="0.25">
      <c r="B580" s="170" t="s">
        <v>1360</v>
      </c>
      <c r="C580" s="73"/>
      <c r="D580" s="73" t="s">
        <v>1361</v>
      </c>
      <c r="E580" s="73"/>
      <c r="N580" s="65" t="str">
        <f t="shared" si="25"/>
        <v/>
      </c>
      <c r="R580" s="65"/>
    </row>
    <row r="581" spans="2:18" x14ac:dyDescent="0.25">
      <c r="B581" s="170" t="s">
        <v>1362</v>
      </c>
      <c r="C581" s="73"/>
      <c r="D581" s="73" t="s">
        <v>1363</v>
      </c>
      <c r="E581" s="73"/>
      <c r="N581" s="65" t="str">
        <f t="shared" si="25"/>
        <v/>
      </c>
      <c r="R581" s="65"/>
    </row>
    <row r="582" spans="2:18" x14ac:dyDescent="0.25">
      <c r="B582" s="170" t="s">
        <v>1364</v>
      </c>
      <c r="C582" s="73"/>
      <c r="D582" s="73" t="s">
        <v>1365</v>
      </c>
      <c r="E582" s="73"/>
      <c r="N582" s="65" t="str">
        <f t="shared" si="25"/>
        <v/>
      </c>
      <c r="R582" s="65"/>
    </row>
    <row r="583" spans="2:18" x14ac:dyDescent="0.25">
      <c r="B583" s="170" t="s">
        <v>1364</v>
      </c>
      <c r="C583" s="73"/>
      <c r="D583" s="73" t="s">
        <v>1365</v>
      </c>
      <c r="E583" s="73"/>
      <c r="N583" s="65" t="str">
        <f t="shared" si="25"/>
        <v/>
      </c>
      <c r="R583" s="65"/>
    </row>
    <row r="584" spans="2:18" x14ac:dyDescent="0.25">
      <c r="B584" s="170" t="s">
        <v>1366</v>
      </c>
      <c r="C584" s="73"/>
      <c r="D584" s="73" t="s">
        <v>1367</v>
      </c>
      <c r="E584" s="73"/>
      <c r="N584" s="65" t="str">
        <f t="shared" si="25"/>
        <v/>
      </c>
      <c r="R584" s="65"/>
    </row>
    <row r="585" spans="2:18" x14ac:dyDescent="0.25">
      <c r="B585" s="170" t="s">
        <v>409</v>
      </c>
      <c r="C585" s="73"/>
      <c r="D585" s="73" t="s">
        <v>410</v>
      </c>
      <c r="E585" s="73"/>
      <c r="N585" s="65" t="str">
        <f t="shared" si="25"/>
        <v/>
      </c>
      <c r="R585" s="65"/>
    </row>
    <row r="586" spans="2:18" x14ac:dyDescent="0.25">
      <c r="B586" s="170" t="s">
        <v>1368</v>
      </c>
      <c r="C586" s="73"/>
      <c r="D586" s="73" t="s">
        <v>1369</v>
      </c>
      <c r="E586" s="73"/>
      <c r="N586" s="65" t="str">
        <f t="shared" si="25"/>
        <v/>
      </c>
      <c r="R586" s="65"/>
    </row>
    <row r="587" spans="2:18" x14ac:dyDescent="0.25">
      <c r="B587" s="170" t="s">
        <v>1370</v>
      </c>
      <c r="C587" s="73"/>
      <c r="D587" s="73" t="s">
        <v>1371</v>
      </c>
      <c r="E587" s="73"/>
      <c r="N587" s="65" t="str">
        <f t="shared" si="25"/>
        <v/>
      </c>
      <c r="R587" s="65"/>
    </row>
    <row r="588" spans="2:18" x14ac:dyDescent="0.25">
      <c r="B588" s="170" t="s">
        <v>1372</v>
      </c>
      <c r="C588" s="73"/>
      <c r="D588" s="73" t="s">
        <v>1373</v>
      </c>
      <c r="E588" s="73"/>
      <c r="N588" s="65" t="str">
        <f t="shared" si="25"/>
        <v/>
      </c>
      <c r="R588" s="65"/>
    </row>
    <row r="589" spans="2:18" x14ac:dyDescent="0.25">
      <c r="B589" s="170" t="s">
        <v>1374</v>
      </c>
      <c r="C589" s="73"/>
      <c r="D589" s="73" t="s">
        <v>1375</v>
      </c>
      <c r="E589" s="73"/>
      <c r="N589" s="65" t="str">
        <f t="shared" si="25"/>
        <v/>
      </c>
      <c r="R589" s="65"/>
    </row>
    <row r="590" spans="2:18" x14ac:dyDescent="0.25">
      <c r="B590" s="170" t="s">
        <v>1376</v>
      </c>
      <c r="C590" s="73"/>
      <c r="D590" s="73" t="s">
        <v>1377</v>
      </c>
      <c r="E590" s="73"/>
      <c r="N590" s="65" t="str">
        <f t="shared" si="25"/>
        <v/>
      </c>
      <c r="R590" s="65"/>
    </row>
    <row r="591" spans="2:18" x14ac:dyDescent="0.25">
      <c r="B591" s="170" t="s">
        <v>1378</v>
      </c>
      <c r="C591" s="73"/>
      <c r="D591" s="73" t="s">
        <v>1379</v>
      </c>
      <c r="E591" s="73"/>
      <c r="N591" s="65" t="str">
        <f t="shared" si="25"/>
        <v/>
      </c>
      <c r="R591" s="65"/>
    </row>
    <row r="592" spans="2:18" x14ac:dyDescent="0.25">
      <c r="B592" s="170" t="s">
        <v>1380</v>
      </c>
      <c r="C592" s="73"/>
      <c r="D592" s="73" t="s">
        <v>1381</v>
      </c>
      <c r="E592" s="73"/>
      <c r="N592" s="65" t="str">
        <f t="shared" si="25"/>
        <v/>
      </c>
      <c r="R592" s="65"/>
    </row>
    <row r="593" spans="2:18" x14ac:dyDescent="0.25">
      <c r="B593" s="170" t="s">
        <v>1382</v>
      </c>
      <c r="C593" s="73"/>
      <c r="D593" s="73" t="s">
        <v>1383</v>
      </c>
      <c r="E593" s="73"/>
      <c r="N593" s="65" t="str">
        <f t="shared" si="25"/>
        <v/>
      </c>
      <c r="R593" s="65"/>
    </row>
    <row r="594" spans="2:18" x14ac:dyDescent="0.25">
      <c r="B594" s="170" t="s">
        <v>1384</v>
      </c>
      <c r="C594" s="73"/>
      <c r="D594" s="73" t="s">
        <v>1385</v>
      </c>
      <c r="E594" s="73"/>
      <c r="N594" s="65" t="str">
        <f t="shared" si="25"/>
        <v/>
      </c>
      <c r="R594" s="65"/>
    </row>
    <row r="595" spans="2:18" x14ac:dyDescent="0.25">
      <c r="B595" s="170" t="s">
        <v>1386</v>
      </c>
      <c r="C595" s="73"/>
      <c r="D595" s="73" t="s">
        <v>1387</v>
      </c>
      <c r="E595" s="73"/>
      <c r="N595" s="65" t="str">
        <f t="shared" si="25"/>
        <v/>
      </c>
      <c r="R595" s="65"/>
    </row>
    <row r="596" spans="2:18" x14ac:dyDescent="0.25">
      <c r="B596" s="170" t="s">
        <v>1388</v>
      </c>
      <c r="C596" s="73"/>
      <c r="D596" s="73" t="s">
        <v>1389</v>
      </c>
      <c r="E596" s="73"/>
      <c r="N596" s="65" t="str">
        <f t="shared" si="25"/>
        <v/>
      </c>
      <c r="R596" s="65"/>
    </row>
    <row r="597" spans="2:18" x14ac:dyDescent="0.25">
      <c r="B597" s="170" t="s">
        <v>1390</v>
      </c>
      <c r="C597" s="73"/>
      <c r="D597" s="73" t="s">
        <v>1391</v>
      </c>
      <c r="E597" s="73"/>
      <c r="N597" s="65" t="str">
        <f t="shared" si="25"/>
        <v/>
      </c>
      <c r="R597" s="65"/>
    </row>
    <row r="598" spans="2:18" x14ac:dyDescent="0.25">
      <c r="B598" s="170" t="s">
        <v>1392</v>
      </c>
      <c r="C598" s="73"/>
      <c r="D598" s="73" t="s">
        <v>1393</v>
      </c>
      <c r="E598" s="73"/>
      <c r="N598" s="65" t="str">
        <f t="shared" si="25"/>
        <v/>
      </c>
      <c r="R598" s="65"/>
    </row>
    <row r="599" spans="2:18" x14ac:dyDescent="0.25">
      <c r="B599" s="170" t="s">
        <v>1394</v>
      </c>
      <c r="C599" s="73"/>
      <c r="D599" s="73" t="s">
        <v>1395</v>
      </c>
      <c r="E599" s="73"/>
      <c r="N599" s="65" t="str">
        <f t="shared" si="25"/>
        <v/>
      </c>
      <c r="R599" s="65"/>
    </row>
    <row r="600" spans="2:18" x14ac:dyDescent="0.25">
      <c r="B600" s="170" t="s">
        <v>1396</v>
      </c>
      <c r="C600" s="73"/>
      <c r="D600" s="73" t="s">
        <v>1397</v>
      </c>
      <c r="E600" s="73"/>
      <c r="N600" s="65" t="str">
        <f t="shared" si="25"/>
        <v/>
      </c>
      <c r="R600" s="65"/>
    </row>
    <row r="601" spans="2:18" x14ac:dyDescent="0.25">
      <c r="B601" s="170" t="s">
        <v>1396</v>
      </c>
      <c r="C601" s="73"/>
      <c r="D601" s="73" t="s">
        <v>1397</v>
      </c>
      <c r="E601" s="73"/>
      <c r="N601" s="65" t="str">
        <f t="shared" si="25"/>
        <v/>
      </c>
      <c r="R601" s="65"/>
    </row>
    <row r="602" spans="2:18" x14ac:dyDescent="0.25">
      <c r="B602" s="170" t="s">
        <v>1398</v>
      </c>
      <c r="C602" s="73"/>
      <c r="D602" s="73" t="s">
        <v>1399</v>
      </c>
      <c r="E602" s="73"/>
      <c r="N602" s="65" t="str">
        <f t="shared" si="25"/>
        <v/>
      </c>
      <c r="R602" s="65"/>
    </row>
    <row r="603" spans="2:18" x14ac:dyDescent="0.25">
      <c r="B603" s="170" t="s">
        <v>1400</v>
      </c>
      <c r="C603" s="73"/>
      <c r="D603" s="73" t="s">
        <v>1401</v>
      </c>
      <c r="E603" s="73"/>
      <c r="N603" s="65" t="str">
        <f t="shared" si="25"/>
        <v/>
      </c>
      <c r="R603" s="65"/>
    </row>
    <row r="604" spans="2:18" x14ac:dyDescent="0.25">
      <c r="B604" s="170" t="s">
        <v>1402</v>
      </c>
      <c r="C604" s="73"/>
      <c r="D604" s="73" t="s">
        <v>1403</v>
      </c>
      <c r="E604" s="73"/>
      <c r="N604" s="65" t="str">
        <f t="shared" si="25"/>
        <v/>
      </c>
      <c r="R604" s="65"/>
    </row>
    <row r="605" spans="2:18" x14ac:dyDescent="0.25">
      <c r="B605" s="170" t="s">
        <v>1404</v>
      </c>
      <c r="C605" s="73"/>
      <c r="D605" s="73" t="s">
        <v>1405</v>
      </c>
      <c r="E605" s="73"/>
      <c r="N605" s="65" t="str">
        <f t="shared" si="25"/>
        <v/>
      </c>
      <c r="R605" s="65"/>
    </row>
    <row r="606" spans="2:18" x14ac:dyDescent="0.25">
      <c r="B606" s="170" t="s">
        <v>1406</v>
      </c>
      <c r="C606" s="73"/>
      <c r="D606" s="73" t="s">
        <v>1407</v>
      </c>
      <c r="E606" s="73"/>
      <c r="N606" s="65" t="str">
        <f t="shared" si="25"/>
        <v/>
      </c>
      <c r="R606" s="65"/>
    </row>
    <row r="607" spans="2:18" x14ac:dyDescent="0.25">
      <c r="B607" s="170" t="s">
        <v>1408</v>
      </c>
      <c r="C607" s="73"/>
      <c r="D607" s="73" t="s">
        <v>1409</v>
      </c>
      <c r="E607" s="73"/>
      <c r="N607" s="65" t="str">
        <f t="shared" si="25"/>
        <v/>
      </c>
      <c r="R607" s="65"/>
    </row>
    <row r="608" spans="2:18" x14ac:dyDescent="0.25">
      <c r="B608" s="170" t="s">
        <v>1410</v>
      </c>
      <c r="C608" s="73"/>
      <c r="D608" s="73" t="s">
        <v>1411</v>
      </c>
      <c r="E608" s="73"/>
      <c r="N608" s="65" t="str">
        <f t="shared" si="25"/>
        <v/>
      </c>
      <c r="R608" s="65"/>
    </row>
    <row r="609" spans="2:18" x14ac:dyDescent="0.25">
      <c r="B609" s="170" t="s">
        <v>1412</v>
      </c>
      <c r="C609" s="73"/>
      <c r="D609" s="73" t="s">
        <v>1413</v>
      </c>
      <c r="E609" s="73"/>
      <c r="N609" s="65" t="str">
        <f t="shared" si="25"/>
        <v/>
      </c>
      <c r="R609" s="65"/>
    </row>
    <row r="610" spans="2:18" x14ac:dyDescent="0.25">
      <c r="B610" s="170" t="s">
        <v>1414</v>
      </c>
      <c r="C610" s="73"/>
      <c r="D610" s="73" t="s">
        <v>1415</v>
      </c>
      <c r="E610" s="73"/>
      <c r="N610" s="65" t="str">
        <f t="shared" si="25"/>
        <v/>
      </c>
      <c r="R610" s="65"/>
    </row>
    <row r="611" spans="2:18" x14ac:dyDescent="0.25">
      <c r="B611" s="170" t="s">
        <v>1416</v>
      </c>
      <c r="C611" s="73"/>
      <c r="D611" s="73" t="s">
        <v>1417</v>
      </c>
      <c r="E611" s="73"/>
      <c r="N611" s="65" t="str">
        <f t="shared" si="25"/>
        <v/>
      </c>
      <c r="R611" s="65"/>
    </row>
    <row r="612" spans="2:18" x14ac:dyDescent="0.25">
      <c r="B612" s="170" t="s">
        <v>1418</v>
      </c>
      <c r="C612" s="73"/>
      <c r="D612" s="73" t="s">
        <v>1419</v>
      </c>
      <c r="E612" s="73"/>
      <c r="N612" s="65" t="str">
        <f t="shared" si="25"/>
        <v/>
      </c>
      <c r="R612" s="65"/>
    </row>
    <row r="613" spans="2:18" x14ac:dyDescent="0.25">
      <c r="B613" s="170" t="s">
        <v>1420</v>
      </c>
      <c r="C613" s="73"/>
      <c r="D613" s="73" t="s">
        <v>1421</v>
      </c>
      <c r="E613" s="73"/>
      <c r="N613" s="65" t="str">
        <f t="shared" si="25"/>
        <v/>
      </c>
      <c r="R613" s="65"/>
    </row>
    <row r="614" spans="2:18" x14ac:dyDescent="0.25">
      <c r="B614" s="170" t="s">
        <v>1422</v>
      </c>
      <c r="C614" s="73"/>
      <c r="D614" s="73" t="s">
        <v>1423</v>
      </c>
      <c r="E614" s="73"/>
      <c r="N614" s="65" t="str">
        <f t="shared" si="25"/>
        <v/>
      </c>
      <c r="R614" s="65"/>
    </row>
    <row r="615" spans="2:18" x14ac:dyDescent="0.25">
      <c r="B615" s="170" t="s">
        <v>1424</v>
      </c>
      <c r="C615" s="73"/>
      <c r="D615" s="73" t="s">
        <v>1425</v>
      </c>
      <c r="E615" s="73"/>
      <c r="N615" s="65" t="str">
        <f t="shared" si="25"/>
        <v/>
      </c>
      <c r="R615" s="65"/>
    </row>
    <row r="616" spans="2:18" x14ac:dyDescent="0.25">
      <c r="B616" s="170" t="s">
        <v>1426</v>
      </c>
      <c r="C616" s="73"/>
      <c r="D616" s="73" t="s">
        <v>1427</v>
      </c>
      <c r="E616" s="73"/>
      <c r="N616" s="65" t="str">
        <f t="shared" si="25"/>
        <v/>
      </c>
      <c r="R616" s="65"/>
    </row>
    <row r="617" spans="2:18" x14ac:dyDescent="0.25">
      <c r="B617" s="170" t="s">
        <v>1428</v>
      </c>
      <c r="C617" s="73"/>
      <c r="D617" s="73" t="s">
        <v>1427</v>
      </c>
      <c r="E617" s="73"/>
      <c r="N617" s="65" t="str">
        <f t="shared" si="25"/>
        <v/>
      </c>
      <c r="R617" s="65"/>
    </row>
    <row r="618" spans="2:18" x14ac:dyDescent="0.25">
      <c r="B618" s="170" t="s">
        <v>1429</v>
      </c>
      <c r="C618" s="73"/>
      <c r="D618" s="73" t="s">
        <v>1430</v>
      </c>
      <c r="E618" s="73"/>
      <c r="N618" s="65" t="str">
        <f t="shared" si="25"/>
        <v/>
      </c>
      <c r="R618" s="65"/>
    </row>
    <row r="619" spans="2:18" x14ac:dyDescent="0.25">
      <c r="B619" s="170" t="s">
        <v>1431</v>
      </c>
      <c r="C619" s="69"/>
      <c r="D619" s="70" t="s">
        <v>1432</v>
      </c>
      <c r="E619" s="73"/>
      <c r="N619" s="65" t="str">
        <f t="shared" si="25"/>
        <v/>
      </c>
      <c r="R619" s="65"/>
    </row>
    <row r="620" spans="2:18" x14ac:dyDescent="0.25">
      <c r="B620" s="170" t="s">
        <v>1434</v>
      </c>
      <c r="C620" s="69"/>
      <c r="D620" s="70" t="s">
        <v>1435</v>
      </c>
      <c r="E620" s="73"/>
      <c r="N620" s="65" t="str">
        <f t="shared" si="25"/>
        <v/>
      </c>
      <c r="R620" s="65"/>
    </row>
    <row r="621" spans="2:18" x14ac:dyDescent="0.25">
      <c r="B621" s="170" t="s">
        <v>1436</v>
      </c>
      <c r="C621" s="69"/>
      <c r="D621" s="70" t="s">
        <v>1437</v>
      </c>
      <c r="E621" s="73"/>
      <c r="N621" s="65" t="str">
        <f t="shared" si="25"/>
        <v/>
      </c>
      <c r="R621" s="65"/>
    </row>
    <row r="622" spans="2:18" x14ac:dyDescent="0.25">
      <c r="B622" s="170" t="s">
        <v>1438</v>
      </c>
      <c r="C622" s="69"/>
      <c r="D622" s="70" t="s">
        <v>1439</v>
      </c>
      <c r="E622" s="73"/>
      <c r="N622" s="65" t="str">
        <f t="shared" si="25"/>
        <v/>
      </c>
      <c r="R622" s="65"/>
    </row>
    <row r="623" spans="2:18" x14ac:dyDescent="0.25">
      <c r="B623" s="170" t="s">
        <v>1440</v>
      </c>
      <c r="C623" s="69"/>
      <c r="D623" s="70" t="s">
        <v>1441</v>
      </c>
      <c r="E623" s="73"/>
      <c r="N623" s="65" t="str">
        <f t="shared" si="25"/>
        <v/>
      </c>
      <c r="R623" s="65"/>
    </row>
    <row r="624" spans="2:18" x14ac:dyDescent="0.25">
      <c r="B624" s="170" t="s">
        <v>1442</v>
      </c>
      <c r="C624" s="69"/>
      <c r="D624" s="70" t="s">
        <v>1443</v>
      </c>
      <c r="E624" s="73"/>
      <c r="N624" s="65" t="str">
        <f t="shared" si="25"/>
        <v/>
      </c>
      <c r="R624" s="65"/>
    </row>
    <row r="625" spans="2:18" x14ac:dyDescent="0.25">
      <c r="B625" s="170" t="s">
        <v>1444</v>
      </c>
      <c r="C625" s="69"/>
      <c r="D625" s="70" t="s">
        <v>1445</v>
      </c>
      <c r="E625" s="73"/>
      <c r="N625" s="65" t="str">
        <f t="shared" si="25"/>
        <v/>
      </c>
      <c r="R625" s="65"/>
    </row>
    <row r="626" spans="2:18" x14ac:dyDescent="0.25">
      <c r="B626" s="170" t="s">
        <v>1446</v>
      </c>
      <c r="C626" s="69"/>
      <c r="D626" s="70" t="s">
        <v>1447</v>
      </c>
      <c r="E626" s="73"/>
      <c r="N626" s="65" t="str">
        <f t="shared" si="25"/>
        <v/>
      </c>
      <c r="R626" s="65"/>
    </row>
    <row r="627" spans="2:18" x14ac:dyDescent="0.25">
      <c r="B627" s="170" t="s">
        <v>1448</v>
      </c>
      <c r="C627" s="69"/>
      <c r="D627" s="70" t="s">
        <v>1449</v>
      </c>
      <c r="E627" s="73"/>
      <c r="N627" s="65" t="str">
        <f t="shared" si="25"/>
        <v/>
      </c>
      <c r="R627" s="65"/>
    </row>
    <row r="628" spans="2:18" x14ac:dyDescent="0.25">
      <c r="B628" s="170" t="s">
        <v>1450</v>
      </c>
      <c r="C628" s="69"/>
      <c r="D628" s="70" t="s">
        <v>1451</v>
      </c>
      <c r="E628" s="73"/>
      <c r="N628" s="65" t="str">
        <f t="shared" si="25"/>
        <v/>
      </c>
      <c r="R628" s="65"/>
    </row>
    <row r="629" spans="2:18" x14ac:dyDescent="0.25">
      <c r="B629" s="170" t="s">
        <v>1452</v>
      </c>
      <c r="C629" s="69"/>
      <c r="D629" s="70" t="s">
        <v>1453</v>
      </c>
      <c r="E629" s="73"/>
      <c r="N629" s="65" t="str">
        <f t="shared" si="25"/>
        <v/>
      </c>
      <c r="R629" s="65"/>
    </row>
    <row r="630" spans="2:18" x14ac:dyDescent="0.25">
      <c r="B630" s="170" t="s">
        <v>1454</v>
      </c>
      <c r="C630" s="69"/>
      <c r="D630" s="70" t="s">
        <v>1455</v>
      </c>
      <c r="E630" s="73"/>
      <c r="N630" s="65" t="str">
        <f t="shared" si="25"/>
        <v/>
      </c>
      <c r="R630" s="65"/>
    </row>
    <row r="631" spans="2:18" x14ac:dyDescent="0.25">
      <c r="B631" s="170" t="s">
        <v>1456</v>
      </c>
      <c r="C631" s="69"/>
      <c r="D631" s="70" t="s">
        <v>1457</v>
      </c>
      <c r="E631" s="73"/>
      <c r="N631" s="65" t="str">
        <f t="shared" si="25"/>
        <v/>
      </c>
      <c r="R631" s="65"/>
    </row>
    <row r="632" spans="2:18" x14ac:dyDescent="0.25">
      <c r="B632" s="170" t="s">
        <v>1458</v>
      </c>
      <c r="C632" s="69"/>
      <c r="D632" s="70" t="s">
        <v>1459</v>
      </c>
      <c r="E632" s="73"/>
      <c r="N632" s="65" t="str">
        <f t="shared" si="25"/>
        <v/>
      </c>
      <c r="R632" s="65"/>
    </row>
    <row r="633" spans="2:18" x14ac:dyDescent="0.25">
      <c r="B633" s="170" t="s">
        <v>1460</v>
      </c>
      <c r="C633" s="69"/>
      <c r="D633" s="70" t="s">
        <v>1461</v>
      </c>
      <c r="E633" s="73"/>
      <c r="N633" s="65" t="str">
        <f t="shared" si="25"/>
        <v/>
      </c>
      <c r="R633" s="65"/>
    </row>
    <row r="634" spans="2:18" x14ac:dyDescent="0.25">
      <c r="B634" s="170" t="s">
        <v>1462</v>
      </c>
      <c r="C634" s="69"/>
      <c r="D634" s="70" t="s">
        <v>1463</v>
      </c>
      <c r="E634" s="73"/>
      <c r="N634" s="65" t="str">
        <f t="shared" si="25"/>
        <v/>
      </c>
      <c r="R634" s="65"/>
    </row>
    <row r="635" spans="2:18" x14ac:dyDescent="0.25">
      <c r="B635" s="170" t="s">
        <v>1464</v>
      </c>
      <c r="C635" s="69"/>
      <c r="D635" s="70" t="s">
        <v>835</v>
      </c>
      <c r="E635" s="73"/>
      <c r="N635" s="65" t="str">
        <f t="shared" si="25"/>
        <v/>
      </c>
      <c r="R635" s="65"/>
    </row>
    <row r="636" spans="2:18" x14ac:dyDescent="0.25">
      <c r="B636" s="170" t="s">
        <v>1465</v>
      </c>
      <c r="C636" s="69"/>
      <c r="D636" s="70" t="s">
        <v>1466</v>
      </c>
      <c r="E636" s="73"/>
      <c r="N636" s="65" t="str">
        <f t="shared" si="25"/>
        <v/>
      </c>
      <c r="R636" s="65"/>
    </row>
    <row r="637" spans="2:18" x14ac:dyDescent="0.25">
      <c r="B637" s="170" t="s">
        <v>1467</v>
      </c>
      <c r="C637" s="69"/>
      <c r="D637" s="70" t="s">
        <v>1468</v>
      </c>
      <c r="E637" s="73"/>
      <c r="N637" s="65" t="str">
        <f t="shared" si="25"/>
        <v/>
      </c>
      <c r="R637" s="65"/>
    </row>
    <row r="638" spans="2:18" x14ac:dyDescent="0.25">
      <c r="B638" s="170" t="s">
        <v>1469</v>
      </c>
      <c r="C638" s="69"/>
      <c r="D638" s="70" t="s">
        <v>1470</v>
      </c>
      <c r="E638" s="73"/>
      <c r="N638" s="65" t="str">
        <f t="shared" si="25"/>
        <v/>
      </c>
      <c r="R638" s="65"/>
    </row>
    <row r="639" spans="2:18" x14ac:dyDescent="0.25">
      <c r="B639" s="170" t="s">
        <v>1471</v>
      </c>
      <c r="C639" s="69"/>
      <c r="D639" s="70" t="s">
        <v>1472</v>
      </c>
      <c r="E639" s="73"/>
      <c r="N639" s="65" t="str">
        <f t="shared" si="25"/>
        <v/>
      </c>
      <c r="R639" s="65"/>
    </row>
    <row r="640" spans="2:18" x14ac:dyDescent="0.25">
      <c r="B640" s="170" t="s">
        <v>1473</v>
      </c>
      <c r="C640" s="69"/>
      <c r="D640" s="70" t="s">
        <v>1474</v>
      </c>
      <c r="E640" s="73"/>
      <c r="N640" s="65" t="str">
        <f t="shared" si="25"/>
        <v/>
      </c>
      <c r="R640" s="65"/>
    </row>
    <row r="641" spans="2:18" x14ac:dyDescent="0.25">
      <c r="B641" s="170" t="s">
        <v>1475</v>
      </c>
      <c r="C641" s="69"/>
      <c r="D641" s="70" t="s">
        <v>1476</v>
      </c>
      <c r="E641" s="73"/>
      <c r="N641" s="65" t="str">
        <f t="shared" si="25"/>
        <v/>
      </c>
      <c r="R641" s="65"/>
    </row>
    <row r="642" spans="2:18" x14ac:dyDescent="0.25">
      <c r="B642" s="170" t="s">
        <v>1477</v>
      </c>
      <c r="C642" s="69"/>
      <c r="D642" s="70" t="s">
        <v>1478</v>
      </c>
      <c r="E642" s="73"/>
      <c r="N642" s="65" t="str">
        <f t="shared" si="25"/>
        <v/>
      </c>
      <c r="R642" s="65"/>
    </row>
    <row r="643" spans="2:18" x14ac:dyDescent="0.25">
      <c r="B643" s="170" t="s">
        <v>1479</v>
      </c>
      <c r="C643" s="69"/>
      <c r="D643" s="70" t="s">
        <v>1480</v>
      </c>
      <c r="E643" s="73"/>
      <c r="N643" s="65" t="str">
        <f t="shared" ref="N643:N706" si="26">IF(ISERROR(FIND(" (include",P643)),"",RIGHT(P643,LEN(P643)-FIND(" (include",P643)))</f>
        <v/>
      </c>
      <c r="R643" s="65"/>
    </row>
    <row r="644" spans="2:18" x14ac:dyDescent="0.25">
      <c r="B644" s="170" t="s">
        <v>1481</v>
      </c>
      <c r="C644" s="69"/>
      <c r="D644" s="70" t="s">
        <v>1482</v>
      </c>
      <c r="E644" s="73"/>
      <c r="N644" s="65" t="str">
        <f t="shared" si="26"/>
        <v/>
      </c>
      <c r="R644" s="65"/>
    </row>
    <row r="645" spans="2:18" x14ac:dyDescent="0.25">
      <c r="B645" s="170" t="s">
        <v>1483</v>
      </c>
      <c r="C645" s="69"/>
      <c r="D645" s="70" t="s">
        <v>1292</v>
      </c>
      <c r="E645" s="73"/>
      <c r="N645" s="65" t="str">
        <f t="shared" si="26"/>
        <v/>
      </c>
      <c r="R645" s="65"/>
    </row>
    <row r="646" spans="2:18" x14ac:dyDescent="0.25">
      <c r="B646" s="170" t="s">
        <v>1484</v>
      </c>
      <c r="C646" s="69"/>
      <c r="D646" s="70" t="s">
        <v>1485</v>
      </c>
      <c r="E646" s="73"/>
      <c r="N646" s="65" t="str">
        <f t="shared" si="26"/>
        <v/>
      </c>
      <c r="R646" s="65"/>
    </row>
    <row r="647" spans="2:18" x14ac:dyDescent="0.25">
      <c r="B647" s="170" t="s">
        <v>1486</v>
      </c>
      <c r="C647" s="69"/>
      <c r="D647" s="70" t="s">
        <v>1487</v>
      </c>
      <c r="E647" s="73"/>
      <c r="N647" s="65" t="str">
        <f t="shared" si="26"/>
        <v/>
      </c>
      <c r="R647" s="65"/>
    </row>
    <row r="648" spans="2:18" x14ac:dyDescent="0.25">
      <c r="B648" s="170" t="s">
        <v>1488</v>
      </c>
      <c r="C648" s="69"/>
      <c r="D648" s="70" t="s">
        <v>1489</v>
      </c>
      <c r="E648" s="73"/>
      <c r="N648" s="65" t="str">
        <f t="shared" si="26"/>
        <v/>
      </c>
      <c r="R648" s="65"/>
    </row>
    <row r="649" spans="2:18" x14ac:dyDescent="0.25">
      <c r="B649" s="170" t="s">
        <v>1490</v>
      </c>
      <c r="C649" s="69"/>
      <c r="D649" s="70" t="s">
        <v>1491</v>
      </c>
      <c r="E649" s="73"/>
      <c r="N649" s="65" t="str">
        <f t="shared" si="26"/>
        <v/>
      </c>
      <c r="R649" s="65"/>
    </row>
    <row r="650" spans="2:18" x14ac:dyDescent="0.25">
      <c r="B650" s="170" t="s">
        <v>1492</v>
      </c>
      <c r="C650" s="69"/>
      <c r="D650" s="70" t="s">
        <v>1493</v>
      </c>
      <c r="E650" s="73"/>
      <c r="N650" s="65" t="str">
        <f t="shared" si="26"/>
        <v/>
      </c>
      <c r="R650" s="65"/>
    </row>
    <row r="651" spans="2:18" x14ac:dyDescent="0.25">
      <c r="B651" s="170" t="s">
        <v>1494</v>
      </c>
      <c r="C651" s="69"/>
      <c r="D651" s="70" t="s">
        <v>1495</v>
      </c>
      <c r="E651" s="73"/>
      <c r="N651" s="65" t="str">
        <f t="shared" si="26"/>
        <v/>
      </c>
      <c r="R651" s="65"/>
    </row>
    <row r="652" spans="2:18" x14ac:dyDescent="0.25">
      <c r="B652" s="170" t="s">
        <v>1496</v>
      </c>
      <c r="C652" s="69"/>
      <c r="D652" s="70" t="s">
        <v>1497</v>
      </c>
      <c r="E652" s="73"/>
      <c r="N652" s="65" t="str">
        <f t="shared" si="26"/>
        <v/>
      </c>
      <c r="R652" s="65"/>
    </row>
    <row r="653" spans="2:18" x14ac:dyDescent="0.25">
      <c r="B653" s="90" t="s">
        <v>1498</v>
      </c>
      <c r="C653" s="69"/>
      <c r="D653" s="70" t="s">
        <v>1499</v>
      </c>
      <c r="E653" s="73"/>
      <c r="N653" s="65" t="str">
        <f t="shared" si="26"/>
        <v/>
      </c>
      <c r="R653" s="65"/>
    </row>
    <row r="654" spans="2:18" x14ac:dyDescent="0.25">
      <c r="B654" s="170" t="s">
        <v>1500</v>
      </c>
      <c r="C654" s="69"/>
      <c r="D654" s="70" t="s">
        <v>1501</v>
      </c>
      <c r="E654" s="73"/>
      <c r="N654" s="65" t="str">
        <f t="shared" si="26"/>
        <v/>
      </c>
      <c r="R654" s="65"/>
    </row>
    <row r="655" spans="2:18" x14ac:dyDescent="0.25">
      <c r="B655" s="170" t="s">
        <v>1502</v>
      </c>
      <c r="C655" s="69"/>
      <c r="D655" s="70" t="s">
        <v>1503</v>
      </c>
      <c r="E655" s="73"/>
      <c r="N655" s="65" t="str">
        <f t="shared" si="26"/>
        <v/>
      </c>
      <c r="R655" s="65"/>
    </row>
    <row r="656" spans="2:18" x14ac:dyDescent="0.25">
      <c r="B656" s="170" t="s">
        <v>1504</v>
      </c>
      <c r="C656" s="69"/>
      <c r="D656" s="70" t="s">
        <v>1505</v>
      </c>
      <c r="E656" s="73"/>
      <c r="N656" s="65" t="str">
        <f t="shared" si="26"/>
        <v/>
      </c>
      <c r="R656" s="65"/>
    </row>
    <row r="657" spans="2:18" ht="25" x14ac:dyDescent="0.25">
      <c r="B657" s="170" t="s">
        <v>1506</v>
      </c>
      <c r="C657" s="69"/>
      <c r="D657" s="70" t="s">
        <v>1507</v>
      </c>
      <c r="E657" s="73"/>
      <c r="N657" s="65" t="str">
        <f t="shared" si="26"/>
        <v/>
      </c>
      <c r="R657" s="65"/>
    </row>
    <row r="658" spans="2:18" ht="25" x14ac:dyDescent="0.25">
      <c r="B658" s="170" t="s">
        <v>1508</v>
      </c>
      <c r="C658" s="69"/>
      <c r="D658" s="70" t="s">
        <v>1509</v>
      </c>
      <c r="E658" s="73"/>
      <c r="N658" s="65" t="str">
        <f t="shared" si="26"/>
        <v/>
      </c>
      <c r="R658" s="65"/>
    </row>
    <row r="659" spans="2:18" ht="25" x14ac:dyDescent="0.25">
      <c r="B659" s="170" t="s">
        <v>1510</v>
      </c>
      <c r="C659" s="69"/>
      <c r="D659" s="70" t="s">
        <v>1511</v>
      </c>
      <c r="E659" s="73"/>
      <c r="N659" s="65" t="str">
        <f t="shared" si="26"/>
        <v/>
      </c>
      <c r="R659" s="65"/>
    </row>
    <row r="660" spans="2:18" ht="25" x14ac:dyDescent="0.25">
      <c r="B660" s="170" t="s">
        <v>1512</v>
      </c>
      <c r="C660" s="69"/>
      <c r="D660" s="70" t="s">
        <v>1513</v>
      </c>
      <c r="E660" s="73"/>
      <c r="N660" s="65" t="str">
        <f t="shared" si="26"/>
        <v/>
      </c>
      <c r="R660" s="65"/>
    </row>
    <row r="661" spans="2:18" x14ac:dyDescent="0.25">
      <c r="B661" s="90" t="s">
        <v>1514</v>
      </c>
      <c r="C661" s="69"/>
      <c r="D661" s="70" t="s">
        <v>1515</v>
      </c>
      <c r="E661" s="73"/>
      <c r="N661" s="65" t="str">
        <f t="shared" si="26"/>
        <v/>
      </c>
      <c r="R661" s="65"/>
    </row>
    <row r="662" spans="2:18" x14ac:dyDescent="0.25">
      <c r="B662" s="170" t="s">
        <v>1516</v>
      </c>
      <c r="C662" s="69"/>
      <c r="D662" s="70" t="s">
        <v>1517</v>
      </c>
      <c r="E662" s="73"/>
      <c r="N662" s="65" t="str">
        <f t="shared" si="26"/>
        <v/>
      </c>
      <c r="R662" s="65"/>
    </row>
    <row r="663" spans="2:18" x14ac:dyDescent="0.25">
      <c r="B663" s="170" t="s">
        <v>1518</v>
      </c>
      <c r="C663" s="69"/>
      <c r="D663" s="70" t="s">
        <v>1519</v>
      </c>
      <c r="E663" s="73"/>
      <c r="N663" s="65" t="str">
        <f t="shared" si="26"/>
        <v/>
      </c>
      <c r="R663" s="65"/>
    </row>
    <row r="664" spans="2:18" x14ac:dyDescent="0.25">
      <c r="B664" s="170" t="s">
        <v>1520</v>
      </c>
      <c r="C664" s="69"/>
      <c r="D664" s="70" t="s">
        <v>1521</v>
      </c>
      <c r="E664" s="73"/>
      <c r="N664" s="65" t="str">
        <f t="shared" si="26"/>
        <v/>
      </c>
      <c r="R664" s="65"/>
    </row>
    <row r="665" spans="2:18" x14ac:dyDescent="0.25">
      <c r="B665" s="170" t="s">
        <v>1522</v>
      </c>
      <c r="C665" s="69"/>
      <c r="D665" s="70" t="s">
        <v>1523</v>
      </c>
      <c r="E665" s="73"/>
      <c r="N665" s="65" t="str">
        <f t="shared" si="26"/>
        <v/>
      </c>
      <c r="R665" s="65"/>
    </row>
    <row r="666" spans="2:18" x14ac:dyDescent="0.25">
      <c r="B666" s="170" t="s">
        <v>1524</v>
      </c>
      <c r="C666" s="69"/>
      <c r="D666" s="70" t="s">
        <v>1525</v>
      </c>
      <c r="E666" s="73"/>
      <c r="N666" s="65" t="str">
        <f t="shared" si="26"/>
        <v/>
      </c>
      <c r="R666" s="65"/>
    </row>
    <row r="667" spans="2:18" x14ac:dyDescent="0.25">
      <c r="B667" s="170" t="s">
        <v>1526</v>
      </c>
      <c r="C667" s="69"/>
      <c r="D667" s="70" t="s">
        <v>1527</v>
      </c>
      <c r="E667" s="73"/>
      <c r="N667" s="65" t="str">
        <f t="shared" si="26"/>
        <v/>
      </c>
      <c r="R667" s="65"/>
    </row>
    <row r="668" spans="2:18" x14ac:dyDescent="0.25">
      <c r="B668" s="170" t="s">
        <v>1528</v>
      </c>
      <c r="C668" s="69"/>
      <c r="D668" s="70" t="s">
        <v>1529</v>
      </c>
      <c r="E668" s="73"/>
      <c r="N668" s="65" t="str">
        <f t="shared" si="26"/>
        <v/>
      </c>
      <c r="R668" s="65"/>
    </row>
    <row r="669" spans="2:18" x14ac:dyDescent="0.25">
      <c r="B669" s="170" t="s">
        <v>1530</v>
      </c>
      <c r="C669" s="69"/>
      <c r="D669" s="70" t="s">
        <v>1531</v>
      </c>
      <c r="E669" s="73"/>
      <c r="N669" s="65" t="str">
        <f t="shared" si="26"/>
        <v/>
      </c>
      <c r="R669" s="65"/>
    </row>
    <row r="670" spans="2:18" x14ac:dyDescent="0.25">
      <c r="B670" s="170" t="s">
        <v>1532</v>
      </c>
      <c r="C670" s="69"/>
      <c r="D670" s="70" t="s">
        <v>1533</v>
      </c>
      <c r="E670" s="73"/>
      <c r="N670" s="65" t="str">
        <f t="shared" si="26"/>
        <v/>
      </c>
      <c r="R670" s="65"/>
    </row>
    <row r="671" spans="2:18" x14ac:dyDescent="0.25">
      <c r="B671" s="170" t="s">
        <v>1534</v>
      </c>
      <c r="C671" s="70"/>
      <c r="D671" s="70" t="s">
        <v>1535</v>
      </c>
      <c r="E671" s="73"/>
      <c r="N671" s="65" t="str">
        <f t="shared" si="26"/>
        <v/>
      </c>
      <c r="R671" s="65"/>
    </row>
    <row r="672" spans="2:18" x14ac:dyDescent="0.25">
      <c r="B672" s="170" t="s">
        <v>1536</v>
      </c>
      <c r="C672" s="69"/>
      <c r="D672" s="70" t="s">
        <v>1537</v>
      </c>
      <c r="E672" s="73"/>
      <c r="N672" s="65" t="str">
        <f t="shared" si="26"/>
        <v/>
      </c>
      <c r="R672" s="65"/>
    </row>
    <row r="673" spans="2:18" x14ac:dyDescent="0.25">
      <c r="B673" s="170" t="s">
        <v>1538</v>
      </c>
      <c r="C673" s="69"/>
      <c r="D673" s="70" t="s">
        <v>1539</v>
      </c>
      <c r="E673" s="73"/>
      <c r="N673" s="65" t="str">
        <f t="shared" si="26"/>
        <v/>
      </c>
      <c r="R673" s="65"/>
    </row>
    <row r="674" spans="2:18" x14ac:dyDescent="0.25">
      <c r="B674" s="170" t="s">
        <v>1540</v>
      </c>
      <c r="C674" s="69"/>
      <c r="D674" s="70" t="s">
        <v>1541</v>
      </c>
      <c r="E674" s="73"/>
      <c r="N674" s="65" t="str">
        <f t="shared" si="26"/>
        <v/>
      </c>
      <c r="R674" s="65"/>
    </row>
    <row r="675" spans="2:18" x14ac:dyDescent="0.25">
      <c r="B675" s="170" t="s">
        <v>1542</v>
      </c>
      <c r="C675" s="69"/>
      <c r="D675" s="70" t="s">
        <v>1543</v>
      </c>
      <c r="E675" s="73"/>
      <c r="N675" s="65" t="str">
        <f t="shared" si="26"/>
        <v/>
      </c>
      <c r="R675" s="65"/>
    </row>
    <row r="676" spans="2:18" x14ac:dyDescent="0.25">
      <c r="B676" s="170" t="s">
        <v>1544</v>
      </c>
      <c r="C676" s="69"/>
      <c r="D676" s="70" t="s">
        <v>1545</v>
      </c>
      <c r="E676" s="73"/>
      <c r="N676" s="65" t="str">
        <f t="shared" si="26"/>
        <v/>
      </c>
      <c r="R676" s="65"/>
    </row>
    <row r="677" spans="2:18" x14ac:dyDescent="0.25">
      <c r="B677" s="170" t="s">
        <v>1546</v>
      </c>
      <c r="C677" s="69"/>
      <c r="D677" s="70" t="s">
        <v>1547</v>
      </c>
      <c r="E677" s="73"/>
      <c r="N677" s="65" t="str">
        <f t="shared" si="26"/>
        <v/>
      </c>
      <c r="R677" s="65"/>
    </row>
    <row r="678" spans="2:18" x14ac:dyDescent="0.25">
      <c r="B678" s="170" t="s">
        <v>1548</v>
      </c>
      <c r="C678" s="69"/>
      <c r="D678" s="70" t="s">
        <v>1549</v>
      </c>
      <c r="E678" s="73"/>
      <c r="N678" s="65" t="str">
        <f t="shared" si="26"/>
        <v/>
      </c>
      <c r="R678" s="65"/>
    </row>
    <row r="679" spans="2:18" x14ac:dyDescent="0.25">
      <c r="B679" s="170" t="s">
        <v>1550</v>
      </c>
      <c r="C679" s="69"/>
      <c r="D679" s="70" t="s">
        <v>1551</v>
      </c>
      <c r="E679" s="73"/>
      <c r="N679" s="65" t="str">
        <f t="shared" si="26"/>
        <v/>
      </c>
      <c r="R679" s="65"/>
    </row>
    <row r="680" spans="2:18" x14ac:dyDescent="0.25">
      <c r="B680" s="170" t="s">
        <v>1552</v>
      </c>
      <c r="C680" s="69"/>
      <c r="D680" s="70" t="s">
        <v>1553</v>
      </c>
      <c r="E680" s="73"/>
      <c r="N680" s="65" t="str">
        <f t="shared" si="26"/>
        <v/>
      </c>
      <c r="R680" s="65"/>
    </row>
    <row r="681" spans="2:18" x14ac:dyDescent="0.25">
      <c r="B681" s="170" t="s">
        <v>1554</v>
      </c>
      <c r="C681" s="69"/>
      <c r="D681" s="70" t="s">
        <v>1555</v>
      </c>
      <c r="E681" s="73"/>
      <c r="N681" s="65" t="str">
        <f t="shared" si="26"/>
        <v/>
      </c>
      <c r="R681" s="65"/>
    </row>
    <row r="682" spans="2:18" ht="25" x14ac:dyDescent="0.25">
      <c r="B682" s="170" t="s">
        <v>1556</v>
      </c>
      <c r="C682" s="69"/>
      <c r="D682" s="70" t="s">
        <v>1557</v>
      </c>
      <c r="E682" s="73"/>
      <c r="N682" s="65" t="str">
        <f t="shared" si="26"/>
        <v/>
      </c>
      <c r="R682" s="65"/>
    </row>
    <row r="683" spans="2:18" ht="25" x14ac:dyDescent="0.25">
      <c r="B683" s="170" t="s">
        <v>1558</v>
      </c>
      <c r="C683" s="69"/>
      <c r="D683" s="70" t="s">
        <v>1559</v>
      </c>
      <c r="E683" s="73"/>
      <c r="N683" s="65" t="str">
        <f t="shared" si="26"/>
        <v/>
      </c>
      <c r="R683" s="65"/>
    </row>
    <row r="684" spans="2:18" ht="25" x14ac:dyDescent="0.25">
      <c r="B684" s="170" t="s">
        <v>1560</v>
      </c>
      <c r="C684" s="69"/>
      <c r="D684" s="70" t="s">
        <v>1561</v>
      </c>
      <c r="E684" s="73"/>
      <c r="N684" s="65" t="str">
        <f t="shared" si="26"/>
        <v/>
      </c>
      <c r="R684" s="65"/>
    </row>
    <row r="685" spans="2:18" x14ac:dyDescent="0.25">
      <c r="B685" s="170" t="s">
        <v>1562</v>
      </c>
      <c r="C685" s="69"/>
      <c r="D685" s="70" t="s">
        <v>1563</v>
      </c>
      <c r="E685" s="73"/>
      <c r="N685" s="65" t="str">
        <f t="shared" si="26"/>
        <v/>
      </c>
      <c r="R685" s="65"/>
    </row>
    <row r="686" spans="2:18" x14ac:dyDescent="0.25">
      <c r="B686" s="170" t="s">
        <v>1564</v>
      </c>
      <c r="C686" s="69"/>
      <c r="D686" s="70" t="s">
        <v>1565</v>
      </c>
      <c r="E686" s="73"/>
      <c r="N686" s="65" t="str">
        <f t="shared" si="26"/>
        <v/>
      </c>
      <c r="R686" s="65"/>
    </row>
    <row r="687" spans="2:18" x14ac:dyDescent="0.25">
      <c r="B687" s="170" t="s">
        <v>253</v>
      </c>
      <c r="C687" s="69"/>
      <c r="D687" s="70" t="s">
        <v>1568</v>
      </c>
      <c r="E687" s="73"/>
      <c r="N687" s="65" t="str">
        <f t="shared" si="26"/>
        <v/>
      </c>
      <c r="R687" s="65"/>
    </row>
    <row r="688" spans="2:18" x14ac:dyDescent="0.25">
      <c r="B688" s="170" t="s">
        <v>259</v>
      </c>
      <c r="C688" s="69"/>
      <c r="D688" s="70" t="s">
        <v>1569</v>
      </c>
      <c r="E688" s="73"/>
      <c r="N688" s="65" t="str">
        <f t="shared" si="26"/>
        <v/>
      </c>
      <c r="R688" s="65"/>
    </row>
    <row r="689" spans="2:18" x14ac:dyDescent="0.25">
      <c r="B689" s="170" t="s">
        <v>13</v>
      </c>
      <c r="C689" s="69"/>
      <c r="D689" s="70" t="s">
        <v>1570</v>
      </c>
      <c r="E689" s="73"/>
      <c r="N689" s="65" t="str">
        <f t="shared" si="26"/>
        <v/>
      </c>
      <c r="R689" s="65"/>
    </row>
    <row r="690" spans="2:18" x14ac:dyDescent="0.25">
      <c r="B690" s="170" t="s">
        <v>88</v>
      </c>
      <c r="C690" s="69"/>
      <c r="D690" s="70" t="s">
        <v>1571</v>
      </c>
      <c r="E690" s="73"/>
      <c r="N690" s="65" t="str">
        <f t="shared" si="26"/>
        <v/>
      </c>
      <c r="R690" s="65"/>
    </row>
    <row r="691" spans="2:18" x14ac:dyDescent="0.25">
      <c r="B691" s="170" t="s">
        <v>89</v>
      </c>
      <c r="C691" s="69"/>
      <c r="D691" s="70" t="s">
        <v>1572</v>
      </c>
      <c r="E691" s="73"/>
      <c r="N691" s="65" t="str">
        <f t="shared" si="26"/>
        <v/>
      </c>
      <c r="R691" s="65"/>
    </row>
    <row r="692" spans="2:18" x14ac:dyDescent="0.25">
      <c r="B692" s="170" t="s">
        <v>90</v>
      </c>
      <c r="C692" s="69"/>
      <c r="D692" s="70" t="s">
        <v>1573</v>
      </c>
      <c r="E692" s="73"/>
      <c r="N692" s="65" t="str">
        <f t="shared" si="26"/>
        <v/>
      </c>
      <c r="R692" s="65"/>
    </row>
    <row r="693" spans="2:18" ht="25" x14ac:dyDescent="0.25">
      <c r="B693" s="170" t="s">
        <v>285</v>
      </c>
      <c r="C693" s="69"/>
      <c r="D693" s="70" t="s">
        <v>1574</v>
      </c>
      <c r="E693" s="73"/>
      <c r="N693" s="65" t="str">
        <f t="shared" si="26"/>
        <v/>
      </c>
      <c r="R693" s="65"/>
    </row>
    <row r="694" spans="2:18" x14ac:dyDescent="0.25">
      <c r="B694" s="170" t="s">
        <v>1575</v>
      </c>
      <c r="C694" s="69"/>
      <c r="D694" s="70" t="s">
        <v>1576</v>
      </c>
      <c r="E694" s="73"/>
      <c r="N694" s="65" t="str">
        <f t="shared" si="26"/>
        <v/>
      </c>
      <c r="R694" s="65"/>
    </row>
    <row r="695" spans="2:18" ht="25" x14ac:dyDescent="0.25">
      <c r="B695" s="170" t="s">
        <v>297</v>
      </c>
      <c r="C695" s="69"/>
      <c r="D695" s="70" t="s">
        <v>1577</v>
      </c>
      <c r="E695" s="73"/>
      <c r="N695" s="65" t="str">
        <f t="shared" si="26"/>
        <v/>
      </c>
      <c r="R695" s="65"/>
    </row>
    <row r="696" spans="2:18" ht="25" x14ac:dyDescent="0.25">
      <c r="B696" s="170" t="s">
        <v>303</v>
      </c>
      <c r="C696" s="69"/>
      <c r="D696" s="70" t="s">
        <v>1578</v>
      </c>
      <c r="E696" s="73"/>
      <c r="N696" s="65" t="str">
        <f t="shared" si="26"/>
        <v/>
      </c>
      <c r="R696" s="65"/>
    </row>
    <row r="697" spans="2:18" x14ac:dyDescent="0.25">
      <c r="B697" s="170" t="s">
        <v>315</v>
      </c>
      <c r="C697" s="69"/>
      <c r="D697" s="70" t="s">
        <v>1580</v>
      </c>
      <c r="E697" s="73"/>
      <c r="N697" s="65" t="str">
        <f t="shared" si="26"/>
        <v/>
      </c>
      <c r="R697" s="65"/>
    </row>
    <row r="698" spans="2:18" x14ac:dyDescent="0.25">
      <c r="B698" s="170" t="s">
        <v>321</v>
      </c>
      <c r="C698" s="69"/>
      <c r="D698" s="70" t="s">
        <v>1581</v>
      </c>
      <c r="E698" s="73"/>
      <c r="N698" s="65" t="str">
        <f t="shared" si="26"/>
        <v/>
      </c>
      <c r="R698" s="65"/>
    </row>
    <row r="699" spans="2:18" x14ac:dyDescent="0.25">
      <c r="B699" s="170" t="s">
        <v>349</v>
      </c>
      <c r="C699" s="69"/>
      <c r="D699" s="70" t="s">
        <v>1585</v>
      </c>
      <c r="E699" s="73"/>
      <c r="N699" s="65" t="str">
        <f t="shared" si="26"/>
        <v/>
      </c>
      <c r="R699" s="65"/>
    </row>
    <row r="700" spans="2:18" x14ac:dyDescent="0.25">
      <c r="B700" s="170" t="s">
        <v>353</v>
      </c>
      <c r="C700" s="69"/>
      <c r="D700" s="70" t="s">
        <v>1586</v>
      </c>
      <c r="E700" s="73"/>
      <c r="N700" s="65" t="str">
        <f t="shared" si="26"/>
        <v/>
      </c>
      <c r="R700" s="65"/>
    </row>
    <row r="701" spans="2:18" x14ac:dyDescent="0.25">
      <c r="B701" s="170" t="s">
        <v>363</v>
      </c>
      <c r="C701" s="69"/>
      <c r="D701" s="70" t="s">
        <v>1587</v>
      </c>
      <c r="E701" s="73"/>
      <c r="N701" s="65" t="str">
        <f t="shared" si="26"/>
        <v/>
      </c>
      <c r="R701" s="65"/>
    </row>
    <row r="702" spans="2:18" x14ac:dyDescent="0.25">
      <c r="B702" s="170" t="s">
        <v>368</v>
      </c>
      <c r="C702" s="69"/>
      <c r="D702" s="70" t="s">
        <v>1588</v>
      </c>
      <c r="E702" s="73"/>
      <c r="N702" s="65" t="str">
        <f t="shared" si="26"/>
        <v/>
      </c>
      <c r="R702" s="65"/>
    </row>
    <row r="703" spans="2:18" x14ac:dyDescent="0.25">
      <c r="B703" s="170" t="s">
        <v>408</v>
      </c>
      <c r="C703" s="69"/>
      <c r="D703" s="70" t="s">
        <v>1589</v>
      </c>
      <c r="E703" s="73"/>
      <c r="N703" s="65" t="str">
        <f t="shared" si="26"/>
        <v/>
      </c>
      <c r="R703" s="65"/>
    </row>
    <row r="704" spans="2:18" x14ac:dyDescent="0.25">
      <c r="B704" s="170" t="s">
        <v>413</v>
      </c>
      <c r="C704" s="69"/>
      <c r="D704" s="70" t="s">
        <v>1590</v>
      </c>
      <c r="E704" s="73"/>
      <c r="N704" s="65" t="str">
        <f t="shared" si="26"/>
        <v/>
      </c>
      <c r="R704" s="65"/>
    </row>
    <row r="705" spans="2:18" x14ac:dyDescent="0.25">
      <c r="B705" s="170" t="s">
        <v>418</v>
      </c>
      <c r="C705" s="69"/>
      <c r="D705" s="70" t="s">
        <v>1591</v>
      </c>
      <c r="E705" s="73"/>
      <c r="N705" s="65" t="str">
        <f t="shared" si="26"/>
        <v/>
      </c>
      <c r="R705" s="65"/>
    </row>
    <row r="706" spans="2:18" x14ac:dyDescent="0.25">
      <c r="B706" s="170" t="s">
        <v>422</v>
      </c>
      <c r="C706" s="69"/>
      <c r="D706" s="70" t="s">
        <v>1592</v>
      </c>
      <c r="E706" s="73"/>
      <c r="N706" s="65" t="str">
        <f t="shared" si="26"/>
        <v/>
      </c>
      <c r="R706" s="65"/>
    </row>
    <row r="707" spans="2:18" x14ac:dyDescent="0.25">
      <c r="B707" s="170" t="s">
        <v>426</v>
      </c>
      <c r="C707" s="69"/>
      <c r="D707" s="70" t="s">
        <v>1593</v>
      </c>
      <c r="E707" s="73"/>
      <c r="N707" s="65" t="str">
        <f t="shared" ref="N707:N770" si="27">IF(ISERROR(FIND(" (include",P707)),"",RIGHT(P707,LEN(P707)-FIND(" (include",P707)))</f>
        <v/>
      </c>
      <c r="R707" s="65"/>
    </row>
    <row r="708" spans="2:18" x14ac:dyDescent="0.25">
      <c r="B708" s="170" t="s">
        <v>442</v>
      </c>
      <c r="C708" s="69"/>
      <c r="D708" s="70" t="s">
        <v>1594</v>
      </c>
      <c r="E708" s="73"/>
      <c r="N708" s="65" t="str">
        <f t="shared" si="27"/>
        <v/>
      </c>
      <c r="R708" s="65"/>
    </row>
    <row r="709" spans="2:18" x14ac:dyDescent="0.25">
      <c r="B709" s="170" t="s">
        <v>447</v>
      </c>
      <c r="C709" s="69"/>
      <c r="D709" s="70" t="s">
        <v>1595</v>
      </c>
      <c r="E709" s="73"/>
      <c r="N709" s="65" t="str">
        <f t="shared" si="27"/>
        <v/>
      </c>
      <c r="R709" s="65"/>
    </row>
    <row r="710" spans="2:18" x14ac:dyDescent="0.25">
      <c r="B710" s="170" t="s">
        <v>451</v>
      </c>
      <c r="C710" s="69"/>
      <c r="D710" s="70" t="s">
        <v>1596</v>
      </c>
      <c r="E710" s="73"/>
      <c r="N710" s="65" t="str">
        <f t="shared" si="27"/>
        <v/>
      </c>
      <c r="R710" s="65"/>
    </row>
    <row r="711" spans="2:18" x14ac:dyDescent="0.25">
      <c r="B711" s="170" t="s">
        <v>456</v>
      </c>
      <c r="C711" s="70"/>
      <c r="D711" s="70" t="s">
        <v>1597</v>
      </c>
      <c r="E711" s="73"/>
      <c r="N711" s="65" t="str">
        <f t="shared" si="27"/>
        <v/>
      </c>
      <c r="R711" s="65"/>
    </row>
    <row r="712" spans="2:18" x14ac:dyDescent="0.25">
      <c r="B712" s="170" t="s">
        <v>477</v>
      </c>
      <c r="C712" s="69"/>
      <c r="D712" s="70" t="s">
        <v>1598</v>
      </c>
      <c r="E712" s="73"/>
      <c r="N712" s="65" t="str">
        <f t="shared" si="27"/>
        <v/>
      </c>
      <c r="R712" s="65"/>
    </row>
    <row r="713" spans="2:18" x14ac:dyDescent="0.25">
      <c r="B713" s="170" t="s">
        <v>481</v>
      </c>
      <c r="C713" s="69"/>
      <c r="D713" s="70" t="s">
        <v>1599</v>
      </c>
      <c r="E713" s="73"/>
      <c r="N713" s="65" t="str">
        <f t="shared" si="27"/>
        <v/>
      </c>
      <c r="R713" s="65"/>
    </row>
    <row r="714" spans="2:18" x14ac:dyDescent="0.25">
      <c r="B714" s="170" t="s">
        <v>484</v>
      </c>
      <c r="C714" s="69"/>
      <c r="D714" s="70" t="s">
        <v>1600</v>
      </c>
      <c r="E714" s="73"/>
      <c r="N714" s="65" t="str">
        <f t="shared" si="27"/>
        <v/>
      </c>
      <c r="R714" s="65"/>
    </row>
    <row r="715" spans="2:18" x14ac:dyDescent="0.25">
      <c r="B715" s="170" t="s">
        <v>489</v>
      </c>
      <c r="C715" s="69"/>
      <c r="D715" s="70" t="s">
        <v>1601</v>
      </c>
      <c r="E715" s="73"/>
      <c r="N715" s="65" t="str">
        <f t="shared" si="27"/>
        <v/>
      </c>
      <c r="R715" s="65"/>
    </row>
    <row r="716" spans="2:18" x14ac:dyDescent="0.25">
      <c r="B716" s="170" t="s">
        <v>492</v>
      </c>
      <c r="C716" s="69"/>
      <c r="D716" s="70" t="s">
        <v>1602</v>
      </c>
      <c r="E716" s="73"/>
      <c r="N716" s="65" t="str">
        <f t="shared" si="27"/>
        <v/>
      </c>
      <c r="R716" s="65"/>
    </row>
    <row r="717" spans="2:18" x14ac:dyDescent="0.25">
      <c r="B717" s="170" t="s">
        <v>496</v>
      </c>
      <c r="C717" s="70"/>
      <c r="D717" s="70" t="s">
        <v>1603</v>
      </c>
      <c r="E717" s="73"/>
      <c r="N717" s="65" t="str">
        <f t="shared" si="27"/>
        <v/>
      </c>
      <c r="R717" s="65"/>
    </row>
    <row r="718" spans="2:18" x14ac:dyDescent="0.25">
      <c r="B718" s="170" t="s">
        <v>500</v>
      </c>
      <c r="C718" s="69"/>
      <c r="D718" s="70" t="s">
        <v>1604</v>
      </c>
      <c r="E718" s="73"/>
      <c r="N718" s="65" t="str">
        <f t="shared" si="27"/>
        <v/>
      </c>
      <c r="R718" s="65"/>
    </row>
    <row r="719" spans="2:18" x14ac:dyDescent="0.25">
      <c r="B719" s="170" t="s">
        <v>505</v>
      </c>
      <c r="C719" s="69"/>
      <c r="D719" s="70" t="s">
        <v>1605</v>
      </c>
      <c r="E719" s="73"/>
      <c r="N719" s="65" t="str">
        <f t="shared" si="27"/>
        <v/>
      </c>
      <c r="R719" s="65"/>
    </row>
    <row r="720" spans="2:18" x14ac:dyDescent="0.25">
      <c r="B720" s="170" t="s">
        <v>510</v>
      </c>
      <c r="C720" s="69"/>
      <c r="D720" s="70" t="s">
        <v>1606</v>
      </c>
      <c r="E720" s="73"/>
      <c r="N720" s="65" t="str">
        <f t="shared" si="27"/>
        <v/>
      </c>
      <c r="R720" s="65"/>
    </row>
    <row r="721" spans="2:18" x14ac:dyDescent="0.25">
      <c r="B721" s="170" t="s">
        <v>520</v>
      </c>
      <c r="C721" s="69"/>
      <c r="D721" s="70" t="s">
        <v>1607</v>
      </c>
      <c r="E721" s="73"/>
      <c r="N721" s="65" t="str">
        <f t="shared" si="27"/>
        <v/>
      </c>
      <c r="R721" s="65"/>
    </row>
    <row r="722" spans="2:18" x14ac:dyDescent="0.25">
      <c r="B722" s="170" t="s">
        <v>525</v>
      </c>
      <c r="C722" s="69"/>
      <c r="D722" s="70" t="s">
        <v>1608</v>
      </c>
      <c r="E722" s="73"/>
      <c r="N722" s="65" t="str">
        <f t="shared" si="27"/>
        <v/>
      </c>
      <c r="R722" s="65"/>
    </row>
    <row r="723" spans="2:18" x14ac:dyDescent="0.25">
      <c r="B723" s="170" t="s">
        <v>530</v>
      </c>
      <c r="C723" s="69"/>
      <c r="D723" s="70" t="s">
        <v>1609</v>
      </c>
      <c r="E723" s="73"/>
      <c r="N723" s="65" t="str">
        <f t="shared" si="27"/>
        <v/>
      </c>
      <c r="R723" s="65"/>
    </row>
    <row r="724" spans="2:18" x14ac:dyDescent="0.25">
      <c r="B724" s="170" t="s">
        <v>535</v>
      </c>
      <c r="C724" s="69"/>
      <c r="D724" s="70" t="s">
        <v>1610</v>
      </c>
      <c r="E724" s="73"/>
      <c r="N724" s="65" t="str">
        <f t="shared" si="27"/>
        <v/>
      </c>
      <c r="R724" s="65"/>
    </row>
    <row r="725" spans="2:18" x14ac:dyDescent="0.25">
      <c r="B725" s="170" t="s">
        <v>545</v>
      </c>
      <c r="C725" s="69"/>
      <c r="D725" s="70" t="s">
        <v>1611</v>
      </c>
      <c r="E725" s="73"/>
      <c r="N725" s="65" t="str">
        <f t="shared" si="27"/>
        <v/>
      </c>
      <c r="R725" s="65"/>
    </row>
    <row r="726" spans="2:18" x14ac:dyDescent="0.25">
      <c r="B726" s="170" t="s">
        <v>550</v>
      </c>
      <c r="C726" s="69"/>
      <c r="D726" s="70" t="s">
        <v>1612</v>
      </c>
      <c r="E726" s="73"/>
      <c r="N726" s="65" t="str">
        <f t="shared" si="27"/>
        <v/>
      </c>
      <c r="R726" s="65"/>
    </row>
    <row r="727" spans="2:18" x14ac:dyDescent="0.25">
      <c r="B727" s="170" t="s">
        <v>559</v>
      </c>
      <c r="C727" s="69"/>
      <c r="D727" s="70" t="s">
        <v>1613</v>
      </c>
      <c r="E727" s="73"/>
      <c r="N727" s="65" t="str">
        <f t="shared" si="27"/>
        <v/>
      </c>
      <c r="R727" s="65"/>
    </row>
    <row r="728" spans="2:18" x14ac:dyDescent="0.25">
      <c r="B728" s="170" t="s">
        <v>564</v>
      </c>
      <c r="C728" s="69"/>
      <c r="D728" s="70" t="s">
        <v>1614</v>
      </c>
      <c r="E728" s="73"/>
      <c r="N728" s="65" t="str">
        <f t="shared" si="27"/>
        <v/>
      </c>
      <c r="R728" s="65"/>
    </row>
    <row r="729" spans="2:18" x14ac:dyDescent="0.25">
      <c r="B729" s="170" t="s">
        <v>589</v>
      </c>
      <c r="C729" s="69"/>
      <c r="D729" s="70" t="s">
        <v>1615</v>
      </c>
      <c r="E729" s="73"/>
      <c r="N729" s="65" t="str">
        <f t="shared" si="27"/>
        <v/>
      </c>
      <c r="R729" s="65"/>
    </row>
    <row r="730" spans="2:18" x14ac:dyDescent="0.25">
      <c r="B730" s="170" t="s">
        <v>624</v>
      </c>
      <c r="C730" s="69"/>
      <c r="D730" s="70" t="s">
        <v>1616</v>
      </c>
      <c r="E730" s="73"/>
      <c r="N730" s="65" t="str">
        <f t="shared" si="27"/>
        <v/>
      </c>
      <c r="R730" s="65"/>
    </row>
    <row r="731" spans="2:18" x14ac:dyDescent="0.25">
      <c r="B731" s="170" t="s">
        <v>634</v>
      </c>
      <c r="C731" s="69"/>
      <c r="D731" s="70" t="s">
        <v>1617</v>
      </c>
      <c r="E731" s="73"/>
      <c r="N731" s="65" t="str">
        <f t="shared" si="27"/>
        <v/>
      </c>
      <c r="R731" s="65"/>
    </row>
    <row r="732" spans="2:18" x14ac:dyDescent="0.25">
      <c r="B732" s="170" t="s">
        <v>674</v>
      </c>
      <c r="C732" s="69"/>
      <c r="D732" s="70" t="s">
        <v>1618</v>
      </c>
      <c r="E732" s="73"/>
      <c r="N732" s="65" t="str">
        <f t="shared" si="27"/>
        <v/>
      </c>
      <c r="R732" s="65"/>
    </row>
    <row r="733" spans="2:18" x14ac:dyDescent="0.25">
      <c r="B733" s="170" t="s">
        <v>358</v>
      </c>
      <c r="C733" s="69"/>
      <c r="D733" s="70" t="s">
        <v>360</v>
      </c>
      <c r="E733" s="73"/>
      <c r="N733" s="65" t="str">
        <f t="shared" si="27"/>
        <v/>
      </c>
      <c r="R733" s="65"/>
    </row>
    <row r="734" spans="2:18" x14ac:dyDescent="0.25">
      <c r="B734" s="170" t="s">
        <v>364</v>
      </c>
      <c r="C734" s="69"/>
      <c r="D734" s="70" t="s">
        <v>366</v>
      </c>
      <c r="E734" s="73"/>
      <c r="N734" s="65" t="str">
        <f t="shared" si="27"/>
        <v/>
      </c>
      <c r="R734" s="65"/>
    </row>
    <row r="735" spans="2:18" ht="13" x14ac:dyDescent="0.25">
      <c r="B735" s="170" t="s">
        <v>737</v>
      </c>
      <c r="C735" s="69"/>
      <c r="D735" s="70" t="s">
        <v>1619</v>
      </c>
      <c r="E735" s="73"/>
      <c r="N735" s="65" t="str">
        <f t="shared" si="27"/>
        <v/>
      </c>
      <c r="R735" s="65"/>
    </row>
    <row r="736" spans="2:18" x14ac:dyDescent="0.25">
      <c r="B736" s="170" t="s">
        <v>743</v>
      </c>
      <c r="C736" s="69"/>
      <c r="D736" s="70" t="s">
        <v>1620</v>
      </c>
      <c r="E736" s="73"/>
      <c r="N736" s="65" t="str">
        <f t="shared" si="27"/>
        <v/>
      </c>
      <c r="R736" s="65"/>
    </row>
    <row r="737" spans="2:18" x14ac:dyDescent="0.25">
      <c r="B737" s="170" t="s">
        <v>748</v>
      </c>
      <c r="C737" s="69"/>
      <c r="D737" s="70" t="s">
        <v>1621</v>
      </c>
      <c r="E737" s="73"/>
      <c r="N737" s="65" t="str">
        <f t="shared" si="27"/>
        <v/>
      </c>
      <c r="R737" s="65"/>
    </row>
    <row r="738" spans="2:18" x14ac:dyDescent="0.25">
      <c r="B738" s="170" t="s">
        <v>753</v>
      </c>
      <c r="C738" s="69"/>
      <c r="D738" s="70" t="s">
        <v>1622</v>
      </c>
      <c r="E738" s="73"/>
      <c r="N738" s="65" t="str">
        <f t="shared" si="27"/>
        <v/>
      </c>
      <c r="R738" s="65"/>
    </row>
    <row r="739" spans="2:18" x14ac:dyDescent="0.25">
      <c r="B739" s="170" t="s">
        <v>758</v>
      </c>
      <c r="C739" s="69"/>
      <c r="D739" s="70" t="s">
        <v>1623</v>
      </c>
      <c r="E739" s="73"/>
      <c r="N739" s="65" t="str">
        <f t="shared" si="27"/>
        <v/>
      </c>
      <c r="R739" s="65"/>
    </row>
    <row r="740" spans="2:18" x14ac:dyDescent="0.25">
      <c r="B740" s="170" t="s">
        <v>1624</v>
      </c>
      <c r="C740" s="69"/>
      <c r="D740" s="70" t="s">
        <v>1625</v>
      </c>
      <c r="E740" s="73"/>
      <c r="N740" s="65" t="str">
        <f t="shared" si="27"/>
        <v/>
      </c>
      <c r="R740" s="65"/>
    </row>
    <row r="741" spans="2:18" x14ac:dyDescent="0.25">
      <c r="B741" s="170" t="s">
        <v>770</v>
      </c>
      <c r="C741" s="69"/>
      <c r="D741" s="70" t="s">
        <v>1626</v>
      </c>
      <c r="E741" s="73"/>
      <c r="N741" s="65" t="str">
        <f t="shared" si="27"/>
        <v/>
      </c>
      <c r="R741" s="65"/>
    </row>
    <row r="742" spans="2:18" x14ac:dyDescent="0.25">
      <c r="B742" s="170" t="s">
        <v>772</v>
      </c>
      <c r="C742" s="69"/>
      <c r="D742" s="70" t="s">
        <v>1627</v>
      </c>
      <c r="E742" s="73"/>
      <c r="N742" s="65" t="str">
        <f t="shared" si="27"/>
        <v/>
      </c>
      <c r="R742" s="65"/>
    </row>
    <row r="743" spans="2:18" x14ac:dyDescent="0.25">
      <c r="B743" s="170" t="s">
        <v>774</v>
      </c>
      <c r="C743" s="69"/>
      <c r="D743" s="70" t="s">
        <v>1628</v>
      </c>
      <c r="E743" s="73"/>
      <c r="N743" s="65" t="str">
        <f t="shared" si="27"/>
        <v/>
      </c>
      <c r="R743" s="65"/>
    </row>
    <row r="744" spans="2:18" x14ac:dyDescent="0.25">
      <c r="B744" s="170" t="s">
        <v>275</v>
      </c>
      <c r="C744" s="69"/>
      <c r="D744" s="70" t="s">
        <v>277</v>
      </c>
      <c r="E744" s="73"/>
      <c r="N744" s="65" t="str">
        <f t="shared" si="27"/>
        <v/>
      </c>
      <c r="R744" s="65"/>
    </row>
    <row r="745" spans="2:18" x14ac:dyDescent="0.25">
      <c r="B745" s="170" t="s">
        <v>782</v>
      </c>
      <c r="C745" s="69"/>
      <c r="D745" s="70" t="s">
        <v>1629</v>
      </c>
      <c r="E745" s="73"/>
      <c r="N745" s="65" t="str">
        <f t="shared" si="27"/>
        <v/>
      </c>
      <c r="R745" s="65"/>
    </row>
    <row r="746" spans="2:18" x14ac:dyDescent="0.25">
      <c r="B746" s="170" t="s">
        <v>788</v>
      </c>
      <c r="C746" s="69"/>
      <c r="D746" s="70" t="s">
        <v>1630</v>
      </c>
      <c r="E746" s="73"/>
      <c r="N746" s="65" t="str">
        <f t="shared" si="27"/>
        <v/>
      </c>
      <c r="R746" s="65"/>
    </row>
    <row r="747" spans="2:18" x14ac:dyDescent="0.25">
      <c r="B747" s="170" t="s">
        <v>1631</v>
      </c>
      <c r="C747" s="69"/>
      <c r="D747" s="70" t="s">
        <v>256</v>
      </c>
      <c r="E747" s="73"/>
      <c r="N747" s="65" t="str">
        <f t="shared" si="27"/>
        <v/>
      </c>
      <c r="R747" s="65"/>
    </row>
    <row r="748" spans="2:18" x14ac:dyDescent="0.25">
      <c r="B748" s="170" t="s">
        <v>798</v>
      </c>
      <c r="C748" s="69"/>
      <c r="D748" s="70" t="s">
        <v>1632</v>
      </c>
      <c r="E748" s="73"/>
      <c r="N748" s="65" t="str">
        <f t="shared" si="27"/>
        <v/>
      </c>
      <c r="R748" s="65"/>
    </row>
    <row r="749" spans="2:18" x14ac:dyDescent="0.25">
      <c r="B749" s="170" t="s">
        <v>803</v>
      </c>
      <c r="C749" s="69"/>
      <c r="D749" s="70" t="s">
        <v>1633</v>
      </c>
      <c r="E749" s="73"/>
      <c r="N749" s="65" t="str">
        <f t="shared" si="27"/>
        <v/>
      </c>
      <c r="R749" s="65"/>
    </row>
    <row r="750" spans="2:18" x14ac:dyDescent="0.25">
      <c r="B750" s="170" t="s">
        <v>808</v>
      </c>
      <c r="C750" s="69"/>
      <c r="D750" s="70" t="s">
        <v>1634</v>
      </c>
      <c r="E750" s="73"/>
      <c r="N750" s="65" t="str">
        <f t="shared" si="27"/>
        <v/>
      </c>
      <c r="R750" s="65"/>
    </row>
    <row r="751" spans="2:18" x14ac:dyDescent="0.25">
      <c r="B751" s="170" t="s">
        <v>813</v>
      </c>
      <c r="C751" s="69"/>
      <c r="D751" s="70" t="s">
        <v>1635</v>
      </c>
      <c r="E751" s="73"/>
      <c r="N751" s="65" t="str">
        <f t="shared" si="27"/>
        <v/>
      </c>
      <c r="R751" s="65"/>
    </row>
    <row r="752" spans="2:18" x14ac:dyDescent="0.25">
      <c r="B752" s="170" t="s">
        <v>818</v>
      </c>
      <c r="C752" s="69"/>
      <c r="D752" s="70" t="s">
        <v>818</v>
      </c>
      <c r="E752" s="73"/>
      <c r="N752" s="65" t="str">
        <f t="shared" si="27"/>
        <v/>
      </c>
      <c r="R752" s="65"/>
    </row>
    <row r="753" spans="2:18" x14ac:dyDescent="0.25">
      <c r="B753" s="170" t="s">
        <v>833</v>
      </c>
      <c r="C753" s="69"/>
      <c r="D753" s="70" t="s">
        <v>1636</v>
      </c>
      <c r="E753" s="73"/>
      <c r="N753" s="65" t="str">
        <f t="shared" si="27"/>
        <v/>
      </c>
      <c r="R753" s="65"/>
    </row>
    <row r="754" spans="2:18" x14ac:dyDescent="0.25">
      <c r="B754" s="170" t="s">
        <v>838</v>
      </c>
      <c r="C754" s="70"/>
      <c r="D754" s="70" t="s">
        <v>1637</v>
      </c>
      <c r="E754" s="73"/>
      <c r="N754" s="65" t="str">
        <f t="shared" si="27"/>
        <v/>
      </c>
      <c r="R754" s="65"/>
    </row>
    <row r="755" spans="2:18" x14ac:dyDescent="0.25">
      <c r="B755" s="170" t="s">
        <v>843</v>
      </c>
      <c r="C755" s="69"/>
      <c r="D755" s="70" t="s">
        <v>1638</v>
      </c>
      <c r="E755" s="73"/>
      <c r="N755" s="65" t="str">
        <f t="shared" si="27"/>
        <v/>
      </c>
      <c r="R755" s="65"/>
    </row>
    <row r="756" spans="2:18" x14ac:dyDescent="0.25">
      <c r="B756" s="170" t="s">
        <v>863</v>
      </c>
      <c r="C756" s="69"/>
      <c r="D756" s="70" t="s">
        <v>1639</v>
      </c>
      <c r="E756" s="73"/>
      <c r="N756" s="65" t="str">
        <f t="shared" si="27"/>
        <v/>
      </c>
      <c r="R756" s="65"/>
    </row>
    <row r="757" spans="2:18" x14ac:dyDescent="0.25">
      <c r="B757" s="170" t="s">
        <v>911</v>
      </c>
      <c r="C757" s="69"/>
      <c r="D757" s="70" t="s">
        <v>1640</v>
      </c>
      <c r="E757" s="73"/>
      <c r="N757" s="65" t="str">
        <f t="shared" si="27"/>
        <v/>
      </c>
      <c r="R757" s="65"/>
    </row>
    <row r="758" spans="2:18" x14ac:dyDescent="0.25">
      <c r="B758" s="170" t="s">
        <v>925</v>
      </c>
      <c r="C758" s="69"/>
      <c r="D758" s="70" t="s">
        <v>1641</v>
      </c>
      <c r="E758" s="73"/>
      <c r="N758" s="65" t="str">
        <f t="shared" si="27"/>
        <v/>
      </c>
      <c r="R758" s="65"/>
    </row>
    <row r="759" spans="2:18" x14ac:dyDescent="0.25">
      <c r="B759" s="170" t="s">
        <v>935</v>
      </c>
      <c r="C759" s="69"/>
      <c r="D759" s="70" t="s">
        <v>1642</v>
      </c>
      <c r="E759" s="73"/>
      <c r="N759" s="65" t="str">
        <f t="shared" si="27"/>
        <v/>
      </c>
      <c r="R759" s="65"/>
    </row>
    <row r="760" spans="2:18" x14ac:dyDescent="0.25">
      <c r="B760" s="170" t="s">
        <v>944</v>
      </c>
      <c r="C760" s="70"/>
      <c r="D760" s="70" t="s">
        <v>1643</v>
      </c>
      <c r="E760" s="73"/>
      <c r="N760" s="65" t="str">
        <f t="shared" si="27"/>
        <v/>
      </c>
      <c r="R760" s="65"/>
    </row>
    <row r="761" spans="2:18" x14ac:dyDescent="0.25">
      <c r="B761" s="170" t="s">
        <v>1644</v>
      </c>
      <c r="C761" s="69"/>
      <c r="D761" s="70" t="s">
        <v>1645</v>
      </c>
      <c r="E761" s="73"/>
      <c r="N761" s="65" t="str">
        <f t="shared" si="27"/>
        <v/>
      </c>
      <c r="R761" s="65"/>
    </row>
    <row r="762" spans="2:18" x14ac:dyDescent="0.25">
      <c r="B762" s="170" t="s">
        <v>963</v>
      </c>
      <c r="C762" s="69"/>
      <c r="D762" s="70" t="s">
        <v>1636</v>
      </c>
      <c r="E762" s="73"/>
      <c r="N762" s="65" t="str">
        <f t="shared" si="27"/>
        <v/>
      </c>
      <c r="R762" s="65"/>
    </row>
    <row r="763" spans="2:18" x14ac:dyDescent="0.25">
      <c r="B763" s="170" t="s">
        <v>1646</v>
      </c>
      <c r="C763" s="69"/>
      <c r="D763" s="70" t="s">
        <v>1647</v>
      </c>
      <c r="E763" s="73"/>
      <c r="N763" s="65" t="str">
        <f t="shared" si="27"/>
        <v/>
      </c>
      <c r="R763" s="65"/>
    </row>
    <row r="764" spans="2:18" x14ac:dyDescent="0.25">
      <c r="B764" s="170" t="s">
        <v>980</v>
      </c>
      <c r="C764" s="69"/>
      <c r="D764" s="70" t="s">
        <v>1648</v>
      </c>
      <c r="E764" s="73"/>
      <c r="N764" s="65" t="str">
        <f t="shared" si="27"/>
        <v/>
      </c>
      <c r="R764" s="65"/>
    </row>
    <row r="765" spans="2:18" x14ac:dyDescent="0.25">
      <c r="B765" s="170" t="s">
        <v>985</v>
      </c>
      <c r="C765" s="69"/>
      <c r="D765" s="70" t="s">
        <v>1649</v>
      </c>
      <c r="E765" s="73"/>
      <c r="N765" s="65" t="str">
        <f t="shared" si="27"/>
        <v/>
      </c>
      <c r="R765" s="65"/>
    </row>
    <row r="766" spans="2:18" x14ac:dyDescent="0.25">
      <c r="B766" s="170" t="s">
        <v>990</v>
      </c>
      <c r="C766" s="69"/>
      <c r="D766" s="70" t="s">
        <v>1650</v>
      </c>
      <c r="E766" s="73"/>
      <c r="N766" s="65" t="str">
        <f t="shared" si="27"/>
        <v/>
      </c>
      <c r="R766" s="65"/>
    </row>
    <row r="767" spans="2:18" ht="25" x14ac:dyDescent="0.25">
      <c r="B767" s="170" t="s">
        <v>995</v>
      </c>
      <c r="C767" s="69"/>
      <c r="D767" s="70" t="s">
        <v>1651</v>
      </c>
      <c r="E767" s="73"/>
      <c r="N767" s="65" t="str">
        <f t="shared" si="27"/>
        <v/>
      </c>
      <c r="R767" s="65"/>
    </row>
    <row r="768" spans="2:18" x14ac:dyDescent="0.25">
      <c r="B768" s="170" t="s">
        <v>1000</v>
      </c>
      <c r="C768" s="69"/>
      <c r="D768" s="70" t="s">
        <v>1652</v>
      </c>
      <c r="E768" s="73"/>
      <c r="N768" s="65" t="str">
        <f t="shared" si="27"/>
        <v/>
      </c>
      <c r="R768" s="65"/>
    </row>
    <row r="769" spans="2:18" x14ac:dyDescent="0.25">
      <c r="B769" s="170" t="s">
        <v>1005</v>
      </c>
      <c r="C769" s="69"/>
      <c r="D769" s="70" t="s">
        <v>1653</v>
      </c>
      <c r="E769" s="73"/>
      <c r="N769" s="65" t="str">
        <f t="shared" si="27"/>
        <v/>
      </c>
      <c r="R769" s="65"/>
    </row>
    <row r="770" spans="2:18" x14ac:dyDescent="0.25">
      <c r="B770" s="170" t="s">
        <v>1015</v>
      </c>
      <c r="C770" s="69"/>
      <c r="D770" s="70" t="s">
        <v>1654</v>
      </c>
      <c r="E770" s="73"/>
      <c r="N770" s="65" t="str">
        <f t="shared" si="27"/>
        <v/>
      </c>
      <c r="R770" s="65"/>
    </row>
    <row r="771" spans="2:18" x14ac:dyDescent="0.25">
      <c r="B771" s="170" t="s">
        <v>1020</v>
      </c>
      <c r="C771" s="69"/>
      <c r="D771" s="70" t="s">
        <v>1655</v>
      </c>
      <c r="E771" s="73"/>
      <c r="N771" s="65" t="str">
        <f t="shared" ref="N771:N834" si="28">IF(ISERROR(FIND(" (include",P771)),"",RIGHT(P771,LEN(P771)-FIND(" (include",P771)))</f>
        <v/>
      </c>
      <c r="R771" s="65"/>
    </row>
    <row r="772" spans="2:18" x14ac:dyDescent="0.25">
      <c r="B772" s="170" t="s">
        <v>1025</v>
      </c>
      <c r="C772" s="69"/>
      <c r="D772" s="70" t="s">
        <v>1656</v>
      </c>
      <c r="E772" s="73"/>
      <c r="N772" s="65" t="str">
        <f t="shared" si="28"/>
        <v/>
      </c>
      <c r="R772" s="65"/>
    </row>
    <row r="773" spans="2:18" x14ac:dyDescent="0.25">
      <c r="B773" s="170" t="s">
        <v>1030</v>
      </c>
      <c r="C773" s="69"/>
      <c r="D773" s="70" t="s">
        <v>1657</v>
      </c>
      <c r="E773" s="73"/>
      <c r="N773" s="65" t="str">
        <f t="shared" si="28"/>
        <v/>
      </c>
      <c r="R773" s="65"/>
    </row>
    <row r="774" spans="2:18" x14ac:dyDescent="0.25">
      <c r="B774" s="170" t="s">
        <v>1035</v>
      </c>
      <c r="C774" s="69"/>
      <c r="D774" s="70" t="s">
        <v>1658</v>
      </c>
      <c r="E774" s="73"/>
      <c r="N774" s="65" t="str">
        <f t="shared" si="28"/>
        <v/>
      </c>
      <c r="R774" s="65"/>
    </row>
    <row r="775" spans="2:18" x14ac:dyDescent="0.25">
      <c r="B775" s="170" t="s">
        <v>1040</v>
      </c>
      <c r="C775" s="69"/>
      <c r="D775" s="70" t="s">
        <v>1659</v>
      </c>
      <c r="E775" s="73"/>
      <c r="N775" s="65" t="str">
        <f t="shared" si="28"/>
        <v/>
      </c>
      <c r="R775" s="65"/>
    </row>
    <row r="776" spans="2:18" x14ac:dyDescent="0.25">
      <c r="B776" s="170" t="s">
        <v>1050</v>
      </c>
      <c r="C776" s="69"/>
      <c r="D776" s="70" t="s">
        <v>1660</v>
      </c>
      <c r="E776" s="73"/>
      <c r="N776" s="65" t="str">
        <f t="shared" si="28"/>
        <v/>
      </c>
      <c r="R776" s="65"/>
    </row>
    <row r="777" spans="2:18" x14ac:dyDescent="0.25">
      <c r="B777" s="170" t="s">
        <v>1055</v>
      </c>
      <c r="C777" s="69"/>
      <c r="D777" s="70" t="s">
        <v>1661</v>
      </c>
      <c r="E777" s="73"/>
      <c r="N777" s="65" t="str">
        <f t="shared" si="28"/>
        <v/>
      </c>
      <c r="R777" s="65"/>
    </row>
    <row r="778" spans="2:18" ht="25" x14ac:dyDescent="0.25">
      <c r="B778" s="170" t="s">
        <v>1662</v>
      </c>
      <c r="C778" s="69"/>
      <c r="D778" s="70" t="s">
        <v>1663</v>
      </c>
      <c r="E778" s="73"/>
      <c r="N778" s="65" t="str">
        <f t="shared" si="28"/>
        <v/>
      </c>
      <c r="R778" s="65"/>
    </row>
    <row r="779" spans="2:18" x14ac:dyDescent="0.25">
      <c r="B779" s="170" t="s">
        <v>1064</v>
      </c>
      <c r="C779" s="70"/>
      <c r="D779" s="70" t="s">
        <v>1664</v>
      </c>
      <c r="E779" s="73"/>
      <c r="N779" s="65" t="str">
        <f t="shared" si="28"/>
        <v/>
      </c>
      <c r="R779" s="65"/>
    </row>
    <row r="780" spans="2:18" x14ac:dyDescent="0.25">
      <c r="B780" s="170" t="s">
        <v>1067</v>
      </c>
      <c r="C780" s="69"/>
      <c r="D780" s="70" t="s">
        <v>1665</v>
      </c>
      <c r="E780" s="73"/>
      <c r="N780" s="65" t="str">
        <f t="shared" si="28"/>
        <v/>
      </c>
      <c r="R780" s="65"/>
    </row>
    <row r="781" spans="2:18" x14ac:dyDescent="0.25">
      <c r="B781" s="170" t="s">
        <v>1070</v>
      </c>
      <c r="C781" s="69"/>
      <c r="D781" s="70" t="s">
        <v>1666</v>
      </c>
      <c r="E781" s="73"/>
      <c r="N781" s="65" t="str">
        <f t="shared" si="28"/>
        <v/>
      </c>
      <c r="R781" s="65"/>
    </row>
    <row r="782" spans="2:18" x14ac:dyDescent="0.25">
      <c r="B782" s="170" t="s">
        <v>1076</v>
      </c>
      <c r="C782" s="69"/>
      <c r="D782" s="70" t="s">
        <v>1667</v>
      </c>
      <c r="E782" s="73"/>
      <c r="N782" s="65" t="str">
        <f t="shared" si="28"/>
        <v/>
      </c>
      <c r="R782" s="65"/>
    </row>
    <row r="783" spans="2:18" x14ac:dyDescent="0.25">
      <c r="B783" s="170" t="s">
        <v>1085</v>
      </c>
      <c r="C783" s="69"/>
      <c r="D783" s="70" t="s">
        <v>1668</v>
      </c>
      <c r="E783" s="73"/>
      <c r="N783" s="65" t="str">
        <f t="shared" si="28"/>
        <v/>
      </c>
      <c r="R783" s="65"/>
    </row>
    <row r="784" spans="2:18" x14ac:dyDescent="0.25">
      <c r="B784" s="170" t="s">
        <v>1088</v>
      </c>
      <c r="C784" s="69"/>
      <c r="D784" s="70" t="s">
        <v>1669</v>
      </c>
      <c r="E784" s="73"/>
      <c r="N784" s="65" t="str">
        <f t="shared" si="28"/>
        <v/>
      </c>
      <c r="R784" s="65"/>
    </row>
    <row r="785" spans="2:18" x14ac:dyDescent="0.25">
      <c r="B785" s="170" t="s">
        <v>1091</v>
      </c>
      <c r="C785" s="69"/>
      <c r="D785" s="70" t="s">
        <v>1670</v>
      </c>
      <c r="E785" s="73"/>
      <c r="N785" s="65" t="str">
        <f t="shared" si="28"/>
        <v/>
      </c>
      <c r="R785" s="65"/>
    </row>
    <row r="786" spans="2:18" x14ac:dyDescent="0.25">
      <c r="B786" s="170" t="s">
        <v>1094</v>
      </c>
      <c r="C786" s="69"/>
      <c r="D786" s="70" t="s">
        <v>1671</v>
      </c>
      <c r="E786" s="73"/>
      <c r="N786" s="65" t="str">
        <f t="shared" si="28"/>
        <v/>
      </c>
      <c r="R786" s="65"/>
    </row>
    <row r="787" spans="2:18" x14ac:dyDescent="0.25">
      <c r="B787" s="170" t="s">
        <v>1097</v>
      </c>
      <c r="C787" s="69"/>
      <c r="D787" s="70" t="s">
        <v>1672</v>
      </c>
      <c r="E787" s="73"/>
      <c r="N787" s="65" t="str">
        <f t="shared" si="28"/>
        <v/>
      </c>
      <c r="R787" s="65"/>
    </row>
    <row r="788" spans="2:18" x14ac:dyDescent="0.25">
      <c r="B788" s="170" t="s">
        <v>1100</v>
      </c>
      <c r="C788" s="69"/>
      <c r="D788" s="70" t="s">
        <v>1673</v>
      </c>
      <c r="E788" s="73"/>
      <c r="N788" s="65" t="str">
        <f t="shared" si="28"/>
        <v/>
      </c>
      <c r="R788" s="65"/>
    </row>
    <row r="789" spans="2:18" x14ac:dyDescent="0.25">
      <c r="B789" s="170" t="s">
        <v>1103</v>
      </c>
      <c r="C789" s="69"/>
      <c r="D789" s="70" t="s">
        <v>1674</v>
      </c>
      <c r="E789" s="73"/>
      <c r="N789" s="65" t="str">
        <f t="shared" si="28"/>
        <v/>
      </c>
      <c r="R789" s="65"/>
    </row>
    <row r="790" spans="2:18" x14ac:dyDescent="0.25">
      <c r="B790" s="170" t="s">
        <v>1106</v>
      </c>
      <c r="C790" s="69"/>
      <c r="D790" s="70" t="s">
        <v>1675</v>
      </c>
      <c r="E790" s="73"/>
      <c r="N790" s="65" t="str">
        <f t="shared" si="28"/>
        <v/>
      </c>
      <c r="R790" s="65"/>
    </row>
    <row r="791" spans="2:18" x14ac:dyDescent="0.25">
      <c r="B791" s="170" t="s">
        <v>1109</v>
      </c>
      <c r="C791" s="69"/>
      <c r="D791" s="70" t="s">
        <v>1676</v>
      </c>
      <c r="E791" s="73"/>
      <c r="N791" s="65" t="str">
        <f t="shared" si="28"/>
        <v/>
      </c>
      <c r="R791" s="65"/>
    </row>
    <row r="792" spans="2:18" x14ac:dyDescent="0.25">
      <c r="B792" s="170" t="s">
        <v>1111</v>
      </c>
      <c r="C792" s="69"/>
      <c r="D792" s="70" t="s">
        <v>1677</v>
      </c>
      <c r="E792" s="73"/>
      <c r="N792" s="65" t="str">
        <f t="shared" si="28"/>
        <v/>
      </c>
      <c r="R792" s="65"/>
    </row>
    <row r="793" spans="2:18" x14ac:dyDescent="0.25">
      <c r="B793" s="170" t="s">
        <v>1112</v>
      </c>
      <c r="C793" s="69"/>
      <c r="D793" s="70" t="s">
        <v>1678</v>
      </c>
      <c r="E793" s="73"/>
      <c r="N793" s="65" t="str">
        <f t="shared" si="28"/>
        <v/>
      </c>
      <c r="R793" s="65"/>
    </row>
    <row r="794" spans="2:18" x14ac:dyDescent="0.25">
      <c r="B794" s="170" t="s">
        <v>1113</v>
      </c>
      <c r="C794" s="69"/>
      <c r="D794" s="70" t="s">
        <v>1679</v>
      </c>
      <c r="E794" s="73"/>
      <c r="N794" s="65" t="str">
        <f t="shared" si="28"/>
        <v/>
      </c>
      <c r="R794" s="65"/>
    </row>
    <row r="795" spans="2:18" x14ac:dyDescent="0.25">
      <c r="B795" s="170" t="s">
        <v>1114</v>
      </c>
      <c r="C795" s="69"/>
      <c r="D795" s="70" t="s">
        <v>1680</v>
      </c>
      <c r="E795" s="73"/>
      <c r="N795" s="65" t="str">
        <f t="shared" si="28"/>
        <v/>
      </c>
      <c r="R795" s="65"/>
    </row>
    <row r="796" spans="2:18" x14ac:dyDescent="0.25">
      <c r="B796" s="170" t="s">
        <v>1681</v>
      </c>
      <c r="C796" s="69"/>
      <c r="D796" s="70" t="s">
        <v>1682</v>
      </c>
      <c r="E796" s="73"/>
      <c r="N796" s="65" t="str">
        <f t="shared" si="28"/>
        <v/>
      </c>
      <c r="R796" s="65"/>
    </row>
    <row r="797" spans="2:18" x14ac:dyDescent="0.25">
      <c r="B797" s="170" t="s">
        <v>1129</v>
      </c>
      <c r="C797" s="69"/>
      <c r="D797" s="70" t="s">
        <v>1683</v>
      </c>
      <c r="E797" s="73"/>
      <c r="N797" s="65" t="str">
        <f t="shared" si="28"/>
        <v/>
      </c>
      <c r="R797" s="65"/>
    </row>
    <row r="798" spans="2:18" x14ac:dyDescent="0.25">
      <c r="B798" s="170" t="s">
        <v>1132</v>
      </c>
      <c r="C798" s="69"/>
      <c r="D798" s="70" t="s">
        <v>1684</v>
      </c>
      <c r="E798" s="73"/>
      <c r="N798" s="65" t="str">
        <f t="shared" si="28"/>
        <v/>
      </c>
      <c r="R798" s="65"/>
    </row>
    <row r="799" spans="2:18" x14ac:dyDescent="0.25">
      <c r="B799" s="170" t="s">
        <v>1135</v>
      </c>
      <c r="C799" s="69"/>
      <c r="D799" s="70" t="s">
        <v>1685</v>
      </c>
      <c r="E799" s="73"/>
      <c r="N799" s="65" t="str">
        <f t="shared" si="28"/>
        <v/>
      </c>
      <c r="R799" s="65"/>
    </row>
    <row r="800" spans="2:18" x14ac:dyDescent="0.25">
      <c r="B800" s="170" t="s">
        <v>1138</v>
      </c>
      <c r="C800" s="69"/>
      <c r="D800" s="70" t="s">
        <v>1686</v>
      </c>
      <c r="E800" s="73"/>
      <c r="N800" s="65" t="str">
        <f t="shared" si="28"/>
        <v/>
      </c>
      <c r="R800" s="65"/>
    </row>
    <row r="801" spans="2:18" x14ac:dyDescent="0.25">
      <c r="B801" s="170" t="s">
        <v>1141</v>
      </c>
      <c r="C801" s="69"/>
      <c r="D801" s="70" t="s">
        <v>1687</v>
      </c>
      <c r="E801" s="73"/>
      <c r="N801" s="65" t="str">
        <f t="shared" si="28"/>
        <v/>
      </c>
      <c r="R801" s="65"/>
    </row>
    <row r="802" spans="2:18" x14ac:dyDescent="0.25">
      <c r="B802" s="170" t="s">
        <v>1144</v>
      </c>
      <c r="C802" s="69"/>
      <c r="D802" s="70" t="s">
        <v>1688</v>
      </c>
      <c r="E802" s="73"/>
      <c r="N802" s="65" t="str">
        <f t="shared" si="28"/>
        <v/>
      </c>
      <c r="R802" s="65"/>
    </row>
    <row r="803" spans="2:18" x14ac:dyDescent="0.25">
      <c r="B803" s="170" t="s">
        <v>1147</v>
      </c>
      <c r="C803" s="69"/>
      <c r="D803" s="70" t="s">
        <v>1689</v>
      </c>
      <c r="E803" s="73"/>
      <c r="N803" s="65" t="str">
        <f t="shared" si="28"/>
        <v/>
      </c>
      <c r="R803" s="65"/>
    </row>
    <row r="804" spans="2:18" x14ac:dyDescent="0.25">
      <c r="B804" s="170" t="s">
        <v>1150</v>
      </c>
      <c r="C804" s="70"/>
      <c r="D804" s="70" t="s">
        <v>1690</v>
      </c>
      <c r="E804" s="73"/>
      <c r="N804" s="65" t="str">
        <f t="shared" si="28"/>
        <v/>
      </c>
      <c r="R804" s="65"/>
    </row>
    <row r="805" spans="2:18" x14ac:dyDescent="0.25">
      <c r="B805" s="170" t="s">
        <v>1153</v>
      </c>
      <c r="C805" s="69"/>
      <c r="D805" s="70" t="s">
        <v>1691</v>
      </c>
      <c r="E805" s="73"/>
      <c r="N805" s="65" t="str">
        <f t="shared" si="28"/>
        <v/>
      </c>
      <c r="R805" s="65"/>
    </row>
    <row r="806" spans="2:18" x14ac:dyDescent="0.25">
      <c r="B806" s="170" t="s">
        <v>1155</v>
      </c>
      <c r="C806" s="69"/>
      <c r="D806" s="70" t="s">
        <v>1692</v>
      </c>
      <c r="E806" s="73"/>
      <c r="N806" s="65" t="str">
        <f t="shared" si="28"/>
        <v/>
      </c>
      <c r="R806" s="65"/>
    </row>
    <row r="807" spans="2:18" x14ac:dyDescent="0.25">
      <c r="B807" s="170" t="s">
        <v>1158</v>
      </c>
      <c r="C807" s="69"/>
      <c r="D807" s="70" t="s">
        <v>1693</v>
      </c>
      <c r="E807" s="73"/>
      <c r="N807" s="65" t="str">
        <f t="shared" si="28"/>
        <v/>
      </c>
      <c r="R807" s="65"/>
    </row>
    <row r="808" spans="2:18" x14ac:dyDescent="0.25">
      <c r="B808" s="170" t="s">
        <v>1161</v>
      </c>
      <c r="C808" s="69"/>
      <c r="D808" s="70" t="s">
        <v>1694</v>
      </c>
      <c r="E808" s="73"/>
      <c r="N808" s="65" t="str">
        <f t="shared" si="28"/>
        <v/>
      </c>
      <c r="R808" s="65"/>
    </row>
    <row r="809" spans="2:18" x14ac:dyDescent="0.25">
      <c r="B809" s="170" t="s">
        <v>1164</v>
      </c>
      <c r="C809" s="69"/>
      <c r="D809" s="70" t="s">
        <v>1695</v>
      </c>
      <c r="E809" s="73"/>
      <c r="N809" s="65" t="str">
        <f t="shared" si="28"/>
        <v/>
      </c>
      <c r="R809" s="65"/>
    </row>
    <row r="810" spans="2:18" x14ac:dyDescent="0.25">
      <c r="B810" s="170" t="s">
        <v>1167</v>
      </c>
      <c r="C810" s="70"/>
      <c r="D810" s="70" t="s">
        <v>1696</v>
      </c>
      <c r="E810" s="73"/>
      <c r="N810" s="65" t="str">
        <f t="shared" si="28"/>
        <v/>
      </c>
      <c r="R810" s="65"/>
    </row>
    <row r="811" spans="2:18" x14ac:dyDescent="0.25">
      <c r="B811" s="170" t="s">
        <v>1180</v>
      </c>
      <c r="C811" s="69"/>
      <c r="D811" s="70" t="s">
        <v>1697</v>
      </c>
      <c r="E811" s="73"/>
      <c r="N811" s="65" t="str">
        <f t="shared" si="28"/>
        <v/>
      </c>
      <c r="R811" s="65"/>
    </row>
    <row r="812" spans="2:18" x14ac:dyDescent="0.25">
      <c r="B812" s="170" t="s">
        <v>1183</v>
      </c>
      <c r="C812" s="69"/>
      <c r="D812" s="70" t="s">
        <v>1698</v>
      </c>
      <c r="E812" s="73"/>
      <c r="N812" s="65" t="str">
        <f t="shared" si="28"/>
        <v/>
      </c>
      <c r="R812" s="65"/>
    </row>
    <row r="813" spans="2:18" x14ac:dyDescent="0.25">
      <c r="B813" s="170" t="s">
        <v>1186</v>
      </c>
      <c r="C813" s="69"/>
      <c r="D813" s="70" t="s">
        <v>1699</v>
      </c>
      <c r="E813" s="73"/>
      <c r="N813" s="65" t="str">
        <f t="shared" si="28"/>
        <v/>
      </c>
      <c r="R813" s="65"/>
    </row>
    <row r="814" spans="2:18" x14ac:dyDescent="0.25">
      <c r="B814" s="170" t="s">
        <v>1189</v>
      </c>
      <c r="C814" s="69"/>
      <c r="D814" s="70" t="s">
        <v>1700</v>
      </c>
      <c r="E814" s="73"/>
      <c r="N814" s="65" t="str">
        <f t="shared" si="28"/>
        <v/>
      </c>
      <c r="R814" s="65"/>
    </row>
    <row r="815" spans="2:18" x14ac:dyDescent="0.25">
      <c r="B815" s="170" t="s">
        <v>1192</v>
      </c>
      <c r="C815" s="69"/>
      <c r="D815" s="70" t="s">
        <v>1701</v>
      </c>
      <c r="E815" s="73"/>
      <c r="N815" s="65" t="str">
        <f t="shared" si="28"/>
        <v/>
      </c>
      <c r="R815" s="65"/>
    </row>
    <row r="816" spans="2:18" x14ac:dyDescent="0.25">
      <c r="B816" s="170" t="s">
        <v>1195</v>
      </c>
      <c r="C816" s="69"/>
      <c r="D816" s="70" t="s">
        <v>1702</v>
      </c>
      <c r="E816" s="73"/>
      <c r="N816" s="65" t="str">
        <f t="shared" si="28"/>
        <v/>
      </c>
      <c r="R816" s="65"/>
    </row>
    <row r="817" spans="2:18" x14ac:dyDescent="0.25">
      <c r="B817" s="170" t="s">
        <v>1198</v>
      </c>
      <c r="C817" s="69"/>
      <c r="D817" s="70" t="s">
        <v>1703</v>
      </c>
      <c r="E817" s="73"/>
      <c r="N817" s="65" t="str">
        <f t="shared" si="28"/>
        <v/>
      </c>
      <c r="R817" s="65"/>
    </row>
    <row r="818" spans="2:18" x14ac:dyDescent="0.25">
      <c r="B818" s="170" t="s">
        <v>1201</v>
      </c>
      <c r="C818" s="69"/>
      <c r="D818" s="70" t="s">
        <v>1704</v>
      </c>
      <c r="E818" s="73"/>
      <c r="N818" s="65" t="str">
        <f t="shared" si="28"/>
        <v/>
      </c>
      <c r="R818" s="65"/>
    </row>
    <row r="819" spans="2:18" x14ac:dyDescent="0.25">
      <c r="B819" s="170" t="s">
        <v>1204</v>
      </c>
      <c r="C819" s="69"/>
      <c r="D819" s="70" t="s">
        <v>1705</v>
      </c>
      <c r="E819" s="73"/>
      <c r="N819" s="65" t="str">
        <f t="shared" si="28"/>
        <v/>
      </c>
      <c r="R819" s="65"/>
    </row>
    <row r="820" spans="2:18" x14ac:dyDescent="0.25">
      <c r="B820" s="170" t="s">
        <v>1207</v>
      </c>
      <c r="C820" s="69"/>
      <c r="D820" s="70" t="s">
        <v>1706</v>
      </c>
      <c r="E820" s="73"/>
      <c r="N820" s="65" t="str">
        <f t="shared" si="28"/>
        <v/>
      </c>
      <c r="R820" s="65"/>
    </row>
    <row r="821" spans="2:18" x14ac:dyDescent="0.25">
      <c r="B821" s="170" t="s">
        <v>1210</v>
      </c>
      <c r="C821" s="69"/>
      <c r="D821" s="70" t="s">
        <v>1707</v>
      </c>
      <c r="E821" s="73"/>
      <c r="N821" s="65" t="str">
        <f t="shared" si="28"/>
        <v/>
      </c>
      <c r="R821" s="65"/>
    </row>
    <row r="822" spans="2:18" x14ac:dyDescent="0.25">
      <c r="B822" s="170" t="s">
        <v>1213</v>
      </c>
      <c r="C822" s="69"/>
      <c r="D822" s="70" t="s">
        <v>1708</v>
      </c>
      <c r="E822" s="73"/>
      <c r="N822" s="65" t="str">
        <f t="shared" si="28"/>
        <v/>
      </c>
      <c r="R822" s="65"/>
    </row>
    <row r="823" spans="2:18" x14ac:dyDescent="0.25">
      <c r="B823" s="170" t="s">
        <v>1216</v>
      </c>
      <c r="C823" s="69"/>
      <c r="D823" s="70" t="s">
        <v>1709</v>
      </c>
      <c r="E823" s="73"/>
      <c r="N823" s="65" t="str">
        <f t="shared" si="28"/>
        <v/>
      </c>
      <c r="R823" s="65"/>
    </row>
    <row r="824" spans="2:18" x14ac:dyDescent="0.25">
      <c r="B824" s="170" t="s">
        <v>1219</v>
      </c>
      <c r="C824" s="69"/>
      <c r="D824" s="70" t="s">
        <v>1710</v>
      </c>
      <c r="E824" s="73"/>
      <c r="N824" s="65" t="str">
        <f t="shared" si="28"/>
        <v/>
      </c>
      <c r="R824" s="65"/>
    </row>
    <row r="825" spans="2:18" x14ac:dyDescent="0.25">
      <c r="B825" s="170" t="s">
        <v>1222</v>
      </c>
      <c r="C825" s="69"/>
      <c r="D825" s="70" t="s">
        <v>1711</v>
      </c>
      <c r="E825" s="73"/>
      <c r="N825" s="65" t="str">
        <f t="shared" si="28"/>
        <v/>
      </c>
      <c r="R825" s="65"/>
    </row>
    <row r="826" spans="2:18" x14ac:dyDescent="0.25">
      <c r="B826" s="170" t="s">
        <v>1225</v>
      </c>
      <c r="C826" s="69"/>
      <c r="D826" s="70" t="s">
        <v>1712</v>
      </c>
      <c r="E826" s="73"/>
      <c r="N826" s="65" t="str">
        <f t="shared" si="28"/>
        <v/>
      </c>
      <c r="R826" s="65"/>
    </row>
    <row r="827" spans="2:18" x14ac:dyDescent="0.25">
      <c r="B827" s="170" t="s">
        <v>1228</v>
      </c>
      <c r="C827" s="69"/>
      <c r="D827" s="70" t="s">
        <v>1713</v>
      </c>
      <c r="E827" s="73"/>
      <c r="N827" s="65" t="str">
        <f t="shared" si="28"/>
        <v/>
      </c>
      <c r="R827" s="65"/>
    </row>
    <row r="828" spans="2:18" x14ac:dyDescent="0.25">
      <c r="B828" s="170" t="s">
        <v>1231</v>
      </c>
      <c r="C828" s="69"/>
      <c r="D828" s="70" t="s">
        <v>1714</v>
      </c>
      <c r="E828" s="73"/>
      <c r="N828" s="65" t="str">
        <f t="shared" si="28"/>
        <v/>
      </c>
      <c r="R828" s="65"/>
    </row>
    <row r="829" spans="2:18" x14ac:dyDescent="0.25">
      <c r="B829" s="170" t="s">
        <v>1234</v>
      </c>
      <c r="C829" s="69"/>
      <c r="D829" s="70" t="s">
        <v>1715</v>
      </c>
      <c r="E829" s="73"/>
      <c r="N829" s="65" t="str">
        <f t="shared" si="28"/>
        <v/>
      </c>
      <c r="R829" s="65"/>
    </row>
    <row r="830" spans="2:18" x14ac:dyDescent="0.25">
      <c r="B830" s="170" t="s">
        <v>1237</v>
      </c>
      <c r="C830" s="69"/>
      <c r="D830" s="70" t="s">
        <v>1716</v>
      </c>
      <c r="E830" s="73"/>
      <c r="N830" s="65" t="str">
        <f t="shared" si="28"/>
        <v/>
      </c>
      <c r="R830" s="65"/>
    </row>
    <row r="831" spans="2:18" x14ac:dyDescent="0.25">
      <c r="B831" s="170" t="s">
        <v>104</v>
      </c>
      <c r="C831" s="69"/>
      <c r="D831" s="70" t="s">
        <v>1717</v>
      </c>
      <c r="E831" s="73"/>
      <c r="N831" s="65" t="str">
        <f t="shared" si="28"/>
        <v/>
      </c>
      <c r="R831" s="65"/>
    </row>
    <row r="832" spans="2:18" x14ac:dyDescent="0.25">
      <c r="B832" s="170" t="s">
        <v>1246</v>
      </c>
      <c r="C832" s="69"/>
      <c r="D832" s="70" t="s">
        <v>1718</v>
      </c>
      <c r="E832" s="73"/>
      <c r="N832" s="65" t="str">
        <f t="shared" si="28"/>
        <v/>
      </c>
      <c r="R832" s="65"/>
    </row>
    <row r="833" spans="2:18" ht="25" x14ac:dyDescent="0.25">
      <c r="B833" s="170" t="s">
        <v>1261</v>
      </c>
      <c r="C833" s="69"/>
      <c r="D833" s="70" t="s">
        <v>1719</v>
      </c>
      <c r="E833" s="73"/>
      <c r="N833" s="65" t="str">
        <f t="shared" si="28"/>
        <v/>
      </c>
      <c r="R833" s="65"/>
    </row>
    <row r="834" spans="2:18" x14ac:dyDescent="0.25">
      <c r="B834" s="170" t="s">
        <v>1264</v>
      </c>
      <c r="C834" s="69"/>
      <c r="D834" s="70" t="s">
        <v>1720</v>
      </c>
      <c r="E834" s="73"/>
      <c r="N834" s="65" t="str">
        <f t="shared" si="28"/>
        <v/>
      </c>
      <c r="R834" s="65"/>
    </row>
    <row r="835" spans="2:18" ht="25" x14ac:dyDescent="0.25">
      <c r="B835" s="170" t="s">
        <v>1267</v>
      </c>
      <c r="C835" s="69"/>
      <c r="D835" s="70" t="s">
        <v>1721</v>
      </c>
      <c r="E835" s="73"/>
      <c r="N835" s="65" t="str">
        <f t="shared" ref="N835:N844" si="29">IF(ISERROR(FIND(" (include",P835)),"",RIGHT(P835,LEN(P835)-FIND(" (include",P835)))</f>
        <v/>
      </c>
      <c r="R835" s="65"/>
    </row>
    <row r="836" spans="2:18" x14ac:dyDescent="0.25">
      <c r="B836" s="170" t="s">
        <v>1270</v>
      </c>
      <c r="C836" s="69"/>
      <c r="D836" s="70" t="s">
        <v>1722</v>
      </c>
      <c r="E836" s="73"/>
      <c r="N836" s="65" t="str">
        <f t="shared" si="29"/>
        <v/>
      </c>
      <c r="R836" s="65"/>
    </row>
    <row r="837" spans="2:18" x14ac:dyDescent="0.25">
      <c r="B837" s="170" t="s">
        <v>1723</v>
      </c>
      <c r="C837" s="69"/>
      <c r="D837" s="70" t="s">
        <v>1724</v>
      </c>
      <c r="E837" s="73"/>
      <c r="N837" s="65" t="str">
        <f t="shared" si="29"/>
        <v/>
      </c>
      <c r="R837" s="65"/>
    </row>
    <row r="838" spans="2:18" x14ac:dyDescent="0.25">
      <c r="B838" s="170" t="s">
        <v>1725</v>
      </c>
      <c r="C838" s="69"/>
      <c r="D838" s="70" t="s">
        <v>1726</v>
      </c>
      <c r="E838" s="73"/>
      <c r="N838" s="65" t="str">
        <f t="shared" si="29"/>
        <v/>
      </c>
      <c r="R838" s="65"/>
    </row>
    <row r="839" spans="2:18" ht="25" x14ac:dyDescent="0.25">
      <c r="B839" s="170" t="s">
        <v>1727</v>
      </c>
      <c r="C839" s="69"/>
      <c r="D839" s="70" t="s">
        <v>1728</v>
      </c>
      <c r="E839" s="73"/>
      <c r="N839" s="65" t="str">
        <f t="shared" si="29"/>
        <v/>
      </c>
      <c r="R839" s="65"/>
    </row>
    <row r="840" spans="2:18" x14ac:dyDescent="0.25">
      <c r="B840" s="170" t="s">
        <v>823</v>
      </c>
      <c r="C840" s="69"/>
      <c r="D840" s="70" t="s">
        <v>1729</v>
      </c>
      <c r="E840" s="73"/>
      <c r="N840" s="65" t="str">
        <f t="shared" si="29"/>
        <v/>
      </c>
      <c r="R840" s="65"/>
    </row>
    <row r="841" spans="2:18" x14ac:dyDescent="0.25">
      <c r="B841" s="170" t="s">
        <v>1730</v>
      </c>
      <c r="C841" s="69"/>
      <c r="D841" s="70" t="s">
        <v>1731</v>
      </c>
      <c r="E841" s="73"/>
      <c r="N841" s="65" t="str">
        <f t="shared" si="29"/>
        <v/>
      </c>
      <c r="R841" s="65"/>
    </row>
    <row r="842" spans="2:18" x14ac:dyDescent="0.25">
      <c r="B842" s="170" t="s">
        <v>1732</v>
      </c>
      <c r="C842" s="69"/>
      <c r="D842" s="70" t="s">
        <v>1733</v>
      </c>
      <c r="E842" s="73"/>
      <c r="N842" s="65" t="str">
        <f t="shared" si="29"/>
        <v/>
      </c>
      <c r="R842" s="65"/>
    </row>
    <row r="843" spans="2:18" x14ac:dyDescent="0.25">
      <c r="B843" s="170" t="s">
        <v>1734</v>
      </c>
      <c r="C843" s="69"/>
      <c r="D843" s="70" t="s">
        <v>1735</v>
      </c>
      <c r="E843" s="73"/>
      <c r="N843" s="65" t="str">
        <f t="shared" si="29"/>
        <v/>
      </c>
      <c r="R843" s="65"/>
    </row>
    <row r="844" spans="2:18" x14ac:dyDescent="0.25">
      <c r="B844" s="170" t="s">
        <v>1738</v>
      </c>
      <c r="C844" s="69"/>
      <c r="D844" s="70" t="s">
        <v>1739</v>
      </c>
      <c r="E844" s="73"/>
      <c r="N844" s="65" t="str">
        <f t="shared" si="29"/>
        <v/>
      </c>
      <c r="R844" s="65"/>
    </row>
    <row r="845" spans="2:18" x14ac:dyDescent="0.25">
      <c r="B845" s="170" t="s">
        <v>1740</v>
      </c>
      <c r="C845" s="69"/>
      <c r="D845" s="70" t="s">
        <v>1741</v>
      </c>
      <c r="E845" s="73"/>
      <c r="R845" s="65"/>
    </row>
    <row r="846" spans="2:18" x14ac:dyDescent="0.25">
      <c r="B846" s="170" t="s">
        <v>1744</v>
      </c>
      <c r="C846" s="69"/>
      <c r="D846" s="70" t="s">
        <v>1745</v>
      </c>
      <c r="E846" s="73"/>
      <c r="R846" s="65"/>
    </row>
    <row r="847" spans="2:18" x14ac:dyDescent="0.25">
      <c r="B847" s="170" t="s">
        <v>387</v>
      </c>
      <c r="C847" s="69"/>
      <c r="D847" s="70" t="s">
        <v>1752</v>
      </c>
      <c r="E847" s="73"/>
      <c r="R847" s="65"/>
    </row>
    <row r="848" spans="2:18" x14ac:dyDescent="0.25">
      <c r="B848" s="170" t="s">
        <v>1753</v>
      </c>
      <c r="C848" s="69"/>
      <c r="D848" s="70" t="s">
        <v>1754</v>
      </c>
      <c r="E848" s="73"/>
      <c r="R848" s="65"/>
    </row>
    <row r="849" spans="2:18" x14ac:dyDescent="0.25">
      <c r="B849" s="170" t="s">
        <v>1755</v>
      </c>
      <c r="C849" s="69"/>
      <c r="D849" s="70" t="s">
        <v>1756</v>
      </c>
      <c r="E849" s="73"/>
      <c r="R849" s="65"/>
    </row>
    <row r="850" spans="2:18" x14ac:dyDescent="0.25">
      <c r="B850" s="170" t="s">
        <v>373</v>
      </c>
      <c r="C850" s="69"/>
      <c r="D850" s="70" t="s">
        <v>1757</v>
      </c>
      <c r="E850" s="73"/>
      <c r="R850" s="65"/>
    </row>
    <row r="851" spans="2:18" x14ac:dyDescent="0.25">
      <c r="B851" s="170" t="s">
        <v>1758</v>
      </c>
      <c r="C851" s="69"/>
      <c r="D851" s="70" t="s">
        <v>1759</v>
      </c>
      <c r="E851" s="73"/>
      <c r="R851" s="65"/>
    </row>
    <row r="852" spans="2:18" x14ac:dyDescent="0.25">
      <c r="B852" s="170" t="s">
        <v>1760</v>
      </c>
      <c r="C852" s="69"/>
      <c r="D852" s="70" t="s">
        <v>1761</v>
      </c>
      <c r="E852" s="73"/>
      <c r="R852" s="65"/>
    </row>
    <row r="853" spans="2:18" x14ac:dyDescent="0.25">
      <c r="B853" s="170" t="s">
        <v>377</v>
      </c>
      <c r="C853" s="69"/>
      <c r="D853" s="70" t="s">
        <v>1762</v>
      </c>
      <c r="E853" s="73"/>
      <c r="R853" s="65"/>
    </row>
    <row r="854" spans="2:18" x14ac:dyDescent="0.25">
      <c r="B854" s="170" t="s">
        <v>1763</v>
      </c>
      <c r="C854" s="69"/>
      <c r="D854" s="70" t="s">
        <v>1764</v>
      </c>
      <c r="E854" s="73"/>
      <c r="R854" s="65"/>
    </row>
    <row r="855" spans="2:18" x14ac:dyDescent="0.25">
      <c r="B855" s="170" t="s">
        <v>1765</v>
      </c>
      <c r="C855" s="69"/>
      <c r="D855" s="70" t="s">
        <v>1766</v>
      </c>
      <c r="E855" s="73"/>
      <c r="R855" s="65"/>
    </row>
    <row r="856" spans="2:18" x14ac:dyDescent="0.25">
      <c r="B856" s="170" t="s">
        <v>382</v>
      </c>
      <c r="C856" s="69"/>
      <c r="D856" s="70" t="s">
        <v>1767</v>
      </c>
      <c r="E856" s="73"/>
      <c r="R856" s="65"/>
    </row>
    <row r="857" spans="2:18" x14ac:dyDescent="0.25">
      <c r="B857" s="170" t="s">
        <v>1768</v>
      </c>
      <c r="C857" s="69"/>
      <c r="D857" s="70" t="s">
        <v>1769</v>
      </c>
      <c r="E857" s="73"/>
    </row>
    <row r="858" spans="2:18" x14ac:dyDescent="0.25">
      <c r="B858" s="170" t="s">
        <v>1770</v>
      </c>
      <c r="C858" s="69"/>
      <c r="D858" s="70" t="s">
        <v>1771</v>
      </c>
      <c r="E858" s="73"/>
    </row>
    <row r="859" spans="2:18" x14ac:dyDescent="0.25">
      <c r="B859" s="170" t="s">
        <v>1772</v>
      </c>
      <c r="C859" s="69"/>
      <c r="D859" s="70" t="s">
        <v>1773</v>
      </c>
      <c r="E859" s="73"/>
    </row>
    <row r="860" spans="2:18" x14ac:dyDescent="0.25">
      <c r="B860" s="170" t="s">
        <v>1774</v>
      </c>
      <c r="C860" s="69"/>
      <c r="D860" s="70" t="s">
        <v>1775</v>
      </c>
      <c r="E860" s="73"/>
    </row>
    <row r="861" spans="2:18" x14ac:dyDescent="0.25">
      <c r="B861" s="170" t="s">
        <v>654</v>
      </c>
      <c r="C861" s="69"/>
      <c r="D861" s="70" t="s">
        <v>1776</v>
      </c>
      <c r="E861" s="73"/>
    </row>
    <row r="862" spans="2:18" x14ac:dyDescent="0.25">
      <c r="B862" s="170" t="s">
        <v>609</v>
      </c>
      <c r="C862" s="69"/>
      <c r="D862" s="70" t="s">
        <v>1779</v>
      </c>
      <c r="E862" s="73"/>
    </row>
    <row r="863" spans="2:18" x14ac:dyDescent="0.25">
      <c r="B863" s="170" t="s">
        <v>1780</v>
      </c>
      <c r="C863" s="69"/>
      <c r="D863" s="70" t="s">
        <v>1781</v>
      </c>
      <c r="E863" s="73"/>
    </row>
    <row r="864" spans="2:18" x14ac:dyDescent="0.25">
      <c r="B864" s="170" t="s">
        <v>1782</v>
      </c>
      <c r="C864" s="69"/>
      <c r="D864" s="70" t="s">
        <v>1783</v>
      </c>
      <c r="E864" s="73"/>
    </row>
    <row r="865" spans="2:5" x14ac:dyDescent="0.25">
      <c r="B865" s="170" t="s">
        <v>604</v>
      </c>
      <c r="C865" s="69"/>
      <c r="D865" s="70" t="s">
        <v>1784</v>
      </c>
      <c r="E865" s="73"/>
    </row>
    <row r="866" spans="2:5" x14ac:dyDescent="0.25">
      <c r="B866" s="170" t="s">
        <v>584</v>
      </c>
      <c r="C866" s="69"/>
      <c r="D866" s="70" t="s">
        <v>1787</v>
      </c>
      <c r="E866" s="73"/>
    </row>
    <row r="867" spans="2:5" x14ac:dyDescent="0.25">
      <c r="B867" s="170" t="s">
        <v>696</v>
      </c>
      <c r="C867" s="69"/>
      <c r="D867" s="70" t="s">
        <v>1788</v>
      </c>
      <c r="E867" s="73"/>
    </row>
    <row r="868" spans="2:5" x14ac:dyDescent="0.25">
      <c r="B868" s="170" t="s">
        <v>1793</v>
      </c>
      <c r="C868" s="69"/>
      <c r="D868" s="70" t="s">
        <v>1794</v>
      </c>
      <c r="E868" s="73"/>
    </row>
    <row r="869" spans="2:5" x14ac:dyDescent="0.25">
      <c r="B869" s="170" t="s">
        <v>1797</v>
      </c>
      <c r="C869" s="69"/>
      <c r="D869" s="70" t="s">
        <v>1798</v>
      </c>
      <c r="E869" s="73"/>
    </row>
    <row r="870" spans="2:5" x14ac:dyDescent="0.25">
      <c r="B870" s="170" t="s">
        <v>1799</v>
      </c>
      <c r="C870" s="69"/>
      <c r="D870" s="70" t="s">
        <v>1800</v>
      </c>
      <c r="E870" s="73"/>
    </row>
    <row r="871" spans="2:5" x14ac:dyDescent="0.25">
      <c r="B871" s="170" t="s">
        <v>1801</v>
      </c>
      <c r="C871" s="69"/>
      <c r="D871" s="70" t="s">
        <v>1802</v>
      </c>
      <c r="E871" s="73"/>
    </row>
    <row r="872" spans="2:5" x14ac:dyDescent="0.25">
      <c r="B872" s="170" t="s">
        <v>434</v>
      </c>
      <c r="C872" s="69"/>
      <c r="D872" s="70" t="s">
        <v>1803</v>
      </c>
      <c r="E872" s="73"/>
    </row>
    <row r="873" spans="2:5" x14ac:dyDescent="0.25">
      <c r="B873" s="170" t="s">
        <v>1804</v>
      </c>
      <c r="C873" s="69"/>
      <c r="D873" s="70" t="s">
        <v>1805</v>
      </c>
      <c r="E873" s="73"/>
    </row>
    <row r="874" spans="2:5" x14ac:dyDescent="0.25">
      <c r="B874" s="170" t="s">
        <v>1806</v>
      </c>
      <c r="C874" s="69"/>
      <c r="D874" s="70" t="s">
        <v>1807</v>
      </c>
      <c r="E874" s="73"/>
    </row>
    <row r="875" spans="2:5" x14ac:dyDescent="0.25">
      <c r="B875" s="170" t="s">
        <v>1808</v>
      </c>
      <c r="C875" s="69"/>
      <c r="D875" s="70" t="s">
        <v>1809</v>
      </c>
      <c r="E875" s="73"/>
    </row>
    <row r="876" spans="2:5" x14ac:dyDescent="0.25">
      <c r="B876" s="170" t="s">
        <v>1810</v>
      </c>
      <c r="C876" s="69"/>
      <c r="D876" s="70" t="s">
        <v>1811</v>
      </c>
      <c r="E876" s="73"/>
    </row>
    <row r="877" spans="2:5" x14ac:dyDescent="0.25">
      <c r="B877" s="170" t="s">
        <v>1812</v>
      </c>
      <c r="C877" s="69"/>
      <c r="D877" s="70" t="s">
        <v>1813</v>
      </c>
      <c r="E877" s="73"/>
    </row>
    <row r="878" spans="2:5" x14ac:dyDescent="0.25">
      <c r="B878" s="170" t="s">
        <v>1824</v>
      </c>
      <c r="C878" s="69"/>
      <c r="D878" s="70" t="s">
        <v>1825</v>
      </c>
      <c r="E878" s="73"/>
    </row>
    <row r="879" spans="2:5" x14ac:dyDescent="0.25">
      <c r="B879" s="170" t="s">
        <v>1826</v>
      </c>
      <c r="C879" s="69"/>
      <c r="D879" s="70" t="s">
        <v>1827</v>
      </c>
      <c r="E879" s="73"/>
    </row>
    <row r="880" spans="2:5" x14ac:dyDescent="0.25">
      <c r="B880" s="170" t="s">
        <v>1828</v>
      </c>
      <c r="C880" s="69"/>
      <c r="D880" s="70" t="s">
        <v>1829</v>
      </c>
      <c r="E880" s="73"/>
    </row>
    <row r="881" spans="2:5" x14ac:dyDescent="0.25">
      <c r="B881" s="170" t="s">
        <v>1830</v>
      </c>
      <c r="C881" s="69"/>
      <c r="D881" s="70" t="s">
        <v>1831</v>
      </c>
      <c r="E881" s="73"/>
    </row>
    <row r="882" spans="2:5" x14ac:dyDescent="0.25">
      <c r="B882" s="170" t="s">
        <v>1832</v>
      </c>
      <c r="C882" s="69"/>
      <c r="D882" s="70" t="s">
        <v>1833</v>
      </c>
      <c r="E882" s="73"/>
    </row>
    <row r="883" spans="2:5" x14ac:dyDescent="0.25">
      <c r="B883" s="170" t="s">
        <v>1834</v>
      </c>
      <c r="C883" s="69"/>
      <c r="D883" s="70" t="s">
        <v>1835</v>
      </c>
      <c r="E883" s="73"/>
    </row>
    <row r="884" spans="2:5" x14ac:dyDescent="0.25">
      <c r="B884" s="170" t="s">
        <v>1836</v>
      </c>
      <c r="C884" s="69"/>
      <c r="D884" s="70" t="s">
        <v>1837</v>
      </c>
      <c r="E884" s="73"/>
    </row>
    <row r="885" spans="2:5" x14ac:dyDescent="0.25">
      <c r="B885" s="170" t="s">
        <v>1838</v>
      </c>
      <c r="C885" s="69"/>
      <c r="D885" s="70" t="s">
        <v>1839</v>
      </c>
      <c r="E885" s="73"/>
    </row>
    <row r="886" spans="2:5" x14ac:dyDescent="0.25">
      <c r="B886" s="170" t="s">
        <v>1840</v>
      </c>
      <c r="C886" s="69"/>
      <c r="D886" s="70" t="s">
        <v>1841</v>
      </c>
      <c r="E886" s="73"/>
    </row>
    <row r="887" spans="2:5" x14ac:dyDescent="0.25">
      <c r="B887" s="170" t="s">
        <v>1842</v>
      </c>
      <c r="C887" s="69"/>
      <c r="D887" s="70" t="s">
        <v>1843</v>
      </c>
      <c r="E887" s="73"/>
    </row>
    <row r="888" spans="2:5" x14ac:dyDescent="0.25">
      <c r="B888" s="170" t="s">
        <v>1849</v>
      </c>
      <c r="C888" s="69"/>
      <c r="D888" s="70" t="s">
        <v>1850</v>
      </c>
      <c r="E888" s="73"/>
    </row>
    <row r="889" spans="2:5" x14ac:dyDescent="0.25">
      <c r="B889" s="170" t="s">
        <v>1851</v>
      </c>
      <c r="C889" s="69"/>
      <c r="D889" s="70" t="s">
        <v>1852</v>
      </c>
      <c r="E889" s="73"/>
    </row>
    <row r="890" spans="2:5" x14ac:dyDescent="0.25">
      <c r="B890" s="170" t="s">
        <v>1853</v>
      </c>
      <c r="C890" s="70"/>
      <c r="D890" s="70" t="s">
        <v>1854</v>
      </c>
      <c r="E890" s="73"/>
    </row>
    <row r="891" spans="2:5" x14ac:dyDescent="0.25">
      <c r="B891" s="170" t="s">
        <v>1857</v>
      </c>
      <c r="C891" s="69"/>
      <c r="D891" s="70" t="s">
        <v>1858</v>
      </c>
      <c r="E891" s="73"/>
    </row>
    <row r="892" spans="2:5" x14ac:dyDescent="0.25">
      <c r="B892" s="170" t="s">
        <v>1859</v>
      </c>
      <c r="C892" s="69"/>
      <c r="D892" s="70" t="s">
        <v>1860</v>
      </c>
      <c r="E892" s="73"/>
    </row>
    <row r="893" spans="2:5" x14ac:dyDescent="0.25">
      <c r="B893" s="170" t="s">
        <v>1861</v>
      </c>
      <c r="C893" s="69"/>
      <c r="D893" s="70" t="s">
        <v>1862</v>
      </c>
      <c r="E893" s="73"/>
    </row>
    <row r="894" spans="2:5" x14ac:dyDescent="0.25">
      <c r="B894" s="170" t="s">
        <v>1865</v>
      </c>
      <c r="C894" s="69"/>
      <c r="D894" s="70" t="s">
        <v>1866</v>
      </c>
      <c r="E894" s="73"/>
    </row>
    <row r="895" spans="2:5" x14ac:dyDescent="0.25">
      <c r="B895" s="170" t="s">
        <v>1867</v>
      </c>
      <c r="C895" s="69"/>
      <c r="D895" s="70" t="s">
        <v>1868</v>
      </c>
      <c r="E895" s="73"/>
    </row>
    <row r="896" spans="2:5" x14ac:dyDescent="0.25">
      <c r="B896" s="170" t="s">
        <v>641</v>
      </c>
      <c r="C896" s="69"/>
      <c r="D896" s="70" t="s">
        <v>1871</v>
      </c>
      <c r="E896" s="73"/>
    </row>
    <row r="897" spans="2:5" x14ac:dyDescent="0.25">
      <c r="B897" s="170" t="s">
        <v>1874</v>
      </c>
      <c r="C897" s="69"/>
      <c r="D897" s="70" t="s">
        <v>1875</v>
      </c>
      <c r="E897" s="73"/>
    </row>
    <row r="898" spans="2:5" x14ac:dyDescent="0.25">
      <c r="B898" s="170" t="s">
        <v>1876</v>
      </c>
      <c r="C898" s="69"/>
      <c r="D898" s="70" t="s">
        <v>1877</v>
      </c>
      <c r="E898" s="73"/>
    </row>
    <row r="899" spans="2:5" x14ac:dyDescent="0.25">
      <c r="B899" s="170" t="s">
        <v>1878</v>
      </c>
      <c r="C899" s="69"/>
      <c r="D899" s="70" t="s">
        <v>1879</v>
      </c>
      <c r="E899" s="73"/>
    </row>
    <row r="900" spans="2:5" x14ac:dyDescent="0.25">
      <c r="B900" s="170" t="s">
        <v>1880</v>
      </c>
      <c r="C900" s="69"/>
      <c r="D900" s="70" t="s">
        <v>1881</v>
      </c>
      <c r="E900" s="73"/>
    </row>
    <row r="901" spans="2:5" x14ac:dyDescent="0.25">
      <c r="B901" s="170" t="s">
        <v>1892</v>
      </c>
      <c r="C901" s="69"/>
      <c r="D901" s="70" t="s">
        <v>1893</v>
      </c>
      <c r="E901" s="73"/>
    </row>
    <row r="902" spans="2:5" x14ac:dyDescent="0.25">
      <c r="B902" s="170" t="s">
        <v>1255</v>
      </c>
      <c r="C902" s="69"/>
      <c r="D902" s="70" t="s">
        <v>1896</v>
      </c>
      <c r="E902" s="73"/>
    </row>
    <row r="903" spans="2:5" x14ac:dyDescent="0.25">
      <c r="B903" s="170" t="s">
        <v>1897</v>
      </c>
      <c r="C903" s="69"/>
      <c r="D903" s="70" t="s">
        <v>1898</v>
      </c>
      <c r="E903" s="73"/>
    </row>
    <row r="904" spans="2:5" x14ac:dyDescent="0.25">
      <c r="B904" s="170" t="s">
        <v>1899</v>
      </c>
      <c r="C904" s="69"/>
      <c r="D904" s="70" t="s">
        <v>1900</v>
      </c>
      <c r="E904" s="73"/>
    </row>
    <row r="905" spans="2:5" x14ac:dyDescent="0.25">
      <c r="B905" s="170" t="s">
        <v>1901</v>
      </c>
      <c r="C905" s="69"/>
      <c r="D905" s="70" t="s">
        <v>1902</v>
      </c>
      <c r="E905" s="73"/>
    </row>
    <row r="906" spans="2:5" x14ac:dyDescent="0.25">
      <c r="B906" s="170" t="s">
        <v>1903</v>
      </c>
      <c r="C906" s="69"/>
      <c r="D906" s="70" t="s">
        <v>1904</v>
      </c>
      <c r="E906" s="73"/>
    </row>
    <row r="907" spans="2:5" x14ac:dyDescent="0.25">
      <c r="B907" s="170" t="s">
        <v>1905</v>
      </c>
      <c r="C907" s="69"/>
      <c r="D907" s="70" t="s">
        <v>1906</v>
      </c>
      <c r="E907" s="73"/>
    </row>
    <row r="908" spans="2:5" x14ac:dyDescent="0.25">
      <c r="B908" s="170" t="s">
        <v>1907</v>
      </c>
      <c r="C908" s="69"/>
      <c r="D908" s="70" t="s">
        <v>1908</v>
      </c>
      <c r="E908" s="73"/>
    </row>
    <row r="909" spans="2:5" x14ac:dyDescent="0.25">
      <c r="B909" s="170" t="s">
        <v>1909</v>
      </c>
      <c r="C909" s="69"/>
      <c r="D909" s="70" t="s">
        <v>1910</v>
      </c>
      <c r="E909" s="73"/>
    </row>
    <row r="910" spans="2:5" x14ac:dyDescent="0.25">
      <c r="B910" s="170" t="s">
        <v>1913</v>
      </c>
      <c r="C910" s="69"/>
      <c r="D910" s="70" t="s">
        <v>1914</v>
      </c>
      <c r="E910" s="73"/>
    </row>
    <row r="911" spans="2:5" x14ac:dyDescent="0.25">
      <c r="B911" s="170" t="s">
        <v>1917</v>
      </c>
      <c r="C911" s="69"/>
      <c r="D911" s="70" t="s">
        <v>1918</v>
      </c>
      <c r="E911" s="73"/>
    </row>
    <row r="912" spans="2:5" x14ac:dyDescent="0.25">
      <c r="B912" s="170" t="s">
        <v>1919</v>
      </c>
      <c r="C912" s="69"/>
      <c r="D912" s="70" t="s">
        <v>1920</v>
      </c>
      <c r="E912" s="73"/>
    </row>
    <row r="913" spans="2:5" x14ac:dyDescent="0.25">
      <c r="B913" s="170" t="s">
        <v>1921</v>
      </c>
      <c r="C913" s="69"/>
      <c r="D913" s="70" t="s">
        <v>1922</v>
      </c>
      <c r="E913" s="73"/>
    </row>
    <row r="914" spans="2:5" x14ac:dyDescent="0.25">
      <c r="B914" s="170" t="s">
        <v>1923</v>
      </c>
      <c r="C914" s="69"/>
      <c r="D914" s="70" t="s">
        <v>1924</v>
      </c>
      <c r="E914" s="73"/>
    </row>
    <row r="915" spans="2:5" x14ac:dyDescent="0.25">
      <c r="B915" s="170" t="s">
        <v>1925</v>
      </c>
      <c r="C915" s="69"/>
      <c r="D915" s="70" t="s">
        <v>1926</v>
      </c>
      <c r="E915" s="73"/>
    </row>
    <row r="916" spans="2:5" x14ac:dyDescent="0.25">
      <c r="B916" s="170" t="s">
        <v>1927</v>
      </c>
      <c r="C916" s="69"/>
      <c r="D916" s="70" t="s">
        <v>1928</v>
      </c>
      <c r="E916" s="73"/>
    </row>
    <row r="917" spans="2:5" x14ac:dyDescent="0.25">
      <c r="B917" s="170" t="s">
        <v>1929</v>
      </c>
      <c r="C917" s="69"/>
      <c r="D917" s="70" t="s">
        <v>1930</v>
      </c>
      <c r="E917" s="73"/>
    </row>
    <row r="918" spans="2:5" x14ac:dyDescent="0.25">
      <c r="B918" s="170" t="s">
        <v>1931</v>
      </c>
      <c r="C918" s="69"/>
      <c r="D918" s="70" t="s">
        <v>1932</v>
      </c>
      <c r="E918" s="73"/>
    </row>
    <row r="919" spans="2:5" x14ac:dyDescent="0.25">
      <c r="B919" s="170" t="s">
        <v>1933</v>
      </c>
      <c r="C919" s="69"/>
      <c r="D919" s="70" t="s">
        <v>1934</v>
      </c>
      <c r="E919" s="73"/>
    </row>
    <row r="920" spans="2:5" x14ac:dyDescent="0.25">
      <c r="B920" s="170" t="s">
        <v>1935</v>
      </c>
      <c r="C920" s="69"/>
      <c r="D920" s="70" t="s">
        <v>1936</v>
      </c>
      <c r="E920" s="73"/>
    </row>
    <row r="921" spans="2:5" x14ac:dyDescent="0.25">
      <c r="B921" s="170" t="s">
        <v>1937</v>
      </c>
      <c r="C921" s="69"/>
      <c r="D921" s="70" t="s">
        <v>1938</v>
      </c>
      <c r="E921" s="73"/>
    </row>
    <row r="922" spans="2:5" x14ac:dyDescent="0.25">
      <c r="B922" s="170" t="s">
        <v>1939</v>
      </c>
      <c r="C922" s="69"/>
      <c r="D922" s="70" t="s">
        <v>1940</v>
      </c>
      <c r="E922" s="73"/>
    </row>
    <row r="923" spans="2:5" x14ac:dyDescent="0.25">
      <c r="B923" s="170" t="s">
        <v>1941</v>
      </c>
      <c r="C923" s="69"/>
      <c r="D923" s="70" t="s">
        <v>1942</v>
      </c>
      <c r="E923" s="73"/>
    </row>
    <row r="924" spans="2:5" x14ac:dyDescent="0.25">
      <c r="B924" s="170" t="s">
        <v>1948</v>
      </c>
      <c r="C924" s="69"/>
      <c r="D924" s="70" t="s">
        <v>1949</v>
      </c>
      <c r="E924" s="73"/>
    </row>
    <row r="925" spans="2:5" x14ac:dyDescent="0.25">
      <c r="B925" s="170" t="s">
        <v>1956</v>
      </c>
      <c r="C925" s="69"/>
      <c r="D925" s="70" t="s">
        <v>1957</v>
      </c>
      <c r="E925" s="73"/>
    </row>
    <row r="926" spans="2:5" x14ac:dyDescent="0.25">
      <c r="B926" s="90" t="s">
        <v>1965</v>
      </c>
      <c r="C926" s="72"/>
      <c r="D926" s="70" t="s">
        <v>1966</v>
      </c>
      <c r="E926" s="73"/>
    </row>
    <row r="927" spans="2:5" x14ac:dyDescent="0.25">
      <c r="B927" s="170" t="s">
        <v>1967</v>
      </c>
      <c r="C927" s="69"/>
      <c r="D927" s="70" t="s">
        <v>1968</v>
      </c>
      <c r="E927" s="73"/>
    </row>
    <row r="928" spans="2:5" x14ac:dyDescent="0.25">
      <c r="B928" s="170" t="s">
        <v>1973</v>
      </c>
      <c r="C928" s="69"/>
      <c r="D928" s="70" t="s">
        <v>1974</v>
      </c>
      <c r="E928" s="73"/>
    </row>
    <row r="929" spans="2:5" x14ac:dyDescent="0.25">
      <c r="B929" s="170" t="s">
        <v>1977</v>
      </c>
      <c r="C929" s="69"/>
      <c r="D929" s="70" t="s">
        <v>1978</v>
      </c>
      <c r="E929" s="73"/>
    </row>
    <row r="930" spans="2:5" x14ac:dyDescent="0.25">
      <c r="B930" s="90" t="s">
        <v>1979</v>
      </c>
      <c r="C930" s="69"/>
      <c r="D930" s="70" t="s">
        <v>1980</v>
      </c>
      <c r="E930" s="73"/>
    </row>
    <row r="931" spans="2:5" x14ac:dyDescent="0.25">
      <c r="B931" s="90" t="s">
        <v>1981</v>
      </c>
      <c r="C931" s="69"/>
      <c r="D931" s="70" t="s">
        <v>1982</v>
      </c>
      <c r="E931" s="73"/>
    </row>
    <row r="932" spans="2:5" x14ac:dyDescent="0.25">
      <c r="B932" s="170" t="s">
        <v>1983</v>
      </c>
      <c r="C932" s="69"/>
      <c r="D932" s="70" t="s">
        <v>1984</v>
      </c>
      <c r="E932" s="73"/>
    </row>
    <row r="933" spans="2:5" x14ac:dyDescent="0.25">
      <c r="B933" s="170" t="s">
        <v>1985</v>
      </c>
      <c r="C933" s="69"/>
      <c r="D933" s="70" t="s">
        <v>1986</v>
      </c>
      <c r="E933" s="73"/>
    </row>
    <row r="934" spans="2:5" x14ac:dyDescent="0.25">
      <c r="B934" s="170" t="s">
        <v>1987</v>
      </c>
      <c r="C934" s="69"/>
      <c r="D934" s="70" t="s">
        <v>1988</v>
      </c>
      <c r="E934" s="73"/>
    </row>
    <row r="935" spans="2:5" x14ac:dyDescent="0.25">
      <c r="B935" s="170" t="s">
        <v>1989</v>
      </c>
      <c r="C935" s="69"/>
      <c r="D935" s="70" t="s">
        <v>1990</v>
      </c>
      <c r="E935" s="73"/>
    </row>
    <row r="936" spans="2:5" x14ac:dyDescent="0.25">
      <c r="B936" s="170" t="s">
        <v>1991</v>
      </c>
      <c r="C936" s="69"/>
      <c r="D936" s="70" t="s">
        <v>1992</v>
      </c>
      <c r="E936" s="73"/>
    </row>
    <row r="937" spans="2:5" x14ac:dyDescent="0.25">
      <c r="B937" s="170" t="s">
        <v>1994</v>
      </c>
      <c r="C937" s="69"/>
      <c r="D937" s="70" t="s">
        <v>1995</v>
      </c>
      <c r="E937" s="73"/>
    </row>
    <row r="938" spans="2:5" x14ac:dyDescent="0.25">
      <c r="B938" s="170" t="s">
        <v>1996</v>
      </c>
      <c r="C938" s="69"/>
      <c r="D938" s="70" t="s">
        <v>1997</v>
      </c>
      <c r="E938" s="73"/>
    </row>
    <row r="939" spans="2:5" x14ac:dyDescent="0.25">
      <c r="B939" s="170" t="s">
        <v>1998</v>
      </c>
      <c r="C939" s="69"/>
      <c r="D939" s="70" t="s">
        <v>1999</v>
      </c>
      <c r="E939" s="73"/>
    </row>
    <row r="940" spans="2:5" x14ac:dyDescent="0.25">
      <c r="B940" s="170" t="s">
        <v>2000</v>
      </c>
      <c r="C940" s="69"/>
      <c r="D940" s="70" t="s">
        <v>2001</v>
      </c>
      <c r="E940" s="73"/>
    </row>
    <row r="941" spans="2:5" x14ac:dyDescent="0.25">
      <c r="B941" s="170" t="s">
        <v>2002</v>
      </c>
      <c r="C941" s="69"/>
      <c r="D941" s="70" t="s">
        <v>2003</v>
      </c>
      <c r="E941" s="73"/>
    </row>
    <row r="942" spans="2:5" x14ac:dyDescent="0.25">
      <c r="B942" s="170" t="s">
        <v>2004</v>
      </c>
      <c r="C942" s="69"/>
      <c r="D942" s="70" t="s">
        <v>2005</v>
      </c>
      <c r="E942" s="73"/>
    </row>
    <row r="943" spans="2:5" x14ac:dyDescent="0.25">
      <c r="B943" s="170" t="s">
        <v>2006</v>
      </c>
      <c r="C943" s="69"/>
      <c r="D943" s="70" t="s">
        <v>2007</v>
      </c>
      <c r="E943" s="73"/>
    </row>
    <row r="944" spans="2:5" x14ac:dyDescent="0.25">
      <c r="B944" s="170" t="s">
        <v>2016</v>
      </c>
      <c r="C944" s="69"/>
      <c r="D944" s="70" t="s">
        <v>2017</v>
      </c>
      <c r="E944" s="73"/>
    </row>
    <row r="945" spans="2:5" x14ac:dyDescent="0.25">
      <c r="B945" s="170" t="s">
        <v>2018</v>
      </c>
      <c r="C945" s="69"/>
      <c r="D945" s="70" t="s">
        <v>2019</v>
      </c>
      <c r="E945" s="73"/>
    </row>
    <row r="946" spans="2:5" x14ac:dyDescent="0.25">
      <c r="B946" s="170" t="s">
        <v>2020</v>
      </c>
      <c r="C946" s="69"/>
      <c r="D946" s="70" t="s">
        <v>2021</v>
      </c>
      <c r="E946" s="73"/>
    </row>
    <row r="947" spans="2:5" x14ac:dyDescent="0.25">
      <c r="B947" s="170" t="s">
        <v>2022</v>
      </c>
      <c r="C947" s="69"/>
      <c r="D947" s="70" t="s">
        <v>2023</v>
      </c>
      <c r="E947" s="73"/>
    </row>
    <row r="948" spans="2:5" x14ac:dyDescent="0.25">
      <c r="B948" s="90" t="s">
        <v>2024</v>
      </c>
      <c r="C948" s="69"/>
      <c r="D948" s="70" t="s">
        <v>2025</v>
      </c>
      <c r="E948" s="73"/>
    </row>
    <row r="949" spans="2:5" x14ac:dyDescent="0.25">
      <c r="B949" s="170" t="s">
        <v>2026</v>
      </c>
      <c r="C949" s="69"/>
      <c r="D949" s="70" t="s">
        <v>2027</v>
      </c>
      <c r="E949" s="73"/>
    </row>
    <row r="950" spans="2:5" x14ac:dyDescent="0.25">
      <c r="B950" s="90" t="s">
        <v>2028</v>
      </c>
      <c r="C950" s="69"/>
      <c r="D950" s="70" t="s">
        <v>2029</v>
      </c>
      <c r="E950" s="73"/>
    </row>
    <row r="951" spans="2:5" x14ac:dyDescent="0.25">
      <c r="B951" s="170" t="s">
        <v>2030</v>
      </c>
      <c r="C951" s="69"/>
      <c r="D951" s="70" t="s">
        <v>2031</v>
      </c>
      <c r="E951" s="73"/>
    </row>
    <row r="952" spans="2:5" x14ac:dyDescent="0.25">
      <c r="B952" s="170" t="s">
        <v>2032</v>
      </c>
      <c r="C952" s="69"/>
      <c r="D952" s="70" t="s">
        <v>2033</v>
      </c>
      <c r="E952" s="73"/>
    </row>
    <row r="953" spans="2:5" x14ac:dyDescent="0.25">
      <c r="B953" s="170" t="s">
        <v>2034</v>
      </c>
      <c r="C953" s="69"/>
      <c r="D953" s="70" t="s">
        <v>2035</v>
      </c>
      <c r="E953" s="73"/>
    </row>
    <row r="954" spans="2:5" x14ac:dyDescent="0.25">
      <c r="B954" s="170" t="s">
        <v>2036</v>
      </c>
      <c r="C954" s="69"/>
      <c r="D954" s="70" t="s">
        <v>2037</v>
      </c>
      <c r="E954" s="73"/>
    </row>
    <row r="955" spans="2:5" x14ac:dyDescent="0.25">
      <c r="B955" s="170" t="s">
        <v>2038</v>
      </c>
      <c r="C955" s="69"/>
      <c r="D955" s="70" t="s">
        <v>2039</v>
      </c>
      <c r="E955" s="73"/>
    </row>
    <row r="956" spans="2:5" x14ac:dyDescent="0.25">
      <c r="B956" s="170" t="s">
        <v>619</v>
      </c>
      <c r="C956" s="69"/>
      <c r="D956" s="70" t="s">
        <v>2042</v>
      </c>
      <c r="E956" s="73"/>
    </row>
    <row r="957" spans="2:5" x14ac:dyDescent="0.25">
      <c r="B957" s="170" t="s">
        <v>2043</v>
      </c>
      <c r="C957" s="69"/>
      <c r="D957" s="70" t="s">
        <v>2044</v>
      </c>
      <c r="E957" s="73"/>
    </row>
    <row r="958" spans="2:5" x14ac:dyDescent="0.25">
      <c r="B958" s="170" t="s">
        <v>2045</v>
      </c>
      <c r="C958" s="69"/>
      <c r="D958" s="70" t="s">
        <v>2046</v>
      </c>
      <c r="E958" s="73"/>
    </row>
    <row r="959" spans="2:5" x14ac:dyDescent="0.25">
      <c r="B959" s="170" t="s">
        <v>2047</v>
      </c>
      <c r="C959" s="69"/>
      <c r="D959" s="70" t="s">
        <v>2048</v>
      </c>
      <c r="E959" s="73"/>
    </row>
    <row r="960" spans="2:5" x14ac:dyDescent="0.25">
      <c r="B960" s="170" t="s">
        <v>2049</v>
      </c>
      <c r="C960" s="69"/>
      <c r="D960" s="70" t="s">
        <v>2050</v>
      </c>
      <c r="E960" s="73"/>
    </row>
    <row r="961" spans="2:5" x14ac:dyDescent="0.25">
      <c r="B961" s="170" t="s">
        <v>2051</v>
      </c>
      <c r="C961" s="69"/>
      <c r="D961" s="70" t="s">
        <v>2052</v>
      </c>
      <c r="E961" s="73"/>
    </row>
    <row r="962" spans="2:5" x14ac:dyDescent="0.25">
      <c r="B962" s="170" t="s">
        <v>2091</v>
      </c>
      <c r="C962" s="69"/>
      <c r="D962" s="70" t="s">
        <v>2092</v>
      </c>
      <c r="E962" s="73"/>
    </row>
    <row r="963" spans="2:5" x14ac:dyDescent="0.25">
      <c r="B963" s="170" t="s">
        <v>2095</v>
      </c>
      <c r="C963" s="69"/>
      <c r="D963" s="70" t="s">
        <v>2096</v>
      </c>
      <c r="E963" s="73"/>
    </row>
    <row r="964" spans="2:5" x14ac:dyDescent="0.25">
      <c r="B964" s="90" t="s">
        <v>2097</v>
      </c>
      <c r="C964" s="72"/>
      <c r="D964" s="70" t="s">
        <v>2098</v>
      </c>
      <c r="E964" s="73"/>
    </row>
    <row r="965" spans="2:5" x14ac:dyDescent="0.25">
      <c r="B965" s="170" t="s">
        <v>2099</v>
      </c>
      <c r="C965" s="69"/>
      <c r="D965" s="70" t="s">
        <v>2100</v>
      </c>
      <c r="E965" s="73"/>
    </row>
    <row r="966" spans="2:5" x14ac:dyDescent="0.25">
      <c r="B966" s="170" t="s">
        <v>2101</v>
      </c>
      <c r="C966" s="69"/>
      <c r="D966" s="70" t="s">
        <v>2102</v>
      </c>
      <c r="E966" s="73"/>
    </row>
    <row r="967" spans="2:5" x14ac:dyDescent="0.25">
      <c r="B967" s="170" t="s">
        <v>2103</v>
      </c>
      <c r="C967" s="69"/>
      <c r="D967" s="70" t="s">
        <v>2104</v>
      </c>
      <c r="E967" s="73"/>
    </row>
    <row r="968" spans="2:5" x14ac:dyDescent="0.25">
      <c r="B968" s="170" t="s">
        <v>2107</v>
      </c>
      <c r="C968" s="69"/>
      <c r="D968" s="70" t="s">
        <v>2108</v>
      </c>
      <c r="E968" s="73"/>
    </row>
    <row r="969" spans="2:5" x14ac:dyDescent="0.25">
      <c r="B969" s="170" t="s">
        <v>2109</v>
      </c>
      <c r="C969" s="69"/>
      <c r="D969" s="70" t="s">
        <v>2110</v>
      </c>
      <c r="E969" s="73"/>
    </row>
    <row r="970" spans="2:5" x14ac:dyDescent="0.25">
      <c r="B970" s="170" t="s">
        <v>2113</v>
      </c>
      <c r="C970" s="69"/>
      <c r="D970" s="70" t="s">
        <v>2114</v>
      </c>
      <c r="E970" s="73"/>
    </row>
    <row r="971" spans="2:5" x14ac:dyDescent="0.25">
      <c r="B971" s="170" t="s">
        <v>2115</v>
      </c>
      <c r="C971" s="69"/>
      <c r="D971" s="70" t="s">
        <v>2116</v>
      </c>
      <c r="E971" s="73"/>
    </row>
    <row r="972" spans="2:5" x14ac:dyDescent="0.25">
      <c r="B972" s="170" t="s">
        <v>2117</v>
      </c>
      <c r="C972" s="69"/>
      <c r="D972" s="70" t="s">
        <v>2118</v>
      </c>
      <c r="E972" s="73"/>
    </row>
    <row r="973" spans="2:5" x14ac:dyDescent="0.25">
      <c r="B973" s="170" t="s">
        <v>2123</v>
      </c>
      <c r="C973" s="69"/>
      <c r="D973" s="70" t="s">
        <v>2124</v>
      </c>
      <c r="E973" s="73"/>
    </row>
    <row r="974" spans="2:5" x14ac:dyDescent="0.25">
      <c r="B974" s="170" t="s">
        <v>2125</v>
      </c>
      <c r="C974" s="69"/>
      <c r="D974" s="70" t="s">
        <v>2126</v>
      </c>
      <c r="E974" s="73"/>
    </row>
    <row r="975" spans="2:5" x14ac:dyDescent="0.25">
      <c r="B975" s="170" t="s">
        <v>2127</v>
      </c>
      <c r="C975" s="69"/>
      <c r="D975" s="70" t="s">
        <v>2128</v>
      </c>
      <c r="E975" s="73"/>
    </row>
    <row r="976" spans="2:5" x14ac:dyDescent="0.25">
      <c r="B976" s="170" t="s">
        <v>2129</v>
      </c>
      <c r="C976" s="69"/>
      <c r="D976" s="70" t="s">
        <v>2130</v>
      </c>
      <c r="E976" s="73"/>
    </row>
    <row r="977" spans="2:5" x14ac:dyDescent="0.25">
      <c r="B977" s="170" t="s">
        <v>2133</v>
      </c>
      <c r="C977" s="69"/>
      <c r="D977" s="70" t="s">
        <v>2134</v>
      </c>
      <c r="E977" s="73"/>
    </row>
    <row r="978" spans="2:5" x14ac:dyDescent="0.25">
      <c r="B978" s="170" t="s">
        <v>2141</v>
      </c>
      <c r="C978" s="69"/>
      <c r="D978" s="70" t="s">
        <v>2142</v>
      </c>
      <c r="E978" s="73"/>
    </row>
    <row r="979" spans="2:5" x14ac:dyDescent="0.25">
      <c r="B979" s="170" t="s">
        <v>2143</v>
      </c>
      <c r="C979" s="69"/>
      <c r="D979" s="70" t="s">
        <v>2144</v>
      </c>
      <c r="E979" s="73"/>
    </row>
    <row r="980" spans="2:5" x14ac:dyDescent="0.25">
      <c r="B980" s="170" t="s">
        <v>2145</v>
      </c>
      <c r="C980" s="69"/>
      <c r="D980" s="70" t="s">
        <v>2146</v>
      </c>
      <c r="E980" s="73"/>
    </row>
    <row r="981" spans="2:5" x14ac:dyDescent="0.25">
      <c r="B981" s="170" t="s">
        <v>2147</v>
      </c>
      <c r="C981" s="69"/>
      <c r="D981" s="70" t="s">
        <v>2148</v>
      </c>
      <c r="E981" s="73"/>
    </row>
    <row r="982" spans="2:5" x14ac:dyDescent="0.25">
      <c r="B982" s="170" t="s">
        <v>2149</v>
      </c>
      <c r="C982" s="69"/>
      <c r="D982" s="70" t="s">
        <v>2150</v>
      </c>
      <c r="E982" s="73"/>
    </row>
    <row r="983" spans="2:5" x14ac:dyDescent="0.25">
      <c r="B983" s="170" t="s">
        <v>2151</v>
      </c>
      <c r="C983" s="69"/>
      <c r="D983" s="70" t="s">
        <v>2152</v>
      </c>
      <c r="E983" s="73"/>
    </row>
    <row r="984" spans="2:5" x14ac:dyDescent="0.25">
      <c r="B984" s="170" t="s">
        <v>2159</v>
      </c>
      <c r="C984" s="69"/>
      <c r="D984" s="70" t="s">
        <v>2160</v>
      </c>
      <c r="E984" s="73"/>
    </row>
    <row r="985" spans="2:5" x14ac:dyDescent="0.25">
      <c r="B985" s="170" t="s">
        <v>2161</v>
      </c>
      <c r="C985" s="69"/>
      <c r="D985" s="70" t="s">
        <v>2162</v>
      </c>
      <c r="E985" s="73"/>
    </row>
    <row r="986" spans="2:5" ht="25" x14ac:dyDescent="0.25">
      <c r="B986" s="170" t="s">
        <v>2163</v>
      </c>
      <c r="C986" s="69"/>
      <c r="D986" s="70" t="s">
        <v>2164</v>
      </c>
      <c r="E986" s="73"/>
    </row>
    <row r="987" spans="2:5" x14ac:dyDescent="0.25">
      <c r="B987" s="170" t="s">
        <v>2167</v>
      </c>
      <c r="C987" s="69"/>
      <c r="D987" s="70" t="s">
        <v>2168</v>
      </c>
      <c r="E987" s="73"/>
    </row>
    <row r="988" spans="2:5" x14ac:dyDescent="0.25">
      <c r="B988" s="170" t="s">
        <v>2169</v>
      </c>
      <c r="C988" s="69"/>
      <c r="D988" s="70" t="s">
        <v>2170</v>
      </c>
      <c r="E988" s="73"/>
    </row>
    <row r="989" spans="2:5" x14ac:dyDescent="0.25">
      <c r="B989" s="170" t="s">
        <v>2171</v>
      </c>
      <c r="C989" s="69"/>
      <c r="D989" s="70" t="s">
        <v>2172</v>
      </c>
      <c r="E989" s="73"/>
    </row>
    <row r="990" spans="2:5" x14ac:dyDescent="0.25">
      <c r="B990" s="170" t="s">
        <v>2173</v>
      </c>
      <c r="C990" s="69"/>
      <c r="D990" s="70" t="s">
        <v>2174</v>
      </c>
      <c r="E990" s="73"/>
    </row>
    <row r="991" spans="2:5" x14ac:dyDescent="0.25">
      <c r="B991" s="170" t="s">
        <v>2175</v>
      </c>
      <c r="C991" s="69"/>
      <c r="D991" s="70" t="s">
        <v>2176</v>
      </c>
      <c r="E991" s="73"/>
    </row>
    <row r="992" spans="2:5" x14ac:dyDescent="0.25">
      <c r="B992" s="170" t="s">
        <v>2177</v>
      </c>
      <c r="C992" s="69"/>
      <c r="D992" s="70" t="s">
        <v>2178</v>
      </c>
      <c r="E992" s="73"/>
    </row>
    <row r="993" spans="2:5" x14ac:dyDescent="0.25">
      <c r="B993" s="170" t="s">
        <v>2179</v>
      </c>
      <c r="C993" s="69"/>
      <c r="D993" s="70" t="s">
        <v>2180</v>
      </c>
      <c r="E993" s="73"/>
    </row>
    <row r="994" spans="2:5" x14ac:dyDescent="0.25">
      <c r="B994" s="170" t="s">
        <v>2181</v>
      </c>
      <c r="C994" s="69"/>
      <c r="D994" s="70" t="s">
        <v>2182</v>
      </c>
      <c r="E994" s="73"/>
    </row>
    <row r="995" spans="2:5" x14ac:dyDescent="0.25">
      <c r="B995" s="170" t="s">
        <v>2183</v>
      </c>
      <c r="C995" s="69"/>
      <c r="D995" s="70" t="s">
        <v>2184</v>
      </c>
      <c r="E995" s="73"/>
    </row>
    <row r="996" spans="2:5" x14ac:dyDescent="0.25">
      <c r="B996" s="170" t="s">
        <v>2185</v>
      </c>
      <c r="C996" s="69"/>
      <c r="D996" s="70" t="s">
        <v>2186</v>
      </c>
      <c r="E996" s="73"/>
    </row>
    <row r="997" spans="2:5" x14ac:dyDescent="0.25">
      <c r="B997" s="170" t="s">
        <v>2189</v>
      </c>
      <c r="C997" s="69"/>
      <c r="D997" s="70" t="s">
        <v>2190</v>
      </c>
      <c r="E997" s="73"/>
    </row>
    <row r="998" spans="2:5" x14ac:dyDescent="0.25">
      <c r="B998" s="170" t="s">
        <v>2191</v>
      </c>
      <c r="C998" s="69"/>
      <c r="D998" s="70" t="s">
        <v>2192</v>
      </c>
      <c r="E998" s="73"/>
    </row>
    <row r="999" spans="2:5" x14ac:dyDescent="0.25">
      <c r="B999" s="170" t="s">
        <v>2193</v>
      </c>
      <c r="C999" s="69"/>
      <c r="D999" s="70" t="s">
        <v>2194</v>
      </c>
      <c r="E999" s="73"/>
    </row>
    <row r="1000" spans="2:5" x14ac:dyDescent="0.25">
      <c r="B1000" s="170" t="s">
        <v>679</v>
      </c>
      <c r="C1000" s="69"/>
      <c r="D1000" s="70" t="s">
        <v>2195</v>
      </c>
      <c r="E1000" s="73"/>
    </row>
    <row r="1001" spans="2:5" x14ac:dyDescent="0.25">
      <c r="B1001" s="170" t="s">
        <v>684</v>
      </c>
      <c r="C1001" s="69"/>
      <c r="D1001" s="70" t="s">
        <v>2196</v>
      </c>
      <c r="E1001" s="73"/>
    </row>
    <row r="1002" spans="2:5" x14ac:dyDescent="0.25">
      <c r="B1002" s="170" t="s">
        <v>2197</v>
      </c>
      <c r="C1002" s="69"/>
      <c r="D1002" s="70" t="s">
        <v>666</v>
      </c>
      <c r="E1002" s="73"/>
    </row>
    <row r="1003" spans="2:5" x14ac:dyDescent="0.25">
      <c r="B1003" s="170" t="s">
        <v>2198</v>
      </c>
      <c r="C1003" s="69"/>
      <c r="D1003" s="70" t="s">
        <v>2199</v>
      </c>
      <c r="E1003" s="73"/>
    </row>
    <row r="1004" spans="2:5" x14ac:dyDescent="0.25">
      <c r="B1004" s="170" t="s">
        <v>699</v>
      </c>
      <c r="C1004" s="69"/>
      <c r="D1004" s="70" t="s">
        <v>2202</v>
      </c>
      <c r="E1004" s="73"/>
    </row>
    <row r="1005" spans="2:5" x14ac:dyDescent="0.25">
      <c r="B1005" s="170" t="s">
        <v>2203</v>
      </c>
      <c r="C1005" s="69"/>
      <c r="D1005" s="70" t="s">
        <v>2204</v>
      </c>
      <c r="E1005" s="73"/>
    </row>
    <row r="1006" spans="2:5" x14ac:dyDescent="0.25">
      <c r="B1006" s="170" t="s">
        <v>2212</v>
      </c>
      <c r="C1006" s="69"/>
      <c r="D1006" s="70" t="s">
        <v>2213</v>
      </c>
      <c r="E1006" s="73"/>
    </row>
    <row r="1007" spans="2:5" x14ac:dyDescent="0.25">
      <c r="B1007" s="170" t="s">
        <v>2214</v>
      </c>
      <c r="C1007" s="69"/>
      <c r="D1007" s="70" t="s">
        <v>2215</v>
      </c>
      <c r="E1007" s="73"/>
    </row>
    <row r="1008" spans="2:5" x14ac:dyDescent="0.25">
      <c r="B1008" s="170" t="s">
        <v>2216</v>
      </c>
      <c r="C1008" s="69"/>
      <c r="D1008" s="70" t="s">
        <v>2217</v>
      </c>
      <c r="E1008" s="73"/>
    </row>
    <row r="1009" spans="2:5" x14ac:dyDescent="0.25">
      <c r="B1009" s="170" t="s">
        <v>2222</v>
      </c>
      <c r="C1009" s="69"/>
      <c r="D1009" s="70" t="s">
        <v>2223</v>
      </c>
      <c r="E1009" s="73"/>
    </row>
    <row r="1010" spans="2:5" x14ac:dyDescent="0.25">
      <c r="B1010" s="170" t="s">
        <v>2224</v>
      </c>
      <c r="C1010" s="69"/>
      <c r="D1010" s="70" t="s">
        <v>2225</v>
      </c>
      <c r="E1010" s="73"/>
    </row>
    <row r="1011" spans="2:5" x14ac:dyDescent="0.25">
      <c r="B1011" s="170" t="s">
        <v>2226</v>
      </c>
      <c r="C1011" s="69"/>
      <c r="D1011" s="70" t="s">
        <v>2227</v>
      </c>
      <c r="E1011" s="73"/>
    </row>
    <row r="1012" spans="2:5" x14ac:dyDescent="0.25">
      <c r="B1012" s="170" t="s">
        <v>2228</v>
      </c>
      <c r="C1012" s="69"/>
      <c r="D1012" s="70" t="s">
        <v>2229</v>
      </c>
      <c r="E1012" s="73"/>
    </row>
    <row r="1013" spans="2:5" x14ac:dyDescent="0.25">
      <c r="B1013" s="170" t="s">
        <v>2232</v>
      </c>
      <c r="C1013" s="69"/>
      <c r="D1013" s="70" t="s">
        <v>2233</v>
      </c>
      <c r="E1013" s="73"/>
    </row>
    <row r="1014" spans="2:5" x14ac:dyDescent="0.25">
      <c r="B1014" s="170" t="s">
        <v>2234</v>
      </c>
      <c r="C1014" s="69"/>
      <c r="D1014" s="70" t="s">
        <v>2235</v>
      </c>
      <c r="E1014" s="73"/>
    </row>
    <row r="1015" spans="2:5" x14ac:dyDescent="0.25">
      <c r="B1015" s="170" t="s">
        <v>2236</v>
      </c>
      <c r="C1015" s="69"/>
      <c r="D1015" s="70" t="s">
        <v>2237</v>
      </c>
      <c r="E1015" s="73"/>
    </row>
    <row r="1016" spans="2:5" x14ac:dyDescent="0.25">
      <c r="B1016" s="170" t="s">
        <v>430</v>
      </c>
      <c r="C1016" s="69"/>
      <c r="D1016" s="70" t="s">
        <v>2238</v>
      </c>
      <c r="E1016" s="73"/>
    </row>
    <row r="1017" spans="2:5" x14ac:dyDescent="0.25">
      <c r="B1017" s="170" t="s">
        <v>2239</v>
      </c>
      <c r="C1017" s="69"/>
      <c r="D1017" s="70" t="s">
        <v>2240</v>
      </c>
      <c r="E1017" s="73"/>
    </row>
    <row r="1018" spans="2:5" x14ac:dyDescent="0.25">
      <c r="B1018" s="170" t="s">
        <v>2241</v>
      </c>
      <c r="C1018" s="69"/>
      <c r="D1018" s="70" t="s">
        <v>2242</v>
      </c>
      <c r="E1018" s="73"/>
    </row>
    <row r="1019" spans="2:5" x14ac:dyDescent="0.25">
      <c r="B1019" s="170" t="s">
        <v>2243</v>
      </c>
      <c r="C1019" s="69"/>
      <c r="D1019" s="70" t="s">
        <v>2244</v>
      </c>
      <c r="E1019" s="73"/>
    </row>
    <row r="1020" spans="2:5" x14ac:dyDescent="0.25">
      <c r="B1020" s="170" t="s">
        <v>1240</v>
      </c>
      <c r="C1020" s="69"/>
      <c r="D1020" s="70" t="s">
        <v>2245</v>
      </c>
      <c r="E1020" s="73"/>
    </row>
    <row r="1021" spans="2:5" x14ac:dyDescent="0.25">
      <c r="B1021" s="170" t="s">
        <v>2248</v>
      </c>
      <c r="C1021" s="69"/>
      <c r="D1021" s="70" t="s">
        <v>2249</v>
      </c>
      <c r="E1021" s="73"/>
    </row>
    <row r="1022" spans="2:5" x14ac:dyDescent="0.25">
      <c r="B1022" s="170" t="s">
        <v>2256</v>
      </c>
      <c r="C1022" s="69"/>
      <c r="D1022" s="70" t="s">
        <v>2257</v>
      </c>
      <c r="E1022" s="73"/>
    </row>
    <row r="1023" spans="2:5" x14ac:dyDescent="0.25">
      <c r="B1023" s="170" t="s">
        <v>2258</v>
      </c>
      <c r="C1023" s="69"/>
      <c r="D1023" s="70" t="s">
        <v>2259</v>
      </c>
      <c r="E1023" s="73"/>
    </row>
    <row r="1024" spans="2:5" x14ac:dyDescent="0.25">
      <c r="B1024" s="170" t="s">
        <v>2260</v>
      </c>
      <c r="C1024" s="69"/>
      <c r="D1024" s="70" t="s">
        <v>2261</v>
      </c>
      <c r="E1024" s="73"/>
    </row>
    <row r="1025" spans="2:5" x14ac:dyDescent="0.25">
      <c r="B1025" s="170" t="s">
        <v>2262</v>
      </c>
      <c r="C1025" s="69"/>
      <c r="D1025" s="70" t="s">
        <v>2263</v>
      </c>
      <c r="E1025" s="73"/>
    </row>
    <row r="1026" spans="2:5" x14ac:dyDescent="0.25">
      <c r="B1026" s="170" t="s">
        <v>2266</v>
      </c>
      <c r="C1026" s="69"/>
      <c r="D1026" s="70" t="s">
        <v>2267</v>
      </c>
      <c r="E1026" s="73"/>
    </row>
    <row r="1027" spans="2:5" x14ac:dyDescent="0.25">
      <c r="B1027" s="170" t="s">
        <v>2268</v>
      </c>
      <c r="C1027" s="69"/>
      <c r="D1027" s="70" t="s">
        <v>2269</v>
      </c>
      <c r="E1027" s="73"/>
    </row>
    <row r="1028" spans="2:5" x14ac:dyDescent="0.25">
      <c r="B1028" s="170" t="s">
        <v>2270</v>
      </c>
      <c r="C1028" s="69"/>
      <c r="D1028" s="70" t="s">
        <v>2271</v>
      </c>
      <c r="E1028" s="73"/>
    </row>
    <row r="1029" spans="2:5" x14ac:dyDescent="0.25">
      <c r="B1029" s="170" t="s">
        <v>2272</v>
      </c>
      <c r="C1029" s="69"/>
      <c r="D1029" s="70" t="s">
        <v>2273</v>
      </c>
      <c r="E1029" s="73"/>
    </row>
    <row r="1030" spans="2:5" x14ac:dyDescent="0.25">
      <c r="B1030" s="170" t="s">
        <v>2282</v>
      </c>
      <c r="C1030" s="69"/>
      <c r="D1030" s="70" t="s">
        <v>2283</v>
      </c>
      <c r="E1030" s="73"/>
    </row>
    <row r="1031" spans="2:5" x14ac:dyDescent="0.25">
      <c r="B1031" s="170" t="s">
        <v>2284</v>
      </c>
      <c r="C1031" s="69"/>
      <c r="D1031" s="70" t="s">
        <v>2285</v>
      </c>
      <c r="E1031" s="73"/>
    </row>
    <row r="1032" spans="2:5" x14ac:dyDescent="0.25">
      <c r="B1032" s="170" t="s">
        <v>2287</v>
      </c>
      <c r="C1032" s="69"/>
      <c r="D1032" s="70" t="s">
        <v>2288</v>
      </c>
      <c r="E1032" s="73"/>
    </row>
    <row r="1033" spans="2:5" x14ac:dyDescent="0.25">
      <c r="B1033" s="170" t="s">
        <v>2289</v>
      </c>
      <c r="C1033" s="69"/>
      <c r="D1033" s="70" t="s">
        <v>2290</v>
      </c>
      <c r="E1033" s="73"/>
    </row>
    <row r="1034" spans="2:5" x14ac:dyDescent="0.25">
      <c r="B1034" s="170" t="s">
        <v>2291</v>
      </c>
      <c r="C1034" s="69"/>
      <c r="D1034" s="70" t="s">
        <v>2292</v>
      </c>
      <c r="E1034" s="73"/>
    </row>
    <row r="1035" spans="2:5" x14ac:dyDescent="0.25">
      <c r="B1035" s="170" t="s">
        <v>2299</v>
      </c>
      <c r="C1035" s="69"/>
      <c r="D1035" s="70" t="s">
        <v>2300</v>
      </c>
      <c r="E1035" s="73"/>
    </row>
    <row r="1036" spans="2:5" x14ac:dyDescent="0.25">
      <c r="B1036" s="90" t="s">
        <v>2303</v>
      </c>
      <c r="C1036" s="69"/>
      <c r="D1036" s="70" t="s">
        <v>2304</v>
      </c>
      <c r="E1036" s="73"/>
    </row>
    <row r="1037" spans="2:5" x14ac:dyDescent="0.25">
      <c r="B1037" s="90" t="s">
        <v>2305</v>
      </c>
      <c r="C1037" s="69"/>
      <c r="D1037" s="70" t="s">
        <v>2306</v>
      </c>
      <c r="E1037" s="73"/>
    </row>
    <row r="1038" spans="2:5" x14ac:dyDescent="0.25">
      <c r="B1038" s="170" t="s">
        <v>2307</v>
      </c>
      <c r="C1038" s="69"/>
      <c r="D1038" s="70" t="s">
        <v>2308</v>
      </c>
      <c r="E1038" s="73"/>
    </row>
    <row r="1039" spans="2:5" x14ac:dyDescent="0.25">
      <c r="B1039" s="170" t="s">
        <v>395</v>
      </c>
      <c r="C1039" s="69"/>
      <c r="D1039" s="70" t="s">
        <v>2309</v>
      </c>
      <c r="E1039" s="73"/>
    </row>
    <row r="1040" spans="2:5" x14ac:dyDescent="0.25">
      <c r="B1040" s="170" t="s">
        <v>2315</v>
      </c>
      <c r="C1040" s="69"/>
      <c r="D1040" s="70" t="s">
        <v>2316</v>
      </c>
      <c r="E1040" s="73"/>
    </row>
    <row r="1041" spans="2:5" x14ac:dyDescent="0.25">
      <c r="B1041" s="170" t="s">
        <v>2317</v>
      </c>
      <c r="C1041" s="69"/>
      <c r="D1041" s="70" t="s">
        <v>2318</v>
      </c>
      <c r="E1041" s="73"/>
    </row>
    <row r="1042" spans="2:5" x14ac:dyDescent="0.25">
      <c r="B1042" s="170" t="s">
        <v>2319</v>
      </c>
      <c r="C1042" s="69"/>
      <c r="D1042" s="70" t="s">
        <v>2320</v>
      </c>
      <c r="E1042" s="73"/>
    </row>
    <row r="1043" spans="2:5" x14ac:dyDescent="0.25">
      <c r="B1043" s="170" t="s">
        <v>2321</v>
      </c>
      <c r="C1043" s="69"/>
      <c r="D1043" s="70" t="s">
        <v>2322</v>
      </c>
      <c r="E1043" s="73"/>
    </row>
    <row r="1044" spans="2:5" x14ac:dyDescent="0.25">
      <c r="B1044" s="170" t="s">
        <v>2323</v>
      </c>
      <c r="C1044" s="69"/>
      <c r="D1044" s="70" t="s">
        <v>2324</v>
      </c>
      <c r="E1044" s="73"/>
    </row>
    <row r="1045" spans="2:5" x14ac:dyDescent="0.25">
      <c r="B1045" s="170" t="s">
        <v>2325</v>
      </c>
      <c r="C1045" s="69"/>
      <c r="D1045" s="70" t="s">
        <v>2326</v>
      </c>
      <c r="E1045" s="73"/>
    </row>
    <row r="1046" spans="2:5" x14ac:dyDescent="0.25">
      <c r="B1046" s="170" t="s">
        <v>2327</v>
      </c>
      <c r="C1046" s="69"/>
      <c r="D1046" s="70" t="s">
        <v>2328</v>
      </c>
      <c r="E1046" s="73"/>
    </row>
    <row r="1047" spans="2:5" x14ac:dyDescent="0.25">
      <c r="B1047" s="170" t="s">
        <v>2329</v>
      </c>
      <c r="C1047" s="69"/>
      <c r="D1047" s="70" t="s">
        <v>2330</v>
      </c>
      <c r="E1047" s="73"/>
    </row>
    <row r="1048" spans="2:5" x14ac:dyDescent="0.25">
      <c r="B1048" s="170" t="s">
        <v>2333</v>
      </c>
      <c r="C1048" s="69"/>
      <c r="D1048" s="70" t="s">
        <v>2334</v>
      </c>
      <c r="E1048" s="73"/>
    </row>
    <row r="1049" spans="2:5" x14ac:dyDescent="0.25">
      <c r="B1049" s="170" t="s">
        <v>2335</v>
      </c>
      <c r="C1049" s="69"/>
      <c r="D1049" s="70" t="s">
        <v>2336</v>
      </c>
      <c r="E1049" s="73"/>
    </row>
    <row r="1050" spans="2:5" x14ac:dyDescent="0.25">
      <c r="B1050" s="170" t="s">
        <v>2337</v>
      </c>
      <c r="C1050" s="69"/>
      <c r="D1050" s="70" t="s">
        <v>2338</v>
      </c>
      <c r="E1050" s="73"/>
    </row>
    <row r="1051" spans="2:5" x14ac:dyDescent="0.25">
      <c r="B1051" s="170" t="s">
        <v>2339</v>
      </c>
      <c r="C1051" s="69"/>
      <c r="D1051" s="70" t="s">
        <v>2340</v>
      </c>
      <c r="E1051" s="73"/>
    </row>
    <row r="1052" spans="2:5" x14ac:dyDescent="0.25">
      <c r="B1052" s="170" t="s">
        <v>374</v>
      </c>
      <c r="C1052" s="69"/>
      <c r="D1052" s="70" t="s">
        <v>375</v>
      </c>
      <c r="E1052" s="73"/>
    </row>
    <row r="1053" spans="2:5" x14ac:dyDescent="0.25">
      <c r="B1053" s="170" t="s">
        <v>2344</v>
      </c>
      <c r="C1053" s="69"/>
      <c r="D1053" s="70" t="s">
        <v>2345</v>
      </c>
      <c r="E1053" s="73"/>
    </row>
    <row r="1054" spans="2:5" x14ac:dyDescent="0.25">
      <c r="B1054" s="170" t="s">
        <v>2346</v>
      </c>
      <c r="C1054" s="69"/>
      <c r="D1054" s="70" t="s">
        <v>2347</v>
      </c>
      <c r="E1054" s="73"/>
    </row>
    <row r="1055" spans="2:5" x14ac:dyDescent="0.25">
      <c r="B1055" s="170" t="s">
        <v>2348</v>
      </c>
      <c r="C1055" s="69"/>
      <c r="D1055" s="70" t="s">
        <v>2349</v>
      </c>
      <c r="E1055" s="73"/>
    </row>
    <row r="1056" spans="2:5" x14ac:dyDescent="0.25">
      <c r="B1056" s="170" t="s">
        <v>2350</v>
      </c>
      <c r="C1056" s="69"/>
      <c r="D1056" s="70" t="s">
        <v>2351</v>
      </c>
      <c r="E1056" s="73"/>
    </row>
    <row r="1057" spans="2:5" x14ac:dyDescent="0.25">
      <c r="B1057" s="170" t="s">
        <v>2354</v>
      </c>
      <c r="C1057" s="69"/>
      <c r="D1057" s="70" t="s">
        <v>2355</v>
      </c>
      <c r="E1057" s="73"/>
    </row>
    <row r="1058" spans="2:5" x14ac:dyDescent="0.25">
      <c r="B1058" s="170" t="s">
        <v>2356</v>
      </c>
      <c r="C1058" s="69"/>
      <c r="D1058" s="70" t="s">
        <v>2357</v>
      </c>
      <c r="E1058" s="73"/>
    </row>
    <row r="1059" spans="2:5" x14ac:dyDescent="0.25">
      <c r="B1059" s="170" t="s">
        <v>2363</v>
      </c>
      <c r="C1059" s="69"/>
      <c r="D1059" s="70" t="s">
        <v>2364</v>
      </c>
      <c r="E1059" s="73"/>
    </row>
    <row r="1060" spans="2:5" x14ac:dyDescent="0.25">
      <c r="B1060" s="170" t="s">
        <v>2365</v>
      </c>
      <c r="C1060" s="69"/>
      <c r="D1060" s="70" t="s">
        <v>3541</v>
      </c>
      <c r="E1060" s="73"/>
    </row>
    <row r="1061" spans="2:5" x14ac:dyDescent="0.25">
      <c r="B1061" s="170" t="s">
        <v>2366</v>
      </c>
      <c r="C1061" s="69"/>
      <c r="D1061" s="70" t="s">
        <v>2367</v>
      </c>
      <c r="E1061" s="73"/>
    </row>
    <row r="1062" spans="2:5" x14ac:dyDescent="0.25">
      <c r="B1062" s="170" t="s">
        <v>2368</v>
      </c>
      <c r="C1062" s="69"/>
      <c r="D1062" s="70" t="s">
        <v>2369</v>
      </c>
      <c r="E1062" s="73"/>
    </row>
    <row r="1063" spans="2:5" x14ac:dyDescent="0.25">
      <c r="B1063" s="170" t="s">
        <v>2370</v>
      </c>
      <c r="C1063" s="69"/>
      <c r="D1063" s="70" t="s">
        <v>2371</v>
      </c>
      <c r="E1063" s="73"/>
    </row>
    <row r="1064" spans="2:5" x14ac:dyDescent="0.25">
      <c r="B1064" s="170" t="s">
        <v>704</v>
      </c>
      <c r="C1064" s="69"/>
      <c r="D1064" s="70" t="s">
        <v>2374</v>
      </c>
      <c r="E1064" s="73"/>
    </row>
    <row r="1065" spans="2:5" x14ac:dyDescent="0.25">
      <c r="B1065" s="170" t="s">
        <v>2377</v>
      </c>
      <c r="C1065" s="69"/>
      <c r="D1065" s="70" t="s">
        <v>2378</v>
      </c>
      <c r="E1065" s="73"/>
    </row>
    <row r="1066" spans="2:5" x14ac:dyDescent="0.25">
      <c r="B1066" s="170" t="s">
        <v>689</v>
      </c>
      <c r="C1066" s="69"/>
      <c r="D1066" s="70" t="s">
        <v>2379</v>
      </c>
      <c r="E1066" s="73"/>
    </row>
    <row r="1067" spans="2:5" x14ac:dyDescent="0.25">
      <c r="B1067" s="170" t="s">
        <v>2381</v>
      </c>
      <c r="C1067" s="69"/>
      <c r="D1067" s="70" t="s">
        <v>2382</v>
      </c>
      <c r="E1067" s="73"/>
    </row>
    <row r="1068" spans="2:5" x14ac:dyDescent="0.25">
      <c r="B1068" s="170" t="s">
        <v>2385</v>
      </c>
      <c r="C1068" s="69"/>
      <c r="D1068" s="70" t="s">
        <v>2386</v>
      </c>
      <c r="E1068" s="73"/>
    </row>
    <row r="1069" spans="2:5" x14ac:dyDescent="0.25">
      <c r="B1069" s="170" t="s">
        <v>2387</v>
      </c>
      <c r="C1069" s="69"/>
      <c r="D1069" s="70" t="s">
        <v>2388</v>
      </c>
      <c r="E1069" s="73"/>
    </row>
    <row r="1070" spans="2:5" x14ac:dyDescent="0.25">
      <c r="B1070" s="170" t="s">
        <v>2389</v>
      </c>
      <c r="C1070" s="69"/>
      <c r="D1070" s="70" t="s">
        <v>2390</v>
      </c>
      <c r="E1070" s="73"/>
    </row>
    <row r="1071" spans="2:5" x14ac:dyDescent="0.25">
      <c r="B1071" s="170" t="s">
        <v>2391</v>
      </c>
      <c r="C1071" s="69"/>
      <c r="D1071" s="70" t="s">
        <v>2392</v>
      </c>
      <c r="E1071" s="73"/>
    </row>
    <row r="1072" spans="2:5" x14ac:dyDescent="0.25">
      <c r="B1072" s="170" t="s">
        <v>2393</v>
      </c>
      <c r="C1072" s="69"/>
      <c r="D1072" s="70" t="s">
        <v>2394</v>
      </c>
      <c r="E1072" s="73"/>
    </row>
    <row r="1073" spans="2:5" x14ac:dyDescent="0.25">
      <c r="B1073" s="170" t="s">
        <v>2399</v>
      </c>
      <c r="C1073" s="69"/>
      <c r="D1073" s="70" t="s">
        <v>2400</v>
      </c>
      <c r="E1073" s="73"/>
    </row>
    <row r="1074" spans="2:5" x14ac:dyDescent="0.25">
      <c r="B1074" s="170" t="s">
        <v>2401</v>
      </c>
      <c r="C1074" s="69"/>
      <c r="D1074" s="70" t="s">
        <v>2402</v>
      </c>
      <c r="E1074" s="73"/>
    </row>
    <row r="1075" spans="2:5" x14ac:dyDescent="0.25">
      <c r="B1075" s="170" t="s">
        <v>669</v>
      </c>
      <c r="C1075" s="69"/>
      <c r="D1075" s="70" t="s">
        <v>2403</v>
      </c>
      <c r="E1075" s="73"/>
    </row>
    <row r="1076" spans="2:5" x14ac:dyDescent="0.25">
      <c r="B1076" s="170" t="s">
        <v>2404</v>
      </c>
      <c r="C1076" s="69"/>
      <c r="D1076" s="70" t="s">
        <v>2405</v>
      </c>
      <c r="E1076" s="73"/>
    </row>
    <row r="1077" spans="2:5" x14ac:dyDescent="0.25">
      <c r="B1077" s="170" t="s">
        <v>2406</v>
      </c>
      <c r="C1077" s="69"/>
      <c r="D1077" s="70" t="s">
        <v>2407</v>
      </c>
      <c r="E1077" s="73"/>
    </row>
    <row r="1078" spans="2:5" x14ac:dyDescent="0.25">
      <c r="B1078" s="170" t="s">
        <v>2410</v>
      </c>
      <c r="C1078" s="69"/>
      <c r="D1078" s="70" t="s">
        <v>2411</v>
      </c>
      <c r="E1078" s="73"/>
    </row>
    <row r="1079" spans="2:5" x14ac:dyDescent="0.25">
      <c r="B1079" s="170" t="s">
        <v>2412</v>
      </c>
      <c r="C1079" s="69"/>
      <c r="D1079" s="70" t="s">
        <v>2413</v>
      </c>
      <c r="E1079" s="73"/>
    </row>
    <row r="1080" spans="2:5" x14ac:dyDescent="0.25">
      <c r="B1080" s="170" t="s">
        <v>2416</v>
      </c>
      <c r="C1080" s="69"/>
      <c r="D1080" s="70" t="s">
        <v>2417</v>
      </c>
      <c r="E1080" s="73"/>
    </row>
    <row r="1081" spans="2:5" x14ac:dyDescent="0.25">
      <c r="B1081" s="170" t="s">
        <v>2418</v>
      </c>
      <c r="C1081" s="69"/>
      <c r="D1081" s="70" t="s">
        <v>2419</v>
      </c>
      <c r="E1081" s="73"/>
    </row>
    <row r="1082" spans="2:5" x14ac:dyDescent="0.25">
      <c r="B1082" s="170" t="s">
        <v>2420</v>
      </c>
      <c r="C1082" s="69"/>
      <c r="D1082" s="70" t="s">
        <v>2421</v>
      </c>
      <c r="E1082" s="73"/>
    </row>
    <row r="1083" spans="2:5" x14ac:dyDescent="0.25">
      <c r="B1083" s="170" t="s">
        <v>1177</v>
      </c>
      <c r="C1083" s="69"/>
      <c r="D1083" s="70" t="s">
        <v>2422</v>
      </c>
      <c r="E1083" s="73"/>
    </row>
    <row r="1084" spans="2:5" x14ac:dyDescent="0.25">
      <c r="B1084" s="170" t="s">
        <v>2489</v>
      </c>
      <c r="C1084" s="69"/>
      <c r="D1084" s="70" t="s">
        <v>2490</v>
      </c>
      <c r="E1084" s="73"/>
    </row>
    <row r="1085" spans="2:5" x14ac:dyDescent="0.25">
      <c r="B1085" s="170" t="s">
        <v>2491</v>
      </c>
      <c r="C1085" s="69"/>
      <c r="D1085" s="70" t="s">
        <v>2492</v>
      </c>
      <c r="E1085" s="73"/>
    </row>
    <row r="1086" spans="2:5" x14ac:dyDescent="0.25">
      <c r="B1086" s="170" t="s">
        <v>2495</v>
      </c>
      <c r="C1086" s="69"/>
      <c r="D1086" s="70" t="s">
        <v>2496</v>
      </c>
      <c r="E1086" s="73"/>
    </row>
    <row r="1087" spans="2:5" x14ac:dyDescent="0.25">
      <c r="B1087" s="170" t="s">
        <v>2501</v>
      </c>
      <c r="C1087" s="69"/>
      <c r="D1087" s="70" t="s">
        <v>2502</v>
      </c>
      <c r="E1087" s="73"/>
    </row>
    <row r="1088" spans="2:5" x14ac:dyDescent="0.25">
      <c r="B1088" s="170" t="s">
        <v>2503</v>
      </c>
      <c r="C1088" s="69"/>
      <c r="D1088" s="70" t="s">
        <v>2504</v>
      </c>
      <c r="E1088" s="73"/>
    </row>
    <row r="1089" spans="2:5" x14ac:dyDescent="0.25">
      <c r="B1089" s="170" t="s">
        <v>2521</v>
      </c>
      <c r="C1089" s="69"/>
      <c r="D1089" s="70" t="s">
        <v>2522</v>
      </c>
      <c r="E1089" s="73"/>
    </row>
    <row r="1090" spans="2:5" x14ac:dyDescent="0.25">
      <c r="B1090" s="170" t="s">
        <v>2523</v>
      </c>
      <c r="C1090" s="69"/>
      <c r="D1090" s="70" t="s">
        <v>2524</v>
      </c>
      <c r="E1090" s="73"/>
    </row>
    <row r="1091" spans="2:5" x14ac:dyDescent="0.25">
      <c r="B1091" s="170" t="s">
        <v>2529</v>
      </c>
      <c r="C1091" s="69"/>
      <c r="D1091" s="70" t="s">
        <v>2530</v>
      </c>
      <c r="E1091" s="73"/>
    </row>
    <row r="1092" spans="2:5" x14ac:dyDescent="0.25">
      <c r="B1092" s="170" t="s">
        <v>2531</v>
      </c>
      <c r="C1092" s="69"/>
      <c r="D1092" s="70" t="s">
        <v>2532</v>
      </c>
      <c r="E1092" s="73"/>
    </row>
    <row r="1093" spans="2:5" x14ac:dyDescent="0.25">
      <c r="B1093" s="170" t="s">
        <v>2533</v>
      </c>
      <c r="C1093" s="69"/>
      <c r="D1093" s="70" t="s">
        <v>2534</v>
      </c>
      <c r="E1093" s="73"/>
    </row>
    <row r="1094" spans="2:5" x14ac:dyDescent="0.25">
      <c r="B1094" s="170" t="s">
        <v>2544</v>
      </c>
      <c r="C1094" s="69"/>
      <c r="D1094" s="70" t="s">
        <v>2545</v>
      </c>
      <c r="E1094" s="73"/>
    </row>
    <row r="1095" spans="2:5" x14ac:dyDescent="0.25">
      <c r="B1095" s="170" t="s">
        <v>2546</v>
      </c>
      <c r="C1095" s="69"/>
      <c r="D1095" s="70" t="s">
        <v>2547</v>
      </c>
      <c r="E1095" s="73"/>
    </row>
    <row r="1096" spans="2:5" x14ac:dyDescent="0.25">
      <c r="B1096" s="170" t="s">
        <v>466</v>
      </c>
      <c r="C1096" s="69"/>
      <c r="D1096" s="70" t="s">
        <v>2548</v>
      </c>
      <c r="E1096" s="73"/>
    </row>
    <row r="1097" spans="2:5" x14ac:dyDescent="0.25">
      <c r="B1097" s="170" t="s">
        <v>2566</v>
      </c>
      <c r="C1097" s="69"/>
      <c r="D1097" s="70" t="s">
        <v>2567</v>
      </c>
      <c r="E1097" s="73"/>
    </row>
    <row r="1098" spans="2:5" x14ac:dyDescent="0.25">
      <c r="B1098" s="170" t="s">
        <v>2576</v>
      </c>
      <c r="C1098" s="69"/>
      <c r="D1098" s="70" t="s">
        <v>2577</v>
      </c>
      <c r="E1098" s="73"/>
    </row>
    <row r="1099" spans="2:5" x14ac:dyDescent="0.25">
      <c r="B1099" s="170" t="s">
        <v>2578</v>
      </c>
      <c r="C1099" s="69"/>
      <c r="D1099" s="70" t="s">
        <v>2579</v>
      </c>
      <c r="E1099" s="73"/>
    </row>
    <row r="1100" spans="2:5" x14ac:dyDescent="0.25">
      <c r="B1100" s="170" t="s">
        <v>2580</v>
      </c>
      <c r="C1100" s="69"/>
      <c r="D1100" s="70" t="s">
        <v>2581</v>
      </c>
      <c r="E1100" s="73"/>
    </row>
    <row r="1101" spans="2:5" x14ac:dyDescent="0.25">
      <c r="B1101" s="170" t="s">
        <v>638</v>
      </c>
      <c r="C1101" s="69"/>
      <c r="D1101" s="70" t="s">
        <v>2582</v>
      </c>
      <c r="E1101" s="73"/>
    </row>
    <row r="1102" spans="2:5" x14ac:dyDescent="0.25">
      <c r="B1102" s="170" t="s">
        <v>2583</v>
      </c>
      <c r="C1102" s="69"/>
      <c r="D1102" s="70" t="s">
        <v>2584</v>
      </c>
      <c r="E1102" s="73"/>
    </row>
    <row r="1103" spans="2:5" x14ac:dyDescent="0.25">
      <c r="B1103" s="170" t="s">
        <v>2585</v>
      </c>
      <c r="C1103" s="69"/>
      <c r="D1103" s="70" t="s">
        <v>2586</v>
      </c>
      <c r="E1103" s="73"/>
    </row>
    <row r="1104" spans="2:5" x14ac:dyDescent="0.25">
      <c r="B1104" s="170" t="s">
        <v>2595</v>
      </c>
      <c r="C1104" s="69"/>
      <c r="D1104" s="70" t="s">
        <v>2596</v>
      </c>
      <c r="E1104" s="73"/>
    </row>
    <row r="1105" spans="2:5" x14ac:dyDescent="0.25">
      <c r="B1105" s="170" t="s">
        <v>2597</v>
      </c>
      <c r="C1105" s="69"/>
      <c r="D1105" s="70" t="s">
        <v>2598</v>
      </c>
      <c r="E1105" s="73"/>
    </row>
    <row r="1106" spans="2:5" x14ac:dyDescent="0.25">
      <c r="B1106" s="170" t="s">
        <v>2599</v>
      </c>
      <c r="C1106" s="69"/>
      <c r="D1106" s="70" t="s">
        <v>2600</v>
      </c>
      <c r="E1106" s="73"/>
    </row>
    <row r="1107" spans="2:5" x14ac:dyDescent="0.25">
      <c r="B1107" s="170" t="s">
        <v>2601</v>
      </c>
      <c r="C1107" s="69"/>
      <c r="D1107" s="70" t="s">
        <v>2602</v>
      </c>
      <c r="E1107" s="73"/>
    </row>
    <row r="1108" spans="2:5" x14ac:dyDescent="0.25">
      <c r="B1108" s="170" t="s">
        <v>2605</v>
      </c>
      <c r="C1108" s="69"/>
      <c r="D1108" s="70" t="s">
        <v>2606</v>
      </c>
      <c r="E1108" s="73"/>
    </row>
    <row r="1109" spans="2:5" x14ac:dyDescent="0.25">
      <c r="B1109" s="170" t="s">
        <v>2607</v>
      </c>
      <c r="C1109" s="69"/>
      <c r="D1109" s="70" t="s">
        <v>2608</v>
      </c>
      <c r="E1109" s="73"/>
    </row>
    <row r="1110" spans="2:5" x14ac:dyDescent="0.25">
      <c r="B1110" s="170" t="s">
        <v>2611</v>
      </c>
      <c r="C1110" s="69"/>
      <c r="D1110" s="70" t="s">
        <v>2612</v>
      </c>
      <c r="E1110" s="73"/>
    </row>
    <row r="1111" spans="2:5" x14ac:dyDescent="0.25">
      <c r="B1111" s="170" t="s">
        <v>2615</v>
      </c>
      <c r="C1111" s="69"/>
      <c r="D1111" s="70" t="s">
        <v>2616</v>
      </c>
      <c r="E1111" s="73"/>
    </row>
    <row r="1112" spans="2:5" x14ac:dyDescent="0.25">
      <c r="B1112" s="170" t="s">
        <v>2617</v>
      </c>
      <c r="C1112" s="69"/>
      <c r="D1112" s="70" t="s">
        <v>2618</v>
      </c>
      <c r="E1112" s="73"/>
    </row>
    <row r="1113" spans="2:5" x14ac:dyDescent="0.25">
      <c r="B1113" s="170" t="s">
        <v>2621</v>
      </c>
      <c r="C1113" s="69"/>
      <c r="D1113" s="70" t="s">
        <v>2622</v>
      </c>
      <c r="E1113" s="73"/>
    </row>
    <row r="1114" spans="2:5" x14ac:dyDescent="0.25">
      <c r="B1114" s="170" t="s">
        <v>2623</v>
      </c>
      <c r="C1114" s="69"/>
      <c r="D1114" s="70" t="s">
        <v>2624</v>
      </c>
      <c r="E1114" s="73"/>
    </row>
    <row r="1115" spans="2:5" x14ac:dyDescent="0.25">
      <c r="B1115" s="170" t="s">
        <v>2630</v>
      </c>
      <c r="C1115" s="69"/>
      <c r="D1115" s="70" t="s">
        <v>2631</v>
      </c>
      <c r="E1115" s="73"/>
    </row>
    <row r="1116" spans="2:5" x14ac:dyDescent="0.25">
      <c r="B1116" s="170" t="s">
        <v>2636</v>
      </c>
      <c r="C1116" s="69"/>
      <c r="D1116" s="70" t="s">
        <v>2637</v>
      </c>
      <c r="E1116" s="73"/>
    </row>
    <row r="1117" spans="2:5" x14ac:dyDescent="0.25">
      <c r="B1117" s="170" t="s">
        <v>2638</v>
      </c>
      <c r="C1117" s="69"/>
      <c r="D1117" s="70" t="s">
        <v>2639</v>
      </c>
      <c r="E1117" s="73"/>
    </row>
    <row r="1118" spans="2:5" x14ac:dyDescent="0.25">
      <c r="B1118" s="170" t="s">
        <v>2646</v>
      </c>
      <c r="C1118" s="69"/>
      <c r="D1118" s="70" t="s">
        <v>2647</v>
      </c>
      <c r="E1118" s="73"/>
    </row>
    <row r="1119" spans="2:5" x14ac:dyDescent="0.25">
      <c r="B1119" s="170" t="s">
        <v>2648</v>
      </c>
      <c r="C1119" s="69"/>
      <c r="D1119" s="70" t="s">
        <v>2649</v>
      </c>
      <c r="E1119" s="73"/>
    </row>
    <row r="1120" spans="2:5" x14ac:dyDescent="0.25">
      <c r="B1120" s="170" t="s">
        <v>2652</v>
      </c>
      <c r="C1120" s="69"/>
      <c r="D1120" s="70" t="s">
        <v>2653</v>
      </c>
      <c r="E1120" s="73"/>
    </row>
    <row r="1121" spans="2:5" x14ac:dyDescent="0.25">
      <c r="B1121" s="170" t="s">
        <v>2656</v>
      </c>
      <c r="C1121" s="69"/>
      <c r="D1121" s="70" t="s">
        <v>2657</v>
      </c>
      <c r="E1121" s="73"/>
    </row>
    <row r="1122" spans="2:5" x14ac:dyDescent="0.25">
      <c r="B1122" s="170" t="s">
        <v>2658</v>
      </c>
      <c r="C1122" s="69"/>
      <c r="D1122" s="70" t="s">
        <v>2659</v>
      </c>
      <c r="E1122" s="73"/>
    </row>
    <row r="1123" spans="2:5" x14ac:dyDescent="0.25">
      <c r="B1123" s="170" t="s">
        <v>2660</v>
      </c>
      <c r="C1123" s="69"/>
      <c r="D1123" s="70" t="s">
        <v>2661</v>
      </c>
      <c r="E1123" s="73"/>
    </row>
    <row r="1124" spans="2:5" x14ac:dyDescent="0.25">
      <c r="B1124" s="170" t="s">
        <v>2662</v>
      </c>
      <c r="C1124" s="69"/>
      <c r="D1124" s="70" t="s">
        <v>2663</v>
      </c>
      <c r="E1124" s="73"/>
    </row>
    <row r="1125" spans="2:5" x14ac:dyDescent="0.25">
      <c r="B1125" s="170" t="s">
        <v>2664</v>
      </c>
      <c r="C1125" s="69"/>
      <c r="D1125" s="70" t="s">
        <v>2665</v>
      </c>
      <c r="E1125" s="73"/>
    </row>
    <row r="1126" spans="2:5" x14ac:dyDescent="0.25">
      <c r="B1126" s="170" t="s">
        <v>2668</v>
      </c>
      <c r="C1126" s="69"/>
      <c r="D1126" s="70" t="s">
        <v>2669</v>
      </c>
      <c r="E1126" s="73"/>
    </row>
    <row r="1127" spans="2:5" x14ac:dyDescent="0.25">
      <c r="B1127" s="170" t="s">
        <v>1249</v>
      </c>
      <c r="C1127" s="69"/>
      <c r="D1127" s="70" t="s">
        <v>2672</v>
      </c>
      <c r="E1127" s="73"/>
    </row>
    <row r="1128" spans="2:5" x14ac:dyDescent="0.25">
      <c r="B1128" s="170" t="s">
        <v>2673</v>
      </c>
      <c r="C1128" s="69"/>
      <c r="D1128" s="70" t="s">
        <v>2674</v>
      </c>
      <c r="E1128" s="73"/>
    </row>
    <row r="1129" spans="2:5" x14ac:dyDescent="0.25">
      <c r="B1129" s="170" t="s">
        <v>2675</v>
      </c>
      <c r="C1129" s="69"/>
      <c r="D1129" s="70" t="s">
        <v>2676</v>
      </c>
      <c r="E1129" s="73"/>
    </row>
    <row r="1130" spans="2:5" x14ac:dyDescent="0.25">
      <c r="B1130" s="170" t="s">
        <v>2680</v>
      </c>
      <c r="C1130" s="69"/>
      <c r="D1130" s="70" t="s">
        <v>2680</v>
      </c>
      <c r="E1130" s="73"/>
    </row>
    <row r="1131" spans="2:5" x14ac:dyDescent="0.25">
      <c r="B1131" s="170" t="s">
        <v>2681</v>
      </c>
      <c r="C1131" s="69"/>
      <c r="D1131" s="70" t="s">
        <v>2682</v>
      </c>
      <c r="E1131" s="73"/>
    </row>
    <row r="1132" spans="2:5" x14ac:dyDescent="0.25">
      <c r="B1132" s="170" t="s">
        <v>2685</v>
      </c>
      <c r="C1132" s="69"/>
      <c r="D1132" s="70" t="s">
        <v>2686</v>
      </c>
      <c r="E1132" s="73"/>
    </row>
    <row r="1133" spans="2:5" x14ac:dyDescent="0.25">
      <c r="B1133" s="170" t="s">
        <v>2687</v>
      </c>
      <c r="C1133" s="69"/>
      <c r="D1133" s="70" t="s">
        <v>2688</v>
      </c>
      <c r="E1133" s="73"/>
    </row>
    <row r="1134" spans="2:5" x14ac:dyDescent="0.25">
      <c r="B1134" s="170" t="s">
        <v>2689</v>
      </c>
      <c r="C1134" s="69"/>
      <c r="D1134" s="70" t="s">
        <v>2690</v>
      </c>
      <c r="E1134" s="73"/>
    </row>
    <row r="1135" spans="2:5" x14ac:dyDescent="0.25">
      <c r="B1135" s="170" t="s">
        <v>2691</v>
      </c>
      <c r="C1135" s="69"/>
      <c r="D1135" s="70" t="s">
        <v>2692</v>
      </c>
      <c r="E1135" s="73"/>
    </row>
    <row r="1136" spans="2:5" x14ac:dyDescent="0.25">
      <c r="B1136" s="170" t="s">
        <v>2693</v>
      </c>
      <c r="C1136" s="69"/>
      <c r="D1136" s="70" t="s">
        <v>2694</v>
      </c>
      <c r="E1136" s="73"/>
    </row>
    <row r="1137" spans="2:5" x14ac:dyDescent="0.25">
      <c r="B1137" s="170" t="s">
        <v>2695</v>
      </c>
      <c r="C1137" s="69"/>
      <c r="D1137" s="70" t="s">
        <v>2696</v>
      </c>
      <c r="E1137" s="73"/>
    </row>
    <row r="1138" spans="2:5" x14ac:dyDescent="0.25">
      <c r="B1138" s="170" t="s">
        <v>2697</v>
      </c>
      <c r="C1138" s="69"/>
      <c r="D1138" s="70" t="s">
        <v>2698</v>
      </c>
      <c r="E1138" s="73"/>
    </row>
    <row r="1139" spans="2:5" x14ac:dyDescent="0.25">
      <c r="B1139" s="170" t="s">
        <v>2701</v>
      </c>
      <c r="C1139" s="69"/>
      <c r="D1139" s="70" t="s">
        <v>2702</v>
      </c>
      <c r="E1139" s="73"/>
    </row>
    <row r="1140" spans="2:5" x14ac:dyDescent="0.25">
      <c r="B1140" s="170" t="s">
        <v>2706</v>
      </c>
      <c r="C1140" s="69"/>
      <c r="D1140" s="70" t="s">
        <v>2707</v>
      </c>
      <c r="E1140" s="73"/>
    </row>
    <row r="1141" spans="2:5" x14ac:dyDescent="0.25">
      <c r="B1141" s="170" t="s">
        <v>2708</v>
      </c>
      <c r="C1141" s="69"/>
      <c r="D1141" s="70" t="s">
        <v>2709</v>
      </c>
      <c r="E1141" s="73"/>
    </row>
    <row r="1142" spans="2:5" x14ac:dyDescent="0.25">
      <c r="B1142" s="170" t="s">
        <v>540</v>
      </c>
      <c r="C1142" s="69"/>
      <c r="D1142" s="70" t="s">
        <v>2710</v>
      </c>
      <c r="E1142" s="73"/>
    </row>
    <row r="1143" spans="2:5" x14ac:dyDescent="0.25">
      <c r="B1143" s="170" t="s">
        <v>2711</v>
      </c>
      <c r="C1143" s="69"/>
      <c r="D1143" s="70" t="s">
        <v>2712</v>
      </c>
      <c r="E1143" s="73"/>
    </row>
    <row r="1144" spans="2:5" x14ac:dyDescent="0.25">
      <c r="B1144" s="170" t="s">
        <v>2715</v>
      </c>
      <c r="C1144" s="69"/>
      <c r="D1144" s="70" t="s">
        <v>2716</v>
      </c>
      <c r="E1144" s="73"/>
    </row>
    <row r="1145" spans="2:5" x14ac:dyDescent="0.25">
      <c r="B1145" s="170" t="s">
        <v>2717</v>
      </c>
      <c r="C1145" s="69"/>
      <c r="D1145" s="70" t="s">
        <v>2718</v>
      </c>
      <c r="E1145" s="73"/>
    </row>
    <row r="1146" spans="2:5" x14ac:dyDescent="0.25">
      <c r="B1146" s="170" t="s">
        <v>2719</v>
      </c>
      <c r="C1146" s="69"/>
      <c r="D1146" s="70" t="s">
        <v>2720</v>
      </c>
      <c r="E1146" s="73"/>
    </row>
    <row r="1147" spans="2:5" x14ac:dyDescent="0.25">
      <c r="B1147" s="170" t="s">
        <v>2721</v>
      </c>
      <c r="C1147" s="69"/>
      <c r="D1147" s="70" t="s">
        <v>2722</v>
      </c>
      <c r="E1147" s="73"/>
    </row>
    <row r="1148" spans="2:5" x14ac:dyDescent="0.25">
      <c r="B1148" s="170" t="s">
        <v>2723</v>
      </c>
      <c r="C1148" s="69"/>
      <c r="D1148" s="70" t="s">
        <v>2724</v>
      </c>
      <c r="E1148" s="73"/>
    </row>
    <row r="1149" spans="2:5" x14ac:dyDescent="0.25">
      <c r="B1149" s="170" t="s">
        <v>2725</v>
      </c>
      <c r="C1149" s="69"/>
      <c r="D1149" s="70" t="s">
        <v>2726</v>
      </c>
      <c r="E1149" s="73"/>
    </row>
    <row r="1150" spans="2:5" x14ac:dyDescent="0.25">
      <c r="B1150" s="170" t="s">
        <v>2727</v>
      </c>
      <c r="C1150" s="69"/>
      <c r="D1150" s="70" t="s">
        <v>2728</v>
      </c>
      <c r="E1150" s="73"/>
    </row>
    <row r="1151" spans="2:5" x14ac:dyDescent="0.25">
      <c r="B1151" s="170" t="s">
        <v>2729</v>
      </c>
      <c r="C1151" s="69"/>
      <c r="D1151" s="70" t="s">
        <v>2730</v>
      </c>
      <c r="E1151" s="73"/>
    </row>
    <row r="1152" spans="2:5" x14ac:dyDescent="0.25">
      <c r="B1152" s="170" t="s">
        <v>2731</v>
      </c>
      <c r="C1152" s="69"/>
      <c r="D1152" s="70" t="s">
        <v>2732</v>
      </c>
      <c r="E1152" s="73"/>
    </row>
    <row r="1153" spans="2:5" x14ac:dyDescent="0.25">
      <c r="B1153" s="170" t="s">
        <v>2733</v>
      </c>
      <c r="C1153" s="69"/>
      <c r="D1153" s="70" t="s">
        <v>2732</v>
      </c>
      <c r="E1153" s="73"/>
    </row>
    <row r="1154" spans="2:5" x14ac:dyDescent="0.25">
      <c r="B1154" s="170" t="s">
        <v>2737</v>
      </c>
      <c r="C1154" s="69"/>
      <c r="D1154" s="70" t="s">
        <v>2738</v>
      </c>
      <c r="E1154" s="73"/>
    </row>
    <row r="1155" spans="2:5" x14ac:dyDescent="0.25">
      <c r="B1155" s="170" t="s">
        <v>2739</v>
      </c>
      <c r="C1155" s="69"/>
      <c r="D1155" s="70" t="s">
        <v>2740</v>
      </c>
      <c r="E1155" s="73"/>
    </row>
    <row r="1156" spans="2:5" x14ac:dyDescent="0.25">
      <c r="B1156" s="170" t="s">
        <v>2741</v>
      </c>
      <c r="C1156" s="69"/>
      <c r="D1156" s="70" t="s">
        <v>2742</v>
      </c>
      <c r="E1156" s="73"/>
    </row>
    <row r="1157" spans="2:5" x14ac:dyDescent="0.25">
      <c r="B1157" s="170" t="s">
        <v>304</v>
      </c>
      <c r="C1157" s="69"/>
      <c r="D1157" s="70" t="s">
        <v>306</v>
      </c>
      <c r="E1157" s="73"/>
    </row>
    <row r="1158" spans="2:5" x14ac:dyDescent="0.25">
      <c r="B1158" s="170" t="s">
        <v>2750</v>
      </c>
      <c r="C1158" s="69"/>
      <c r="D1158" s="70" t="s">
        <v>2751</v>
      </c>
      <c r="E1158" s="73"/>
    </row>
    <row r="1159" spans="2:5" x14ac:dyDescent="0.25">
      <c r="B1159" s="170" t="s">
        <v>2752</v>
      </c>
      <c r="C1159" s="69"/>
      <c r="D1159" s="70" t="s">
        <v>2753</v>
      </c>
      <c r="E1159" s="73"/>
    </row>
    <row r="1160" spans="2:5" x14ac:dyDescent="0.25">
      <c r="B1160" s="170" t="s">
        <v>2754</v>
      </c>
      <c r="C1160" s="69"/>
      <c r="D1160" s="70" t="s">
        <v>2755</v>
      </c>
      <c r="E1160" s="73"/>
    </row>
    <row r="1161" spans="2:5" x14ac:dyDescent="0.25">
      <c r="B1161" s="170" t="s">
        <v>2756</v>
      </c>
      <c r="C1161" s="69"/>
      <c r="D1161" s="70" t="s">
        <v>2757</v>
      </c>
      <c r="E1161" s="73"/>
    </row>
    <row r="1162" spans="2:5" x14ac:dyDescent="0.25">
      <c r="B1162" s="170" t="s">
        <v>2758</v>
      </c>
      <c r="C1162" s="69"/>
      <c r="D1162" s="70" t="s">
        <v>2759</v>
      </c>
      <c r="E1162" s="73"/>
    </row>
    <row r="1163" spans="2:5" x14ac:dyDescent="0.25">
      <c r="B1163" s="170" t="s">
        <v>2768</v>
      </c>
      <c r="C1163" s="69"/>
      <c r="D1163" s="70" t="s">
        <v>2769</v>
      </c>
      <c r="E1163" s="73"/>
    </row>
    <row r="1164" spans="2:5" x14ac:dyDescent="0.25">
      <c r="B1164" s="170" t="s">
        <v>2770</v>
      </c>
      <c r="C1164" s="69"/>
      <c r="D1164" s="70" t="s">
        <v>2771</v>
      </c>
      <c r="E1164" s="73"/>
    </row>
    <row r="1165" spans="2:5" x14ac:dyDescent="0.25">
      <c r="B1165" s="170" t="s">
        <v>2774</v>
      </c>
      <c r="C1165" s="69"/>
      <c r="D1165" s="70" t="s">
        <v>2775</v>
      </c>
      <c r="E1165" s="73"/>
    </row>
    <row r="1166" spans="2:5" x14ac:dyDescent="0.25">
      <c r="B1166" s="170" t="s">
        <v>2777</v>
      </c>
      <c r="C1166" s="69"/>
      <c r="D1166" s="70" t="s">
        <v>2778</v>
      </c>
      <c r="E1166" s="73"/>
    </row>
    <row r="1167" spans="2:5" x14ac:dyDescent="0.25">
      <c r="B1167" s="170" t="s">
        <v>2781</v>
      </c>
      <c r="C1167" s="69"/>
      <c r="D1167" s="70" t="s">
        <v>2782</v>
      </c>
      <c r="E1167" s="73"/>
    </row>
    <row r="1168" spans="2:5" x14ac:dyDescent="0.25">
      <c r="B1168" s="170" t="s">
        <v>2783</v>
      </c>
      <c r="C1168" s="69"/>
      <c r="D1168" s="70" t="s">
        <v>2784</v>
      </c>
      <c r="E1168" s="73"/>
    </row>
    <row r="1169" spans="2:5" x14ac:dyDescent="0.25">
      <c r="B1169" s="170" t="s">
        <v>2785</v>
      </c>
      <c r="C1169" s="69"/>
      <c r="D1169" s="70" t="s">
        <v>2786</v>
      </c>
      <c r="E1169" s="73"/>
    </row>
    <row r="1170" spans="2:5" x14ac:dyDescent="0.25">
      <c r="B1170" s="170" t="s">
        <v>2787</v>
      </c>
      <c r="C1170" s="69"/>
      <c r="D1170" s="70" t="s">
        <v>2788</v>
      </c>
      <c r="E1170" s="73"/>
    </row>
    <row r="1171" spans="2:5" x14ac:dyDescent="0.25">
      <c r="B1171" s="170" t="s">
        <v>2789</v>
      </c>
      <c r="C1171" s="69"/>
      <c r="D1171" s="70" t="s">
        <v>2790</v>
      </c>
      <c r="E1171" s="73"/>
    </row>
    <row r="1172" spans="2:5" x14ac:dyDescent="0.25">
      <c r="B1172" s="170" t="s">
        <v>2791</v>
      </c>
      <c r="C1172" s="69"/>
      <c r="D1172" s="70" t="s">
        <v>2792</v>
      </c>
      <c r="E1172" s="73"/>
    </row>
    <row r="1173" spans="2:5" x14ac:dyDescent="0.25">
      <c r="B1173" s="170" t="s">
        <v>2793</v>
      </c>
      <c r="C1173" s="69"/>
      <c r="D1173" s="70" t="s">
        <v>2794</v>
      </c>
      <c r="E1173" s="73"/>
    </row>
    <row r="1174" spans="2:5" x14ac:dyDescent="0.25">
      <c r="B1174" s="170" t="s">
        <v>2795</v>
      </c>
      <c r="C1174" s="69"/>
      <c r="D1174" s="70" t="s">
        <v>2796</v>
      </c>
      <c r="E1174" s="73"/>
    </row>
    <row r="1175" spans="2:5" x14ac:dyDescent="0.25">
      <c r="B1175" s="170" t="s">
        <v>2799</v>
      </c>
      <c r="C1175" s="69"/>
      <c r="D1175" s="70" t="s">
        <v>2800</v>
      </c>
      <c r="E1175" s="73"/>
    </row>
    <row r="1176" spans="2:5" x14ac:dyDescent="0.25">
      <c r="B1176" s="170" t="s">
        <v>2801</v>
      </c>
      <c r="C1176" s="69"/>
      <c r="D1176" s="70" t="s">
        <v>2802</v>
      </c>
      <c r="E1176" s="73"/>
    </row>
    <row r="1177" spans="2:5" x14ac:dyDescent="0.25">
      <c r="B1177" s="170" t="s">
        <v>2805</v>
      </c>
      <c r="C1177" s="69"/>
      <c r="D1177" s="70" t="s">
        <v>2806</v>
      </c>
      <c r="E1177" s="73"/>
    </row>
    <row r="1178" spans="2:5" x14ac:dyDescent="0.25">
      <c r="B1178" s="170" t="s">
        <v>2807</v>
      </c>
      <c r="C1178" s="69"/>
      <c r="D1178" s="70" t="s">
        <v>2808</v>
      </c>
      <c r="E1178" s="73"/>
    </row>
    <row r="1179" spans="2:5" x14ac:dyDescent="0.25">
      <c r="B1179" s="170" t="s">
        <v>2809</v>
      </c>
      <c r="C1179" s="69"/>
      <c r="D1179" s="70" t="s">
        <v>2810</v>
      </c>
      <c r="E1179" s="73"/>
    </row>
    <row r="1180" spans="2:5" x14ac:dyDescent="0.25">
      <c r="B1180" s="170" t="s">
        <v>2811</v>
      </c>
      <c r="C1180" s="69"/>
      <c r="D1180" s="70" t="s">
        <v>2812</v>
      </c>
      <c r="E1180" s="73"/>
    </row>
    <row r="1181" spans="2:5" x14ac:dyDescent="0.25">
      <c r="B1181" s="170" t="s">
        <v>2813</v>
      </c>
      <c r="C1181" s="69"/>
      <c r="D1181" s="70" t="s">
        <v>2814</v>
      </c>
      <c r="E1181" s="73"/>
    </row>
    <row r="1182" spans="2:5" x14ac:dyDescent="0.25">
      <c r="B1182" s="170" t="s">
        <v>2815</v>
      </c>
      <c r="C1182" s="69"/>
      <c r="D1182" s="73" t="s">
        <v>2816</v>
      </c>
      <c r="E1182" s="73"/>
    </row>
    <row r="1183" spans="2:5" x14ac:dyDescent="0.25">
      <c r="B1183" s="170" t="s">
        <v>2817</v>
      </c>
      <c r="C1183" s="69"/>
      <c r="D1183" s="73" t="s">
        <v>2818</v>
      </c>
      <c r="E1183" s="73"/>
    </row>
    <row r="1184" spans="2:5" x14ac:dyDescent="0.25">
      <c r="B1184" s="170" t="s">
        <v>2819</v>
      </c>
      <c r="C1184" s="69"/>
      <c r="D1184" s="73" t="s">
        <v>2820</v>
      </c>
      <c r="E1184" s="73"/>
    </row>
    <row r="1185" spans="2:5" x14ac:dyDescent="0.25">
      <c r="B1185" s="170" t="s">
        <v>2821</v>
      </c>
      <c r="C1185" s="69"/>
      <c r="D1185" s="73" t="s">
        <v>2822</v>
      </c>
      <c r="E1185" s="73"/>
    </row>
    <row r="1186" spans="2:5" x14ac:dyDescent="0.25">
      <c r="B1186" s="170" t="s">
        <v>2823</v>
      </c>
      <c r="C1186" s="69"/>
      <c r="D1186" s="73" t="s">
        <v>2824</v>
      </c>
      <c r="E1186" s="73"/>
    </row>
    <row r="1187" spans="2:5" x14ac:dyDescent="0.25">
      <c r="B1187" s="170" t="s">
        <v>2825</v>
      </c>
      <c r="C1187" s="69"/>
      <c r="D1187" s="73" t="s">
        <v>2826</v>
      </c>
      <c r="E1187" s="73"/>
    </row>
    <row r="1188" spans="2:5" x14ac:dyDescent="0.25">
      <c r="B1188" s="170" t="s">
        <v>2819</v>
      </c>
      <c r="C1188" s="69"/>
      <c r="D1188" s="73" t="s">
        <v>2820</v>
      </c>
      <c r="E1188" s="73"/>
    </row>
    <row r="1189" spans="2:5" x14ac:dyDescent="0.25">
      <c r="B1189" s="170" t="s">
        <v>2827</v>
      </c>
      <c r="C1189" s="69"/>
      <c r="D1189" s="73" t="s">
        <v>2828</v>
      </c>
      <c r="E1189" s="73"/>
    </row>
    <row r="1190" spans="2:5" x14ac:dyDescent="0.25">
      <c r="B1190" s="170" t="s">
        <v>2829</v>
      </c>
      <c r="C1190" s="69"/>
      <c r="D1190" s="73" t="s">
        <v>2830</v>
      </c>
      <c r="E1190" s="73"/>
    </row>
    <row r="1191" spans="2:5" x14ac:dyDescent="0.25">
      <c r="B1191" s="170" t="s">
        <v>2831</v>
      </c>
      <c r="C1191" s="69"/>
      <c r="D1191" s="73" t="s">
        <v>2832</v>
      </c>
      <c r="E1191" s="73"/>
    </row>
    <row r="1192" spans="2:5" x14ac:dyDescent="0.25">
      <c r="B1192" s="170" t="s">
        <v>2833</v>
      </c>
      <c r="C1192" s="69"/>
      <c r="D1192" s="73" t="s">
        <v>2834</v>
      </c>
      <c r="E1192" s="73"/>
    </row>
    <row r="1193" spans="2:5" x14ac:dyDescent="0.25">
      <c r="B1193" s="170" t="s">
        <v>2835</v>
      </c>
      <c r="C1193" s="69"/>
      <c r="D1193" s="73" t="s">
        <v>2836</v>
      </c>
      <c r="E1193" s="73"/>
    </row>
    <row r="1194" spans="2:5" x14ac:dyDescent="0.25">
      <c r="B1194" s="170" t="s">
        <v>2825</v>
      </c>
      <c r="C1194" s="69"/>
      <c r="D1194" s="73" t="s">
        <v>2826</v>
      </c>
      <c r="E1194" s="73"/>
    </row>
    <row r="1195" spans="2:5" x14ac:dyDescent="0.25">
      <c r="B1195" s="170" t="s">
        <v>2837</v>
      </c>
      <c r="C1195" s="69"/>
      <c r="D1195" s="73" t="s">
        <v>2838</v>
      </c>
      <c r="E1195" s="73"/>
    </row>
    <row r="1196" spans="2:5" x14ac:dyDescent="0.25">
      <c r="B1196" s="170" t="s">
        <v>2835</v>
      </c>
      <c r="C1196" s="69"/>
      <c r="D1196" s="73" t="s">
        <v>2836</v>
      </c>
      <c r="E1196" s="73"/>
    </row>
    <row r="1197" spans="2:5" x14ac:dyDescent="0.25">
      <c r="B1197" s="170" t="s">
        <v>2839</v>
      </c>
      <c r="C1197" s="69"/>
      <c r="D1197" s="73" t="s">
        <v>2840</v>
      </c>
      <c r="E1197" s="73"/>
    </row>
    <row r="1198" spans="2:5" x14ac:dyDescent="0.25">
      <c r="B1198" s="170" t="s">
        <v>2841</v>
      </c>
      <c r="C1198" s="69"/>
      <c r="D1198" s="73" t="s">
        <v>2842</v>
      </c>
      <c r="E1198" s="73"/>
    </row>
    <row r="1199" spans="2:5" x14ac:dyDescent="0.25">
      <c r="B1199" s="170" t="s">
        <v>2841</v>
      </c>
      <c r="C1199" s="69"/>
      <c r="D1199" s="73" t="s">
        <v>2842</v>
      </c>
      <c r="E1199" s="73"/>
    </row>
    <row r="1200" spans="2:5" x14ac:dyDescent="0.25">
      <c r="B1200" s="170" t="s">
        <v>2843</v>
      </c>
      <c r="C1200" s="69"/>
      <c r="D1200" s="73" t="s">
        <v>2844</v>
      </c>
      <c r="E1200" s="73"/>
    </row>
    <row r="1201" spans="2:5" x14ac:dyDescent="0.25">
      <c r="B1201" s="170" t="s">
        <v>2837</v>
      </c>
      <c r="C1201" s="69"/>
      <c r="D1201" s="73" t="s">
        <v>2838</v>
      </c>
      <c r="E1201" s="73"/>
    </row>
    <row r="1202" spans="2:5" x14ac:dyDescent="0.25">
      <c r="B1202" s="170" t="s">
        <v>2845</v>
      </c>
      <c r="C1202" s="69"/>
      <c r="D1202" s="73" t="s">
        <v>2846</v>
      </c>
      <c r="E1202" s="73"/>
    </row>
    <row r="1203" spans="2:5" x14ac:dyDescent="0.25">
      <c r="B1203" s="170" t="s">
        <v>2839</v>
      </c>
      <c r="C1203" s="69"/>
      <c r="D1203" s="73" t="s">
        <v>2840</v>
      </c>
      <c r="E1203" s="73"/>
    </row>
    <row r="1204" spans="2:5" x14ac:dyDescent="0.25">
      <c r="B1204" s="170" t="s">
        <v>2845</v>
      </c>
      <c r="C1204" s="69"/>
      <c r="D1204" s="73" t="s">
        <v>2846</v>
      </c>
      <c r="E1204" s="73"/>
    </row>
    <row r="1205" spans="2:5" x14ac:dyDescent="0.25">
      <c r="B1205" s="170" t="s">
        <v>2847</v>
      </c>
      <c r="C1205" s="69"/>
      <c r="D1205" s="73" t="s">
        <v>2848</v>
      </c>
      <c r="E1205" s="73"/>
    </row>
    <row r="1206" spans="2:5" x14ac:dyDescent="0.25">
      <c r="B1206" s="170" t="s">
        <v>2825</v>
      </c>
      <c r="C1206" s="69"/>
      <c r="D1206" s="73" t="s">
        <v>2826</v>
      </c>
      <c r="E1206" s="73"/>
    </row>
    <row r="1207" spans="2:5" x14ac:dyDescent="0.25">
      <c r="B1207" s="170" t="s">
        <v>2849</v>
      </c>
      <c r="C1207" s="69"/>
      <c r="D1207" s="73" t="s">
        <v>2850</v>
      </c>
      <c r="E1207" s="73"/>
    </row>
    <row r="1208" spans="2:5" x14ac:dyDescent="0.25">
      <c r="B1208" s="170" t="s">
        <v>2843</v>
      </c>
      <c r="C1208" s="69"/>
      <c r="D1208" s="73" t="s">
        <v>2844</v>
      </c>
      <c r="E1208" s="73"/>
    </row>
    <row r="1209" spans="2:5" x14ac:dyDescent="0.25">
      <c r="B1209" s="170" t="s">
        <v>2829</v>
      </c>
      <c r="C1209" s="69"/>
      <c r="D1209" s="73" t="s">
        <v>2830</v>
      </c>
      <c r="E1209" s="73"/>
    </row>
    <row r="1210" spans="2:5" x14ac:dyDescent="0.25">
      <c r="B1210" s="170" t="s">
        <v>2835</v>
      </c>
      <c r="C1210" s="69"/>
      <c r="D1210" s="73" t="s">
        <v>2836</v>
      </c>
      <c r="E1210" s="73"/>
    </row>
    <row r="1211" spans="2:5" x14ac:dyDescent="0.25">
      <c r="B1211" s="170" t="s">
        <v>2837</v>
      </c>
      <c r="C1211" s="69"/>
      <c r="D1211" s="73" t="s">
        <v>2838</v>
      </c>
      <c r="E1211" s="73"/>
    </row>
    <row r="1212" spans="2:5" x14ac:dyDescent="0.25">
      <c r="B1212" s="170" t="s">
        <v>2841</v>
      </c>
      <c r="C1212" s="69"/>
      <c r="D1212" s="73" t="s">
        <v>2842</v>
      </c>
      <c r="E1212" s="73"/>
    </row>
    <row r="1213" spans="2:5" x14ac:dyDescent="0.25">
      <c r="B1213" s="170" t="s">
        <v>2839</v>
      </c>
      <c r="C1213" s="69"/>
      <c r="D1213" s="73" t="s">
        <v>2840</v>
      </c>
      <c r="E1213" s="73"/>
    </row>
    <row r="1214" spans="2:5" x14ac:dyDescent="0.25">
      <c r="B1214" s="170" t="s">
        <v>2851</v>
      </c>
      <c r="C1214" s="69"/>
      <c r="D1214" s="73" t="s">
        <v>2852</v>
      </c>
      <c r="E1214" s="73"/>
    </row>
    <row r="1215" spans="2:5" x14ac:dyDescent="0.25">
      <c r="B1215" s="170" t="s">
        <v>2853</v>
      </c>
      <c r="C1215" s="69"/>
      <c r="D1215" s="73" t="s">
        <v>2854</v>
      </c>
      <c r="E1215" s="73"/>
    </row>
    <row r="1216" spans="2:5" x14ac:dyDescent="0.25">
      <c r="B1216" s="170" t="s">
        <v>2855</v>
      </c>
      <c r="C1216" s="69"/>
      <c r="D1216" s="73" t="s">
        <v>2856</v>
      </c>
      <c r="E1216" s="73"/>
    </row>
    <row r="1217" spans="2:5" x14ac:dyDescent="0.25">
      <c r="B1217" s="170" t="s">
        <v>2857</v>
      </c>
      <c r="C1217" s="69"/>
      <c r="D1217" s="70" t="s">
        <v>2858</v>
      </c>
      <c r="E1217" s="73"/>
    </row>
    <row r="1218" spans="2:5" x14ac:dyDescent="0.25">
      <c r="B1218" s="170" t="s">
        <v>1464</v>
      </c>
      <c r="C1218" s="69"/>
      <c r="D1218" s="70" t="s">
        <v>2859</v>
      </c>
      <c r="E1218" s="73"/>
    </row>
    <row r="1219" spans="2:5" x14ac:dyDescent="0.25">
      <c r="B1219" s="170" t="s">
        <v>2860</v>
      </c>
      <c r="C1219" s="69"/>
      <c r="D1219" s="70" t="s">
        <v>2861</v>
      </c>
      <c r="E1219" s="73"/>
    </row>
    <row r="1220" spans="2:5" x14ac:dyDescent="0.25">
      <c r="B1220" s="170" t="s">
        <v>2862</v>
      </c>
      <c r="C1220" s="69"/>
      <c r="D1220" s="70" t="s">
        <v>2863</v>
      </c>
      <c r="E1220" s="73"/>
    </row>
    <row r="1221" spans="2:5" x14ac:dyDescent="0.25">
      <c r="B1221" s="170" t="s">
        <v>2864</v>
      </c>
      <c r="C1221" s="69"/>
      <c r="D1221" s="70" t="s">
        <v>2865</v>
      </c>
      <c r="E1221" s="73"/>
    </row>
    <row r="1222" spans="2:5" x14ac:dyDescent="0.25">
      <c r="B1222" s="170" t="s">
        <v>2866</v>
      </c>
      <c r="C1222" s="69"/>
      <c r="D1222" s="70" t="s">
        <v>2867</v>
      </c>
      <c r="E1222" s="73"/>
    </row>
    <row r="1223" spans="2:5" ht="25" x14ac:dyDescent="0.25">
      <c r="B1223" s="170" t="s">
        <v>2868</v>
      </c>
      <c r="C1223" s="69"/>
      <c r="D1223" s="70" t="s">
        <v>2869</v>
      </c>
      <c r="E1223" s="73"/>
    </row>
    <row r="1224" spans="2:5" x14ac:dyDescent="0.25">
      <c r="B1224" s="170" t="s">
        <v>2870</v>
      </c>
      <c r="C1224" s="69"/>
      <c r="D1224" s="70" t="s">
        <v>2871</v>
      </c>
      <c r="E1224" s="73"/>
    </row>
    <row r="1225" spans="2:5" x14ac:dyDescent="0.25">
      <c r="B1225" s="170" t="s">
        <v>2872</v>
      </c>
      <c r="C1225" s="69"/>
      <c r="D1225" s="70" t="s">
        <v>2873</v>
      </c>
      <c r="E1225" s="73"/>
    </row>
    <row r="1226" spans="2:5" x14ac:dyDescent="0.25">
      <c r="B1226" s="170" t="s">
        <v>2876</v>
      </c>
      <c r="C1226" s="69"/>
      <c r="D1226" s="70" t="s">
        <v>2877</v>
      </c>
      <c r="E1226" s="73"/>
    </row>
    <row r="1227" spans="2:5" x14ac:dyDescent="0.25">
      <c r="B1227" s="170" t="s">
        <v>2878</v>
      </c>
      <c r="C1227" s="69"/>
      <c r="D1227" s="70" t="s">
        <v>2879</v>
      </c>
      <c r="E1227" s="73"/>
    </row>
    <row r="1228" spans="2:5" x14ac:dyDescent="0.25">
      <c r="B1228" s="170" t="s">
        <v>2880</v>
      </c>
      <c r="C1228" s="69"/>
      <c r="D1228" s="70" t="s">
        <v>2881</v>
      </c>
      <c r="E1228" s="73"/>
    </row>
    <row r="1229" spans="2:5" x14ac:dyDescent="0.25">
      <c r="B1229" s="170" t="s">
        <v>2882</v>
      </c>
      <c r="C1229" s="69"/>
      <c r="D1229" s="70" t="s">
        <v>2883</v>
      </c>
      <c r="E1229" s="73"/>
    </row>
    <row r="1230" spans="2:5" x14ac:dyDescent="0.25">
      <c r="B1230" s="170" t="s">
        <v>2884</v>
      </c>
      <c r="C1230" s="69"/>
      <c r="D1230" s="70" t="s">
        <v>2885</v>
      </c>
      <c r="E1230" s="73"/>
    </row>
    <row r="1231" spans="2:5" x14ac:dyDescent="0.25">
      <c r="B1231" s="170" t="s">
        <v>2887</v>
      </c>
      <c r="C1231" s="69"/>
      <c r="D1231" s="70" t="s">
        <v>2888</v>
      </c>
      <c r="E1231" s="73"/>
    </row>
    <row r="1232" spans="2:5" ht="25" x14ac:dyDescent="0.25">
      <c r="B1232" s="170" t="s">
        <v>2889</v>
      </c>
      <c r="C1232" s="69"/>
      <c r="D1232" s="70" t="s">
        <v>2890</v>
      </c>
      <c r="E1232" s="73"/>
    </row>
    <row r="1233" spans="2:5" x14ac:dyDescent="0.25">
      <c r="B1233" s="170" t="s">
        <v>2891</v>
      </c>
      <c r="C1233" s="69"/>
      <c r="D1233" s="70" t="s">
        <v>2892</v>
      </c>
      <c r="E1233" s="73"/>
    </row>
    <row r="1234" spans="2:5" x14ac:dyDescent="0.25">
      <c r="B1234" s="170" t="s">
        <v>2893</v>
      </c>
      <c r="C1234" s="69"/>
      <c r="D1234" s="70" t="s">
        <v>2894</v>
      </c>
      <c r="E1234" s="73"/>
    </row>
    <row r="1235" spans="2:5" x14ac:dyDescent="0.25">
      <c r="B1235" s="170" t="s">
        <v>2895</v>
      </c>
      <c r="C1235" s="69"/>
      <c r="D1235" s="70" t="s">
        <v>2896</v>
      </c>
      <c r="E1235" s="73"/>
    </row>
    <row r="1236" spans="2:5" x14ac:dyDescent="0.25">
      <c r="B1236" s="170" t="s">
        <v>2897</v>
      </c>
      <c r="C1236" s="69"/>
      <c r="D1236" s="70" t="s">
        <v>2898</v>
      </c>
      <c r="E1236" s="73"/>
    </row>
    <row r="1237" spans="2:5" x14ac:dyDescent="0.25">
      <c r="B1237" s="170" t="s">
        <v>2899</v>
      </c>
      <c r="C1237" s="69"/>
      <c r="D1237" s="70" t="s">
        <v>2900</v>
      </c>
      <c r="E1237" s="73"/>
    </row>
    <row r="1238" spans="2:5" x14ac:dyDescent="0.25">
      <c r="B1238" s="170" t="s">
        <v>2901</v>
      </c>
      <c r="C1238" s="69"/>
      <c r="D1238" s="70" t="s">
        <v>2902</v>
      </c>
      <c r="E1238" s="73"/>
    </row>
    <row r="1239" spans="2:5" x14ac:dyDescent="0.25">
      <c r="B1239" s="90" t="str">
        <f>"RO "&amp;LEFT(Year,4)&amp;"-"&amp;RIGHT(Year,2)</f>
        <v>RO 2024-25</v>
      </c>
      <c r="C1239" s="69"/>
      <c r="D1239" s="76" t="str">
        <f>"RO "&amp;LEFT(Year,4)&amp;"-"&amp;RIGHT(Year,2)</f>
        <v>RO 2024-25</v>
      </c>
      <c r="E1239" s="73"/>
    </row>
    <row r="1240" spans="2:5" x14ac:dyDescent="0.25">
      <c r="B1240" s="170" t="s">
        <v>2903</v>
      </c>
      <c r="C1240" s="69"/>
      <c r="D1240" s="73" t="s">
        <v>2903</v>
      </c>
      <c r="E1240" s="73"/>
    </row>
    <row r="1241" spans="2:5" x14ac:dyDescent="0.25">
      <c r="B1241" s="170" t="s">
        <v>646</v>
      </c>
      <c r="C1241" s="69"/>
      <c r="D1241" s="70" t="s">
        <v>2904</v>
      </c>
      <c r="E1241" s="73"/>
    </row>
    <row r="1242" spans="2:5" x14ac:dyDescent="0.25">
      <c r="B1242" s="170" t="s">
        <v>804</v>
      </c>
      <c r="C1242" s="69"/>
      <c r="D1242" s="70" t="s">
        <v>2905</v>
      </c>
      <c r="E1242" s="73"/>
    </row>
    <row r="1243" spans="2:5" x14ac:dyDescent="0.25">
      <c r="B1243" s="170" t="s">
        <v>650</v>
      </c>
      <c r="C1243" s="69"/>
      <c r="D1243" s="70" t="s">
        <v>2906</v>
      </c>
      <c r="E1243" s="73"/>
    </row>
    <row r="1244" spans="2:5" ht="25" x14ac:dyDescent="0.25">
      <c r="B1244" s="170" t="s">
        <v>789</v>
      </c>
      <c r="C1244" s="69"/>
      <c r="D1244" s="70" t="s">
        <v>2907</v>
      </c>
      <c r="E1244" s="73"/>
    </row>
    <row r="1245" spans="2:5" x14ac:dyDescent="0.25">
      <c r="B1245" s="170" t="s">
        <v>1424</v>
      </c>
      <c r="C1245" s="69"/>
      <c r="D1245" s="70" t="s">
        <v>2908</v>
      </c>
      <c r="E1245" s="73"/>
    </row>
    <row r="1246" spans="2:5" x14ac:dyDescent="0.25">
      <c r="B1246" s="170" t="s">
        <v>779</v>
      </c>
      <c r="C1246" s="69"/>
      <c r="D1246" s="70" t="s">
        <v>2909</v>
      </c>
      <c r="E1246" s="73"/>
    </row>
    <row r="1247" spans="2:5" x14ac:dyDescent="0.25">
      <c r="B1247" s="170" t="s">
        <v>1226</v>
      </c>
      <c r="C1247" s="69"/>
      <c r="D1247" s="70" t="s">
        <v>2910</v>
      </c>
      <c r="E1247" s="73"/>
    </row>
    <row r="1248" spans="2:5" x14ac:dyDescent="0.25">
      <c r="B1248" s="170" t="s">
        <v>1275</v>
      </c>
      <c r="C1248" s="69"/>
      <c r="D1248" s="70" t="s">
        <v>2911</v>
      </c>
      <c r="E1248" s="73"/>
    </row>
    <row r="1249" spans="2:5" ht="25" x14ac:dyDescent="0.25">
      <c r="B1249" s="170" t="s">
        <v>1196</v>
      </c>
      <c r="C1249" s="69"/>
      <c r="D1249" s="70" t="s">
        <v>2912</v>
      </c>
      <c r="E1249" s="73"/>
    </row>
    <row r="1250" spans="2:5" x14ac:dyDescent="0.25">
      <c r="B1250" s="170" t="s">
        <v>1382</v>
      </c>
      <c r="C1250" s="69"/>
      <c r="D1250" s="70" t="s">
        <v>2913</v>
      </c>
      <c r="E1250" s="73"/>
    </row>
    <row r="1251" spans="2:5" x14ac:dyDescent="0.25">
      <c r="B1251" s="170" t="s">
        <v>931</v>
      </c>
      <c r="C1251" s="69"/>
      <c r="D1251" s="70" t="s">
        <v>2914</v>
      </c>
      <c r="E1251" s="73"/>
    </row>
    <row r="1252" spans="2:5" x14ac:dyDescent="0.25">
      <c r="B1252" s="170" t="s">
        <v>2915</v>
      </c>
      <c r="C1252" s="69"/>
      <c r="D1252" s="70" t="s">
        <v>2916</v>
      </c>
      <c r="E1252" s="73"/>
    </row>
    <row r="1253" spans="2:5" x14ac:dyDescent="0.25">
      <c r="B1253" s="170" t="s">
        <v>2917</v>
      </c>
      <c r="C1253" s="69"/>
      <c r="D1253" s="70" t="s">
        <v>2918</v>
      </c>
      <c r="E1253" s="73"/>
    </row>
    <row r="1254" spans="2:5" x14ac:dyDescent="0.25">
      <c r="B1254" s="170" t="s">
        <v>1429</v>
      </c>
      <c r="C1254" s="69"/>
      <c r="D1254" s="70" t="s">
        <v>2919</v>
      </c>
      <c r="E1254" s="73"/>
    </row>
    <row r="1255" spans="2:5" ht="25" x14ac:dyDescent="0.25">
      <c r="B1255" s="171" t="s">
        <v>2920</v>
      </c>
      <c r="C1255" s="69"/>
      <c r="D1255" s="73"/>
      <c r="E1255" s="73"/>
    </row>
    <row r="1256" spans="2:5" x14ac:dyDescent="0.25">
      <c r="B1256" s="170" t="s">
        <v>2921</v>
      </c>
      <c r="C1256" s="69"/>
      <c r="D1256" s="73" t="s">
        <v>2922</v>
      </c>
      <c r="E1256" s="73"/>
    </row>
    <row r="1257" spans="2:5" x14ac:dyDescent="0.25">
      <c r="B1257" s="170" t="s">
        <v>2925</v>
      </c>
      <c r="C1257" s="69"/>
      <c r="D1257" s="73" t="s">
        <v>2926</v>
      </c>
      <c r="E1257" s="73"/>
    </row>
    <row r="1258" spans="2:5" ht="37.5" x14ac:dyDescent="0.25">
      <c r="B1258" s="90" t="s">
        <v>2929</v>
      </c>
      <c r="C1258" s="69"/>
      <c r="D1258" s="90" t="s">
        <v>2930</v>
      </c>
      <c r="E1258" s="73"/>
    </row>
    <row r="1259" spans="2:5" ht="25" x14ac:dyDescent="0.25">
      <c r="B1259" s="90" t="s">
        <v>2931</v>
      </c>
      <c r="C1259" s="69"/>
      <c r="D1259" s="90" t="s">
        <v>2932</v>
      </c>
      <c r="E1259" s="73"/>
    </row>
    <row r="1260" spans="2:5" ht="25" x14ac:dyDescent="0.25">
      <c r="B1260" s="170" t="s">
        <v>2933</v>
      </c>
      <c r="C1260" s="69"/>
      <c r="D1260" s="170" t="s">
        <v>2934</v>
      </c>
      <c r="E1260" s="73"/>
    </row>
    <row r="1261" spans="2:5" x14ac:dyDescent="0.25">
      <c r="B1261" s="170" t="s">
        <v>2935</v>
      </c>
      <c r="C1261" s="69"/>
      <c r="D1261" s="73" t="s">
        <v>2936</v>
      </c>
      <c r="E1261" s="73"/>
    </row>
    <row r="1262" spans="2:5" x14ac:dyDescent="0.25">
      <c r="B1262" s="170" t="s">
        <v>2937</v>
      </c>
      <c r="C1262" s="69"/>
      <c r="D1262" s="73" t="s">
        <v>2938</v>
      </c>
      <c r="E1262" s="73"/>
    </row>
    <row r="1263" spans="2:5" x14ac:dyDescent="0.25">
      <c r="B1263" s="170" t="s">
        <v>2939</v>
      </c>
      <c r="C1263" s="69"/>
      <c r="D1263" s="73"/>
      <c r="E1263" s="73"/>
    </row>
    <row r="1264" spans="2:5" x14ac:dyDescent="0.25">
      <c r="B1264" s="170" t="s">
        <v>111</v>
      </c>
      <c r="C1264" s="69"/>
      <c r="D1264" s="73"/>
      <c r="E1264" s="73"/>
    </row>
    <row r="1265" spans="2:5" x14ac:dyDescent="0.25">
      <c r="B1265" s="170" t="s">
        <v>112</v>
      </c>
      <c r="C1265" s="69"/>
      <c r="D1265" s="73"/>
      <c r="E1265" s="73"/>
    </row>
    <row r="1266" spans="2:5" x14ac:dyDescent="0.25">
      <c r="B1266" s="170" t="s">
        <v>46</v>
      </c>
      <c r="C1266" s="69"/>
      <c r="D1266" s="73"/>
      <c r="E1266" s="73"/>
    </row>
    <row r="1267" spans="2:5" x14ac:dyDescent="0.25">
      <c r="B1267" s="170" t="s">
        <v>113</v>
      </c>
      <c r="C1267" s="69"/>
      <c r="D1267" s="73"/>
      <c r="E1267" s="73"/>
    </row>
    <row r="1268" spans="2:5" x14ac:dyDescent="0.25">
      <c r="B1268" s="170" t="s">
        <v>2941</v>
      </c>
      <c r="C1268" s="69"/>
      <c r="D1268" s="73" t="s">
        <v>2942</v>
      </c>
      <c r="E1268" s="73"/>
    </row>
    <row r="1269" spans="2:5" x14ac:dyDescent="0.25">
      <c r="B1269" s="170" t="s">
        <v>2944</v>
      </c>
      <c r="C1269" s="69"/>
      <c r="D1269" s="73" t="s">
        <v>2945</v>
      </c>
      <c r="E1269" s="73"/>
    </row>
    <row r="1270" spans="2:5" x14ac:dyDescent="0.25">
      <c r="B1270" s="170" t="s">
        <v>2946</v>
      </c>
      <c r="C1270" s="69"/>
      <c r="D1270" s="73" t="s">
        <v>2947</v>
      </c>
      <c r="E1270" s="73"/>
    </row>
    <row r="1271" spans="2:5" x14ac:dyDescent="0.25">
      <c r="B1271" s="170" t="s">
        <v>2948</v>
      </c>
      <c r="C1271" s="69"/>
      <c r="D1271" s="73" t="s">
        <v>2949</v>
      </c>
      <c r="E1271" s="73"/>
    </row>
    <row r="1272" spans="2:5" x14ac:dyDescent="0.25">
      <c r="B1272" s="170" t="s">
        <v>2950</v>
      </c>
      <c r="C1272" s="69"/>
      <c r="D1272" s="73" t="s">
        <v>2951</v>
      </c>
      <c r="E1272" s="73"/>
    </row>
    <row r="1273" spans="2:5" x14ac:dyDescent="0.25">
      <c r="B1273" s="170" t="s">
        <v>2952</v>
      </c>
      <c r="C1273" s="69"/>
      <c r="D1273" s="73" t="s">
        <v>2953</v>
      </c>
      <c r="E1273" s="73"/>
    </row>
    <row r="1274" spans="2:5" x14ac:dyDescent="0.25">
      <c r="B1274" s="170" t="s">
        <v>2954</v>
      </c>
      <c r="C1274" s="69"/>
      <c r="D1274" s="73" t="s">
        <v>2955</v>
      </c>
      <c r="E1274" s="73"/>
    </row>
    <row r="1275" spans="2:5" x14ac:dyDescent="0.25">
      <c r="B1275" s="170" t="s">
        <v>2956</v>
      </c>
      <c r="C1275" s="69"/>
      <c r="D1275" s="73" t="s">
        <v>2957</v>
      </c>
      <c r="E1275" s="73"/>
    </row>
    <row r="1276" spans="2:5" x14ac:dyDescent="0.25">
      <c r="B1276" s="170" t="s">
        <v>2958</v>
      </c>
      <c r="C1276" s="69"/>
      <c r="D1276" s="73" t="s">
        <v>2959</v>
      </c>
      <c r="E1276" s="73"/>
    </row>
    <row r="1277" spans="2:5" x14ac:dyDescent="0.25">
      <c r="B1277" s="170" t="s">
        <v>2960</v>
      </c>
      <c r="C1277" s="69"/>
      <c r="D1277" s="73" t="s">
        <v>2961</v>
      </c>
      <c r="E1277" s="73"/>
    </row>
    <row r="1278" spans="2:5" x14ac:dyDescent="0.25">
      <c r="B1278" s="170" t="s">
        <v>2962</v>
      </c>
      <c r="C1278" s="69"/>
      <c r="D1278" s="73" t="s">
        <v>2963</v>
      </c>
      <c r="E1278" s="73"/>
    </row>
    <row r="1279" spans="2:5" x14ac:dyDescent="0.25">
      <c r="B1279" s="170" t="s">
        <v>2964</v>
      </c>
      <c r="C1279" s="69"/>
      <c r="D1279" s="73" t="s">
        <v>2965</v>
      </c>
      <c r="E1279" s="73"/>
    </row>
    <row r="1280" spans="2:5" x14ac:dyDescent="0.25">
      <c r="B1280" s="170" t="s">
        <v>2966</v>
      </c>
      <c r="C1280" s="69"/>
      <c r="D1280" s="73" t="s">
        <v>2967</v>
      </c>
      <c r="E1280" s="73"/>
    </row>
    <row r="1281" spans="2:5" x14ac:dyDescent="0.25">
      <c r="B1281" s="170" t="s">
        <v>2968</v>
      </c>
      <c r="C1281" s="69"/>
      <c r="D1281" s="73" t="s">
        <v>2968</v>
      </c>
      <c r="E1281" s="73"/>
    </row>
    <row r="1282" spans="2:5" x14ac:dyDescent="0.25">
      <c r="B1282" s="170" t="s">
        <v>1148</v>
      </c>
      <c r="C1282" s="69"/>
      <c r="D1282" s="73" t="s">
        <v>2969</v>
      </c>
      <c r="E1282" s="73"/>
    </row>
    <row r="1283" spans="2:5" x14ac:dyDescent="0.25">
      <c r="B1283" s="170" t="s">
        <v>2970</v>
      </c>
      <c r="C1283" s="69"/>
      <c r="D1283" s="73" t="s">
        <v>2971</v>
      </c>
      <c r="E1283" s="73"/>
    </row>
    <row r="1284" spans="2:5" x14ac:dyDescent="0.25">
      <c r="B1284" s="170" t="s">
        <v>2972</v>
      </c>
      <c r="C1284" s="69"/>
      <c r="D1284" s="73" t="s">
        <v>2973</v>
      </c>
      <c r="E1284" s="73"/>
    </row>
    <row r="1285" spans="2:5" x14ac:dyDescent="0.25">
      <c r="B1285" s="170" t="s">
        <v>2974</v>
      </c>
      <c r="C1285" s="69"/>
      <c r="D1285" s="73" t="s">
        <v>2975</v>
      </c>
      <c r="E1285" s="73"/>
    </row>
    <row r="1286" spans="2:5" ht="25" x14ac:dyDescent="0.25">
      <c r="B1286" s="90" t="s">
        <v>2976</v>
      </c>
      <c r="C1286" s="69"/>
      <c r="D1286" s="73" t="s">
        <v>2977</v>
      </c>
      <c r="E1286" s="73"/>
    </row>
    <row r="1287" spans="2:5" x14ac:dyDescent="0.25">
      <c r="B1287" s="73" t="s">
        <v>2978</v>
      </c>
      <c r="C1287" s="69"/>
      <c r="D1287" s="73" t="s">
        <v>2979</v>
      </c>
      <c r="E1287" s="73"/>
    </row>
    <row r="1288" spans="2:5" x14ac:dyDescent="0.25">
      <c r="B1288" s="73" t="s">
        <v>2980</v>
      </c>
      <c r="C1288" s="69"/>
      <c r="D1288" s="73" t="s">
        <v>2981</v>
      </c>
      <c r="E1288" s="73"/>
    </row>
    <row r="1289" spans="2:5" x14ac:dyDescent="0.25">
      <c r="B1289" s="73" t="s">
        <v>2982</v>
      </c>
      <c r="C1289" s="69"/>
      <c r="D1289" s="73" t="s">
        <v>2983</v>
      </c>
      <c r="E1289" s="73"/>
    </row>
    <row r="1290" spans="2:5" x14ac:dyDescent="0.25">
      <c r="B1290" s="73" t="s">
        <v>2984</v>
      </c>
      <c r="C1290" s="69"/>
      <c r="D1290" s="73" t="s">
        <v>2985</v>
      </c>
      <c r="E1290" s="73"/>
    </row>
    <row r="1291" spans="2:5" x14ac:dyDescent="0.25">
      <c r="B1291" s="73" t="s">
        <v>2986</v>
      </c>
      <c r="C1291" s="69"/>
      <c r="D1291" s="73" t="s">
        <v>2987</v>
      </c>
      <c r="E1291" s="73"/>
    </row>
    <row r="1292" spans="2:5" x14ac:dyDescent="0.25">
      <c r="B1292" s="73" t="s">
        <v>2988</v>
      </c>
      <c r="C1292" s="69"/>
      <c r="D1292" s="73" t="s">
        <v>2989</v>
      </c>
      <c r="E1292" s="73"/>
    </row>
    <row r="1293" spans="2:5" x14ac:dyDescent="0.25">
      <c r="B1293" s="73" t="s">
        <v>2990</v>
      </c>
      <c r="C1293" s="69"/>
      <c r="D1293" s="73" t="s">
        <v>2991</v>
      </c>
      <c r="E1293" s="73"/>
    </row>
    <row r="1294" spans="2:5" x14ac:dyDescent="0.25">
      <c r="B1294" s="170" t="s">
        <v>2992</v>
      </c>
      <c r="C1294" s="69"/>
      <c r="D1294" s="73" t="s">
        <v>2993</v>
      </c>
      <c r="E1294" s="73"/>
    </row>
    <row r="1295" spans="2:5" x14ac:dyDescent="0.25">
      <c r="B1295" s="170" t="s">
        <v>2994</v>
      </c>
      <c r="C1295" s="69"/>
      <c r="D1295" s="73" t="s">
        <v>2993</v>
      </c>
      <c r="E1295" s="73"/>
    </row>
    <row r="1296" spans="2:5" x14ac:dyDescent="0.25">
      <c r="B1296" s="170" t="s">
        <v>2995</v>
      </c>
      <c r="C1296" s="69"/>
      <c r="D1296" s="73" t="s">
        <v>2993</v>
      </c>
      <c r="E1296" s="73"/>
    </row>
    <row r="1297" spans="2:5" x14ac:dyDescent="0.25">
      <c r="B1297" s="170" t="s">
        <v>2996</v>
      </c>
      <c r="C1297" s="69"/>
      <c r="D1297" s="73" t="s">
        <v>2997</v>
      </c>
      <c r="E1297" s="73"/>
    </row>
    <row r="1298" spans="2:5" x14ac:dyDescent="0.25">
      <c r="B1298" s="170" t="s">
        <v>2998</v>
      </c>
      <c r="C1298" s="69"/>
      <c r="D1298" s="73" t="s">
        <v>2999</v>
      </c>
      <c r="E1298" s="73"/>
    </row>
    <row r="1299" spans="2:5" x14ac:dyDescent="0.25">
      <c r="B1299" s="170" t="s">
        <v>3000</v>
      </c>
      <c r="C1299" s="69"/>
      <c r="D1299" s="73" t="s">
        <v>3001</v>
      </c>
      <c r="E1299" s="73"/>
    </row>
    <row r="1300" spans="2:5" x14ac:dyDescent="0.25">
      <c r="B1300" s="170" t="s">
        <v>3004</v>
      </c>
      <c r="C1300" s="69"/>
      <c r="D1300" s="73" t="s">
        <v>3005</v>
      </c>
      <c r="E1300" s="73"/>
    </row>
    <row r="1301" spans="2:5" x14ac:dyDescent="0.25">
      <c r="B1301" s="170" t="s">
        <v>3006</v>
      </c>
      <c r="C1301" s="69"/>
      <c r="D1301" s="73" t="s">
        <v>3007</v>
      </c>
      <c r="E1301" s="73"/>
    </row>
    <row r="1302" spans="2:5" x14ac:dyDescent="0.25">
      <c r="B1302" s="170" t="s">
        <v>3008</v>
      </c>
      <c r="C1302" s="69"/>
      <c r="D1302" s="73" t="s">
        <v>3009</v>
      </c>
      <c r="E1302" s="73"/>
    </row>
    <row r="1303" spans="2:5" x14ac:dyDescent="0.25">
      <c r="B1303" s="170" t="s">
        <v>3010</v>
      </c>
      <c r="C1303" s="69"/>
      <c r="D1303" s="73" t="s">
        <v>3011</v>
      </c>
      <c r="E1303" s="73"/>
    </row>
    <row r="1304" spans="2:5" x14ac:dyDescent="0.25">
      <c r="B1304" s="170" t="s">
        <v>3012</v>
      </c>
      <c r="C1304" s="69"/>
      <c r="D1304" s="73" t="s">
        <v>3013</v>
      </c>
      <c r="E1304" s="73"/>
    </row>
    <row r="1305" spans="2:5" x14ac:dyDescent="0.25">
      <c r="B1305" s="170" t="s">
        <v>3014</v>
      </c>
      <c r="C1305" s="69"/>
      <c r="D1305" s="73" t="s">
        <v>3015</v>
      </c>
      <c r="E1305" s="73"/>
    </row>
    <row r="1306" spans="2:5" x14ac:dyDescent="0.25">
      <c r="B1306" s="170" t="s">
        <v>3016</v>
      </c>
      <c r="C1306" s="69"/>
      <c r="D1306" s="73" t="s">
        <v>3017</v>
      </c>
      <c r="E1306" s="73"/>
    </row>
    <row r="1307" spans="2:5" x14ac:dyDescent="0.25">
      <c r="B1307" s="170" t="s">
        <v>3018</v>
      </c>
      <c r="C1307" s="69"/>
      <c r="D1307" s="73" t="s">
        <v>3019</v>
      </c>
      <c r="E1307" s="73"/>
    </row>
    <row r="1308" spans="2:5" x14ac:dyDescent="0.25">
      <c r="B1308" s="170" t="s">
        <v>3020</v>
      </c>
      <c r="C1308" s="69"/>
      <c r="D1308" s="73" t="s">
        <v>3021</v>
      </c>
      <c r="E1308" s="73"/>
    </row>
    <row r="1309" spans="2:5" x14ac:dyDescent="0.25">
      <c r="B1309" s="170" t="s">
        <v>3022</v>
      </c>
      <c r="C1309" s="69"/>
      <c r="D1309" s="73" t="s">
        <v>3023</v>
      </c>
      <c r="E1309" s="73"/>
    </row>
    <row r="1310" spans="2:5" x14ac:dyDescent="0.25">
      <c r="B1310" s="170" t="s">
        <v>3024</v>
      </c>
      <c r="C1310" s="69"/>
      <c r="D1310" s="73" t="s">
        <v>3025</v>
      </c>
      <c r="E1310" s="73"/>
    </row>
    <row r="1311" spans="2:5" x14ac:dyDescent="0.25">
      <c r="B1311" s="170" t="s">
        <v>3026</v>
      </c>
      <c r="C1311" s="69"/>
      <c r="D1311" s="73" t="s">
        <v>3027</v>
      </c>
      <c r="E1311" s="73"/>
    </row>
    <row r="1312" spans="2:5" x14ac:dyDescent="0.25">
      <c r="B1312" s="170" t="s">
        <v>3028</v>
      </c>
      <c r="C1312" s="69"/>
      <c r="D1312" s="73" t="s">
        <v>3029</v>
      </c>
      <c r="E1312" s="73"/>
    </row>
    <row r="1313" spans="2:5" x14ac:dyDescent="0.25">
      <c r="B1313" s="170" t="s">
        <v>3030</v>
      </c>
      <c r="C1313" s="69"/>
      <c r="D1313" s="73" t="s">
        <v>3031</v>
      </c>
      <c r="E1313" s="73"/>
    </row>
    <row r="1314" spans="2:5" x14ac:dyDescent="0.25">
      <c r="B1314" s="170" t="s">
        <v>3032</v>
      </c>
      <c r="C1314" s="69"/>
      <c r="D1314" s="73" t="s">
        <v>3033</v>
      </c>
      <c r="E1314" s="73"/>
    </row>
    <row r="1315" spans="2:5" x14ac:dyDescent="0.25">
      <c r="B1315" s="170" t="s">
        <v>3034</v>
      </c>
      <c r="C1315" s="69"/>
      <c r="D1315" s="73" t="s">
        <v>3035</v>
      </c>
      <c r="E1315" s="73"/>
    </row>
    <row r="1316" spans="2:5" x14ac:dyDescent="0.25">
      <c r="B1316" s="170" t="s">
        <v>3036</v>
      </c>
      <c r="C1316" s="69"/>
      <c r="D1316" s="73" t="s">
        <v>3037</v>
      </c>
      <c r="E1316" s="73"/>
    </row>
    <row r="1317" spans="2:5" ht="50" x14ac:dyDescent="0.25">
      <c r="B1317" s="172" t="s">
        <v>3040</v>
      </c>
      <c r="C1317" s="69"/>
      <c r="D1317" s="172" t="s">
        <v>3041</v>
      </c>
      <c r="E1317" s="73"/>
    </row>
    <row r="1318" spans="2:5" x14ac:dyDescent="0.25">
      <c r="B1318" s="170" t="s">
        <v>3042</v>
      </c>
      <c r="C1318" s="69"/>
      <c r="D1318" s="73" t="s">
        <v>3043</v>
      </c>
      <c r="E1318" s="73"/>
    </row>
    <row r="1319" spans="2:5" x14ac:dyDescent="0.25">
      <c r="B1319" s="170" t="s">
        <v>3044</v>
      </c>
      <c r="C1319" s="69"/>
      <c r="D1319" s="73" t="s">
        <v>3045</v>
      </c>
      <c r="E1319" s="73"/>
    </row>
    <row r="1320" spans="2:5" x14ac:dyDescent="0.25">
      <c r="B1320" s="170" t="s">
        <v>3046</v>
      </c>
      <c r="C1320" s="69"/>
      <c r="D1320" s="73" t="s">
        <v>3047</v>
      </c>
      <c r="E1320" s="73"/>
    </row>
    <row r="1321" spans="2:5" x14ac:dyDescent="0.25">
      <c r="B1321" s="170" t="s">
        <v>3048</v>
      </c>
      <c r="C1321" s="69"/>
      <c r="D1321" s="73" t="s">
        <v>3049</v>
      </c>
      <c r="E1321" s="73"/>
    </row>
    <row r="1322" spans="2:5" x14ac:dyDescent="0.25">
      <c r="B1322" s="170" t="s">
        <v>3050</v>
      </c>
      <c r="C1322" s="69"/>
      <c r="D1322" s="73" t="s">
        <v>3051</v>
      </c>
      <c r="E1322" s="73"/>
    </row>
    <row r="1323" spans="2:5" x14ac:dyDescent="0.25">
      <c r="B1323" s="170" t="s">
        <v>3052</v>
      </c>
      <c r="C1323" s="69"/>
      <c r="D1323" s="73" t="s">
        <v>3053</v>
      </c>
      <c r="E1323" s="73"/>
    </row>
    <row r="1324" spans="2:5" x14ac:dyDescent="0.25">
      <c r="B1324" s="170" t="s">
        <v>3056</v>
      </c>
      <c r="C1324" s="69"/>
      <c r="D1324" s="73" t="s">
        <v>3057</v>
      </c>
      <c r="E1324" s="73"/>
    </row>
    <row r="1325" spans="2:5" x14ac:dyDescent="0.25">
      <c r="B1325" s="170" t="s">
        <v>3058</v>
      </c>
      <c r="C1325" s="69"/>
      <c r="D1325" s="73" t="s">
        <v>3059</v>
      </c>
      <c r="E1325" s="73"/>
    </row>
    <row r="1326" spans="2:5" x14ac:dyDescent="0.25">
      <c r="B1326" s="170" t="s">
        <v>3060</v>
      </c>
      <c r="C1326" s="69"/>
      <c r="D1326" s="73" t="s">
        <v>3061</v>
      </c>
      <c r="E1326" s="73"/>
    </row>
    <row r="1327" spans="2:5" x14ac:dyDescent="0.25">
      <c r="B1327" s="170" t="s">
        <v>3062</v>
      </c>
      <c r="C1327" s="69"/>
      <c r="D1327" s="73" t="s">
        <v>3063</v>
      </c>
      <c r="E1327" s="73"/>
    </row>
    <row r="1328" spans="2:5" x14ac:dyDescent="0.25">
      <c r="B1328" s="170" t="s">
        <v>3064</v>
      </c>
      <c r="C1328" s="69"/>
      <c r="D1328" s="73" t="s">
        <v>3065</v>
      </c>
      <c r="E1328" s="73"/>
    </row>
    <row r="1329" spans="2:5" x14ac:dyDescent="0.25">
      <c r="B1329" s="170" t="s">
        <v>3066</v>
      </c>
      <c r="C1329" s="69"/>
      <c r="D1329" s="73" t="s">
        <v>3066</v>
      </c>
      <c r="E1329" s="73"/>
    </row>
    <row r="1330" spans="2:5" x14ac:dyDescent="0.25">
      <c r="B1330" s="170" t="s">
        <v>1240</v>
      </c>
      <c r="C1330" s="69"/>
      <c r="D1330" s="73"/>
      <c r="E1330" s="73"/>
    </row>
    <row r="1331" spans="2:5" x14ac:dyDescent="0.25">
      <c r="B1331" s="90" t="s">
        <v>3068</v>
      </c>
      <c r="C1331" s="69"/>
      <c r="D1331" s="73" t="s">
        <v>3069</v>
      </c>
      <c r="E1331" s="73"/>
    </row>
    <row r="1332" spans="2:5" x14ac:dyDescent="0.25">
      <c r="B1332" s="170" t="s">
        <v>3070</v>
      </c>
      <c r="C1332" s="69"/>
      <c r="D1332" s="73" t="s">
        <v>3071</v>
      </c>
      <c r="E1332" s="73"/>
    </row>
    <row r="1333" spans="2:5" x14ac:dyDescent="0.25">
      <c r="B1333" s="170" t="s">
        <v>3074</v>
      </c>
      <c r="C1333" s="69"/>
      <c r="D1333" s="73" t="s">
        <v>3075</v>
      </c>
      <c r="E1333" s="73"/>
    </row>
    <row r="1334" spans="2:5" x14ac:dyDescent="0.25">
      <c r="B1334" s="170" t="s">
        <v>3078</v>
      </c>
      <c r="C1334" s="69"/>
      <c r="D1334" s="73" t="s">
        <v>3079</v>
      </c>
      <c r="E1334" s="73"/>
    </row>
    <row r="1335" spans="2:5" x14ac:dyDescent="0.25">
      <c r="B1335" s="170" t="s">
        <v>3080</v>
      </c>
      <c r="C1335" s="69"/>
      <c r="D1335" s="73" t="s">
        <v>3081</v>
      </c>
      <c r="E1335" s="73"/>
    </row>
    <row r="1336" spans="2:5" x14ac:dyDescent="0.25">
      <c r="B1336" s="170" t="s">
        <v>3082</v>
      </c>
      <c r="C1336" s="69"/>
      <c r="D1336" s="73" t="s">
        <v>3083</v>
      </c>
      <c r="E1336" s="73"/>
    </row>
    <row r="1337" spans="2:5" x14ac:dyDescent="0.25">
      <c r="B1337" s="170" t="s">
        <v>3084</v>
      </c>
      <c r="C1337" s="69"/>
      <c r="D1337" s="73" t="s">
        <v>3084</v>
      </c>
      <c r="E1337" s="73"/>
    </row>
    <row r="1338" spans="2:5" x14ac:dyDescent="0.25">
      <c r="B1338" s="170" t="s">
        <v>3085</v>
      </c>
      <c r="C1338" s="69"/>
      <c r="D1338" s="73" t="s">
        <v>3086</v>
      </c>
      <c r="E1338" s="73"/>
    </row>
    <row r="1339" spans="2:5" x14ac:dyDescent="0.25">
      <c r="B1339" s="170" t="s">
        <v>3087</v>
      </c>
      <c r="C1339" s="69"/>
      <c r="D1339" s="73" t="s">
        <v>3088</v>
      </c>
      <c r="E1339" s="73"/>
    </row>
    <row r="1340" spans="2:5" x14ac:dyDescent="0.25">
      <c r="B1340" s="170" t="s">
        <v>3089</v>
      </c>
      <c r="C1340" s="69"/>
      <c r="D1340" s="73" t="s">
        <v>3090</v>
      </c>
      <c r="E1340" s="73"/>
    </row>
    <row r="1341" spans="2:5" x14ac:dyDescent="0.25">
      <c r="B1341" s="170" t="s">
        <v>3091</v>
      </c>
      <c r="C1341" s="69"/>
      <c r="D1341" s="73" t="s">
        <v>3092</v>
      </c>
      <c r="E1341" s="73"/>
    </row>
    <row r="1342" spans="2:5" x14ac:dyDescent="0.25">
      <c r="B1342" s="170" t="s">
        <v>3093</v>
      </c>
      <c r="C1342" s="69"/>
      <c r="D1342" s="73" t="s">
        <v>3094</v>
      </c>
      <c r="E1342" s="73"/>
    </row>
    <row r="1343" spans="2:5" x14ac:dyDescent="0.25">
      <c r="B1343" s="170" t="s">
        <v>3095</v>
      </c>
      <c r="C1343" s="69"/>
      <c r="D1343" s="73" t="s">
        <v>3096</v>
      </c>
      <c r="E1343" s="73"/>
    </row>
    <row r="1344" spans="2:5" x14ac:dyDescent="0.25">
      <c r="B1344" s="170" t="s">
        <v>3097</v>
      </c>
      <c r="C1344" s="69"/>
      <c r="D1344" s="73" t="s">
        <v>3098</v>
      </c>
      <c r="E1344" s="73"/>
    </row>
    <row r="1345" spans="2:5" x14ac:dyDescent="0.25">
      <c r="B1345" s="170" t="s">
        <v>3099</v>
      </c>
      <c r="C1345" s="69"/>
      <c r="D1345" s="73" t="s">
        <v>3100</v>
      </c>
      <c r="E1345" s="73"/>
    </row>
    <row r="1346" spans="2:5" x14ac:dyDescent="0.25">
      <c r="B1346" s="170" t="s">
        <v>3101</v>
      </c>
      <c r="C1346" s="69"/>
      <c r="D1346" s="73" t="s">
        <v>3102</v>
      </c>
      <c r="E1346" s="73"/>
    </row>
    <row r="1347" spans="2:5" x14ac:dyDescent="0.25">
      <c r="B1347" s="170" t="s">
        <v>3103</v>
      </c>
      <c r="C1347" s="69"/>
      <c r="D1347" s="73" t="s">
        <v>3104</v>
      </c>
      <c r="E1347" s="73"/>
    </row>
    <row r="1348" spans="2:5" x14ac:dyDescent="0.25">
      <c r="B1348" s="170" t="s">
        <v>3105</v>
      </c>
      <c r="C1348" s="69"/>
      <c r="D1348" s="73" t="s">
        <v>3106</v>
      </c>
      <c r="E1348" s="73"/>
    </row>
    <row r="1349" spans="2:5" x14ac:dyDescent="0.25">
      <c r="B1349" s="170" t="s">
        <v>3107</v>
      </c>
      <c r="C1349" s="69"/>
      <c r="D1349" s="73" t="s">
        <v>3108</v>
      </c>
      <c r="E1349" s="73"/>
    </row>
    <row r="1350" spans="2:5" x14ac:dyDescent="0.25">
      <c r="B1350" s="170" t="s">
        <v>3109</v>
      </c>
      <c r="C1350" s="69"/>
      <c r="D1350" s="73" t="s">
        <v>3110</v>
      </c>
      <c r="E1350" s="73"/>
    </row>
    <row r="1351" spans="2:5" x14ac:dyDescent="0.25">
      <c r="B1351" s="170" t="s">
        <v>3111</v>
      </c>
      <c r="C1351" s="69"/>
      <c r="D1351" s="73" t="s">
        <v>3112</v>
      </c>
      <c r="E1351" s="73"/>
    </row>
    <row r="1352" spans="2:5" ht="25" x14ac:dyDescent="0.25">
      <c r="B1352" s="170" t="s">
        <v>3113</v>
      </c>
      <c r="C1352" s="69"/>
      <c r="D1352" s="170" t="s">
        <v>3114</v>
      </c>
      <c r="E1352" s="73"/>
    </row>
    <row r="1353" spans="2:5" x14ac:dyDescent="0.25">
      <c r="B1353" s="170" t="s">
        <v>3115</v>
      </c>
      <c r="C1353" s="69"/>
      <c r="D1353" s="170" t="s">
        <v>3116</v>
      </c>
      <c r="E1353" s="73"/>
    </row>
    <row r="1354" spans="2:5" x14ac:dyDescent="0.25">
      <c r="B1354" s="170" t="s">
        <v>3117</v>
      </c>
      <c r="C1354" s="69"/>
      <c r="D1354" s="170" t="s">
        <v>3118</v>
      </c>
      <c r="E1354" s="73"/>
    </row>
    <row r="1355" spans="2:5" x14ac:dyDescent="0.25">
      <c r="B1355" s="170" t="s">
        <v>3119</v>
      </c>
      <c r="C1355" s="69"/>
      <c r="D1355" s="170" t="s">
        <v>3120</v>
      </c>
      <c r="E1355" s="73"/>
    </row>
    <row r="1356" spans="2:5" x14ac:dyDescent="0.25">
      <c r="B1356" s="170" t="s">
        <v>3121</v>
      </c>
      <c r="C1356" s="69"/>
      <c r="D1356" s="170" t="s">
        <v>3122</v>
      </c>
      <c r="E1356" s="73"/>
    </row>
    <row r="1357" spans="2:5" x14ac:dyDescent="0.25">
      <c r="B1357" s="170" t="s">
        <v>3123</v>
      </c>
      <c r="C1357" s="69"/>
      <c r="D1357" s="170" t="s">
        <v>3124</v>
      </c>
      <c r="E1357" s="73"/>
    </row>
    <row r="1358" spans="2:5" x14ac:dyDescent="0.25">
      <c r="B1358" s="170" t="s">
        <v>3125</v>
      </c>
      <c r="C1358" s="69"/>
      <c r="D1358" s="170" t="s">
        <v>3126</v>
      </c>
      <c r="E1358" s="73"/>
    </row>
    <row r="1359" spans="2:5" x14ac:dyDescent="0.25">
      <c r="B1359" s="170" t="s">
        <v>3127</v>
      </c>
      <c r="C1359" s="69"/>
      <c r="D1359" s="170" t="s">
        <v>3128</v>
      </c>
      <c r="E1359" s="73"/>
    </row>
    <row r="1360" spans="2:5" x14ac:dyDescent="0.25">
      <c r="B1360" s="170" t="s">
        <v>3129</v>
      </c>
      <c r="C1360" s="69"/>
      <c r="D1360" s="170" t="s">
        <v>3130</v>
      </c>
      <c r="E1360" s="73"/>
    </row>
    <row r="1361" spans="2:5" ht="25" x14ac:dyDescent="0.25">
      <c r="B1361" s="170" t="s">
        <v>3131</v>
      </c>
      <c r="C1361" s="69"/>
      <c r="D1361" s="170" t="s">
        <v>3132</v>
      </c>
      <c r="E1361" s="73"/>
    </row>
    <row r="1362" spans="2:5" x14ac:dyDescent="0.25">
      <c r="B1362" s="170" t="s">
        <v>3133</v>
      </c>
      <c r="C1362" s="69"/>
      <c r="D1362" s="170" t="s">
        <v>3134</v>
      </c>
      <c r="E1362" s="73"/>
    </row>
    <row r="1363" spans="2:5" x14ac:dyDescent="0.25">
      <c r="B1363" s="170" t="s">
        <v>3135</v>
      </c>
      <c r="C1363" s="69"/>
      <c r="D1363" s="170" t="s">
        <v>3136</v>
      </c>
      <c r="E1363" s="73"/>
    </row>
    <row r="1364" spans="2:5" ht="25" x14ac:dyDescent="0.25">
      <c r="B1364" s="170" t="s">
        <v>3137</v>
      </c>
      <c r="C1364" s="69"/>
      <c r="D1364" s="170" t="s">
        <v>3138</v>
      </c>
      <c r="E1364" s="73"/>
    </row>
    <row r="1365" spans="2:5" x14ac:dyDescent="0.25">
      <c r="B1365" s="170" t="s">
        <v>3139</v>
      </c>
      <c r="C1365" s="69"/>
      <c r="D1365" s="170" t="s">
        <v>3140</v>
      </c>
      <c r="E1365" s="73"/>
    </row>
    <row r="1366" spans="2:5" ht="25" x14ac:dyDescent="0.25">
      <c r="B1366" s="170" t="s">
        <v>3141</v>
      </c>
      <c r="C1366" s="69"/>
      <c r="D1366" s="170" t="s">
        <v>3142</v>
      </c>
      <c r="E1366" s="73"/>
    </row>
    <row r="1367" spans="2:5" x14ac:dyDescent="0.25">
      <c r="B1367" s="170" t="s">
        <v>3143</v>
      </c>
      <c r="C1367" s="69"/>
      <c r="D1367" s="73" t="s">
        <v>3144</v>
      </c>
      <c r="E1367" s="73"/>
    </row>
    <row r="1368" spans="2:5" x14ac:dyDescent="0.25">
      <c r="B1368" s="170" t="s">
        <v>3145</v>
      </c>
      <c r="C1368" s="69"/>
      <c r="D1368" s="73" t="s">
        <v>3146</v>
      </c>
      <c r="E1368" s="73"/>
    </row>
    <row r="1369" spans="2:5" x14ac:dyDescent="0.25">
      <c r="B1369" s="170" t="s">
        <v>3147</v>
      </c>
      <c r="C1369" s="69" t="s">
        <v>3148</v>
      </c>
      <c r="D1369" s="73" t="s">
        <v>3149</v>
      </c>
      <c r="E1369" s="73"/>
    </row>
    <row r="1370" spans="2:5" x14ac:dyDescent="0.25">
      <c r="B1370" s="170" t="s">
        <v>3150</v>
      </c>
      <c r="C1370" s="69"/>
      <c r="D1370" s="73" t="s">
        <v>3151</v>
      </c>
      <c r="E1370" s="73"/>
    </row>
    <row r="1371" spans="2:5" x14ac:dyDescent="0.25">
      <c r="B1371" s="170" t="s">
        <v>3152</v>
      </c>
      <c r="C1371" s="69"/>
      <c r="D1371" s="73" t="s">
        <v>3153</v>
      </c>
      <c r="E1371" s="73"/>
    </row>
    <row r="1372" spans="2:5" x14ac:dyDescent="0.25">
      <c r="B1372" s="170" t="s">
        <v>3154</v>
      </c>
      <c r="C1372" s="69"/>
      <c r="D1372" s="73" t="s">
        <v>3155</v>
      </c>
      <c r="E1372" s="73"/>
    </row>
    <row r="1373" spans="2:5" x14ac:dyDescent="0.25">
      <c r="B1373" s="170" t="s">
        <v>3156</v>
      </c>
      <c r="C1373" s="69"/>
      <c r="D1373" s="73" t="s">
        <v>3157</v>
      </c>
      <c r="E1373" s="73"/>
    </row>
    <row r="1374" spans="2:5" x14ac:dyDescent="0.25">
      <c r="B1374" s="170" t="s">
        <v>3158</v>
      </c>
      <c r="C1374" s="69"/>
      <c r="D1374" s="73" t="s">
        <v>3159</v>
      </c>
      <c r="E1374" s="73"/>
    </row>
    <row r="1375" spans="2:5" x14ac:dyDescent="0.25">
      <c r="B1375" s="170" t="s">
        <v>3160</v>
      </c>
      <c r="C1375" s="69"/>
      <c r="D1375" s="73" t="s">
        <v>3161</v>
      </c>
      <c r="E1375" s="73"/>
    </row>
    <row r="1376" spans="2:5" x14ac:dyDescent="0.25">
      <c r="B1376" s="170" t="s">
        <v>3162</v>
      </c>
      <c r="C1376" s="69"/>
      <c r="D1376" s="73" t="s">
        <v>3163</v>
      </c>
      <c r="E1376" s="73"/>
    </row>
    <row r="1377" spans="2:5" x14ac:dyDescent="0.25">
      <c r="B1377" s="170" t="s">
        <v>3168</v>
      </c>
      <c r="C1377" s="69"/>
      <c r="D1377" s="73" t="s">
        <v>3169</v>
      </c>
      <c r="E1377" s="73"/>
    </row>
    <row r="1378" spans="2:5" x14ac:dyDescent="0.25">
      <c r="B1378" s="170" t="s">
        <v>3171</v>
      </c>
      <c r="C1378" s="69"/>
      <c r="D1378" s="73" t="s">
        <v>3172</v>
      </c>
      <c r="E1378" s="73"/>
    </row>
    <row r="1379" spans="2:5" x14ac:dyDescent="0.25">
      <c r="B1379" s="170" t="s">
        <v>3173</v>
      </c>
      <c r="C1379" s="69"/>
      <c r="D1379" s="73" t="s">
        <v>3174</v>
      </c>
      <c r="E1379" s="73"/>
    </row>
    <row r="1380" spans="2:5" x14ac:dyDescent="0.25">
      <c r="B1380" s="170" t="s">
        <v>3177</v>
      </c>
      <c r="C1380" s="69"/>
      <c r="D1380" s="73" t="s">
        <v>3178</v>
      </c>
      <c r="E1380" s="73"/>
    </row>
    <row r="1381" spans="2:5" x14ac:dyDescent="0.25">
      <c r="B1381" s="170" t="s">
        <v>3179</v>
      </c>
      <c r="C1381" s="69"/>
      <c r="D1381" s="73" t="s">
        <v>3180</v>
      </c>
      <c r="E1381" s="73"/>
    </row>
    <row r="1382" spans="2:5" x14ac:dyDescent="0.25">
      <c r="B1382" s="170" t="s">
        <v>3185</v>
      </c>
      <c r="C1382" s="69"/>
      <c r="D1382" s="73" t="s">
        <v>3186</v>
      </c>
      <c r="E1382" s="73"/>
    </row>
    <row r="1383" spans="2:5" x14ac:dyDescent="0.25">
      <c r="B1383" s="170" t="s">
        <v>3187</v>
      </c>
      <c r="C1383" s="69"/>
      <c r="D1383" s="73" t="s">
        <v>3188</v>
      </c>
      <c r="E1383" s="73"/>
    </row>
    <row r="1384" spans="2:5" x14ac:dyDescent="0.25">
      <c r="B1384" s="170" t="s">
        <v>3189</v>
      </c>
      <c r="C1384" s="69"/>
      <c r="D1384" s="73" t="s">
        <v>3190</v>
      </c>
      <c r="E1384" s="73"/>
    </row>
    <row r="1385" spans="2:5" x14ac:dyDescent="0.25">
      <c r="B1385" s="170" t="s">
        <v>3193</v>
      </c>
      <c r="C1385" s="69"/>
      <c r="D1385" s="73" t="s">
        <v>3194</v>
      </c>
      <c r="E1385" s="73"/>
    </row>
    <row r="1386" spans="2:5" x14ac:dyDescent="0.25">
      <c r="B1386" s="170" t="s">
        <v>3195</v>
      </c>
      <c r="C1386" s="69"/>
      <c r="D1386" s="73" t="s">
        <v>3196</v>
      </c>
      <c r="E1386" s="73"/>
    </row>
    <row r="1387" spans="2:5" x14ac:dyDescent="0.25">
      <c r="B1387" s="170" t="s">
        <v>3197</v>
      </c>
      <c r="C1387" s="69"/>
      <c r="D1387" s="73" t="s">
        <v>3198</v>
      </c>
      <c r="E1387" s="73"/>
    </row>
    <row r="1388" spans="2:5" x14ac:dyDescent="0.25">
      <c r="B1388" s="170" t="s">
        <v>3199</v>
      </c>
      <c r="C1388" s="69"/>
      <c r="D1388" s="73" t="s">
        <v>3200</v>
      </c>
      <c r="E1388" s="73"/>
    </row>
    <row r="1389" spans="2:5" x14ac:dyDescent="0.25">
      <c r="B1389" s="170" t="s">
        <v>3201</v>
      </c>
      <c r="C1389" s="69"/>
      <c r="D1389" s="73" t="s">
        <v>3202</v>
      </c>
      <c r="E1389" s="73"/>
    </row>
    <row r="1390" spans="2:5" x14ac:dyDescent="0.25">
      <c r="B1390" s="170" t="s">
        <v>3203</v>
      </c>
      <c r="C1390" s="69"/>
      <c r="D1390" s="73" t="s">
        <v>3204</v>
      </c>
      <c r="E1390" s="73"/>
    </row>
    <row r="1391" spans="2:5" x14ac:dyDescent="0.25">
      <c r="B1391" s="170" t="s">
        <v>3207</v>
      </c>
      <c r="C1391" s="69"/>
      <c r="D1391" s="73" t="s">
        <v>3208</v>
      </c>
      <c r="E1391" s="73"/>
    </row>
    <row r="1392" spans="2:5" x14ac:dyDescent="0.25">
      <c r="B1392" s="173" t="s">
        <v>2874</v>
      </c>
      <c r="C1392" s="69"/>
      <c r="D1392" s="174" t="s">
        <v>2875</v>
      </c>
      <c r="E1392" s="174"/>
    </row>
    <row r="1393" spans="2:5" x14ac:dyDescent="0.25">
      <c r="B1393" s="173" t="s">
        <v>4</v>
      </c>
      <c r="C1393" s="69"/>
      <c r="D1393" s="174" t="s">
        <v>3167</v>
      </c>
      <c r="E1393" s="174"/>
    </row>
    <row r="1394" spans="2:5" x14ac:dyDescent="0.25">
      <c r="B1394" s="173" t="s">
        <v>3168</v>
      </c>
      <c r="C1394" s="69"/>
      <c r="D1394" s="174" t="s">
        <v>3282</v>
      </c>
      <c r="E1394" s="174"/>
    </row>
    <row r="1395" spans="2:5" x14ac:dyDescent="0.25">
      <c r="B1395" s="173" t="s">
        <v>2</v>
      </c>
      <c r="C1395" s="69"/>
      <c r="D1395" s="174" t="s">
        <v>3170</v>
      </c>
      <c r="E1395" s="174"/>
    </row>
    <row r="1396" spans="2:5" x14ac:dyDescent="0.25">
      <c r="B1396" s="173" t="s">
        <v>3171</v>
      </c>
      <c r="C1396" s="69"/>
      <c r="D1396" s="174" t="s">
        <v>3283</v>
      </c>
      <c r="E1396" s="174"/>
    </row>
    <row r="1397" spans="2:5" x14ac:dyDescent="0.25">
      <c r="B1397" s="173" t="s">
        <v>3173</v>
      </c>
      <c r="C1397" s="69"/>
      <c r="D1397" s="174" t="s">
        <v>3174</v>
      </c>
      <c r="E1397" s="174"/>
    </row>
    <row r="1398" spans="2:5" x14ac:dyDescent="0.25">
      <c r="B1398" s="173" t="s">
        <v>3177</v>
      </c>
      <c r="C1398" s="69"/>
      <c r="D1398" s="174" t="s">
        <v>3284</v>
      </c>
      <c r="E1398" s="174"/>
    </row>
    <row r="1399" spans="2:5" x14ac:dyDescent="0.25">
      <c r="B1399" s="173" t="s">
        <v>3179</v>
      </c>
      <c r="C1399" s="69"/>
      <c r="D1399" s="174" t="s">
        <v>3180</v>
      </c>
      <c r="E1399" s="174"/>
    </row>
    <row r="1400" spans="2:5" x14ac:dyDescent="0.25">
      <c r="B1400" s="173" t="s">
        <v>3181</v>
      </c>
      <c r="C1400" s="69"/>
      <c r="D1400" s="174" t="s">
        <v>3262</v>
      </c>
      <c r="E1400" s="174"/>
    </row>
    <row r="1401" spans="2:5" x14ac:dyDescent="0.25">
      <c r="B1401" s="173" t="s">
        <v>3182</v>
      </c>
      <c r="C1401" s="69"/>
      <c r="D1401" s="174" t="s">
        <v>3263</v>
      </c>
      <c r="E1401" s="174"/>
    </row>
    <row r="1402" spans="2:5" x14ac:dyDescent="0.25">
      <c r="B1402" s="173" t="s">
        <v>3183</v>
      </c>
      <c r="C1402" s="69"/>
      <c r="D1402" s="174" t="s">
        <v>3184</v>
      </c>
      <c r="E1402" s="174"/>
    </row>
    <row r="1403" spans="2:5" x14ac:dyDescent="0.25">
      <c r="B1403" s="173" t="s">
        <v>3185</v>
      </c>
      <c r="C1403" s="69"/>
      <c r="D1403" s="174" t="s">
        <v>3285</v>
      </c>
      <c r="E1403" s="174"/>
    </row>
    <row r="1404" spans="2:5" x14ac:dyDescent="0.25">
      <c r="B1404" s="170" t="s">
        <v>3542</v>
      </c>
      <c r="C1404" s="69"/>
      <c r="D1404" s="174" t="s">
        <v>3286</v>
      </c>
      <c r="E1404" s="174"/>
    </row>
    <row r="1405" spans="2:5" x14ac:dyDescent="0.25">
      <c r="B1405" s="173" t="s">
        <v>3189</v>
      </c>
      <c r="C1405" s="69"/>
      <c r="D1405" s="174" t="s">
        <v>3287</v>
      </c>
      <c r="E1405" s="174"/>
    </row>
    <row r="1406" spans="2:5" x14ac:dyDescent="0.25">
      <c r="B1406" s="173" t="s">
        <v>3191</v>
      </c>
      <c r="C1406" s="69"/>
      <c r="D1406" s="174" t="s">
        <v>3192</v>
      </c>
      <c r="E1406" s="174"/>
    </row>
    <row r="1407" spans="2:5" x14ac:dyDescent="0.25">
      <c r="B1407" s="173" t="s">
        <v>3193</v>
      </c>
      <c r="C1407" s="69"/>
      <c r="D1407" s="174" t="s">
        <v>3288</v>
      </c>
      <c r="E1407" s="174"/>
    </row>
    <row r="1408" spans="2:5" x14ac:dyDescent="0.25">
      <c r="B1408" s="173" t="s">
        <v>3195</v>
      </c>
      <c r="C1408" s="69"/>
      <c r="D1408" s="174" t="s">
        <v>3289</v>
      </c>
      <c r="E1408" s="174"/>
    </row>
    <row r="1409" spans="1:5" x14ac:dyDescent="0.25">
      <c r="B1409" s="173" t="s">
        <v>1</v>
      </c>
      <c r="C1409" s="69"/>
      <c r="D1409" s="174" t="s">
        <v>3265</v>
      </c>
      <c r="E1409" s="174"/>
    </row>
    <row r="1410" spans="1:5" x14ac:dyDescent="0.25">
      <c r="B1410" s="173" t="s">
        <v>3197</v>
      </c>
      <c r="C1410" s="69"/>
      <c r="D1410" s="174" t="s">
        <v>3290</v>
      </c>
      <c r="E1410" s="174"/>
    </row>
    <row r="1411" spans="1:5" x14ac:dyDescent="0.25">
      <c r="B1411" s="173" t="s">
        <v>3199</v>
      </c>
      <c r="C1411" s="69"/>
      <c r="D1411" s="174" t="s">
        <v>3291</v>
      </c>
      <c r="E1411" s="174"/>
    </row>
    <row r="1412" spans="1:5" x14ac:dyDescent="0.25">
      <c r="B1412" s="173" t="s">
        <v>3201</v>
      </c>
      <c r="C1412" s="69"/>
      <c r="D1412" s="174" t="s">
        <v>3292</v>
      </c>
      <c r="E1412" s="174"/>
    </row>
    <row r="1413" spans="1:5" x14ac:dyDescent="0.25">
      <c r="B1413" s="173" t="s">
        <v>3203</v>
      </c>
      <c r="C1413" s="69"/>
      <c r="D1413" s="174" t="s">
        <v>3293</v>
      </c>
      <c r="E1413" s="174"/>
    </row>
    <row r="1414" spans="1:5" x14ac:dyDescent="0.25">
      <c r="B1414" s="173" t="s">
        <v>3205</v>
      </c>
      <c r="C1414" s="69"/>
      <c r="D1414" s="174" t="s">
        <v>3206</v>
      </c>
      <c r="E1414" s="174"/>
    </row>
    <row r="1415" spans="1:5" x14ac:dyDescent="0.25">
      <c r="B1415" s="173" t="s">
        <v>3207</v>
      </c>
      <c r="C1415" s="69"/>
      <c r="D1415" s="174" t="s">
        <v>3208</v>
      </c>
      <c r="E1415" s="174"/>
    </row>
    <row r="1416" spans="1:5" x14ac:dyDescent="0.25">
      <c r="B1416" s="173" t="s">
        <v>3209</v>
      </c>
      <c r="C1416" s="69"/>
      <c r="D1416" s="174" t="s">
        <v>3266</v>
      </c>
      <c r="E1416" s="174"/>
    </row>
    <row r="1417" spans="1:5" x14ac:dyDescent="0.25">
      <c r="B1417" s="173" t="s">
        <v>72</v>
      </c>
      <c r="C1417" s="69"/>
      <c r="D1417" s="174" t="s">
        <v>3294</v>
      </c>
      <c r="E1417" s="174"/>
    </row>
    <row r="1418" spans="1:5" x14ac:dyDescent="0.25">
      <c r="B1418" s="173" t="s">
        <v>3295</v>
      </c>
      <c r="C1418" s="69"/>
      <c r="D1418" s="174" t="s">
        <v>3296</v>
      </c>
      <c r="E1418" s="174"/>
    </row>
    <row r="1419" spans="1:5" ht="37.5" x14ac:dyDescent="0.25">
      <c r="B1419" s="173" t="s">
        <v>3220</v>
      </c>
      <c r="C1419" s="69"/>
      <c r="D1419" s="173" t="s">
        <v>3297</v>
      </c>
      <c r="E1419" s="174"/>
    </row>
    <row r="1420" spans="1:5" x14ac:dyDescent="0.25">
      <c r="B1420" s="173" t="s">
        <v>3217</v>
      </c>
      <c r="C1420" s="69"/>
      <c r="D1420" s="173" t="s">
        <v>3270</v>
      </c>
      <c r="E1420" s="174"/>
    </row>
    <row r="1421" spans="1:5" ht="25" x14ac:dyDescent="0.25">
      <c r="B1421" s="173" t="s">
        <v>71</v>
      </c>
      <c r="C1421" s="69"/>
      <c r="D1421" s="173" t="s">
        <v>3271</v>
      </c>
      <c r="E1421" s="174"/>
    </row>
    <row r="1422" spans="1:5" x14ac:dyDescent="0.25">
      <c r="B1422" s="173" t="s">
        <v>3218</v>
      </c>
      <c r="C1422" s="69"/>
      <c r="D1422" s="173" t="s">
        <v>3272</v>
      </c>
      <c r="E1422" s="174"/>
    </row>
    <row r="1423" spans="1:5" x14ac:dyDescent="0.25">
      <c r="B1423" s="170" t="s">
        <v>3478</v>
      </c>
      <c r="C1423" s="69"/>
      <c r="D1423" s="170" t="s">
        <v>3479</v>
      </c>
      <c r="E1423" s="174"/>
    </row>
    <row r="1424" spans="1:5" ht="25" x14ac:dyDescent="0.25">
      <c r="A1424" s="311"/>
      <c r="B1424" s="173" t="s">
        <v>3298</v>
      </c>
      <c r="C1424" s="69"/>
      <c r="D1424" s="173" t="s">
        <v>3299</v>
      </c>
      <c r="E1424" s="174"/>
    </row>
    <row r="1425" spans="1:5" ht="25" x14ac:dyDescent="0.25">
      <c r="A1425" s="311"/>
      <c r="B1425" s="173" t="s">
        <v>3300</v>
      </c>
      <c r="C1425" s="69"/>
      <c r="D1425" s="173" t="s">
        <v>3301</v>
      </c>
      <c r="E1425" s="174"/>
    </row>
    <row r="1426" spans="1:5" ht="25" x14ac:dyDescent="0.25">
      <c r="A1426" s="311"/>
      <c r="B1426" s="173" t="s">
        <v>3302</v>
      </c>
      <c r="C1426" s="69"/>
      <c r="D1426" s="173" t="s">
        <v>3303</v>
      </c>
      <c r="E1426" s="174"/>
    </row>
    <row r="1427" spans="1:5" x14ac:dyDescent="0.25">
      <c r="B1427" s="170" t="s">
        <v>3304</v>
      </c>
      <c r="C1427" s="69"/>
      <c r="D1427" s="170" t="s">
        <v>3533</v>
      </c>
      <c r="E1427" s="73"/>
    </row>
    <row r="1428" spans="1:5" ht="25" x14ac:dyDescent="0.25">
      <c r="A1428" s="313"/>
      <c r="B1428" s="312" t="s">
        <v>3465</v>
      </c>
      <c r="C1428" s="69"/>
      <c r="D1428" s="90" t="s">
        <v>3466</v>
      </c>
      <c r="E1428" s="73"/>
    </row>
    <row r="1429" spans="1:5" x14ac:dyDescent="0.25">
      <c r="B1429" s="263" t="s">
        <v>3331</v>
      </c>
      <c r="C1429" s="69"/>
      <c r="D1429" s="264" t="s">
        <v>3332</v>
      </c>
      <c r="E1429" s="264"/>
    </row>
    <row r="1430" spans="1:5" x14ac:dyDescent="0.25">
      <c r="B1430" s="263" t="s">
        <v>3333</v>
      </c>
      <c r="C1430" s="69"/>
      <c r="D1430" s="264" t="s">
        <v>3334</v>
      </c>
      <c r="E1430" s="264"/>
    </row>
    <row r="1431" spans="1:5" x14ac:dyDescent="0.25">
      <c r="B1431" s="263" t="s">
        <v>3335</v>
      </c>
      <c r="C1431" s="69"/>
      <c r="D1431" s="264" t="s">
        <v>3336</v>
      </c>
      <c r="E1431" s="264"/>
    </row>
    <row r="1432" spans="1:5" x14ac:dyDescent="0.25">
      <c r="B1432" s="170" t="s">
        <v>3207</v>
      </c>
      <c r="C1432" s="69"/>
      <c r="D1432" s="73" t="s">
        <v>3208</v>
      </c>
      <c r="E1432" s="73"/>
    </row>
    <row r="1433" spans="1:5" x14ac:dyDescent="0.25">
      <c r="B1433" s="506" t="s">
        <v>3470</v>
      </c>
      <c r="C1433" s="507"/>
      <c r="D1433" s="508" t="s">
        <v>3473</v>
      </c>
      <c r="E1433" s="508"/>
    </row>
    <row r="1434" spans="1:5" x14ac:dyDescent="0.25">
      <c r="B1434" s="506" t="s">
        <v>3471</v>
      </c>
      <c r="C1434" s="507"/>
      <c r="D1434" s="508" t="s">
        <v>3474</v>
      </c>
      <c r="E1434" s="508"/>
    </row>
    <row r="1435" spans="1:5" x14ac:dyDescent="0.25">
      <c r="B1435" s="506" t="s">
        <v>3472</v>
      </c>
      <c r="C1435" s="507"/>
      <c r="D1435" s="508" t="s">
        <v>3475</v>
      </c>
      <c r="E1435" s="508"/>
    </row>
    <row r="1436" spans="1:5" x14ac:dyDescent="0.25">
      <c r="B1436" s="170" t="s">
        <v>3468</v>
      </c>
      <c r="C1436" s="69"/>
      <c r="D1436" s="73" t="s">
        <v>3476</v>
      </c>
      <c r="E1436" s="73"/>
    </row>
    <row r="1437" spans="1:5" x14ac:dyDescent="0.25">
      <c r="B1437" s="170" t="s">
        <v>3469</v>
      </c>
      <c r="C1437" s="69"/>
      <c r="D1437" s="73" t="s">
        <v>3477</v>
      </c>
      <c r="E1437" s="73"/>
    </row>
  </sheetData>
  <sheetProtection sheet="1" objects="1" scenarios="1"/>
  <pageMargins left="0.7" right="0.7" top="0.75" bottom="0.75" header="0.3" footer="0.3"/>
  <pageSetup paperSize="9"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A48584803</value>
    </field>
    <field name="Objective-Title">
      <value order="0">BR2 Return 2024-25</value>
    </field>
    <field name="Objective-Description">
      <value order="0"/>
    </field>
    <field name="Objective-CreationStamp">
      <value order="0">2023-12-05T17:40:56Z</value>
    </field>
    <field name="Objective-IsApproved">
      <value order="0">false</value>
    </field>
    <field name="Objective-IsPublished">
      <value order="0">true</value>
    </field>
    <field name="Objective-DatePublished">
      <value order="0">2024-02-28T17:16:16Z</value>
    </field>
    <field name="Objective-ModificationStamp">
      <value order="0">2024-02-28T17:16:16Z</value>
    </field>
    <field name="Objective-Owner">
      <value order="0">Kelly, Frank (COOG - DDAT - KAS - Statistical Services)</value>
    </field>
    <field name="Objective-Path">
      <value order="0">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alue>
    </field>
    <field name="Objective-Parent">
      <value order="0">LGFS-BR-24-Docs</value>
    </field>
    <field name="Objective-State">
      <value order="0">Published</value>
    </field>
    <field name="Objective-VersionId">
      <value order="0">vA94000457</value>
    </field>
    <field name="Objective-Version">
      <value order="0">2.0</value>
    </field>
    <field name="Objective-VersionNumber">
      <value order="0">10</value>
    </field>
    <field name="Objective-VersionComment">
      <value order="0"/>
    </field>
    <field name="Objective-FileNumber">
      <value order="0">qA1364033</value>
    </field>
    <field name="Objective-Classification">
      <value order="0">Official</value>
    </field>
    <field name="Objective-Caveats">
      <value order="0"/>
    </field>
  </systemFields>
  <catalogues>
    <catalogue name="Document Type Catalogue" type="type" ori="id:cA14">
      <field name="Objective-Date Acquired">
        <value order="0">2023-01-18T00:00:00Z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PROCESS</vt:lpstr>
      <vt:lpstr>FrontPage</vt:lpstr>
      <vt:lpstr>BR2</vt:lpstr>
      <vt:lpstr>Survey Response Burden</vt:lpstr>
      <vt:lpstr>Comments</vt:lpstr>
      <vt:lpstr>Transfer</vt:lpstr>
      <vt:lpstr>Details</vt:lpstr>
      <vt:lpstr>Text</vt:lpstr>
      <vt:lpstr>Translate</vt:lpstr>
      <vt:lpstr>ValData</vt:lpstr>
      <vt:lpstr>_tab1</vt:lpstr>
      <vt:lpstr>Addresses</vt:lpstr>
      <vt:lpstr>Authority</vt:lpstr>
      <vt:lpstr>Data</vt:lpstr>
      <vt:lpstr>letter</vt:lpstr>
      <vt:lpstr>LineData</vt:lpstr>
      <vt:lpstr>'BR2'!Print_Area</vt:lpstr>
      <vt:lpstr>Comments!Print_Area</vt:lpstr>
      <vt:lpstr>FrontPage!Print_Area</vt:lpstr>
      <vt:lpstr>'Survey Response Burden'!Print_Area</vt:lpstr>
      <vt:lpstr>Taxbase</vt:lpstr>
      <vt:lpstr>UAList</vt:lpstr>
      <vt:lpstr>UANumber</vt:lpstr>
      <vt:lpstr>ValYOY</vt:lpstr>
      <vt:lpstr>vtab</vt:lpstr>
      <vt:lpstr>Year</vt:lpstr>
    </vt:vector>
  </TitlesOfParts>
  <Company>Welsh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Lewis</dc:creator>
  <cp:keywords>YoY Template DND; 8</cp:keywords>
  <cp:lastModifiedBy>Cox, Jonathan (COOG - DDAT - KAS - Statistical Service</cp:lastModifiedBy>
  <cp:lastPrinted>2023-02-15T11:01:05Z</cp:lastPrinted>
  <dcterms:created xsi:type="dcterms:W3CDTF">1999-09-27T10:24:37Z</dcterms:created>
  <dcterms:modified xsi:type="dcterms:W3CDTF">2024-02-29T08:03:52Z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A48584803</vt:lpwstr>
  </property>
  <property fmtid="{D5CDD505-2E9C-101B-9397-08002B2CF9AE}" pid="3" name="Objective-Title">
    <vt:lpwstr>BR2 Return 2024-25</vt:lpwstr>
  </property>
  <property fmtid="{D5CDD505-2E9C-101B-9397-08002B2CF9AE}" pid="4" name="Objective-Comment">
    <vt:lpwstr/>
  </property>
  <property fmtid="{D5CDD505-2E9C-101B-9397-08002B2CF9AE}" pid="5" name="Objective-CreationStamp">
    <vt:filetime>2023-12-05T17:40:56Z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2024-02-28T17:16:16Z</vt:filetime>
  </property>
  <property fmtid="{D5CDD505-2E9C-101B-9397-08002B2CF9AE}" pid="9" name="Objective-ModificationStamp">
    <vt:filetime>2024-02-28T17:16:16Z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t:lpwstr>
  </property>
  <property fmtid="{D5CDD505-2E9C-101B-9397-08002B2CF9AE}" pid="12" name="Objective-Parent">
    <vt:lpwstr>LGFS-BR-24-Docs</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10</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2019-01-30T00:00:00Z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vA94000457</vt:lpwstr>
  </property>
  <property fmtid="{D5CDD505-2E9C-101B-9397-08002B2CF9AE}" pid="27" name="Objective-Language">
    <vt:lpwstr>English (eng)</vt:lpwstr>
  </property>
  <property fmtid="{D5CDD505-2E9C-101B-9397-08002B2CF9AE}" pid="28" name="Objective-Date Acquired">
    <vt:filetime>2023-01-18T00:00:00Z</vt:filetime>
  </property>
  <property fmtid="{D5CDD505-2E9C-101B-9397-08002B2CF9AE}" pid="29" name="Objective-What to Keep">
    <vt:lpwstr>No</vt:lpwstr>
  </property>
  <property fmtid="{D5CDD505-2E9C-101B-9397-08002B2CF9AE}" pid="30" name="Objective-Official Translation">
    <vt:lpwstr/>
  </property>
  <property fmtid="{D5CDD505-2E9C-101B-9397-08002B2CF9AE}" pid="31" name="Objective-Connect Creator">
    <vt:lpwstr/>
  </property>
  <property fmtid="{D5CDD505-2E9C-101B-9397-08002B2CF9AE}" pid="32" name="Protective Marking Classification">
    <vt:lpwstr>OFFICIAL - NO MARKING SWYDDOGOL-DIM ANGEN MARC</vt:lpwstr>
  </property>
  <property fmtid="{D5CDD505-2E9C-101B-9397-08002B2CF9AE}" pid="33" name="Additional Descriptor">
    <vt:lpwstr/>
  </property>
  <property fmtid="{D5CDD505-2E9C-101B-9397-08002B2CF9AE}" pid="34" name="Impact Level">
    <vt:i4>0</vt:i4>
  </property>
</Properties>
</file>