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P:\stats\SD5\publishing\14 March\Learner outcome measures for apprenticeships and adult learning\"/>
    </mc:Choice>
  </mc:AlternateContent>
  <xr:revisionPtr revIDLastSave="0" documentId="8_{BD1EB86A-6C4D-43C5-A42E-07844B5E066F}" xr6:coauthVersionLast="47" xr6:coauthVersionMax="47" xr10:uidLastSave="{00000000-0000-0000-0000-000000000000}"/>
  <bookViews>
    <workbookView xWindow="28680" yWindow="-120" windowWidth="29040" windowHeight="15840" xr2:uid="{00000000-000D-0000-FFFF-FFFF00000000}"/>
  </bookViews>
  <sheets>
    <sheet name="Deall y data" sheetId="23" r:id="rId1"/>
    <sheet name="Nodiadau esboniadol" sheetId="24" r:id="rId2"/>
    <sheet name="Dewiswch Bartneriaeth DOG" sheetId="28" r:id="rId3"/>
    <sheet name="ADD" sheetId="27" r:id="rId4"/>
    <sheet name="Data" sheetId="21" state="hidden" r:id="rId5"/>
    <sheet name="Providers" sheetId="22" state="hidden" r:id="rId6"/>
  </sheets>
  <definedNames>
    <definedName name="_xlnm.Print_Area" localSheetId="3">ADD!$A$1:$O$68</definedName>
    <definedName name="_xlnm.Print_Area" localSheetId="0">'Deall y data'!$A$1:$A$30</definedName>
    <definedName name="_xlnm.Print_Area" localSheetId="1">'Nodiadau esboniadol'!$A$1:$A$68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27" l="1"/>
  <c r="B3" i="27"/>
  <c r="F16" i="27" s="1"/>
  <c r="H36" i="27" l="1"/>
  <c r="H34" i="27"/>
  <c r="H32" i="27"/>
  <c r="H31" i="27"/>
  <c r="H35" i="27"/>
  <c r="H33" i="27"/>
  <c r="F12" i="27"/>
  <c r="E15" i="27"/>
  <c r="E7" i="27"/>
  <c r="D10" i="27"/>
  <c r="F8" i="27"/>
  <c r="E11" i="27"/>
  <c r="D14" i="27"/>
  <c r="D6" i="27"/>
  <c r="M41" i="27"/>
  <c r="E27" i="27"/>
  <c r="C25" i="27"/>
  <c r="K25" i="27"/>
  <c r="O26" i="27"/>
  <c r="M64" i="27"/>
  <c r="M60" i="27"/>
  <c r="M56" i="27"/>
  <c r="M52" i="27"/>
  <c r="M48" i="27"/>
  <c r="M44" i="27"/>
  <c r="G25" i="27"/>
  <c r="E24" i="27"/>
  <c r="K27" i="27"/>
  <c r="K23" i="27"/>
  <c r="O24" i="27"/>
  <c r="M62" i="27"/>
  <c r="M58" i="27"/>
  <c r="M54" i="27"/>
  <c r="M50" i="27"/>
  <c r="M46" i="27"/>
  <c r="M42" i="27"/>
  <c r="K26" i="27"/>
  <c r="K24" i="27"/>
  <c r="O27" i="27"/>
  <c r="O25" i="27"/>
  <c r="O23" i="27"/>
  <c r="M63" i="27"/>
  <c r="M61" i="27"/>
  <c r="M59" i="27"/>
  <c r="M57" i="27"/>
  <c r="M55" i="27"/>
  <c r="M53" i="27"/>
  <c r="M51" i="27"/>
  <c r="M49" i="27"/>
  <c r="M47" i="27"/>
  <c r="M45" i="27"/>
  <c r="M43" i="27"/>
  <c r="G27" i="27"/>
  <c r="C27" i="27"/>
  <c r="E25" i="27"/>
  <c r="G24" i="27"/>
  <c r="C24" i="27"/>
</calcChain>
</file>

<file path=xl/sharedStrings.xml><?xml version="1.0" encoding="utf-8"?>
<sst xmlns="http://schemas.openxmlformats.org/spreadsheetml/2006/main" count="553" uniqueCount="182">
  <si>
    <t>Sector success rate</t>
  </si>
  <si>
    <t>16-18</t>
  </si>
  <si>
    <t>19+</t>
  </si>
  <si>
    <t xml:space="preserve">Most Deprived </t>
  </si>
  <si>
    <t xml:space="preserve">Other </t>
  </si>
  <si>
    <t>Least Deprived</t>
  </si>
  <si>
    <t>Entry Level</t>
  </si>
  <si>
    <t>Arts, Media and Publishing</t>
  </si>
  <si>
    <t>Information and Communication Technology</t>
  </si>
  <si>
    <t>Languages, Literature and Culture</t>
  </si>
  <si>
    <t>Adult Basic Education</t>
  </si>
  <si>
    <t>English for Speakers of Other Languages</t>
  </si>
  <si>
    <t xml:space="preserve">Level 1 </t>
  </si>
  <si>
    <t xml:space="preserve">Level 2 </t>
  </si>
  <si>
    <t>X</t>
  </si>
  <si>
    <t>prov name</t>
  </si>
  <si>
    <t>P01</t>
  </si>
  <si>
    <t>P02</t>
  </si>
  <si>
    <t>P03</t>
  </si>
  <si>
    <t>P04</t>
  </si>
  <si>
    <t>P05</t>
  </si>
  <si>
    <t>P06</t>
  </si>
  <si>
    <t>P07</t>
  </si>
  <si>
    <t>P08</t>
  </si>
  <si>
    <t>P09</t>
  </si>
  <si>
    <t>P10</t>
  </si>
  <si>
    <t>P11</t>
  </si>
  <si>
    <t>P13</t>
  </si>
  <si>
    <t>P14</t>
  </si>
  <si>
    <t>P15</t>
  </si>
  <si>
    <t>P18</t>
  </si>
  <si>
    <t>F0009040</t>
  </si>
  <si>
    <t>code</t>
  </si>
  <si>
    <t>Male 16-18</t>
  </si>
  <si>
    <t>Male 19+</t>
  </si>
  <si>
    <t>Male - All</t>
  </si>
  <si>
    <t>Female 16-18</t>
  </si>
  <si>
    <t>Female 19+</t>
  </si>
  <si>
    <t>Female - All</t>
  </si>
  <si>
    <t>Total 16-18</t>
  </si>
  <si>
    <t>Total 19+</t>
  </si>
  <si>
    <t>Total - All</t>
  </si>
  <si>
    <t>Comp</t>
  </si>
  <si>
    <t>Att</t>
  </si>
  <si>
    <t>Succ</t>
  </si>
  <si>
    <t>Other levels (incl. not known)</t>
  </si>
  <si>
    <t>Deall y data</t>
  </si>
  <si>
    <t>Rhagarweiniad</t>
  </si>
  <si>
    <t>Beth yw Adroddiadau Canlyniadau Dysgwyr?</t>
  </si>
  <si>
    <r>
      <t>3</t>
    </r>
    <r>
      <rPr>
        <sz val="7"/>
        <color theme="1"/>
        <rFont val="Times New Roman"/>
        <family val="1"/>
      </rPr>
      <t xml:space="preserve">     </t>
    </r>
    <r>
      <rPr>
        <sz val="12"/>
        <rFont val="Arial"/>
        <family val="2"/>
      </rPr>
      <t>Mae'r Adroddiadau Canlyniadau Dysgwyr yn seiliedig ar flwyddyn academaidd sy’n dechrau ar 1 Awst ac sy’n dod i ben ar 31 Gorffennaf.  Mae oedi o rai misoedd cyn cyhoeddi'r adroddiadau, i roi amser i ddarparwyr dysgu gyflwyno'u data a’u gwirio ac i’r data hynny gael eu dadansoddi.  Y drefn fel arfer yw cyhoeddi'r adroddiadau yn nhymor y gwanwyn ar ôl y flwyddyn academaidd berthnasol.</t>
    </r>
  </si>
  <si>
    <t>Darllen yr adroddiadau</t>
  </si>
  <si>
    <r>
      <t>·</t>
    </r>
    <r>
      <rPr>
        <sz val="7"/>
        <color rgb="FF000000"/>
        <rFont val="Times New Roman"/>
        <family val="1"/>
      </rPr>
      <t xml:space="preserve">            </t>
    </r>
    <r>
      <rPr>
        <sz val="12"/>
        <rFont val="Arial"/>
        <family val="2"/>
      </rPr>
      <t>Y dysgu a ddarperir yn uniongyrchol gan awdurdodau lleol – a’r awdurdod lleol sy’n cyflwyno’r data i Gofnod Dysgu Gydol Oes Cymru</t>
    </r>
    <r>
      <rPr>
        <sz val="12"/>
        <color rgb="FF000000"/>
        <rFont val="Arial"/>
        <family val="2"/>
      </rPr>
      <t xml:space="preserve">; </t>
    </r>
  </si>
  <si>
    <r>
      <t>·</t>
    </r>
    <r>
      <rPr>
        <sz val="7"/>
        <color rgb="FF000000"/>
        <rFont val="Times New Roman"/>
        <family val="1"/>
      </rPr>
      <t xml:space="preserve">            </t>
    </r>
    <r>
      <rPr>
        <sz val="12"/>
        <rFont val="Arial"/>
        <family val="2"/>
      </rPr>
      <t xml:space="preserve">Y dysgu a ddarperir gan awdurdodau lleol drwy defnyddio trefniadau breinio ar gyfer sefydliad addysg bellach – a’r sefydliad addysg bellach sy’n cyflwyno’r data i Gofnod Dysgu Gydol Oes Cymru; a </t>
    </r>
  </si>
  <si>
    <r>
      <t>·</t>
    </r>
    <r>
      <rPr>
        <sz val="7"/>
        <color theme="1"/>
        <rFont val="Times New Roman"/>
        <family val="1"/>
      </rPr>
      <t xml:space="preserve">            </t>
    </r>
    <r>
      <rPr>
        <sz val="12"/>
        <rFont val="Arial"/>
        <family val="2"/>
      </rPr>
      <t>Y dysgu a ddarperir yn uniongyrchol gan sefydliadau addysg bellach  – a’r sefydliad addysg bellach sy’n cyflwyno’r data i Gofnod Dysgu Gydol Oes Cymru</t>
    </r>
    <r>
      <rPr>
        <sz val="12"/>
        <color rgb="FF000000"/>
        <rFont val="Arial"/>
        <family val="2"/>
      </rPr>
      <t>.</t>
    </r>
    <r>
      <rPr>
        <sz val="12"/>
        <rFont val="Arial"/>
        <family val="2"/>
      </rPr>
      <t xml:space="preserve"> </t>
    </r>
  </si>
  <si>
    <r>
      <t>·</t>
    </r>
    <r>
      <rPr>
        <sz val="7"/>
        <color theme="1"/>
        <rFont val="Times New Roman"/>
        <family val="1"/>
      </rPr>
      <t xml:space="preserve">        </t>
    </r>
    <r>
      <rPr>
        <b/>
        <sz val="12"/>
        <color theme="1"/>
        <rFont val="Arial"/>
        <family val="2"/>
      </rPr>
      <t>Cwblhau</t>
    </r>
    <r>
      <rPr>
        <sz val="12"/>
        <rFont val="Arial"/>
        <family val="2"/>
      </rPr>
      <t xml:space="preserve">: o'r holl weithgareddau dysgu a ddechreuwyd, sawl un gafodd eu cwblhau (hynny yw, roedd y dysgwr yn dal yno ar ddiwedd y cwrs)? </t>
    </r>
  </si>
  <si>
    <r>
      <t>·</t>
    </r>
    <r>
      <rPr>
        <sz val="7"/>
        <color theme="1"/>
        <rFont val="Times New Roman"/>
        <family val="1"/>
      </rPr>
      <t xml:space="preserve">        </t>
    </r>
    <r>
      <rPr>
        <b/>
        <sz val="12"/>
        <color theme="1"/>
        <rFont val="Arial"/>
        <family val="2"/>
      </rPr>
      <t>Cyrhaeddiad</t>
    </r>
    <r>
      <rPr>
        <sz val="12"/>
        <rFont val="Arial"/>
        <family val="2"/>
      </rPr>
      <t>: o'r holl weithgareddau dysgu gafodd eu cwblhau, mewn sawl un yr enillodd y dysgwr y cymhwyster yr oedd yn anelu ato?</t>
    </r>
  </si>
  <si>
    <r>
      <t>·</t>
    </r>
    <r>
      <rPr>
        <sz val="7"/>
        <color theme="1"/>
        <rFont val="Times New Roman"/>
        <family val="1"/>
      </rPr>
      <t xml:space="preserve">        </t>
    </r>
    <r>
      <rPr>
        <b/>
        <sz val="12"/>
        <color theme="1"/>
        <rFont val="Arial"/>
        <family val="2"/>
      </rPr>
      <t>Llwyddiant</t>
    </r>
    <r>
      <rPr>
        <sz val="12"/>
        <rFont val="Arial"/>
        <family val="2"/>
      </rPr>
      <t>: mae hwn yn cyfuno cwblhau a chyrhaeddiad yn un mesur cyffredinol: o'r holl weithgareddau dysgu a ddechreuwyd, sawl un gafodd eu cwblhau a'u cyflawni'n llwyddiannus?</t>
    </r>
  </si>
  <si>
    <t>Siartiau patrwm</t>
  </si>
  <si>
    <t>Data am ddysgwyr yn eu cyd-destun</t>
  </si>
  <si>
    <t>Manylion y cyfraddau llwyddiant</t>
  </si>
  <si>
    <t>Rhagor o wybodaeth</t>
  </si>
  <si>
    <t xml:space="preserve">Fframwaith Ansawdd ac Effeithiolrwydd </t>
  </si>
  <si>
    <t>Cyflwyniad</t>
  </si>
  <si>
    <t>Adran 1: siartiau cryno</t>
  </si>
  <si>
    <r>
      <t>3</t>
    </r>
    <r>
      <rPr>
        <sz val="7"/>
        <color theme="1"/>
        <rFont val="Times New Roman"/>
        <family val="1"/>
      </rPr>
      <t xml:space="preserve">       </t>
    </r>
    <r>
      <rPr>
        <sz val="12"/>
        <rFont val="Arial"/>
        <family val="2"/>
      </rPr>
      <t xml:space="preserve">Diben y siartiau cryno yw dangos tueddiadau cyffredinol o ran cwblhau cyrsiau, cyrhaeddiad a chyfraddau llwyddo dros gyfnod o dair blynedd.  </t>
    </r>
  </si>
  <si>
    <r>
      <t>4</t>
    </r>
    <r>
      <rPr>
        <sz val="7"/>
        <color theme="1"/>
        <rFont val="Times New Roman"/>
        <family val="1"/>
      </rPr>
      <t xml:space="preserve">       </t>
    </r>
    <r>
      <rPr>
        <sz val="12"/>
        <rFont val="Arial"/>
        <family val="2"/>
      </rPr>
      <t>Seiliwyd y cohort dysgwyr ar gyfer yr holl gyfrifiadau ar weithgareddau dysgu yr oedd disgwyl y byddent:</t>
    </r>
  </si>
  <si>
    <r>
      <t>5</t>
    </r>
    <r>
      <rPr>
        <sz val="7"/>
        <color theme="1"/>
        <rFont val="Times New Roman"/>
        <family val="1"/>
      </rPr>
      <t xml:space="preserve">       </t>
    </r>
    <r>
      <rPr>
        <sz val="12"/>
        <rFont val="Arial"/>
        <family val="2"/>
      </rPr>
      <t xml:space="preserve">Ymdrinnir â gweithgareddau dysgu 24 wythnos o hyd neu fwy a ddaeth i ben, heb eu cwblhau, o fewn 8 wythnos o'u dechrau fel achosion o adael cwrs yn gynnar ac nid ydynt yn cael eu cynnwys mewn unrhyw gyfrifiadau. </t>
    </r>
  </si>
  <si>
    <r>
      <t>6</t>
    </r>
    <r>
      <rPr>
        <sz val="7"/>
        <color theme="1"/>
        <rFont val="Times New Roman"/>
        <family val="1"/>
      </rPr>
      <t xml:space="preserve">       </t>
    </r>
    <r>
      <rPr>
        <sz val="12"/>
        <rFont val="Arial"/>
        <family val="2"/>
      </rPr>
      <t>Mae'r siart yn dangos cyfraddau cwblhau, cyrhaeddiad a llwyddo. Diffinnir y rhain fel a ganlyn:</t>
    </r>
  </si>
  <si>
    <t>Adran 2: Gwybodaeth Gyd-destunol</t>
  </si>
  <si>
    <t>Oed a rhyw</t>
  </si>
  <si>
    <t>Ethnigrwydd</t>
  </si>
  <si>
    <r>
      <t>8</t>
    </r>
    <r>
      <rPr>
        <sz val="7"/>
        <color theme="1"/>
        <rFont val="Times New Roman"/>
        <family val="1"/>
      </rPr>
      <t xml:space="preserve">       </t>
    </r>
    <r>
      <rPr>
        <sz val="12"/>
        <rFont val="Arial"/>
        <family val="2"/>
      </rPr>
      <t>Mae'r ystadegau'n deillio o LN17 (tarddiad ethnig) ac yn cael eu grwpio fel a ganlyn:</t>
    </r>
  </si>
  <si>
    <r>
      <t>9</t>
    </r>
    <r>
      <rPr>
        <sz val="7"/>
        <color theme="1"/>
        <rFont val="Times New Roman"/>
        <family val="1"/>
      </rPr>
      <t xml:space="preserve">       </t>
    </r>
    <r>
      <rPr>
        <sz val="12"/>
        <rFont val="Arial"/>
        <family val="2"/>
      </rPr>
      <t xml:space="preserve">Mae canrannau'n cael eu cyfrifo fel cyfran o'r dysgwyr sydd â tharddiad ethnig </t>
    </r>
    <r>
      <rPr>
        <i/>
        <sz val="12"/>
        <color theme="1"/>
        <rFont val="Arial"/>
        <family val="2"/>
      </rPr>
      <t>hysbys</t>
    </r>
    <r>
      <rPr>
        <sz val="12"/>
        <rFont val="Arial"/>
        <family val="2"/>
      </rPr>
      <t xml:space="preserve"> (hynny yw heb gynnwys y dysgwyr hynny lle LN17 = 90 neu 99). </t>
    </r>
  </si>
  <si>
    <t>Amddifadedd</t>
  </si>
  <si>
    <t>Adran 3: Manylion fesul maes pwnc sector</t>
  </si>
  <si>
    <r>
      <t>14</t>
    </r>
    <r>
      <rPr>
        <sz val="7"/>
        <color theme="1"/>
        <rFont val="Times New Roman"/>
        <family val="1"/>
      </rPr>
      <t xml:space="preserve">    </t>
    </r>
    <r>
      <rPr>
        <sz val="12"/>
        <rFont val="Arial"/>
        <family val="2"/>
      </rPr>
      <t>Yn y golofn olaf, rydym yn dangos y cymaryddion cenedlaethol. Nodir y rhain i roi cyd-destun yn unig ac nid ydynt yn effeithio ar y categorïau lliw.</t>
    </r>
  </si>
  <si>
    <t>PARTNERIAETH DYSGU OEDOLION YN Y GYMUNED: ADDYSG OEDOLION CYMRU</t>
  </si>
  <si>
    <t>Pob oed</t>
  </si>
  <si>
    <t>Pa mor ddifreintiedig yw'r cartref</t>
  </si>
  <si>
    <t>Gwyn</t>
  </si>
  <si>
    <t xml:space="preserve">Mwyaf difreintiedig </t>
  </si>
  <si>
    <t xml:space="preserve">Gwrywaidd </t>
  </si>
  <si>
    <t xml:space="preserve">Benywaidd </t>
  </si>
  <si>
    <t xml:space="preserve">Cyfanswm </t>
  </si>
  <si>
    <t xml:space="preserve">Arall </t>
  </si>
  <si>
    <t>Lleiaf difreintiedig</t>
  </si>
  <si>
    <t>Lefel</t>
  </si>
  <si>
    <t>Maes Pwnc Sector</t>
  </si>
  <si>
    <t>Partneriaeth</t>
  </si>
  <si>
    <t>Lefel Mynediad</t>
  </si>
  <si>
    <t>Y Celfyddydau, Cyfryngau a Chyhoeddi</t>
  </si>
  <si>
    <t>Technoleg Gwybodaeth a Chyfathrebu</t>
  </si>
  <si>
    <t>Ieithoedd, Llenyddiaeth a Diwylliant</t>
  </si>
  <si>
    <t>Addysg Sylfaenol i Oedolion</t>
  </si>
  <si>
    <t>Saesneg ar gyfer Siaradwyr Ieithoedd Eraill</t>
  </si>
  <si>
    <t xml:space="preserve">Lefel 1 </t>
  </si>
  <si>
    <t xml:space="preserve">Lefel 2 </t>
  </si>
  <si>
    <t>Lefelau eraill</t>
  </si>
  <si>
    <t xml:space="preserve">(gan gynnwys rhai nas </t>
  </si>
  <si>
    <t>gwyddir)</t>
  </si>
  <si>
    <t xml:space="preserve">Addysg Sylfaenol i Oedolion </t>
  </si>
  <si>
    <t>Nodyn: Ar gyfer sectorau maes pwnc â llai na 10 o weithgareddau dysgu, mae'r ffigurau yn y tabl wedi eu cuddio a'u disodli gyda '*'</t>
  </si>
  <si>
    <t>PARTNERIAETH DYSGU OEDOLION YN Y GYMUNED: CSYWLLT DYSGU</t>
  </si>
  <si>
    <t>PARTNERIAETH DYSGU OEDOLION YN Y GYMUNED: PEN-Y-BONT AR OGWR</t>
  </si>
  <si>
    <t>PARTNERIAETH DYSGU OEDOLION YN Y GYMUNED: CAERDYDD A’R FRO</t>
  </si>
  <si>
    <t>PARTNERIAETH DYSGU OEDOLION YN Y GYMUNED: SIR GAERFYRDDIN</t>
  </si>
  <si>
    <t>PARTNERIAETH DYSGU OEDOLION YN Y GYMUNED: CEREDIGION</t>
  </si>
  <si>
    <t>PARTNERIAETH DYSGU OEDOLION YN Y GYMUNED: SIR Y FFLINT</t>
  </si>
  <si>
    <t>PARTNERIAETH DYSGU OEDOLION YN Y GYMUNED: GWENT</t>
  </si>
  <si>
    <t>PARTNERIAETH DYSGU OEDOLION YN Y GYMUNED: GWYNEDD A MÔN</t>
  </si>
  <si>
    <t>PARTNERIAETH DYSGU OEDOLION YN Y GYMUNED: MERTHYR TUDFUL</t>
  </si>
  <si>
    <t>PARTNERIAETH DYSGU OEDOLION YN Y GYMUNED: CASTELL-NEDD PORT TALBOT</t>
  </si>
  <si>
    <t>PARTNERIAETH DYSGU OEDOLION YN Y GYMUNED: SIR BENFRO</t>
  </si>
  <si>
    <t>PARTNERIAETH DYSGU OEDOLION YN Y GYMUNED: POWYS</t>
  </si>
  <si>
    <t>PARTNERIAETH DYSGU OEDOLION YN Y GYMUNED: RHONDDA CYNON TAF</t>
  </si>
  <si>
    <t>PARTNERIAETH DYSGU OEDOLION YN Y GYMUNED: ABERTAWE</t>
  </si>
  <si>
    <t>PARTNERIAETH DYSGU OEDOLION YN Y GYMUNED: WRECSAM</t>
  </si>
  <si>
    <t>Completion</t>
  </si>
  <si>
    <t>Attainment</t>
  </si>
  <si>
    <t>Success</t>
  </si>
  <si>
    <t>Dark Green</t>
  </si>
  <si>
    <t>Green</t>
  </si>
  <si>
    <t>Orange</t>
  </si>
  <si>
    <t>Red</t>
  </si>
  <si>
    <t>Learners' employment status at start of course</t>
  </si>
  <si>
    <t>Non-employed and not available for/not seeking work</t>
  </si>
  <si>
    <t>Full-time education or training</t>
  </si>
  <si>
    <t>Other (including part-time education or training)</t>
  </si>
  <si>
    <t>Not known</t>
  </si>
  <si>
    <t>Employed (including self employed)</t>
  </si>
  <si>
    <t>Non-employed and available for/seeking work</t>
  </si>
  <si>
    <t>Employment status</t>
  </si>
  <si>
    <t>I gael rhagor o wybodaeth, anfonwch e-bost i post16quality@llyw.cymru</t>
  </si>
  <si>
    <t>7    Mae'r ystadegau'n deillio o LN15 (dyddiad geni) ac LN16 (rhyw).  Cyfrifir grŵp oedran dysgwr gan ddefnyddio'i oedran ar 31 Awst y flwyddyn y cychwynnodd ei weithgaredd dysgu; lle nad yw dyddiad geni dysgwr yn hysbys, mae'n cael ei gynnwys yn y grŵp oedran 19+. Mae’r cyfansymiau yn cynnwys unrhyw ddysgwyr nad ydynt yn uniaethu â chategori penodol gwryw neu fenyw.</t>
  </si>
  <si>
    <t>Cyflogaeth</t>
  </si>
  <si>
    <t xml:space="preserve">12   Mae lefel y cymwysterau'n deillio o LA06 ac LA22. Pan fo LA06 yn cynnwys Rhif Achredu Cymhwyster dilys sydd i’w weld ar gronfa ddata Cymwysterau yng Nghymru, mae'r lefel a'r math yn deillio o Cymwysterau yng Nghymru.   Os yw LA06 yn cynnwys cod generig, mae'r lefel a'r math yn cael eu mapio o LA22 a 3ydd a 4ydd nod LA06 yn y drefn honno. </t>
  </si>
  <si>
    <t xml:space="preserve">13 Mae'r maes pwnc sector yn deillio o LA06 and LA21. Pan fo LA06 yn cynnwys Rhif Achredu Cymhwyster dilys sydd i’w weld ar gronfa ddata Cymwysterau yng Nghymru, mae'r maes pwnc sector yn deillio o Cymwysterau yng Nghymru.   Pan fo LA06 yn cynnwys cod WLAD dilys, mae'r maes pwnc sector yn deillio o'r WLAD.  Os yw LA06 yn cynnwys cod generig, mae'r maes pwnc sector yn cael ei fapio o LA31  (ac eithrio cymwysterau mewn sgiliau allweddol sy'n cael eu mapio'n uniongyrchol i faes pwnc sector 14(c)). </t>
  </si>
  <si>
    <t xml:space="preserve">Nodyn: Mae Nifer y Gweithgareddau Dysgu a Derfynwyd yn cynnwys yr holl weithgareddau a recordiwyd yn LA31 (statws cwblhau) gyda 2,3 5 neu 6.  </t>
  </si>
  <si>
    <t>*</t>
  </si>
  <si>
    <r>
      <t>10</t>
    </r>
    <r>
      <rPr>
        <sz val="7"/>
        <color theme="1"/>
        <rFont val="Times New Roman"/>
        <family val="1"/>
      </rPr>
      <t xml:space="preserve">    </t>
    </r>
    <r>
      <rPr>
        <sz val="12"/>
        <rFont val="Arial"/>
        <family val="2"/>
      </rPr>
      <t>Mae'r ystadegau'n deillio o fapio LP09 (Cod Post wrth ddechrau'r Rhaglen Ddysgu) mewn perthynas â Mynegai Amddifadedd Lluosog Cymru 2019. Mynegai Amddifadedd Lluosog Cymru yw mesur swyddogol amddifadedd mewn ardaloedd bach o Gymru. Mae'r ystadegau'n cael eu grwpio fesul pumed rhan, hynny yw mae'r ganran o ddysgwyr sy'n byw yn y pumed rhan sy'n cynnwys yr ardaloedd mwyaf difreintiedig yn cael ei chofnodi yn rhes gyntaf y tabl, y ganran o ddysgwyr sy'n byw yn y pumed rhan nesaf o ran amddifadedd yn yr ail res ac yn y blaen.</t>
    </r>
  </si>
  <si>
    <t>2018/19</t>
  </si>
  <si>
    <r>
      <t>1</t>
    </r>
    <r>
      <rPr>
        <sz val="7"/>
        <color theme="1"/>
        <rFont val="Times New Roman"/>
        <family val="1"/>
      </rPr>
      <t xml:space="preserve">     </t>
    </r>
    <r>
      <rPr>
        <sz val="12"/>
        <rFont val="Arial"/>
        <family val="2"/>
      </rPr>
      <t>Mae Llywodraeth Cymru wedi cyhoeddi dangosyddion perfformiad blynyddol ar gyfer partneriaethau dysgu oedolion ers 2013. Mae'r canllawiau hyn yn esbonio pa wybodaeth y mae'r dangosyddion yn berthnasol iddi, sut maen nhw'n cael eu cyfri, a sut i ddehongli ein hadroddiadau.</t>
    </r>
  </si>
  <si>
    <r>
      <t>2</t>
    </r>
    <r>
      <rPr>
        <sz val="7"/>
        <color theme="1"/>
        <rFont val="Times New Roman"/>
        <family val="1"/>
      </rPr>
      <t xml:space="preserve">     </t>
    </r>
    <r>
      <rPr>
        <sz val="12"/>
        <rFont val="Arial"/>
        <family val="2"/>
      </rPr>
      <t>Diben yr Adroddiadau Canlyniadau Dysgwyr yw rhoi trosolwg o gyfraddau cwblhau a chyrhaeddiad dysgwyr ym mhob partneriaeth dysgu oedolion  yng Nghymru.  'Ciplun' ydyn nhw sy'n dangos yr ystadegau ar gyfer blwyddyn benodol, ond maen nhw hefyd yn cynnwys gwybodaeth am batrymau sy'n dangos sut mae canlyniadau dysgwyr wedi newid dros gyfnod o dair blynedd.  Mae'r ystadegau yn seiliedig ar wybodaeth y mae'r sefydliadau yn ei rhoi i ni.</t>
    </r>
  </si>
  <si>
    <r>
      <t>4</t>
    </r>
    <r>
      <rPr>
        <sz val="7"/>
        <color rgb="FF000000"/>
        <rFont val="Times New Roman"/>
        <family val="1"/>
      </rPr>
      <t xml:space="preserve">     </t>
    </r>
    <r>
      <rPr>
        <sz val="12"/>
        <color rgb="FF000000"/>
        <rFont val="Arial"/>
        <family val="2"/>
      </rPr>
      <t xml:space="preserve">Mae tri math penodol o ddarpariaeth dysgu oedolion, sef: </t>
    </r>
  </si>
  <si>
    <t xml:space="preserve">11 Rydym wedi adfer y tabl ar statws cyflogaeth, yn seiliedig ar yr hyn a gofnodir yn LP11. Cafodd y maes hwn ei dynnu yn ôl mewn perthynas â dysgwyr rhan-amser yn 2011/12 i leihau'r baich ar ddarparwyr Dysgu Oedolion, ond ar gais y sector, ailddechreuwyd casglu data Cofnod Dysgu Gydol Oes Cymru (LLWR) maes LP11 o 2014/15 ymlaen. Bydd hyn yn galluogi Partneriaethau i ddangos eu bod yn targedu grwpiau blaenoriaeth Llywodraeth Cymru. </t>
  </si>
  <si>
    <t>Nodiadau esboniadol ar gyfer partneriaethau dysgu oedolion</t>
  </si>
  <si>
    <r>
      <t>1</t>
    </r>
    <r>
      <rPr>
        <sz val="7"/>
        <color theme="1"/>
        <rFont val="Times New Roman"/>
        <family val="1"/>
      </rPr>
      <t xml:space="preserve">       </t>
    </r>
    <r>
      <rPr>
        <sz val="12"/>
        <rFont val="Arial"/>
        <family val="2"/>
      </rPr>
      <t>Fel rhan o'r Fframwaith Ansawdd ac effeithiolrwydd ar gyfer dysgu ôl-16, mae Llywodraeth Cymru wedi datblygu Adroddiadau Deilliannau Dysgwyr (ADDau) safonol ar gyfer partneriaethau dysgu oedolion (DO). Mae'r ddogfen hon yn darparu canllawiau manwl ar gyfer partneriaethau DO o ran cyfrifo ystadegau perfformiad sy'n cael eu cynnwys yn yr ADDau.</t>
    </r>
  </si>
  <si>
    <t>Pan ddetholir partneriaeth DO, diweddarir y tab ADD i ddangos data’r bartneriaeth honno.</t>
  </si>
  <si>
    <t>2021/22</t>
  </si>
  <si>
    <t>Adroddiadau Canlyniadau Dysgwyr ar gyfer Partneriaethau Dysgu Oedolion</t>
  </si>
  <si>
    <r>
      <t>5</t>
    </r>
    <r>
      <rPr>
        <sz val="7"/>
        <color theme="1"/>
        <rFont val="Times New Roman"/>
        <family val="1"/>
      </rPr>
      <t xml:space="preserve">     </t>
    </r>
    <r>
      <rPr>
        <sz val="12"/>
        <rFont val="Arial"/>
        <family val="2"/>
      </rPr>
      <t>Mae gennym dri mesur perfformiad ar gyfer dysgu oedolion.  Mae pob un ohonyn nhw'n seiliedig ar weithgareddau dysgu neu gyrsiau (megis unedau Agored neu gymwysterau QCF).  Gallai dysgwr wneud sawl gweithgaredd dysgu gwahanol, a bydd pob un yn cael ei fesur ar wahân.</t>
    </r>
  </si>
  <si>
    <r>
      <t>6</t>
    </r>
    <r>
      <rPr>
        <sz val="7"/>
        <color theme="1"/>
        <rFont val="Times New Roman"/>
        <family val="1"/>
      </rPr>
      <t xml:space="preserve">     </t>
    </r>
    <r>
      <rPr>
        <sz val="12"/>
        <rFont val="Arial"/>
        <family val="2"/>
      </rPr>
      <t>Y mesurau yw:</t>
    </r>
  </si>
  <si>
    <r>
      <t>7</t>
    </r>
    <r>
      <rPr>
        <sz val="7"/>
        <color theme="1"/>
        <rFont val="Times New Roman"/>
        <family val="1"/>
      </rPr>
      <t xml:space="preserve">     </t>
    </r>
    <r>
      <rPr>
        <sz val="12"/>
        <rFont val="Arial"/>
        <family val="2"/>
      </rPr>
      <t>Mae rhan gyntaf yr adroddiad yn dangos patrwm y perfformiad yn y tair blynedd flaenorol.</t>
    </r>
  </si>
  <si>
    <r>
      <t>8</t>
    </r>
    <r>
      <rPr>
        <sz val="7"/>
        <color theme="1"/>
        <rFont val="Times New Roman"/>
        <family val="1"/>
      </rPr>
      <t xml:space="preserve">     </t>
    </r>
    <r>
      <rPr>
        <sz val="12"/>
        <rFont val="Arial"/>
        <family val="2"/>
      </rPr>
      <t>Mae'r siart hwn yn dangos y patrymau tair blynedd ar gyfer cwblhau, cyrhaeddiad a llwyddiant. Mae’r patrymau wedi'u cynnwys er mwyn rhoi darlun llawnach o nifer y dysgwyr sy'n cwblhau eu gweithgareddau; ac o'r rheini sydd wedi cwblhau'r cwrs, faint ohonyn nhw gafodd y cymwysterau perthnasol. Mae hefyd yn dangos faint o’r dysgwyr hynny a ddechreuodd weithgareddau a gwblhaodd eu hastudiaethau ac a enillodd eu cymwysterau.</t>
    </r>
  </si>
  <si>
    <t>14 Mawrth 2024</t>
  </si>
  <si>
    <t xml:space="preserve">Adroddiadau Deilliannau Dysgwyr 2022/23: </t>
  </si>
  <si>
    <r>
      <t>2</t>
    </r>
    <r>
      <rPr>
        <sz val="7"/>
        <color theme="1"/>
        <rFont val="Times New Roman"/>
        <family val="1"/>
      </rPr>
      <t xml:space="preserve">       </t>
    </r>
    <r>
      <rPr>
        <sz val="12"/>
        <rFont val="Arial"/>
        <family val="2"/>
      </rPr>
      <t>Mae holl ystadegau'r ADD yn deillio o Gofnod Dysgu Gydol Oes Cymru (LLWR) ac maen nhw wedi'u seilio ar ddyddiad cau blynyddol LLWR.  Ar gyfer 2022/23, y dyddiad cau oedd 21 Rhagfyr 2023.  Mae pob cyfeirnod yn y ddogfen hon sy'n cychwyn ag ‘LN’, ‘LP’, ‘LA’ neu ‘AW’ yn cyfeirio at feysydd LLWR.</t>
    </r>
  </si>
  <si>
    <r>
      <t>·</t>
    </r>
    <r>
      <rPr>
        <sz val="7"/>
        <color theme="1"/>
        <rFont val="Times New Roman"/>
        <family val="1"/>
      </rPr>
      <t xml:space="preserve">        </t>
    </r>
    <r>
      <rPr>
        <sz val="12"/>
        <rFont val="Arial"/>
        <family val="2"/>
      </rPr>
      <t>wedi'u cwblhau yn ystod 2022/23 (LA10); neu</t>
    </r>
  </si>
  <si>
    <r>
      <t>·</t>
    </r>
    <r>
      <rPr>
        <sz val="7"/>
        <color theme="1"/>
        <rFont val="Times New Roman"/>
        <family val="1"/>
      </rPr>
      <t xml:space="preserve">        </t>
    </r>
    <r>
      <rPr>
        <sz val="12"/>
        <rFont val="Arial"/>
        <family val="2"/>
      </rPr>
      <t>wedi'u cwblhau cyn 2022/23 ond a ddaeth i ben mewn gwirionedd yn ystod 2022/23 (LA30).</t>
    </r>
  </si>
  <si>
    <t>Cymry Du, Du Cymreig, Du Prydeinig, Caribïaidd neu Affricanaidd</t>
  </si>
  <si>
    <t>Asiaidd, Asiaidd Cymreig neu Asiaidd Prydeinig</t>
  </si>
  <si>
    <t>Grwpiau cymysg neu aml-ethnig</t>
  </si>
  <si>
    <t>Grwp ethnig arall</t>
  </si>
  <si>
    <t xml:space="preserve">   Asiaidd, Asiaidd Cymreig neu Asiaidd Prydeinig = 31, 32, 33, 34, 39</t>
  </si>
  <si>
    <t xml:space="preserve">   Cymry Du, Du Cymreig, Du Prydeinig, Caribïaidd neu Affricanaidd = 21, 22, 29</t>
  </si>
  <si>
    <t xml:space="preserve">   Grwpiau cymysg neu aml-ethnig = 41, 42, 43, 49</t>
  </si>
  <si>
    <t xml:space="preserve">   Gwyn = 11, 12, 13, 14, 15, 16</t>
  </si>
  <si>
    <t xml:space="preserve">   Grwp ethnig arall = 50, 80</t>
  </si>
  <si>
    <t>2022/23</t>
  </si>
  <si>
    <t>Data dysgwyr cyd-destunol - 2022/23</t>
  </si>
  <si>
    <t>Cyfraddau llwyddiant yn ôl lefel a maes pwnc sector - 2022/23</t>
  </si>
  <si>
    <t>Cymaryddion Cenedlaethol 2022/23</t>
  </si>
  <si>
    <t>Ffynhonnell: Cofnod Dysgu Gydol Oes Cymru - data fel yr oedd ar 21 Rhagfyr 2023</t>
  </si>
  <si>
    <t xml:space="preserve">9  Mae ail ran yr Adroddiad Canlyniadau Dysgwyr yn rhoi gwybodaeth gefndir am oedran y dysgwyr, eu rhyw, eu hethnigrwydd a lefelau amddifadedd.  Mae’n seiliedig ar broffil pob dysgwr a oedd yn astudio yn y bartneriaeth yn 2022/23.  </t>
  </si>
  <si>
    <r>
      <t>10</t>
    </r>
    <r>
      <rPr>
        <sz val="7"/>
        <color theme="1"/>
        <rFont val="Times New Roman"/>
        <family val="1"/>
      </rPr>
      <t xml:space="preserve">  </t>
    </r>
    <r>
      <rPr>
        <sz val="12"/>
        <rFont val="Arial"/>
        <family val="2"/>
      </rPr>
      <t xml:space="preserve">Mae'r data </t>
    </r>
    <r>
      <rPr>
        <b/>
        <sz val="12"/>
        <color theme="1"/>
        <rFont val="Arial"/>
        <family val="2"/>
      </rPr>
      <t xml:space="preserve">amddifadedd </t>
    </r>
    <r>
      <rPr>
        <sz val="12"/>
        <rFont val="Arial"/>
        <family val="2"/>
      </rPr>
      <t>yn seiliedig ar god post y dysgwr, ac mae'n defnyddio Mynegai Amddifadedd Lluosog Cymru i rannu'r dysgwyr yn bum band, o'r rhai mwyaf amddifad i'r rhai lleiaf amddifad.  Mae'r Mynegai yn edrych ar amryw o ffactorau gan gynnwys amddifadedd cymdeithasol, ac amddifadedd o ran iechyd a thai; mae'r ystadegau hyn felly yn dangos a yw'r bartneriaeth yn gweithio gyda chyfran uwch o ddysgwyr o ardaloedd difreintiedig, a allai gael effaith ar y cyfraddau llwyddiant.</t>
    </r>
  </si>
  <si>
    <r>
      <t>11</t>
    </r>
    <r>
      <rPr>
        <sz val="7"/>
        <color theme="1"/>
        <rFont val="Times New Roman"/>
        <family val="1"/>
      </rPr>
      <t xml:space="preserve">  </t>
    </r>
    <r>
      <rPr>
        <sz val="12"/>
        <rFont val="Arial"/>
        <family val="2"/>
      </rPr>
      <t>Mae ail adran yr Adroddiad Canlyniadau Dysgwyr yn rhoi mwy o fanylion am y cyfraddau cwblhau a chyrhaeddiad fesul gweithgaredd dysgu. Caiff y rhain eu nodi yn ôl maes pwnc (ee addysg sylfaenol i oedolion, Saesneg ar gyfer siaradwyr Ieithoedd eraill, technoleg gwybodaeth a chyfathrebu) a lefel. Maen nhw wedi eu rhannu’n grwpiau sy’n adlewyrchu meysydd pwnc mwyaf poblogaidd dysgu oedolion (y celfyddydau, y cyfryngau a chyhoeddi, technoleg gwybodaeth a chyfathrebu, ieithoedd, llenyddiaeth a diwylliant, addysg sylfaenol i oedolion a Saesneg ar gyfer siaradwyr ieithoedd eraill), ac mae’r holl bynciau eraill wedi eu nodi o dan ‘arall’.</t>
    </r>
  </si>
  <si>
    <r>
      <t>12</t>
    </r>
    <r>
      <rPr>
        <sz val="7"/>
        <color theme="1"/>
        <rFont val="Times New Roman"/>
        <family val="1"/>
      </rPr>
      <t xml:space="preserve">  </t>
    </r>
    <r>
      <rPr>
        <sz val="12"/>
        <rFont val="Arial"/>
        <family val="2"/>
      </rPr>
      <t>Mae hyn yn help ichi edrych y cymwysterau neu bynciau penodol y mae gennych ddiddordeb ynddyn nhw, a gweld sut mae canlyniadau dysgwyr y bartneriaeth yn amrywio.  Mewn rhai achosion, fe welwch fod y cyfraddau llwyddiant mewn maes penodol lawer yn uwch neu'n is na chyfradd lwyddiant gyffredinol y bartneriaeth.</t>
    </r>
  </si>
  <si>
    <r>
      <t>13</t>
    </r>
    <r>
      <rPr>
        <sz val="7"/>
        <color theme="1"/>
        <rFont val="Times New Roman"/>
        <family val="1"/>
      </rPr>
      <t xml:space="preserve">  </t>
    </r>
    <r>
      <rPr>
        <sz val="12"/>
        <rFont val="Arial"/>
        <family val="2"/>
      </rPr>
      <t>Yn y golofn olaf, rydyn ni'n dangos y cymaryddion cenedlaethol (y cyfartaledd ar gyfer yr holl bartneriaethau dysgu oedolion yng Nghymru, am y math hwnnw o gymhwyster neu faes pwnc). Mae'r rhain yn rhoi gwybodaeth gefndir, er mwyn i chi weld pa mor dda y mae'r sefydliad wedi cyflawni o gymharu â gweddill Cymru.</t>
    </r>
  </si>
  <si>
    <t>14  Os oes gennych unrhyw gwestiynau, neu sylwadau am yr Adroddiadau Canlyniadau Dysgwyr, anfonwch e-bost: post16quality@llyw.cymru</t>
  </si>
  <si>
    <t xml:space="preserve">n/a </t>
  </si>
  <si>
    <t xml:space="preserve">*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</si>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</sst>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42">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b/>
      <sz val="14"/>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8"/>
      <color indexed="8"/>
      <name val="Arial"/>
      <family val="2"/>
    </font>
    <font>
      <sz val="8"/>
      <color indexed="8"/>
      <name val="Arial"/>
      <family val="2"/>
    </font>
    <font>
      <sz val="8"/>
      <color indexed="9"/>
      <name val="Arial"/>
      <family val="2"/>
    </font>
    <font>
      <b/>
      <sz val="13"/>
      <name val="Arial"/>
      <family val="2"/>
    </font>
    <font>
      <b/>
      <sz val="11.5"/>
      <name val="Arial"/>
      <family val="2"/>
    </font>
    <font>
      <sz val="12"/>
      <name val="Arial"/>
      <family val="2"/>
    </font>
    <font>
      <b/>
      <sz val="12"/>
      <name val="Arial"/>
      <family val="2"/>
    </font>
    <font>
      <sz val="11"/>
      <name val="Arial"/>
      <family val="2"/>
    </font>
    <font>
      <sz val="11.5"/>
      <name val="Arial"/>
      <family val="2"/>
    </font>
    <font>
      <b/>
      <sz val="12"/>
      <name val="Arial"/>
      <family val="2"/>
    </font>
    <font>
      <sz val="12"/>
      <color indexed="8"/>
      <name val="Arial"/>
      <family val="2"/>
    </font>
    <font>
      <i/>
      <sz val="12"/>
      <name val="Arial"/>
      <family val="2"/>
    </font>
    <font>
      <sz val="10"/>
      <name val="Arial"/>
      <family val="2"/>
    </font>
    <font>
      <b/>
      <sz val="12"/>
      <color theme="1"/>
      <name val="Arial"/>
      <family val="2"/>
    </font>
    <font>
      <b/>
      <sz val="16"/>
      <color theme="1"/>
      <name val="Arial"/>
      <family val="2"/>
    </font>
    <font>
      <b/>
      <sz val="14"/>
      <color theme="1"/>
      <name val="Arial"/>
      <family val="2"/>
    </font>
    <font>
      <sz val="7"/>
      <color theme="1"/>
      <name val="Times New Roman"/>
      <family val="1"/>
    </font>
    <font>
      <sz val="12"/>
      <color rgb="FF000000"/>
      <name val="Arial"/>
      <family val="2"/>
    </font>
    <font>
      <sz val="7"/>
      <color rgb="FF000000"/>
      <name val="Times New Roman"/>
      <family val="1"/>
    </font>
    <font>
      <sz val="10"/>
      <color rgb="FF000000"/>
      <name val="Symbol"/>
      <family val="1"/>
      <charset val="2"/>
    </font>
    <font>
      <sz val="10"/>
      <color theme="1"/>
      <name val="Symbol"/>
      <family val="1"/>
      <charset val="2"/>
    </font>
    <font>
      <sz val="12"/>
      <color theme="1"/>
      <name val="Symbol"/>
      <family val="1"/>
      <charset val="2"/>
    </font>
    <font>
      <i/>
      <sz val="12"/>
      <color theme="1"/>
      <name val="Arial"/>
      <family val="2"/>
    </font>
    <font>
      <b/>
      <sz val="10"/>
      <name val="Arial Unicode MS"/>
      <family val="2"/>
    </font>
    <font>
      <sz val="8"/>
      <color rgb="FF000000"/>
      <name val="Tahoma"/>
      <family val="2"/>
    </font>
    <font>
      <sz val="8"/>
      <name val="Arial"/>
      <family val="2"/>
    </font>
    <font>
      <b/>
      <sz val="14"/>
      <color theme="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10">
    <xf numFmtId="0" fontId="0"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0" fontId="6" fillId="0" borderId="0"/>
    <xf numFmtId="0" fontId="9" fillId="0" borderId="0"/>
    <xf numFmtId="0" fontId="6" fillId="0" borderId="0"/>
    <xf numFmtId="0" fontId="5" fillId="0" borderId="0"/>
    <xf numFmtId="0" fontId="4" fillId="0" borderId="0"/>
  </cellStyleXfs>
  <cellXfs count="197">
    <xf numFmtId="0" fontId="0" fillId="0" borderId="0" xfId="0"/>
    <xf numFmtId="3" fontId="10" fillId="0" borderId="0" xfId="0" applyNumberFormat="1" applyFont="1" applyAlignment="1">
      <alignment vertical="center"/>
    </xf>
    <xf numFmtId="3" fontId="14" fillId="0" borderId="0" xfId="0" applyNumberFormat="1" applyFont="1" applyAlignment="1">
      <alignment horizontal="left" vertical="center" wrapText="1"/>
    </xf>
    <xf numFmtId="164" fontId="20" fillId="0" borderId="0" xfId="1" applyNumberFormat="1" applyFont="1" applyBorder="1" applyAlignment="1">
      <alignment horizontal="center" vertical="center"/>
    </xf>
    <xf numFmtId="0" fontId="20" fillId="0" borderId="0" xfId="0" applyFont="1"/>
    <xf numFmtId="9" fontId="25" fillId="3" borderId="0" xfId="0" applyNumberFormat="1" applyFont="1" applyFill="1" applyAlignment="1">
      <alignment horizontal="center" vertical="center" wrapText="1"/>
    </xf>
    <xf numFmtId="9" fontId="25" fillId="4" borderId="0" xfId="0" applyNumberFormat="1" applyFont="1" applyFill="1" applyAlignment="1">
      <alignment horizontal="center" vertical="center" wrapText="1"/>
    </xf>
    <xf numFmtId="0" fontId="8" fillId="0" borderId="5" xfId="3" applyBorder="1"/>
    <xf numFmtId="0" fontId="9" fillId="0" borderId="12" xfId="0" applyFont="1" applyBorder="1"/>
    <xf numFmtId="0" fontId="9" fillId="0" borderId="12" xfId="0" applyFont="1" applyBorder="1" applyAlignment="1">
      <alignment horizontal="right"/>
    </xf>
    <xf numFmtId="0" fontId="8" fillId="0" borderId="14" xfId="3" applyBorder="1"/>
    <xf numFmtId="0" fontId="38" fillId="0" borderId="7" xfId="3" applyFont="1" applyBorder="1" applyAlignment="1">
      <alignment horizontal="center" vertical="top" wrapText="1"/>
    </xf>
    <xf numFmtId="0" fontId="9" fillId="0" borderId="13" xfId="0" applyFont="1" applyBorder="1" applyAlignment="1">
      <alignment horizontal="right"/>
    </xf>
    <xf numFmtId="0" fontId="0" fillId="0" borderId="14" xfId="0" applyBorder="1"/>
    <xf numFmtId="0" fontId="0" fillId="0" borderId="17" xfId="0" applyBorder="1"/>
    <xf numFmtId="0" fontId="0" fillId="0" borderId="18" xfId="0" applyBorder="1"/>
    <xf numFmtId="0" fontId="9" fillId="0" borderId="14" xfId="0" applyFont="1" applyBorder="1"/>
    <xf numFmtId="0" fontId="9" fillId="0" borderId="17" xfId="0" applyFont="1" applyBorder="1"/>
    <xf numFmtId="0" fontId="9" fillId="0" borderId="18" xfId="0" applyFont="1" applyBorder="1"/>
    <xf numFmtId="0" fontId="9" fillId="0" borderId="14"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0" fontId="9" fillId="0" borderId="14"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20" fillId="0" borderId="0" xfId="0" applyFont="1" applyAlignment="1">
      <alignment wrapText="1"/>
    </xf>
    <xf numFmtId="0" fontId="38" fillId="0" borderId="14" xfId="3" applyFont="1" applyBorder="1" applyAlignment="1">
      <alignment horizontal="center" vertical="top" wrapText="1"/>
    </xf>
    <xf numFmtId="0" fontId="20" fillId="0" borderId="6" xfId="0" applyFont="1" applyBorder="1"/>
    <xf numFmtId="0" fontId="20" fillId="0" borderId="16" xfId="0" applyFont="1" applyBorder="1"/>
    <xf numFmtId="0" fontId="20" fillId="0" borderId="16" xfId="0" applyFont="1" applyBorder="1" applyAlignment="1">
      <alignment wrapText="1"/>
    </xf>
    <xf numFmtId="0" fontId="20" fillId="0" borderId="10" xfId="0" applyFont="1" applyBorder="1" applyAlignment="1">
      <alignment wrapText="1"/>
    </xf>
    <xf numFmtId="9" fontId="25" fillId="3" borderId="4" xfId="0" applyNumberFormat="1" applyFont="1" applyFill="1" applyBorder="1" applyAlignment="1">
      <alignment horizontal="center" vertical="center" wrapText="1"/>
    </xf>
    <xf numFmtId="9" fontId="25" fillId="3" borderId="15" xfId="0" applyNumberFormat="1" applyFont="1" applyFill="1" applyBorder="1" applyAlignment="1">
      <alignment horizontal="center" vertical="center" wrapText="1"/>
    </xf>
    <xf numFmtId="9" fontId="25" fillId="4" borderId="15" xfId="0" applyNumberFormat="1" applyFont="1" applyFill="1" applyBorder="1" applyAlignment="1">
      <alignment horizontal="center" vertical="center" wrapText="1"/>
    </xf>
    <xf numFmtId="9" fontId="25" fillId="3" borderId="19" xfId="0" applyNumberFormat="1" applyFont="1" applyFill="1" applyBorder="1" applyAlignment="1">
      <alignment horizontal="center" vertical="center" wrapText="1"/>
    </xf>
    <xf numFmtId="9" fontId="25" fillId="4" borderId="5" xfId="0" applyNumberFormat="1" applyFont="1" applyFill="1" applyBorder="1" applyAlignment="1">
      <alignment horizontal="center" vertical="center" wrapText="1"/>
    </xf>
    <xf numFmtId="9" fontId="25" fillId="3" borderId="20" xfId="0" applyNumberFormat="1" applyFont="1" applyFill="1" applyBorder="1" applyAlignment="1">
      <alignment horizontal="center" vertical="center" wrapText="1"/>
    </xf>
    <xf numFmtId="9" fontId="25" fillId="3" borderId="5" xfId="0" applyNumberFormat="1" applyFont="1" applyFill="1" applyBorder="1" applyAlignment="1">
      <alignment horizontal="center" vertical="center" wrapText="1"/>
    </xf>
    <xf numFmtId="9" fontId="25" fillId="4" borderId="20" xfId="0" applyNumberFormat="1" applyFont="1" applyFill="1" applyBorder="1" applyAlignment="1">
      <alignment horizontal="center" vertical="center" wrapText="1"/>
    </xf>
    <xf numFmtId="9" fontId="25" fillId="4" borderId="6" xfId="0" applyNumberFormat="1" applyFont="1" applyFill="1" applyBorder="1" applyAlignment="1">
      <alignment horizontal="center" vertical="center" wrapText="1"/>
    </xf>
    <xf numFmtId="9" fontId="25" fillId="4" borderId="16" xfId="0" applyNumberFormat="1" applyFont="1" applyFill="1" applyBorder="1" applyAlignment="1">
      <alignment horizontal="center" vertical="center" wrapText="1"/>
    </xf>
    <xf numFmtId="9" fontId="25" fillId="3" borderId="16" xfId="0" applyNumberFormat="1" applyFont="1" applyFill="1" applyBorder="1" applyAlignment="1">
      <alignment horizontal="center" vertical="center" wrapText="1"/>
    </xf>
    <xf numFmtId="9" fontId="25" fillId="4" borderId="10" xfId="0" applyNumberFormat="1" applyFont="1" applyFill="1" applyBorder="1" applyAlignment="1">
      <alignment horizontal="center" vertical="center" wrapText="1"/>
    </xf>
    <xf numFmtId="164" fontId="20" fillId="0" borderId="4" xfId="1" applyNumberFormat="1" applyFont="1" applyBorder="1" applyAlignment="1">
      <alignment horizontal="center" vertical="center"/>
    </xf>
    <xf numFmtId="164" fontId="20" fillId="0" borderId="15" xfId="1" applyNumberFormat="1" applyFont="1" applyBorder="1" applyAlignment="1">
      <alignment horizontal="center" vertical="center"/>
    </xf>
    <xf numFmtId="164" fontId="20" fillId="0" borderId="8" xfId="1" applyNumberFormat="1" applyFont="1" applyBorder="1" applyAlignment="1">
      <alignment horizontal="center" vertical="center"/>
    </xf>
    <xf numFmtId="164" fontId="20" fillId="0" borderId="5" xfId="1" applyNumberFormat="1" applyFont="1" applyBorder="1" applyAlignment="1">
      <alignment horizontal="center" vertical="center"/>
    </xf>
    <xf numFmtId="164" fontId="20" fillId="0" borderId="9" xfId="1" applyNumberFormat="1" applyFont="1" applyBorder="1" applyAlignment="1">
      <alignment horizontal="center" vertical="center"/>
    </xf>
    <xf numFmtId="164" fontId="20" fillId="0" borderId="6" xfId="1" applyNumberFormat="1" applyFont="1" applyBorder="1" applyAlignment="1">
      <alignment horizontal="center" vertical="center"/>
    </xf>
    <xf numFmtId="164" fontId="20" fillId="0" borderId="16" xfId="1" applyNumberFormat="1" applyFont="1" applyBorder="1" applyAlignment="1">
      <alignment horizontal="center" vertical="center"/>
    </xf>
    <xf numFmtId="164" fontId="20" fillId="0" borderId="10" xfId="1" applyNumberFormat="1" applyFont="1" applyBorder="1" applyAlignment="1">
      <alignment horizontal="center" vertical="center"/>
    </xf>
    <xf numFmtId="0" fontId="9" fillId="0" borderId="11" xfId="0" applyFont="1" applyBorder="1" applyAlignment="1">
      <alignment horizontal="right"/>
    </xf>
    <xf numFmtId="0" fontId="9" fillId="0" borderId="0" xfId="0" applyFont="1" applyAlignment="1">
      <alignment horizontal="right"/>
    </xf>
    <xf numFmtId="9" fontId="16" fillId="0" borderId="0" xfId="2" applyFont="1"/>
    <xf numFmtId="9" fontId="13" fillId="0" borderId="0" xfId="2" applyFont="1"/>
    <xf numFmtId="164" fontId="0" fillId="0" borderId="0" xfId="2" applyNumberFormat="1" applyFont="1" applyAlignment="1">
      <alignment horizontal="center"/>
    </xf>
    <xf numFmtId="164" fontId="9" fillId="0" borderId="0" xfId="2" applyNumberFormat="1" applyFont="1" applyBorder="1" applyAlignment="1">
      <alignment horizontal="center" vertical="center"/>
    </xf>
    <xf numFmtId="164" fontId="9" fillId="0" borderId="3" xfId="2" applyNumberFormat="1" applyFont="1" applyBorder="1" applyAlignment="1">
      <alignment horizontal="center" vertical="center"/>
    </xf>
    <xf numFmtId="165" fontId="12" fillId="0" borderId="0" xfId="2" applyNumberFormat="1" applyFont="1" applyAlignment="1"/>
    <xf numFmtId="165" fontId="12" fillId="0" borderId="0" xfId="2" applyNumberFormat="1" applyFont="1"/>
    <xf numFmtId="165" fontId="12" fillId="0" borderId="3" xfId="2" applyNumberFormat="1" applyFont="1" applyBorder="1" applyAlignment="1"/>
    <xf numFmtId="165" fontId="12" fillId="0" borderId="0" xfId="2" applyNumberFormat="1" applyFont="1" applyBorder="1" applyAlignment="1"/>
    <xf numFmtId="0" fontId="9" fillId="0" borderId="11" xfId="0" applyFont="1" applyBorder="1"/>
    <xf numFmtId="3" fontId="9" fillId="0" borderId="12" xfId="0" applyNumberFormat="1" applyFont="1" applyBorder="1" applyAlignment="1">
      <alignment vertical="center"/>
    </xf>
    <xf numFmtId="3" fontId="22" fillId="0" borderId="12" xfId="0" applyNumberFormat="1" applyFont="1" applyBorder="1" applyAlignment="1">
      <alignment vertical="center"/>
    </xf>
    <xf numFmtId="3" fontId="11" fillId="0" borderId="0" xfId="0" applyNumberFormat="1" applyFont="1" applyAlignment="1">
      <alignment horizontal="left" vertical="center" wrapText="1"/>
    </xf>
    <xf numFmtId="0" fontId="12" fillId="0" borderId="0" xfId="0" applyFont="1"/>
    <xf numFmtId="0" fontId="13" fillId="0" borderId="0" xfId="0" applyFont="1"/>
    <xf numFmtId="3" fontId="15" fillId="0" borderId="0" xfId="0" applyNumberFormat="1" applyFont="1" applyAlignment="1">
      <alignment horizontal="left" vertical="center" wrapText="1"/>
    </xf>
    <xf numFmtId="0" fontId="16" fillId="0" borderId="0" xfId="0" applyFont="1"/>
    <xf numFmtId="0" fontId="17" fillId="0" borderId="0" xfId="0" applyFont="1"/>
    <xf numFmtId="3" fontId="15" fillId="0" borderId="0" xfId="0" applyNumberFormat="1" applyFont="1" applyAlignment="1">
      <alignment horizontal="right" vertical="center" wrapText="1"/>
    </xf>
    <xf numFmtId="0" fontId="16" fillId="0" borderId="0" xfId="0" applyFont="1" applyAlignment="1">
      <alignment horizontal="right"/>
    </xf>
    <xf numFmtId="0" fontId="16" fillId="0" borderId="0" xfId="0" applyFont="1" applyAlignment="1">
      <alignment horizontal="right" vertical="center" wrapText="1"/>
    </xf>
    <xf numFmtId="0" fontId="19" fillId="2" borderId="1" xfId="0" applyFont="1" applyFill="1" applyBorder="1" applyAlignment="1">
      <alignment vertical="center" wrapText="1"/>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9" fillId="0" borderId="0" xfId="0" applyFont="1"/>
    <xf numFmtId="0" fontId="21" fillId="2" borderId="1" xfId="0" applyFont="1" applyFill="1" applyBorder="1" applyAlignment="1">
      <alignment vertical="center"/>
    </xf>
    <xf numFmtId="0" fontId="9" fillId="2" borderId="1" xfId="0" applyFont="1" applyFill="1" applyBorder="1"/>
    <xf numFmtId="0" fontId="9" fillId="0" borderId="0" xfId="0" applyFont="1" applyAlignment="1">
      <alignment vertical="center"/>
    </xf>
    <xf numFmtId="9" fontId="9" fillId="0" borderId="0" xfId="0" applyNumberFormat="1" applyFont="1" applyAlignment="1">
      <alignment horizontal="center" vertical="center"/>
    </xf>
    <xf numFmtId="0" fontId="9" fillId="0" borderId="2" xfId="0" applyFont="1" applyBorder="1" applyAlignment="1">
      <alignment vertical="center"/>
    </xf>
    <xf numFmtId="164" fontId="9" fillId="0" borderId="0" xfId="0" applyNumberFormat="1" applyFont="1" applyAlignment="1">
      <alignment horizontal="center" vertical="center"/>
    </xf>
    <xf numFmtId="0" fontId="9" fillId="0" borderId="0" xfId="0" applyFont="1" applyAlignment="1">
      <alignment horizontal="left" vertical="center" wrapText="1"/>
    </xf>
    <xf numFmtId="0" fontId="21" fillId="0" borderId="0" xfId="0" applyFont="1" applyAlignment="1">
      <alignment vertical="center"/>
    </xf>
    <xf numFmtId="0" fontId="9" fillId="0" borderId="3" xfId="0" applyFont="1" applyBorder="1" applyAlignment="1">
      <alignment vertical="center"/>
    </xf>
    <xf numFmtId="164" fontId="9" fillId="0" borderId="3" xfId="0" applyNumberFormat="1" applyFont="1" applyBorder="1" applyAlignment="1">
      <alignment horizontal="center" vertical="center"/>
    </xf>
    <xf numFmtId="0" fontId="9" fillId="0" borderId="3" xfId="0" applyFont="1" applyBorder="1" applyAlignment="1">
      <alignment horizontal="left" vertical="center" wrapText="1"/>
    </xf>
    <xf numFmtId="0" fontId="18" fillId="0" borderId="0" xfId="0" applyFont="1" applyAlignment="1">
      <alignment vertical="center"/>
    </xf>
    <xf numFmtId="0" fontId="10" fillId="0" borderId="0" xfId="0" applyFont="1" applyAlignment="1">
      <alignment vertical="center"/>
    </xf>
    <xf numFmtId="0" fontId="22" fillId="0" borderId="0" xfId="0" applyFont="1"/>
    <xf numFmtId="0" fontId="22" fillId="0" borderId="0" xfId="0" applyFont="1" applyAlignment="1">
      <alignment horizontal="left"/>
    </xf>
    <xf numFmtId="0" fontId="19" fillId="2" borderId="1" xfId="0" applyFont="1" applyFill="1" applyBorder="1" applyAlignment="1">
      <alignment horizontal="center" vertical="center" wrapText="1"/>
    </xf>
    <xf numFmtId="0" fontId="23" fillId="2" borderId="1" xfId="0" applyFont="1" applyFill="1" applyBorder="1" applyAlignment="1">
      <alignment horizontal="center"/>
    </xf>
    <xf numFmtId="0" fontId="21" fillId="0" borderId="0" xfId="0" applyFont="1" applyAlignment="1">
      <alignment horizontal="center" vertical="center" wrapText="1"/>
    </xf>
    <xf numFmtId="0" fontId="21" fillId="0" borderId="0" xfId="0" applyFont="1"/>
    <xf numFmtId="164" fontId="9" fillId="0" borderId="0" xfId="0" applyNumberFormat="1" applyFont="1" applyAlignment="1">
      <alignment horizontal="center"/>
    </xf>
    <xf numFmtId="0" fontId="9" fillId="0" borderId="0" xfId="0" applyFont="1" applyAlignment="1">
      <alignment horizontal="left"/>
    </xf>
    <xf numFmtId="0" fontId="21" fillId="0" borderId="0" xfId="0" applyFont="1" applyAlignment="1">
      <alignment wrapText="1"/>
    </xf>
    <xf numFmtId="0" fontId="9" fillId="0" borderId="0" xfId="0" applyFont="1" applyAlignment="1">
      <alignment horizontal="left" wrapText="1"/>
    </xf>
    <xf numFmtId="0" fontId="21" fillId="0" borderId="3" xfId="0" applyFont="1" applyBorder="1" applyAlignment="1">
      <alignment horizontal="left" wrapText="1"/>
    </xf>
    <xf numFmtId="0" fontId="9" fillId="0" borderId="3" xfId="0" applyFont="1" applyBorder="1"/>
    <xf numFmtId="164" fontId="9" fillId="0" borderId="3" xfId="0" applyNumberFormat="1" applyFont="1" applyBorder="1" applyAlignment="1">
      <alignment horizontal="center"/>
    </xf>
    <xf numFmtId="0" fontId="9" fillId="0" borderId="3" xfId="0" applyFont="1" applyBorder="1" applyAlignment="1">
      <alignment horizontal="left"/>
    </xf>
    <xf numFmtId="3" fontId="9" fillId="0" borderId="0" xfId="0" applyNumberFormat="1" applyFont="1" applyAlignment="1">
      <alignment horizontal="center" wrapText="1"/>
    </xf>
    <xf numFmtId="9" fontId="26" fillId="0" borderId="0" xfId="0" applyNumberFormat="1" applyFont="1" applyAlignment="1">
      <alignment horizontal="center"/>
    </xf>
    <xf numFmtId="0" fontId="26" fillId="0" borderId="0" xfId="0" applyFont="1" applyAlignment="1">
      <alignment horizontal="right"/>
    </xf>
    <xf numFmtId="0" fontId="9" fillId="0" borderId="0" xfId="6"/>
    <xf numFmtId="0" fontId="9" fillId="5" borderId="0" xfId="6" applyFill="1"/>
    <xf numFmtId="3" fontId="22" fillId="0" borderId="0" xfId="6" applyNumberFormat="1" applyFont="1" applyAlignment="1">
      <alignment vertical="center"/>
    </xf>
    <xf numFmtId="0" fontId="22" fillId="0" borderId="0" xfId="6" applyFont="1"/>
    <xf numFmtId="0" fontId="27" fillId="0" borderId="0" xfId="0" applyFont="1"/>
    <xf numFmtId="10" fontId="27" fillId="0" borderId="0" xfId="3" applyNumberFormat="1" applyFont="1"/>
    <xf numFmtId="1" fontId="27" fillId="0" borderId="0" xfId="0" applyNumberFormat="1" applyFont="1"/>
    <xf numFmtId="10" fontId="27" fillId="0" borderId="0" xfId="0" applyNumberFormat="1" applyFont="1"/>
    <xf numFmtId="9" fontId="40" fillId="0" borderId="0" xfId="0" applyNumberFormat="1" applyFont="1"/>
    <xf numFmtId="0" fontId="27" fillId="0" borderId="0" xfId="0" applyFont="1" applyAlignment="1">
      <alignment horizontal="right"/>
    </xf>
    <xf numFmtId="9" fontId="27" fillId="0" borderId="0" xfId="0" applyNumberFormat="1" applyFont="1"/>
    <xf numFmtId="9" fontId="27" fillId="0" borderId="0" xfId="0" applyNumberFormat="1" applyFont="1" applyAlignment="1">
      <alignment horizontal="left" vertical="center" wrapText="1"/>
    </xf>
    <xf numFmtId="0" fontId="0" fillId="0" borderId="7" xfId="0" applyBorder="1" applyProtection="1">
      <protection locked="0"/>
    </xf>
    <xf numFmtId="164" fontId="20" fillId="0" borderId="0" xfId="1" applyNumberFormat="1" applyFont="1" applyBorder="1" applyAlignment="1" applyProtection="1">
      <alignment horizontal="center" vertical="center"/>
      <protection hidden="1"/>
    </xf>
    <xf numFmtId="164" fontId="21" fillId="0" borderId="0" xfId="1" applyNumberFormat="1" applyFont="1" applyBorder="1" applyAlignment="1" applyProtection="1">
      <alignment horizontal="center" vertical="center"/>
      <protection hidden="1"/>
    </xf>
    <xf numFmtId="164" fontId="20" fillId="0" borderId="0" xfId="0" applyNumberFormat="1" applyFont="1" applyAlignment="1" applyProtection="1">
      <alignment horizontal="center" vertical="center"/>
      <protection hidden="1"/>
    </xf>
    <xf numFmtId="9" fontId="25" fillId="4" borderId="0" xfId="0" applyNumberFormat="1" applyFont="1" applyFill="1" applyAlignment="1" applyProtection="1">
      <alignment horizontal="center" vertical="center" wrapText="1"/>
      <protection hidden="1"/>
    </xf>
    <xf numFmtId="9" fontId="25" fillId="4" borderId="3" xfId="0" applyNumberFormat="1" applyFont="1" applyFill="1" applyBorder="1" applyAlignment="1" applyProtection="1">
      <alignment horizontal="center" vertical="center" wrapText="1"/>
      <protection hidden="1"/>
    </xf>
    <xf numFmtId="0" fontId="22"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horizontal="left" vertical="center"/>
    </xf>
    <xf numFmtId="0" fontId="22" fillId="0" borderId="3" xfId="0" applyFont="1" applyBorder="1" applyAlignment="1">
      <alignment vertical="center"/>
    </xf>
    <xf numFmtId="0" fontId="22" fillId="0" borderId="3" xfId="0" applyFont="1" applyBorder="1" applyAlignment="1">
      <alignment horizontal="left" vertical="center"/>
    </xf>
    <xf numFmtId="0" fontId="0" fillId="0" borderId="3" xfId="0" applyBorder="1"/>
    <xf numFmtId="164" fontId="20" fillId="0" borderId="3" xfId="0" applyNumberFormat="1" applyFont="1" applyBorder="1" applyAlignment="1" applyProtection="1">
      <alignment horizontal="center" vertical="center"/>
      <protection hidden="1"/>
    </xf>
    <xf numFmtId="9" fontId="9" fillId="0" borderId="0" xfId="0" applyNumberFormat="1" applyFont="1" applyAlignment="1" applyProtection="1">
      <alignment horizontal="center" vertical="center"/>
      <protection hidden="1"/>
    </xf>
    <xf numFmtId="9" fontId="9" fillId="0" borderId="3" xfId="0" applyNumberFormat="1" applyFont="1" applyBorder="1" applyAlignment="1" applyProtection="1">
      <alignment horizontal="center" vertical="center"/>
      <protection hidden="1"/>
    </xf>
    <xf numFmtId="0" fontId="6" fillId="0" borderId="0" xfId="5" applyAlignment="1">
      <alignment horizontal="left" vertical="top" wrapText="1"/>
    </xf>
    <xf numFmtId="164" fontId="0" fillId="0" borderId="5" xfId="0" applyNumberFormat="1" applyBorder="1"/>
    <xf numFmtId="164" fontId="0" fillId="0" borderId="0" xfId="0" applyNumberFormat="1"/>
    <xf numFmtId="164" fontId="0" fillId="0" borderId="9" xfId="0" applyNumberFormat="1" applyBorder="1"/>
    <xf numFmtId="164" fontId="0" fillId="0" borderId="6" xfId="0" applyNumberFormat="1" applyBorder="1"/>
    <xf numFmtId="164" fontId="0" fillId="0" borderId="16" xfId="0" applyNumberFormat="1" applyBorder="1"/>
    <xf numFmtId="164" fontId="0" fillId="0" borderId="10" xfId="0" applyNumberFormat="1" applyBorder="1"/>
    <xf numFmtId="166" fontId="20" fillId="0" borderId="4" xfId="0" applyNumberFormat="1" applyFont="1" applyBorder="1" applyAlignment="1">
      <alignment horizontal="center" vertical="center"/>
    </xf>
    <xf numFmtId="166" fontId="20" fillId="0" borderId="15" xfId="0" applyNumberFormat="1" applyFont="1" applyBorder="1" applyAlignment="1">
      <alignment horizontal="center" vertical="center"/>
    </xf>
    <xf numFmtId="166" fontId="20" fillId="0" borderId="8" xfId="0" applyNumberFormat="1" applyFont="1" applyBorder="1" applyAlignment="1">
      <alignment horizontal="center" vertical="center"/>
    </xf>
    <xf numFmtId="166" fontId="20" fillId="0" borderId="5" xfId="0" applyNumberFormat="1" applyFont="1" applyBorder="1" applyAlignment="1">
      <alignment horizontal="center" vertical="center"/>
    </xf>
    <xf numFmtId="166" fontId="20" fillId="0" borderId="0" xfId="0" applyNumberFormat="1" applyFont="1" applyAlignment="1">
      <alignment horizontal="center" vertical="center"/>
    </xf>
    <xf numFmtId="166" fontId="20" fillId="0" borderId="9" xfId="0" applyNumberFormat="1" applyFont="1" applyBorder="1" applyAlignment="1">
      <alignment horizontal="center" vertical="center"/>
    </xf>
    <xf numFmtId="166" fontId="0" fillId="0" borderId="5" xfId="0" applyNumberFormat="1" applyBorder="1"/>
    <xf numFmtId="166" fontId="0" fillId="0" borderId="0" xfId="0" applyNumberFormat="1"/>
    <xf numFmtId="166" fontId="0" fillId="0" borderId="9" xfId="0" applyNumberFormat="1" applyBorder="1"/>
    <xf numFmtId="166" fontId="0" fillId="0" borderId="6" xfId="0" applyNumberFormat="1" applyBorder="1"/>
    <xf numFmtId="166" fontId="0" fillId="0" borderId="16" xfId="0" applyNumberFormat="1" applyBorder="1"/>
    <xf numFmtId="166" fontId="0" fillId="0" borderId="10" xfId="0" applyNumberFormat="1" applyBorder="1"/>
    <xf numFmtId="10" fontId="0" fillId="0" borderId="5" xfId="0" applyNumberFormat="1" applyBorder="1"/>
    <xf numFmtId="10" fontId="0" fillId="0" borderId="0" xfId="0" applyNumberFormat="1"/>
    <xf numFmtId="10" fontId="0" fillId="0" borderId="9" xfId="0" applyNumberFormat="1" applyBorder="1"/>
    <xf numFmtId="10" fontId="0" fillId="0" borderId="6" xfId="0" applyNumberFormat="1" applyBorder="1"/>
    <xf numFmtId="10" fontId="0" fillId="0" borderId="16" xfId="0" applyNumberFormat="1" applyBorder="1"/>
    <xf numFmtId="10" fontId="0" fillId="0" borderId="10" xfId="0" applyNumberFormat="1" applyBorder="1"/>
    <xf numFmtId="0" fontId="29" fillId="0" borderId="0" xfId="5" applyFont="1" applyAlignment="1">
      <alignment horizontal="left" wrapText="1"/>
    </xf>
    <xf numFmtId="0" fontId="6" fillId="0" borderId="0" xfId="5" applyAlignment="1">
      <alignment horizontal="left" wrapText="1"/>
    </xf>
    <xf numFmtId="0" fontId="30" fillId="0" borderId="0" xfId="5" applyFont="1" applyAlignment="1">
      <alignment horizontal="left" wrapText="1"/>
    </xf>
    <xf numFmtId="0" fontId="3" fillId="0" borderId="0" xfId="5" applyFont="1" applyAlignment="1">
      <alignment horizontal="left" wrapText="1"/>
    </xf>
    <xf numFmtId="0" fontId="32" fillId="0" borderId="0" xfId="5" applyFont="1" applyAlignment="1">
      <alignment horizontal="left" wrapText="1"/>
    </xf>
    <xf numFmtId="0" fontId="34" fillId="0" borderId="0" xfId="5" applyFont="1" applyAlignment="1">
      <alignment horizontal="left" wrapText="1"/>
    </xf>
    <xf numFmtId="0" fontId="35" fillId="0" borderId="0" xfId="5" applyFont="1" applyAlignment="1">
      <alignment horizontal="left" wrapText="1"/>
    </xf>
    <xf numFmtId="0" fontId="41" fillId="6" borderId="0" xfId="5" applyFont="1" applyFill="1" applyAlignment="1">
      <alignment horizontal="left" wrapText="1"/>
    </xf>
    <xf numFmtId="0" fontId="28" fillId="0" borderId="0" xfId="5" applyFont="1" applyAlignment="1">
      <alignment horizontal="left" wrapText="1"/>
    </xf>
    <xf numFmtId="0" fontId="4" fillId="0" borderId="0" xfId="5" applyFont="1" applyAlignment="1">
      <alignment horizontal="left" wrapText="1"/>
    </xf>
    <xf numFmtId="0" fontId="2" fillId="0" borderId="0" xfId="5" applyFont="1" applyAlignment="1">
      <alignment horizontal="left" wrapText="1"/>
    </xf>
    <xf numFmtId="0" fontId="36" fillId="0" borderId="0" xfId="5" applyFont="1" applyAlignment="1">
      <alignment horizontal="left" wrapText="1"/>
    </xf>
    <xf numFmtId="0" fontId="6" fillId="5" borderId="0" xfId="5" applyFill="1" applyAlignment="1">
      <alignment horizontal="left" wrapText="1"/>
    </xf>
    <xf numFmtId="0" fontId="4" fillId="5" borderId="0" xfId="5" applyFont="1" applyFill="1" applyAlignment="1">
      <alignment horizontal="left" wrapText="1"/>
    </xf>
    <xf numFmtId="0" fontId="28" fillId="5" borderId="0" xfId="5" applyFont="1" applyFill="1" applyAlignment="1">
      <alignment horizontal="left" wrapText="1"/>
    </xf>
    <xf numFmtId="0" fontId="37" fillId="0" borderId="0" xfId="5" applyFont="1" applyAlignment="1">
      <alignment horizontal="left" wrapText="1"/>
    </xf>
    <xf numFmtId="0" fontId="4" fillId="0" borderId="0" xfId="9" applyAlignment="1">
      <alignment horizontal="left" wrapText="1"/>
    </xf>
    <xf numFmtId="0" fontId="2" fillId="5" borderId="0" xfId="4" applyFont="1" applyFill="1" applyAlignment="1">
      <alignment horizontal="left" wrapText="1"/>
    </xf>
    <xf numFmtId="0" fontId="1" fillId="0" borderId="0" xfId="5" applyFont="1" applyAlignment="1">
      <alignment horizontal="left" wrapText="1"/>
    </xf>
    <xf numFmtId="0" fontId="22" fillId="5" borderId="0" xfId="0" applyFont="1" applyFill="1" applyAlignment="1">
      <alignment horizontal="left" vertical="top" wrapText="1"/>
    </xf>
    <xf numFmtId="0" fontId="22" fillId="0" borderId="0" xfId="0" applyFont="1" applyAlignment="1">
      <alignment horizontal="left" vertical="center" wrapText="1"/>
    </xf>
    <xf numFmtId="0" fontId="9" fillId="0" borderId="0" xfId="0" applyFont="1" applyAlignment="1">
      <alignment horizontal="left" vertical="center" wrapText="1"/>
    </xf>
    <xf numFmtId="0" fontId="19" fillId="2" borderId="1" xfId="0" applyFont="1" applyFill="1" applyBorder="1" applyAlignment="1">
      <alignment horizontal="center" vertical="center" wrapText="1"/>
    </xf>
    <xf numFmtId="0" fontId="9" fillId="0" borderId="0" xfId="0" applyFont="1" applyAlignment="1">
      <alignment horizontal="left"/>
    </xf>
    <xf numFmtId="0" fontId="9" fillId="0" borderId="3" xfId="0" applyFont="1" applyBorder="1" applyAlignment="1">
      <alignment horizontal="left" wrapText="1"/>
    </xf>
    <xf numFmtId="0" fontId="9" fillId="0" borderId="0" xfId="0" applyFont="1" applyAlignment="1">
      <alignment horizontal="left" wrapText="1"/>
    </xf>
    <xf numFmtId="3" fontId="18" fillId="0" borderId="0" xfId="0" applyNumberFormat="1" applyFont="1" applyAlignment="1">
      <alignment horizontal="left" vertical="center" wrapText="1"/>
    </xf>
    <xf numFmtId="0" fontId="24" fillId="0" borderId="14" xfId="0" applyFont="1" applyBorder="1" applyAlignment="1">
      <alignment horizontal="center"/>
    </xf>
    <xf numFmtId="0" fontId="24" fillId="0" borderId="17" xfId="0" applyFont="1" applyBorder="1" applyAlignment="1">
      <alignment horizontal="center"/>
    </xf>
    <xf numFmtId="0" fontId="24" fillId="0" borderId="18" xfId="0" applyFont="1" applyBorder="1" applyAlignment="1">
      <alignment horizontal="center"/>
    </xf>
    <xf numFmtId="0" fontId="24" fillId="0" borderId="17" xfId="0" applyFont="1" applyBorder="1" applyAlignment="1">
      <alignment horizontal="center" wrapText="1"/>
    </xf>
    <xf numFmtId="0" fontId="24" fillId="0" borderId="14" xfId="0" applyFont="1" applyBorder="1" applyAlignment="1">
      <alignment horizontal="center" wrapText="1"/>
    </xf>
    <xf numFmtId="0" fontId="24" fillId="0" borderId="18"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9" fillId="0" borderId="14"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10">
    <cellStyle name="Normal" xfId="0" builtinId="0"/>
    <cellStyle name="Normal 2" xfId="3" xr:uid="{00000000-0005-0000-0000-000001000000}"/>
    <cellStyle name="Normal 2 2" xfId="7" xr:uid="{00000000-0005-0000-0000-000002000000}"/>
    <cellStyle name="Normal 2 3" xfId="8" xr:uid="{00000000-0005-0000-0000-000003000000}"/>
    <cellStyle name="Normal 3" xfId="4" xr:uid="{00000000-0005-0000-0000-000004000000}"/>
    <cellStyle name="Normal 3 2" xfId="5" xr:uid="{00000000-0005-0000-0000-000005000000}"/>
    <cellStyle name="Normal 3 3" xfId="9" xr:uid="{00000000-0005-0000-0000-000006000000}"/>
    <cellStyle name="Normal 4" xfId="6" xr:uid="{00000000-0005-0000-0000-000007000000}"/>
    <cellStyle name="Percent" xfId="1" builtinId="5"/>
    <cellStyle name="Percent 2" xfId="2" xr:uid="{00000000-0005-0000-0000-000009000000}"/>
  </cellStyles>
  <dxfs count="6">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600" b="1" i="0" baseline="0">
                <a:effectLst/>
              </a:rPr>
              <a:t>Tueddiadau o ran cyfraddau cwblhau,  cyrhaeddiad a llwyddiant</a:t>
            </a:r>
            <a:endParaRPr lang="en-GB" sz="1200">
              <a:effectLst/>
            </a:endParaRPr>
          </a:p>
        </c:rich>
      </c:tx>
      <c:layout>
        <c:manualLayout>
          <c:xMode val="edge"/>
          <c:yMode val="edge"/>
          <c:x val="7.9244254773496822E-2"/>
          <c:y val="1.2795275590551181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ADD!$D$4</c:f>
              <c:strCache>
                <c:ptCount val="1"/>
                <c:pt idx="0">
                  <c:v>Completion</c:v>
                </c:pt>
              </c:strCache>
            </c:strRef>
          </c:tx>
          <c:spPr>
            <a:solidFill>
              <a:srgbClr val="DDECFF"/>
            </a:solidFill>
            <a:ln w="12700">
              <a:solidFill>
                <a:srgbClr val="000000"/>
              </a:solidFill>
            </a:ln>
          </c:spPr>
          <c:invertIfNegative val="0"/>
          <c:dLbls>
            <c:numFmt formatCode="&quot;Cwblhau,&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2018/19</c:v>
                </c:pt>
                <c:pt idx="6">
                  <c:v>2021/22</c:v>
                </c:pt>
                <c:pt idx="10">
                  <c:v>2022/23</c:v>
                </c:pt>
              </c:strCache>
            </c:strRef>
          </c:cat>
          <c:val>
            <c:numRef>
              <c:f>ADD!$D$5:$D$17</c:f>
              <c:numCache>
                <c:formatCode>0%</c:formatCode>
                <c:ptCount val="13"/>
                <c:pt idx="1">
                  <c:v>0.98</c:v>
                </c:pt>
                <c:pt idx="5">
                  <c:v>0.96</c:v>
                </c:pt>
                <c:pt idx="9">
                  <c:v>0.96</c:v>
                </c:pt>
              </c:numCache>
            </c:numRef>
          </c:val>
          <c:extLst>
            <c:ext xmlns:c16="http://schemas.microsoft.com/office/drawing/2014/chart" uri="{C3380CC4-5D6E-409C-BE32-E72D297353CC}">
              <c16:uniqueId val="{00000000-459D-4E84-8D18-385F29CBAFD7}"/>
            </c:ext>
          </c:extLst>
        </c:ser>
        <c:ser>
          <c:idx val="1"/>
          <c:order val="1"/>
          <c:tx>
            <c:strRef>
              <c:f>ADD!$E$4</c:f>
              <c:strCache>
                <c:ptCount val="1"/>
                <c:pt idx="0">
                  <c:v>Attainment</c:v>
                </c:pt>
              </c:strCache>
            </c:strRef>
          </c:tx>
          <c:spPr>
            <a:solidFill>
              <a:schemeClr val="tx2">
                <a:lumMod val="40000"/>
                <a:lumOff val="60000"/>
              </a:schemeClr>
            </a:solidFill>
            <a:ln w="12700">
              <a:solidFill>
                <a:srgbClr val="000000"/>
              </a:solidFill>
            </a:ln>
          </c:spPr>
          <c:invertIfNegative val="0"/>
          <c:dPt>
            <c:idx val="2"/>
            <c:invertIfNegative val="0"/>
            <c:bubble3D val="0"/>
            <c:spPr>
              <a:solidFill>
                <a:srgbClr val="A3CAFF"/>
              </a:solidFill>
              <a:ln w="12700">
                <a:solidFill>
                  <a:srgbClr val="000000"/>
                </a:solidFill>
              </a:ln>
            </c:spPr>
            <c:extLst>
              <c:ext xmlns:c16="http://schemas.microsoft.com/office/drawing/2014/chart" uri="{C3380CC4-5D6E-409C-BE32-E72D297353CC}">
                <c16:uniqueId val="{00000002-459D-4E84-8D18-385F29CBAFD7}"/>
              </c:ext>
            </c:extLst>
          </c:dPt>
          <c:dPt>
            <c:idx val="6"/>
            <c:invertIfNegative val="0"/>
            <c:bubble3D val="0"/>
            <c:spPr>
              <a:solidFill>
                <a:srgbClr val="A3CAFF"/>
              </a:solidFill>
              <a:ln w="12700">
                <a:solidFill>
                  <a:srgbClr val="000000"/>
                </a:solidFill>
              </a:ln>
            </c:spPr>
            <c:extLst>
              <c:ext xmlns:c16="http://schemas.microsoft.com/office/drawing/2014/chart" uri="{C3380CC4-5D6E-409C-BE32-E72D297353CC}">
                <c16:uniqueId val="{00000004-459D-4E84-8D18-385F29CBAFD7}"/>
              </c:ext>
            </c:extLst>
          </c:dPt>
          <c:dPt>
            <c:idx val="10"/>
            <c:invertIfNegative val="0"/>
            <c:bubble3D val="0"/>
            <c:spPr>
              <a:solidFill>
                <a:srgbClr val="A3CAFF"/>
              </a:solidFill>
              <a:ln w="12700">
                <a:solidFill>
                  <a:srgbClr val="000000"/>
                </a:solidFill>
              </a:ln>
            </c:spPr>
            <c:extLst>
              <c:ext xmlns:c16="http://schemas.microsoft.com/office/drawing/2014/chart" uri="{C3380CC4-5D6E-409C-BE32-E72D297353CC}">
                <c16:uniqueId val="{00000006-459D-4E84-8D18-385F29CBAFD7}"/>
              </c:ext>
            </c:extLst>
          </c:dPt>
          <c:dLbls>
            <c:numFmt formatCode="&quot;Cyrhaeddiad,&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2018/19</c:v>
                </c:pt>
                <c:pt idx="6">
                  <c:v>2021/22</c:v>
                </c:pt>
                <c:pt idx="10">
                  <c:v>2022/23</c:v>
                </c:pt>
              </c:strCache>
            </c:strRef>
          </c:cat>
          <c:val>
            <c:numRef>
              <c:f>ADD!$E$5:$E$17</c:f>
              <c:numCache>
                <c:formatCode>General</c:formatCode>
                <c:ptCount val="13"/>
                <c:pt idx="2" formatCode="0%">
                  <c:v>0.91</c:v>
                </c:pt>
                <c:pt idx="6" formatCode="0%">
                  <c:v>0.84</c:v>
                </c:pt>
                <c:pt idx="10" formatCode="0%">
                  <c:v>0.89</c:v>
                </c:pt>
              </c:numCache>
            </c:numRef>
          </c:val>
          <c:extLst>
            <c:ext xmlns:c16="http://schemas.microsoft.com/office/drawing/2014/chart" uri="{C3380CC4-5D6E-409C-BE32-E72D297353CC}">
              <c16:uniqueId val="{00000007-459D-4E84-8D18-385F29CBAFD7}"/>
            </c:ext>
          </c:extLst>
        </c:ser>
        <c:ser>
          <c:idx val="2"/>
          <c:order val="2"/>
          <c:tx>
            <c:strRef>
              <c:f>ADD!$F$4</c:f>
              <c:strCache>
                <c:ptCount val="1"/>
                <c:pt idx="0">
                  <c:v>Success</c:v>
                </c:pt>
              </c:strCache>
            </c:strRef>
          </c:tx>
          <c:spPr>
            <a:solidFill>
              <a:srgbClr val="558ED5"/>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2018/19</c:v>
                </c:pt>
                <c:pt idx="6">
                  <c:v>2021/22</c:v>
                </c:pt>
                <c:pt idx="10">
                  <c:v>2022/23</c:v>
                </c:pt>
              </c:strCache>
            </c:strRef>
          </c:cat>
          <c:val>
            <c:numRef>
              <c:f>ADD!$F$5:$F$17</c:f>
              <c:numCache>
                <c:formatCode>General</c:formatCode>
                <c:ptCount val="13"/>
                <c:pt idx="3" formatCode="0%">
                  <c:v>0.89</c:v>
                </c:pt>
                <c:pt idx="7" formatCode="0%">
                  <c:v>0.81</c:v>
                </c:pt>
                <c:pt idx="11" formatCode="0%">
                  <c:v>0.86</c:v>
                </c:pt>
              </c:numCache>
            </c:numRef>
          </c:val>
          <c:extLst>
            <c:ext xmlns:c16="http://schemas.microsoft.com/office/drawing/2014/chart" uri="{C3380CC4-5D6E-409C-BE32-E72D297353CC}">
              <c16:uniqueId val="{00000008-459D-4E84-8D18-385F29CBAFD7}"/>
            </c:ext>
          </c:extLst>
        </c:ser>
        <c:ser>
          <c:idx val="3"/>
          <c:order val="3"/>
          <c:tx>
            <c:strRef>
              <c:f>ADD!$G$4</c:f>
              <c:strCache>
                <c:ptCount val="1"/>
                <c:pt idx="0">
                  <c:v>Dark Green</c:v>
                </c:pt>
              </c:strCache>
            </c:strRef>
          </c:tx>
          <c:spPr>
            <a:solidFill>
              <a:srgbClr val="339966"/>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2018/19</c:v>
                </c:pt>
                <c:pt idx="6">
                  <c:v>2021/22</c:v>
                </c:pt>
                <c:pt idx="10">
                  <c:v>2022/23</c:v>
                </c:pt>
              </c:strCache>
            </c:strRef>
          </c:cat>
          <c:val>
            <c:numRef>
              <c:f>ADD!$G$5:$G$17</c:f>
              <c:numCache>
                <c:formatCode>General</c:formatCode>
                <c:ptCount val="13"/>
              </c:numCache>
            </c:numRef>
          </c:val>
          <c:extLst>
            <c:ext xmlns:c16="http://schemas.microsoft.com/office/drawing/2014/chart" uri="{C3380CC4-5D6E-409C-BE32-E72D297353CC}">
              <c16:uniqueId val="{00000009-459D-4E84-8D18-385F29CBAFD7}"/>
            </c:ext>
          </c:extLst>
        </c:ser>
        <c:ser>
          <c:idx val="4"/>
          <c:order val="4"/>
          <c:tx>
            <c:strRef>
              <c:f>ADD!$H$4</c:f>
              <c:strCache>
                <c:ptCount val="1"/>
                <c:pt idx="0">
                  <c:v>Green</c:v>
                </c:pt>
              </c:strCache>
            </c:strRef>
          </c:tx>
          <c:spPr>
            <a:solidFill>
              <a:srgbClr val="CCFFCC"/>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2018/19</c:v>
                </c:pt>
                <c:pt idx="6">
                  <c:v>2021/22</c:v>
                </c:pt>
                <c:pt idx="10">
                  <c:v>2022/23</c:v>
                </c:pt>
              </c:strCache>
            </c:strRef>
          </c:cat>
          <c:val>
            <c:numRef>
              <c:f>ADD!$H$5:$H$17</c:f>
              <c:numCache>
                <c:formatCode>General</c:formatCode>
                <c:ptCount val="13"/>
              </c:numCache>
            </c:numRef>
          </c:val>
          <c:extLst>
            <c:ext xmlns:c16="http://schemas.microsoft.com/office/drawing/2014/chart" uri="{C3380CC4-5D6E-409C-BE32-E72D297353CC}">
              <c16:uniqueId val="{0000000A-459D-4E84-8D18-385F29CBAFD7}"/>
            </c:ext>
          </c:extLst>
        </c:ser>
        <c:ser>
          <c:idx val="5"/>
          <c:order val="5"/>
          <c:tx>
            <c:strRef>
              <c:f>ADD!$I$4</c:f>
              <c:strCache>
                <c:ptCount val="1"/>
                <c:pt idx="0">
                  <c:v>Orange</c:v>
                </c:pt>
              </c:strCache>
            </c:strRef>
          </c:tx>
          <c:spPr>
            <a:solidFill>
              <a:srgbClr val="FF9900"/>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2018/19</c:v>
                </c:pt>
                <c:pt idx="6">
                  <c:v>2021/22</c:v>
                </c:pt>
                <c:pt idx="10">
                  <c:v>2022/23</c:v>
                </c:pt>
              </c:strCache>
            </c:strRef>
          </c:cat>
          <c:val>
            <c:numRef>
              <c:f>ADD!$I$5:$I$17</c:f>
              <c:numCache>
                <c:formatCode>General</c:formatCode>
                <c:ptCount val="13"/>
              </c:numCache>
            </c:numRef>
          </c:val>
          <c:extLst>
            <c:ext xmlns:c16="http://schemas.microsoft.com/office/drawing/2014/chart" uri="{C3380CC4-5D6E-409C-BE32-E72D297353CC}">
              <c16:uniqueId val="{0000000B-459D-4E84-8D18-385F29CBAFD7}"/>
            </c:ext>
          </c:extLst>
        </c:ser>
        <c:ser>
          <c:idx val="6"/>
          <c:order val="6"/>
          <c:tx>
            <c:strRef>
              <c:f>ADD!$J$4</c:f>
              <c:strCache>
                <c:ptCount val="1"/>
                <c:pt idx="0">
                  <c:v>Red</c:v>
                </c:pt>
              </c:strCache>
            </c:strRef>
          </c:tx>
          <c:spPr>
            <a:solidFill>
              <a:srgbClr val="FF0000"/>
            </a:solidFill>
            <a:ln w="12700">
              <a:solidFill>
                <a:srgbClr val="000000"/>
              </a:solidFill>
            </a:ln>
          </c:spPr>
          <c:invertIfNegative val="0"/>
          <c:dLbls>
            <c:numFmt formatCode="&quot;Llwyddia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ADD!$B$5:$B$17</c:f>
              <c:strCache>
                <c:ptCount val="11"/>
                <c:pt idx="2">
                  <c:v>2018/19</c:v>
                </c:pt>
                <c:pt idx="6">
                  <c:v>2021/22</c:v>
                </c:pt>
                <c:pt idx="10">
                  <c:v>2022/23</c:v>
                </c:pt>
              </c:strCache>
            </c:strRef>
          </c:cat>
          <c:val>
            <c:numRef>
              <c:f>ADD!$J$5:$J$17</c:f>
              <c:numCache>
                <c:formatCode>General</c:formatCode>
                <c:ptCount val="13"/>
              </c:numCache>
            </c:numRef>
          </c:val>
          <c:extLst>
            <c:ext xmlns:c16="http://schemas.microsoft.com/office/drawing/2014/chart" uri="{C3380CC4-5D6E-409C-BE32-E72D297353CC}">
              <c16:uniqueId val="{0000000C-459D-4E84-8D18-385F29CBAFD7}"/>
            </c:ext>
          </c:extLst>
        </c:ser>
        <c:dLbls>
          <c:showLegendKey val="0"/>
          <c:showVal val="0"/>
          <c:showCatName val="0"/>
          <c:showSerName val="0"/>
          <c:showPercent val="0"/>
          <c:showBubbleSize val="0"/>
        </c:dLbls>
        <c:gapWidth val="0"/>
        <c:overlap val="100"/>
        <c:axId val="211678720"/>
        <c:axId val="211680640"/>
      </c:barChart>
      <c:barChart>
        <c:barDir val="col"/>
        <c:grouping val="stacked"/>
        <c:varyColors val="0"/>
        <c:ser>
          <c:idx val="8"/>
          <c:order val="7"/>
          <c:tx>
            <c:strRef>
              <c:f>ADD!$C$4</c:f>
              <c:strCache>
                <c:ptCount val="1"/>
                <c:pt idx="0">
                  <c:v>Sector success rate</c:v>
                </c:pt>
              </c:strCache>
            </c:strRef>
          </c:tx>
          <c:spPr>
            <a:noFill/>
            <a:ln>
              <a:noFill/>
            </a:ln>
          </c:spPr>
          <c:invertIfNegative val="0"/>
          <c:cat>
            <c:strRef>
              <c:f>ADD!$B$5:$B$17</c:f>
              <c:strCache>
                <c:ptCount val="11"/>
                <c:pt idx="2">
                  <c:v>2018/19</c:v>
                </c:pt>
                <c:pt idx="6">
                  <c:v>2021/22</c:v>
                </c:pt>
                <c:pt idx="10">
                  <c:v>2022/23</c:v>
                </c:pt>
              </c:strCache>
            </c:strRef>
          </c:cat>
          <c:val>
            <c:numRef>
              <c:f>ADD!$C$5:$C$17</c:f>
              <c:numCache>
                <c:formatCode>0.00%</c:formatCode>
                <c:ptCount val="13"/>
                <c:pt idx="0">
                  <c:v>0.84</c:v>
                </c:pt>
                <c:pt idx="12">
                  <c:v>0.84</c:v>
                </c:pt>
              </c:numCache>
            </c:numRef>
          </c:val>
          <c:extLst>
            <c:ext xmlns:c16="http://schemas.microsoft.com/office/drawing/2014/chart" uri="{C3380CC4-5D6E-409C-BE32-E72D297353CC}">
              <c16:uniqueId val="{0000000D-459D-4E84-8D18-385F29CBAFD7}"/>
            </c:ext>
          </c:extLst>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49216128"/>
        <c:axId val="49214592"/>
      </c:barChart>
      <c:catAx>
        <c:axId val="211678720"/>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211680640"/>
        <c:crosses val="autoZero"/>
        <c:auto val="0"/>
        <c:lblAlgn val="ctr"/>
        <c:lblOffset val="100"/>
        <c:noMultiLvlLbl val="0"/>
      </c:catAx>
      <c:valAx>
        <c:axId val="211680640"/>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211678720"/>
        <c:crosses val="autoZero"/>
        <c:crossBetween val="midCat"/>
        <c:majorUnit val="0.2"/>
        <c:minorUnit val="2.0000000000000004E-2"/>
      </c:valAx>
      <c:valAx>
        <c:axId val="49214592"/>
        <c:scaling>
          <c:orientation val="minMax"/>
        </c:scaling>
        <c:delete val="1"/>
        <c:axPos val="r"/>
        <c:numFmt formatCode="0.00%" sourceLinked="1"/>
        <c:majorTickMark val="out"/>
        <c:minorTickMark val="none"/>
        <c:tickLblPos val="nextTo"/>
        <c:crossAx val="49216128"/>
        <c:crosses val="max"/>
        <c:crossBetween val="midCat"/>
      </c:valAx>
      <c:catAx>
        <c:axId val="49216128"/>
        <c:scaling>
          <c:orientation val="minMax"/>
        </c:scaling>
        <c:delete val="1"/>
        <c:axPos val="t"/>
        <c:numFmt formatCode="General" sourceLinked="1"/>
        <c:majorTickMark val="none"/>
        <c:minorTickMark val="none"/>
        <c:tickLblPos val="nextTo"/>
        <c:crossAx val="49214592"/>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1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jpeg"/><Relationship Id="rId5" Type="http://schemas.openxmlformats.org/officeDocument/2006/relationships/image" Target="../media/image6.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8667749</xdr:colOff>
      <xdr:row>0</xdr:row>
      <xdr:rowOff>142876</xdr:rowOff>
    </xdr:from>
    <xdr:to>
      <xdr:col>0</xdr:col>
      <xdr:colOff>9715500</xdr:colOff>
      <xdr:row>2</xdr:row>
      <xdr:rowOff>438150</xdr:rowOff>
    </xdr:to>
    <xdr:pic>
      <xdr:nvPicPr>
        <xdr:cNvPr id="2" name="Picture 1" descr="WG_positive_40m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49" y="142876"/>
          <a:ext cx="1047751" cy="742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19</xdr:row>
      <xdr:rowOff>19050</xdr:rowOff>
    </xdr:from>
    <xdr:to>
      <xdr:col>0</xdr:col>
      <xdr:colOff>6734175</xdr:colOff>
      <xdr:row>19</xdr:row>
      <xdr:rowOff>2723596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8575" y="9620250"/>
          <a:ext cx="6705600" cy="2704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7610475</xdr:colOff>
      <xdr:row>0</xdr:row>
      <xdr:rowOff>142876</xdr:rowOff>
    </xdr:from>
    <xdr:to>
      <xdr:col>0</xdr:col>
      <xdr:colOff>8553450</xdr:colOff>
      <xdr:row>3</xdr:row>
      <xdr:rowOff>399007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0475" y="142876"/>
          <a:ext cx="942975" cy="894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14</xdr:row>
      <xdr:rowOff>19050</xdr:rowOff>
    </xdr:from>
    <xdr:to>
      <xdr:col>0</xdr:col>
      <xdr:colOff>6562725</xdr:colOff>
      <xdr:row>15</xdr:row>
      <xdr:rowOff>9525</xdr:rowOff>
    </xdr:to>
    <xdr:pic>
      <xdr:nvPicPr>
        <xdr:cNvPr id="13" name="Picture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6953250"/>
          <a:ext cx="6486525"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33</xdr:row>
      <xdr:rowOff>0</xdr:rowOff>
    </xdr:from>
    <xdr:to>
      <xdr:col>0</xdr:col>
      <xdr:colOff>8305801</xdr:colOff>
      <xdr:row>61</xdr:row>
      <xdr:rowOff>118533</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19078575"/>
          <a:ext cx="8305800" cy="5604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xdr:row>
      <xdr:rowOff>47625</xdr:rowOff>
    </xdr:from>
    <xdr:to>
      <xdr:col>0</xdr:col>
      <xdr:colOff>6753225</xdr:colOff>
      <xdr:row>7</xdr:row>
      <xdr:rowOff>2752171</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a:stretch>
          <a:fillRect/>
        </a:stretch>
      </xdr:blipFill>
      <xdr:spPr>
        <a:xfrm>
          <a:off x="47625" y="2609850"/>
          <a:ext cx="6705600" cy="2704546"/>
        </a:xfrm>
        <a:prstGeom prst="rect">
          <a:avLst/>
        </a:prstGeom>
      </xdr:spPr>
    </xdr:pic>
    <xdr:clientData/>
  </xdr:twoCellAnchor>
  <xdr:twoCellAnchor editAs="oneCell">
    <xdr:from>
      <xdr:col>0</xdr:col>
      <xdr:colOff>0</xdr:colOff>
      <xdr:row>17</xdr:row>
      <xdr:rowOff>142875</xdr:rowOff>
    </xdr:from>
    <xdr:to>
      <xdr:col>1</xdr:col>
      <xdr:colOff>9525</xdr:colOff>
      <xdr:row>17</xdr:row>
      <xdr:rowOff>1180171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0" y="9839325"/>
          <a:ext cx="8734425" cy="10372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4</xdr:col>
          <xdr:colOff>552450</xdr:colOff>
          <xdr:row>21</xdr:row>
          <xdr:rowOff>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GB" sz="800" b="0" i="0" u="none" strike="noStrike" baseline="0">
                  <a:solidFill>
                    <a:srgbClr val="000000"/>
                  </a:solidFill>
                  <a:latin typeface="Tahoma"/>
                  <a:ea typeface="Tahoma"/>
                  <a:cs typeface="Tahoma"/>
                </a:rPr>
                <a:t>Dewiswch Bartneriaeth Dysgu Oedolion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xdr:row>
          <xdr:rowOff>66676</xdr:rowOff>
        </xdr:from>
        <xdr:to>
          <xdr:col>3</xdr:col>
          <xdr:colOff>552450</xdr:colOff>
          <xdr:row>18</xdr:row>
          <xdr:rowOff>57150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539750" y="463551"/>
              <a:ext cx="1727200" cy="3194049"/>
              <a:chOff x="752475" y="571501"/>
              <a:chExt cx="3057525" cy="3038474"/>
            </a:xfrm>
          </xdr:grpSpPr>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752475" y="5715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Addysg Oedolion Cymru</a:t>
                </a:r>
              </a:p>
            </xdr:txBody>
          </xdr:sp>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752475" y="7620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Pen-Y-Bont Ar Ogwr</a:t>
                </a:r>
              </a:p>
            </xdr:txBody>
          </xdr:sp>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752475" y="952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Caerdydd A'r Fro</a:t>
                </a:r>
              </a:p>
            </xdr:txBody>
          </xdr:sp>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752475" y="1133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Sir Gaerfyrddin</a:t>
                </a:r>
              </a:p>
            </xdr:txBody>
          </xdr:sp>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752475" y="1323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Ceredigion</a:t>
                </a:r>
              </a:p>
            </xdr:txBody>
          </xdr:sp>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752475" y="1514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Csywllt Dysgu</a:t>
                </a:r>
              </a:p>
            </xdr:txBody>
          </xdr:sp>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752475" y="1714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Sir Y Fflint</a:t>
                </a:r>
              </a:p>
            </xdr:txBody>
          </xdr:sp>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752475" y="1905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Gwent</a:t>
                </a:r>
              </a:p>
            </xdr:txBody>
          </xdr:sp>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752475" y="2095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Gwynedd A Môn</a:t>
                </a:r>
              </a:p>
            </xdr:txBody>
          </xdr:sp>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752475" y="2276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Merthyr Tudful</a:t>
                </a:r>
              </a:p>
            </xdr:txBody>
          </xdr:sp>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752475" y="2466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Castell-Nedd Port Talbot</a:t>
                </a:r>
              </a:p>
            </xdr:txBody>
          </xdr:sp>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752475" y="2657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Sir Benfro</a:t>
                </a:r>
              </a:p>
            </xdr:txBody>
          </xdr:sp>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752475" y="2857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Powys</a:t>
                </a:r>
              </a:p>
            </xdr:txBody>
          </xdr:sp>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752475" y="3048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Rhobdda Cynon Taf</a:t>
                </a:r>
              </a:p>
            </xdr:txBody>
          </xdr:sp>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752475" y="3228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Abertawe</a:t>
                </a:r>
              </a:p>
            </xdr:txBody>
          </xdr:sp>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752475" y="3419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Wrecsam</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23</xdr:row>
      <xdr:rowOff>114300</xdr:rowOff>
    </xdr:from>
    <xdr:to>
      <xdr:col>12</xdr:col>
      <xdr:colOff>657225</xdr:colOff>
      <xdr:row>25</xdr:row>
      <xdr:rowOff>171450</xdr:rowOff>
    </xdr:to>
    <xdr:sp macro="" textlink="">
      <xdr:nvSpPr>
        <xdr:cNvPr id="2" name="Line 18">
          <a:extLst>
            <a:ext uri="{FF2B5EF4-FFF2-40B4-BE49-F238E27FC236}">
              <a16:creationId xmlns:a16="http://schemas.microsoft.com/office/drawing/2014/main" id="{00000000-0008-0000-0300-000002000000}"/>
            </a:ext>
          </a:extLst>
        </xdr:cNvPr>
        <xdr:cNvSpPr>
          <a:spLocks noChangeShapeType="1"/>
        </xdr:cNvSpPr>
      </xdr:nvSpPr>
      <xdr:spPr bwMode="auto">
        <a:xfrm>
          <a:off x="7439025" y="5267325"/>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11</xdr:col>
      <xdr:colOff>9525</xdr:colOff>
      <xdr:row>18</xdr:row>
      <xdr:rowOff>300316</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0.69357</cdr:x>
      <cdr:y>0.9425</cdr:y>
    </cdr:from>
    <cdr:to>
      <cdr:x>0.76703</cdr:x>
      <cdr:y>0.94284</cdr:y>
    </cdr:to>
    <cdr:cxnSp macro="">
      <cdr:nvCxnSpPr>
        <cdr:cNvPr id="4" name="Straight Connector 3">
          <a:extLst xmlns:a="http://schemas.openxmlformats.org/drawingml/2006/main">
            <a:ext uri="{FF2B5EF4-FFF2-40B4-BE49-F238E27FC236}">
              <a16:creationId xmlns:a16="http://schemas.microsoft.com/office/drawing/2014/main" id="{401BD91D-B754-F8D8-6876-F0B6B22B9F8A}"/>
            </a:ext>
          </a:extLst>
        </cdr:cNvPr>
        <cdr:cNvCxnSpPr/>
      </cdr:nvCxnSpPr>
      <cdr:spPr>
        <a:xfrm xmlns:a="http://schemas.openxmlformats.org/drawingml/2006/main">
          <a:off x="6057900" y="3590925"/>
          <a:ext cx="641679" cy="1296"/>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0.76588</cdr:x>
      <cdr:y>0.91241</cdr:y>
    </cdr:from>
    <cdr:to>
      <cdr:x>0.99237</cdr:x>
      <cdr:y>0.98148</cdr:y>
    </cdr:to>
    <cdr:sp macro="" textlink="">
      <cdr:nvSpPr>
        <cdr:cNvPr id="3" name="TextBox 2"/>
        <cdr:cNvSpPr txBox="1"/>
      </cdr:nvSpPr>
      <cdr:spPr>
        <a:xfrm xmlns:a="http://schemas.openxmlformats.org/drawingml/2006/main">
          <a:off x="6689548" y="3476282"/>
          <a:ext cx="1978202" cy="26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2022/23 Cyfradd Llwyddiant Sector</a:t>
          </a:r>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333374</xdr:colOff>
      <xdr:row>20</xdr:row>
      <xdr:rowOff>161924</xdr:rowOff>
    </xdr:from>
    <xdr:to>
      <xdr:col>15</xdr:col>
      <xdr:colOff>304799</xdr:colOff>
      <xdr:row>20</xdr:row>
      <xdr:rowOff>161925</xdr:rowOff>
    </xdr:to>
    <xdr:sp macro="" textlink="">
      <xdr:nvSpPr>
        <xdr:cNvPr id="2" name="Line 18">
          <a:extLst>
            <a:ext uri="{FF2B5EF4-FFF2-40B4-BE49-F238E27FC236}">
              <a16:creationId xmlns:a16="http://schemas.microsoft.com/office/drawing/2014/main" id="{00000000-0008-0000-0400-000002000000}"/>
            </a:ext>
          </a:extLst>
        </xdr:cNvPr>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30"/>
  <sheetViews>
    <sheetView showGridLines="0" tabSelected="1" view="pageBreakPreview" zoomScaleNormal="100" zoomScaleSheetLayoutView="100" workbookViewId="0"/>
  </sheetViews>
  <sheetFormatPr defaultColWidth="8.84375" defaultRowHeight="15.5"/>
  <cols>
    <col min="1" max="1" width="114.69140625" style="134" customWidth="1"/>
    <col min="2" max="16384" width="8.84375" style="134"/>
  </cols>
  <sheetData>
    <row r="1" spans="1:1" ht="20">
      <c r="A1" s="159" t="s">
        <v>149</v>
      </c>
    </row>
    <row r="2" spans="1:1">
      <c r="A2" s="160" t="s">
        <v>46</v>
      </c>
    </row>
    <row r="3" spans="1:1" ht="46.5" customHeight="1">
      <c r="A3" s="161" t="s">
        <v>47</v>
      </c>
    </row>
    <row r="4" spans="1:1" ht="36" customHeight="1">
      <c r="A4" s="162" t="s">
        <v>141</v>
      </c>
    </row>
    <row r="5" spans="1:1" ht="31.5" customHeight="1">
      <c r="A5" s="161" t="s">
        <v>48</v>
      </c>
    </row>
    <row r="6" spans="1:1" ht="62">
      <c r="A6" s="162" t="s">
        <v>142</v>
      </c>
    </row>
    <row r="7" spans="1:1" ht="62">
      <c r="A7" s="160" t="s">
        <v>49</v>
      </c>
    </row>
    <row r="8" spans="1:1" ht="30" customHeight="1">
      <c r="A8" s="161" t="s">
        <v>50</v>
      </c>
    </row>
    <row r="9" spans="1:1">
      <c r="A9" s="163" t="s">
        <v>143</v>
      </c>
    </row>
    <row r="10" spans="1:1" ht="31">
      <c r="A10" s="164" t="s">
        <v>51</v>
      </c>
    </row>
    <row r="11" spans="1:1" ht="31">
      <c r="A11" s="164" t="s">
        <v>52</v>
      </c>
    </row>
    <row r="12" spans="1:1" ht="31">
      <c r="A12" s="165" t="s">
        <v>53</v>
      </c>
    </row>
    <row r="13" spans="1:1" ht="34.5" customHeight="1">
      <c r="A13" s="169" t="s">
        <v>150</v>
      </c>
    </row>
    <row r="14" spans="1:1">
      <c r="A14" s="169" t="s">
        <v>151</v>
      </c>
    </row>
    <row r="15" spans="1:1" ht="31">
      <c r="A15" s="165" t="s">
        <v>54</v>
      </c>
    </row>
    <row r="16" spans="1:1" ht="31">
      <c r="A16" s="165" t="s">
        <v>55</v>
      </c>
    </row>
    <row r="17" spans="1:1" ht="31">
      <c r="A17" s="165" t="s">
        <v>56</v>
      </c>
    </row>
    <row r="18" spans="1:1" ht="20.25" customHeight="1">
      <c r="A18" s="166" t="s">
        <v>57</v>
      </c>
    </row>
    <row r="19" spans="1:1" ht="24.75" customHeight="1">
      <c r="A19" s="169" t="s">
        <v>152</v>
      </c>
    </row>
    <row r="20" spans="1:1" ht="261" customHeight="1">
      <c r="A20" s="169" t="s">
        <v>153</v>
      </c>
    </row>
    <row r="21" spans="1:1" ht="27.75" customHeight="1">
      <c r="A21" s="166" t="s">
        <v>58</v>
      </c>
    </row>
    <row r="22" spans="1:1" ht="31">
      <c r="A22" s="177" t="s">
        <v>173</v>
      </c>
    </row>
    <row r="23" spans="1:1" ht="62">
      <c r="A23" s="177" t="s">
        <v>174</v>
      </c>
    </row>
    <row r="24" spans="1:1" ht="31.5" customHeight="1">
      <c r="A24" s="166" t="s">
        <v>59</v>
      </c>
    </row>
    <row r="25" spans="1:1" ht="93">
      <c r="A25" s="177" t="s">
        <v>175</v>
      </c>
    </row>
    <row r="26" spans="1:1" ht="52.5" customHeight="1">
      <c r="A26" s="177" t="s">
        <v>176</v>
      </c>
    </row>
    <row r="27" spans="1:1" ht="50.25" customHeight="1">
      <c r="A27" s="177" t="s">
        <v>177</v>
      </c>
    </row>
    <row r="28" spans="1:1" ht="23.25" customHeight="1">
      <c r="A28" s="161" t="s">
        <v>60</v>
      </c>
    </row>
    <row r="29" spans="1:1" ht="31">
      <c r="A29" s="177" t="s">
        <v>178</v>
      </c>
    </row>
    <row r="30" spans="1:1">
      <c r="A30" s="169" t="s">
        <v>154</v>
      </c>
    </row>
  </sheetData>
  <sheetProtection selectLockedCells="1" selectUnlockedCell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68"/>
  <sheetViews>
    <sheetView showGridLines="0" view="pageBreakPreview" zoomScaleNormal="100" zoomScaleSheetLayoutView="100" workbookViewId="0"/>
  </sheetViews>
  <sheetFormatPr defaultColWidth="8.84375" defaultRowHeight="15.5"/>
  <cols>
    <col min="1" max="1" width="101.765625" style="134" customWidth="1"/>
    <col min="2" max="16384" width="8.84375" style="134"/>
  </cols>
  <sheetData>
    <row r="1" spans="1:1" ht="20">
      <c r="A1" s="159" t="s">
        <v>61</v>
      </c>
    </row>
    <row r="2" spans="1:1">
      <c r="A2" s="169" t="s">
        <v>155</v>
      </c>
    </row>
    <row r="3" spans="1:1">
      <c r="A3" s="162" t="s">
        <v>145</v>
      </c>
    </row>
    <row r="4" spans="1:1" ht="35.25" customHeight="1">
      <c r="A4" s="167" t="s">
        <v>62</v>
      </c>
    </row>
    <row r="5" spans="1:1" ht="62">
      <c r="A5" s="162" t="s">
        <v>146</v>
      </c>
    </row>
    <row r="6" spans="1:1" ht="55.5" customHeight="1">
      <c r="A6" s="169" t="s">
        <v>156</v>
      </c>
    </row>
    <row r="7" spans="1:1">
      <c r="A7" s="167" t="s">
        <v>63</v>
      </c>
    </row>
    <row r="8" spans="1:1" ht="217.5" customHeight="1">
      <c r="A8" s="167"/>
    </row>
    <row r="9" spans="1:1" ht="31">
      <c r="A9" s="160" t="s">
        <v>64</v>
      </c>
    </row>
    <row r="10" spans="1:1">
      <c r="A10" s="160" t="s">
        <v>65</v>
      </c>
    </row>
    <row r="11" spans="1:1">
      <c r="A11" s="170" t="s">
        <v>157</v>
      </c>
    </row>
    <row r="12" spans="1:1">
      <c r="A12" s="170" t="s">
        <v>158</v>
      </c>
    </row>
    <row r="13" spans="1:1" ht="31">
      <c r="A13" s="160" t="s">
        <v>66</v>
      </c>
    </row>
    <row r="14" spans="1:1" ht="20.25" customHeight="1">
      <c r="A14" s="160" t="s">
        <v>67</v>
      </c>
    </row>
    <row r="15" spans="1:1" ht="159.75" customHeight="1">
      <c r="A15" s="171"/>
    </row>
    <row r="16" spans="1:1" ht="31">
      <c r="A16" s="172" t="s">
        <v>137</v>
      </c>
    </row>
    <row r="17" spans="1:1" ht="22.5" customHeight="1">
      <c r="A17" s="167" t="s">
        <v>68</v>
      </c>
    </row>
    <row r="18" spans="1:1" ht="106.5" customHeight="1">
      <c r="A18" s="173"/>
    </row>
    <row r="19" spans="1:1">
      <c r="A19" s="174" t="s">
        <v>69</v>
      </c>
    </row>
    <row r="20" spans="1:1" ht="62">
      <c r="A20" s="168" t="s">
        <v>133</v>
      </c>
    </row>
    <row r="21" spans="1:1" ht="24" customHeight="1">
      <c r="A21" s="174" t="s">
        <v>70</v>
      </c>
    </row>
    <row r="22" spans="1:1">
      <c r="A22" s="160" t="s">
        <v>71</v>
      </c>
    </row>
    <row r="23" spans="1:1">
      <c r="A23" s="176" t="s">
        <v>163</v>
      </c>
    </row>
    <row r="24" spans="1:1">
      <c r="A24" s="176" t="s">
        <v>164</v>
      </c>
    </row>
    <row r="25" spans="1:1">
      <c r="A25" s="176" t="s">
        <v>165</v>
      </c>
    </row>
    <row r="26" spans="1:1">
      <c r="A26" s="176" t="s">
        <v>166</v>
      </c>
    </row>
    <row r="27" spans="1:1">
      <c r="A27" s="176" t="s">
        <v>167</v>
      </c>
    </row>
    <row r="28" spans="1:1" ht="33.75" customHeight="1">
      <c r="A28" s="160" t="s">
        <v>72</v>
      </c>
    </row>
    <row r="29" spans="1:1" ht="22.5" customHeight="1">
      <c r="A29" s="174" t="s">
        <v>73</v>
      </c>
    </row>
    <row r="30" spans="1:1" ht="77.5">
      <c r="A30" s="162" t="s">
        <v>139</v>
      </c>
    </row>
    <row r="31" spans="1:1" ht="23.25" customHeight="1">
      <c r="A31" s="174" t="s">
        <v>134</v>
      </c>
    </row>
    <row r="32" spans="1:1" ht="62">
      <c r="A32" s="162" t="s">
        <v>144</v>
      </c>
    </row>
    <row r="33" spans="1:1" ht="24.75" customHeight="1">
      <c r="A33" s="167" t="s">
        <v>74</v>
      </c>
    </row>
    <row r="34" spans="1:1">
      <c r="A34" s="173"/>
    </row>
    <row r="35" spans="1:1">
      <c r="A35" s="173"/>
    </row>
    <row r="36" spans="1:1">
      <c r="A36" s="173"/>
    </row>
    <row r="37" spans="1:1">
      <c r="A37" s="173"/>
    </row>
    <row r="38" spans="1:1">
      <c r="A38" s="173"/>
    </row>
    <row r="39" spans="1:1">
      <c r="A39" s="173"/>
    </row>
    <row r="40" spans="1:1">
      <c r="A40" s="173"/>
    </row>
    <row r="41" spans="1:1">
      <c r="A41" s="173"/>
    </row>
    <row r="42" spans="1:1">
      <c r="A42" s="173"/>
    </row>
    <row r="43" spans="1:1">
      <c r="A43" s="173"/>
    </row>
    <row r="44" spans="1:1">
      <c r="A44" s="173"/>
    </row>
    <row r="45" spans="1:1">
      <c r="A45" s="173"/>
    </row>
    <row r="46" spans="1:1">
      <c r="A46" s="173"/>
    </row>
    <row r="47" spans="1:1">
      <c r="A47" s="173"/>
    </row>
    <row r="48" spans="1:1">
      <c r="A48" s="173"/>
    </row>
    <row r="49" spans="1:1">
      <c r="A49" s="171"/>
    </row>
    <row r="50" spans="1:1">
      <c r="A50" s="171"/>
    </row>
    <row r="51" spans="1:1">
      <c r="A51" s="171"/>
    </row>
    <row r="52" spans="1:1">
      <c r="A52" s="171"/>
    </row>
    <row r="53" spans="1:1">
      <c r="A53" s="171"/>
    </row>
    <row r="54" spans="1:1">
      <c r="A54" s="171"/>
    </row>
    <row r="55" spans="1:1">
      <c r="A55" s="171"/>
    </row>
    <row r="56" spans="1:1">
      <c r="A56" s="171"/>
    </row>
    <row r="57" spans="1:1">
      <c r="A57" s="171"/>
    </row>
    <row r="58" spans="1:1">
      <c r="A58" s="171"/>
    </row>
    <row r="59" spans="1:1">
      <c r="A59" s="171"/>
    </row>
    <row r="60" spans="1:1">
      <c r="A60" s="171"/>
    </row>
    <row r="61" spans="1:1">
      <c r="A61" s="173"/>
    </row>
    <row r="62" spans="1:1">
      <c r="A62" s="173"/>
    </row>
    <row r="63" spans="1:1" ht="18" customHeight="1">
      <c r="A63" s="172" t="s">
        <v>101</v>
      </c>
    </row>
    <row r="64" spans="1:1" ht="50.25" customHeight="1">
      <c r="A64" s="175" t="s">
        <v>135</v>
      </c>
    </row>
    <row r="65" spans="1:1" ht="68.25" customHeight="1">
      <c r="A65" s="175" t="s">
        <v>136</v>
      </c>
    </row>
    <row r="66" spans="1:1" ht="31">
      <c r="A66" s="160" t="s">
        <v>75</v>
      </c>
    </row>
    <row r="67" spans="1:1">
      <c r="A67" s="168" t="s">
        <v>132</v>
      </c>
    </row>
    <row r="68" spans="1:1" ht="19.5" customHeight="1">
      <c r="A68" s="169" t="s">
        <v>154</v>
      </c>
    </row>
  </sheetData>
  <sheetProtection selectLockedCells="1" selectUnlockedCells="1"/>
  <pageMargins left="0.7" right="0.7" top="0.75" bottom="0.75" header="0.3" footer="0.3"/>
  <pageSetup paperSize="9" orientation="portrait" horizontalDpi="300" verticalDpi="300" r:id="rId1"/>
  <rowBreaks count="2" manualBreakCount="2">
    <brk id="13" max="16383" man="1"/>
    <brk id="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showGridLines="0" workbookViewId="0">
      <selection activeCell="A23" sqref="A23:E24"/>
    </sheetView>
  </sheetViews>
  <sheetFormatPr defaultColWidth="0" defaultRowHeight="15.5" zeroHeight="1"/>
  <cols>
    <col min="1" max="1" width="3" style="107" customWidth="1"/>
    <col min="2" max="5" width="8.84375" style="107" customWidth="1"/>
    <col min="6" max="11" width="0" style="107" hidden="1" customWidth="1"/>
    <col min="12" max="16384" width="8.84375" style="107" hidden="1"/>
  </cols>
  <sheetData>
    <row r="1" spans="1:10">
      <c r="A1" s="108"/>
      <c r="B1" s="108"/>
      <c r="C1" s="108"/>
      <c r="D1" s="108"/>
      <c r="E1" s="108"/>
    </row>
    <row r="2" spans="1:10">
      <c r="A2" s="108"/>
      <c r="B2" s="108"/>
      <c r="C2" s="108"/>
      <c r="D2" s="108"/>
      <c r="E2" s="108"/>
      <c r="J2" s="110"/>
    </row>
    <row r="3" spans="1:10">
      <c r="A3" s="108"/>
      <c r="B3" s="108"/>
      <c r="C3" s="108"/>
      <c r="D3" s="108"/>
      <c r="E3" s="108"/>
      <c r="J3" s="109"/>
    </row>
    <row r="4" spans="1:10">
      <c r="A4" s="108"/>
      <c r="B4" s="108"/>
      <c r="C4" s="108"/>
      <c r="D4" s="108"/>
      <c r="E4" s="108"/>
      <c r="J4" s="109"/>
    </row>
    <row r="5" spans="1:10">
      <c r="A5" s="108"/>
      <c r="B5" s="108"/>
      <c r="C5" s="108"/>
      <c r="D5" s="108"/>
      <c r="E5" s="108"/>
      <c r="J5" s="110"/>
    </row>
    <row r="6" spans="1:10">
      <c r="A6" s="108"/>
      <c r="B6" s="108"/>
      <c r="C6" s="108"/>
      <c r="D6" s="108"/>
      <c r="E6" s="108"/>
      <c r="J6" s="109"/>
    </row>
    <row r="7" spans="1:10">
      <c r="A7" s="108"/>
      <c r="B7" s="108"/>
      <c r="C7" s="108"/>
      <c r="D7" s="108"/>
      <c r="E7" s="108"/>
      <c r="J7" s="109"/>
    </row>
    <row r="8" spans="1:10">
      <c r="A8" s="108"/>
      <c r="B8" s="108"/>
      <c r="C8" s="108"/>
      <c r="D8" s="108"/>
      <c r="E8" s="108"/>
      <c r="J8" s="109"/>
    </row>
    <row r="9" spans="1:10">
      <c r="A9" s="108"/>
      <c r="B9" s="108"/>
      <c r="C9" s="108"/>
      <c r="D9" s="108"/>
      <c r="E9" s="108"/>
      <c r="J9" s="109"/>
    </row>
    <row r="10" spans="1:10">
      <c r="A10" s="108"/>
      <c r="B10" s="108"/>
      <c r="C10" s="108"/>
      <c r="D10" s="108"/>
      <c r="E10" s="108"/>
      <c r="J10" s="109"/>
    </row>
    <row r="11" spans="1:10">
      <c r="A11" s="108"/>
      <c r="B11" s="108"/>
      <c r="C11" s="108"/>
      <c r="D11" s="108"/>
      <c r="E11" s="108"/>
      <c r="J11" s="109"/>
    </row>
    <row r="12" spans="1:10">
      <c r="A12" s="108"/>
      <c r="B12" s="108"/>
      <c r="C12" s="108"/>
      <c r="D12" s="108"/>
      <c r="E12" s="108"/>
      <c r="J12" s="109"/>
    </row>
    <row r="13" spans="1:10">
      <c r="A13" s="108"/>
      <c r="B13" s="108"/>
      <c r="C13" s="108"/>
      <c r="D13" s="108"/>
      <c r="E13" s="108"/>
      <c r="J13" s="109"/>
    </row>
    <row r="14" spans="1:10">
      <c r="A14" s="108"/>
      <c r="B14" s="108"/>
      <c r="C14" s="108"/>
      <c r="D14" s="108"/>
      <c r="E14" s="108"/>
      <c r="J14" s="109"/>
    </row>
    <row r="15" spans="1:10">
      <c r="A15" s="108"/>
      <c r="B15" s="108"/>
      <c r="C15" s="108"/>
      <c r="D15" s="108"/>
      <c r="E15" s="108"/>
      <c r="J15" s="109"/>
    </row>
    <row r="16" spans="1:10">
      <c r="A16" s="108"/>
      <c r="B16" s="108"/>
      <c r="C16" s="108"/>
      <c r="D16" s="108"/>
      <c r="E16" s="108"/>
      <c r="J16" s="109"/>
    </row>
    <row r="17" spans="1:10">
      <c r="A17" s="108"/>
      <c r="B17" s="108"/>
      <c r="C17" s="108"/>
      <c r="D17" s="108"/>
      <c r="E17" s="108"/>
      <c r="J17" s="109"/>
    </row>
    <row r="18" spans="1:10">
      <c r="A18" s="108"/>
      <c r="B18" s="108"/>
      <c r="C18" s="108"/>
      <c r="D18" s="108"/>
      <c r="E18" s="108"/>
      <c r="J18" s="109"/>
    </row>
    <row r="19" spans="1:10">
      <c r="A19" s="108"/>
      <c r="B19" s="108"/>
      <c r="C19" s="108"/>
      <c r="D19" s="108"/>
      <c r="E19" s="108"/>
    </row>
    <row r="20" spans="1:10">
      <c r="A20" s="108"/>
      <c r="B20" s="108"/>
      <c r="C20" s="108"/>
      <c r="D20" s="108"/>
      <c r="E20" s="108"/>
    </row>
    <row r="21" spans="1:10">
      <c r="A21" s="108"/>
      <c r="B21" s="108"/>
      <c r="C21" s="108"/>
      <c r="D21" s="108"/>
      <c r="E21" s="108"/>
    </row>
    <row r="22" spans="1:10" ht="8.25" customHeight="1">
      <c r="A22" s="108"/>
      <c r="B22" s="108"/>
      <c r="C22" s="108"/>
      <c r="D22" s="108"/>
      <c r="E22" s="108"/>
    </row>
    <row r="23" spans="1:10">
      <c r="A23" s="178" t="s">
        <v>147</v>
      </c>
      <c r="B23" s="178"/>
      <c r="C23" s="178"/>
      <c r="D23" s="178"/>
      <c r="E23" s="178"/>
    </row>
    <row r="24" spans="1:10">
      <c r="A24" s="178"/>
      <c r="B24" s="178"/>
      <c r="C24" s="178"/>
      <c r="D24" s="178"/>
      <c r="E24" s="178"/>
    </row>
    <row r="25" spans="1:10" hidden="1">
      <c r="A25" s="108"/>
      <c r="B25" s="108"/>
      <c r="C25" s="108"/>
      <c r="D25" s="108"/>
      <c r="E25" s="108"/>
    </row>
    <row r="26" spans="1:10" hidden="1">
      <c r="A26" s="108"/>
      <c r="B26" s="108"/>
      <c r="C26" s="108"/>
      <c r="D26" s="108"/>
      <c r="E26" s="108"/>
    </row>
    <row r="27" spans="1:10" hidden="1">
      <c r="A27" s="108"/>
      <c r="B27" s="108"/>
      <c r="C27" s="108"/>
      <c r="D27" s="108"/>
      <c r="E27" s="108"/>
    </row>
  </sheetData>
  <sheetProtection sheet="1" objects="1" scenarios="1" selectLockedCells="1" selectUnlockedCells="1"/>
  <mergeCells count="1">
    <mergeCell ref="A23: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1</xdr:row>
                    <xdr:rowOff>0</xdr:rowOff>
                  </from>
                  <to>
                    <xdr:col>4</xdr:col>
                    <xdr:colOff>552450</xdr:colOff>
                    <xdr:row>21</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292100</xdr:colOff>
                    <xdr:row>2</xdr:row>
                    <xdr:rowOff>63500</xdr:rowOff>
                  </from>
                  <to>
                    <xdr:col>3</xdr:col>
                    <xdr:colOff>552450</xdr:colOff>
                    <xdr:row>3</xdr:row>
                    <xdr:rowOff>63500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292100</xdr:colOff>
                    <xdr:row>3</xdr:row>
                    <xdr:rowOff>63500</xdr:rowOff>
                  </from>
                  <to>
                    <xdr:col>3</xdr:col>
                    <xdr:colOff>552450</xdr:colOff>
                    <xdr:row>4</xdr:row>
                    <xdr:rowOff>63500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1</xdr:col>
                    <xdr:colOff>292100</xdr:colOff>
                    <xdr:row>4</xdr:row>
                    <xdr:rowOff>63500</xdr:rowOff>
                  </from>
                  <to>
                    <xdr:col>3</xdr:col>
                    <xdr:colOff>552450</xdr:colOff>
                    <xdr:row>5</xdr:row>
                    <xdr:rowOff>63500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xdr:col>
                    <xdr:colOff>292100</xdr:colOff>
                    <xdr:row>5</xdr:row>
                    <xdr:rowOff>57150</xdr:rowOff>
                  </from>
                  <to>
                    <xdr:col>3</xdr:col>
                    <xdr:colOff>552450</xdr:colOff>
                    <xdr:row>6</xdr:row>
                    <xdr:rowOff>57150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1</xdr:col>
                    <xdr:colOff>292100</xdr:colOff>
                    <xdr:row>6</xdr:row>
                    <xdr:rowOff>57150</xdr:rowOff>
                  </from>
                  <to>
                    <xdr:col>3</xdr:col>
                    <xdr:colOff>552450</xdr:colOff>
                    <xdr:row>7</xdr:row>
                    <xdr:rowOff>57150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1</xdr:col>
                    <xdr:colOff>292100</xdr:colOff>
                    <xdr:row>7</xdr:row>
                    <xdr:rowOff>57150</xdr:rowOff>
                  </from>
                  <to>
                    <xdr:col>3</xdr:col>
                    <xdr:colOff>552450</xdr:colOff>
                    <xdr:row>8</xdr:row>
                    <xdr:rowOff>57150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1</xdr:col>
                    <xdr:colOff>292100</xdr:colOff>
                    <xdr:row>8</xdr:row>
                    <xdr:rowOff>63500</xdr:rowOff>
                  </from>
                  <to>
                    <xdr:col>3</xdr:col>
                    <xdr:colOff>552450</xdr:colOff>
                    <xdr:row>9</xdr:row>
                    <xdr:rowOff>63500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xdr:col>
                    <xdr:colOff>292100</xdr:colOff>
                    <xdr:row>9</xdr:row>
                    <xdr:rowOff>63500</xdr:rowOff>
                  </from>
                  <to>
                    <xdr:col>3</xdr:col>
                    <xdr:colOff>552450</xdr:colOff>
                    <xdr:row>10</xdr:row>
                    <xdr:rowOff>63500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1</xdr:col>
                    <xdr:colOff>292100</xdr:colOff>
                    <xdr:row>10</xdr:row>
                    <xdr:rowOff>63500</xdr:rowOff>
                  </from>
                  <to>
                    <xdr:col>3</xdr:col>
                    <xdr:colOff>552450</xdr:colOff>
                    <xdr:row>11</xdr:row>
                    <xdr:rowOff>63500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1</xdr:col>
                    <xdr:colOff>292100</xdr:colOff>
                    <xdr:row>11</xdr:row>
                    <xdr:rowOff>57150</xdr:rowOff>
                  </from>
                  <to>
                    <xdr:col>3</xdr:col>
                    <xdr:colOff>552450</xdr:colOff>
                    <xdr:row>12</xdr:row>
                    <xdr:rowOff>57150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xdr:col>
                    <xdr:colOff>292100</xdr:colOff>
                    <xdr:row>12</xdr:row>
                    <xdr:rowOff>57150</xdr:rowOff>
                  </from>
                  <to>
                    <xdr:col>3</xdr:col>
                    <xdr:colOff>552450</xdr:colOff>
                    <xdr:row>13</xdr:row>
                    <xdr:rowOff>57150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xdr:col>
                    <xdr:colOff>292100</xdr:colOff>
                    <xdr:row>13</xdr:row>
                    <xdr:rowOff>57150</xdr:rowOff>
                  </from>
                  <to>
                    <xdr:col>3</xdr:col>
                    <xdr:colOff>552450</xdr:colOff>
                    <xdr:row>14</xdr:row>
                    <xdr:rowOff>57150</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1</xdr:col>
                    <xdr:colOff>292100</xdr:colOff>
                    <xdr:row>14</xdr:row>
                    <xdr:rowOff>63500</xdr:rowOff>
                  </from>
                  <to>
                    <xdr:col>3</xdr:col>
                    <xdr:colOff>552450</xdr:colOff>
                    <xdr:row>15</xdr:row>
                    <xdr:rowOff>63500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1</xdr:col>
                    <xdr:colOff>292100</xdr:colOff>
                    <xdr:row>15</xdr:row>
                    <xdr:rowOff>63500</xdr:rowOff>
                  </from>
                  <to>
                    <xdr:col>3</xdr:col>
                    <xdr:colOff>552450</xdr:colOff>
                    <xdr:row>16</xdr:row>
                    <xdr:rowOff>69850</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1</xdr:col>
                    <xdr:colOff>292100</xdr:colOff>
                    <xdr:row>16</xdr:row>
                    <xdr:rowOff>57150</xdr:rowOff>
                  </from>
                  <to>
                    <xdr:col>3</xdr:col>
                    <xdr:colOff>552450</xdr:colOff>
                    <xdr:row>17</xdr:row>
                    <xdr:rowOff>57150</xdr:rowOff>
                  </to>
                </anchor>
              </controlPr>
            </control>
          </mc:Choice>
        </mc:AlternateContent>
        <mc:AlternateContent xmlns:mc="http://schemas.openxmlformats.org/markup-compatibility/2006">
          <mc:Choice Requires="x14">
            <control shapeId="5137" r:id="rId20" name="Option Button 17">
              <controlPr defaultSize="0" autoFill="0" autoLine="0" autoPict="0">
                <anchor moveWithCells="1">
                  <from>
                    <xdr:col>1</xdr:col>
                    <xdr:colOff>292100</xdr:colOff>
                    <xdr:row>17</xdr:row>
                    <xdr:rowOff>57150</xdr:rowOff>
                  </from>
                  <to>
                    <xdr:col>3</xdr:col>
                    <xdr:colOff>552450</xdr:colOff>
                    <xdr:row>18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8"/>
  <sheetViews>
    <sheetView showGridLines="0" view="pageBreakPreview" zoomScaleNormal="100" zoomScaleSheetLayoutView="100" workbookViewId="0">
      <selection activeCell="A2" sqref="A2"/>
    </sheetView>
  </sheetViews>
  <sheetFormatPr defaultRowHeight="15.5"/>
  <cols>
    <col min="1" max="1" width="17.07421875" customWidth="1"/>
    <col min="2" max="2" width="1.765625" customWidth="1"/>
    <col min="3" max="3" width="7.69140625" customWidth="1"/>
    <col min="4" max="4" width="1.765625" customWidth="1"/>
    <col min="5" max="5" width="7.765625" customWidth="1"/>
    <col min="6" max="6" width="1.765625" customWidth="1"/>
    <col min="7" max="7" width="7.765625" customWidth="1"/>
    <col min="8" max="8" width="6.23046875" customWidth="1"/>
    <col min="9" max="9" width="51.53515625" customWidth="1"/>
    <col min="10" max="10" width="1.4609375" customWidth="1"/>
    <col min="11" max="11" width="8" customWidth="1"/>
    <col min="12" max="12" width="3.765625" customWidth="1"/>
    <col min="13" max="13" width="14.07421875" customWidth="1"/>
    <col min="14" max="14" width="1.23046875" customWidth="1"/>
    <col min="15" max="15" width="14.4609375" customWidth="1"/>
    <col min="16" max="16" width="7" customWidth="1"/>
  </cols>
  <sheetData>
    <row r="1" spans="1:20" ht="21.75" customHeight="1">
      <c r="A1" s="1" t="str">
        <f>VLOOKUP(Providers!$A$19,Providers!$A$1:$C$17,2,FALSE)</f>
        <v>PARTNERIAETH DYSGU OEDOLION YN Y GYMUNED: ADDYSG OEDOLION CYMRU</v>
      </c>
      <c r="B1" s="1"/>
      <c r="C1" s="1"/>
      <c r="D1" s="1"/>
      <c r="E1" s="1"/>
      <c r="F1" s="1"/>
      <c r="G1" s="1"/>
      <c r="H1" s="1"/>
      <c r="I1" s="1"/>
      <c r="J1" s="1"/>
      <c r="K1" s="1"/>
      <c r="L1" s="1"/>
      <c r="M1" s="1"/>
      <c r="N1" s="1"/>
      <c r="O1" s="1"/>
    </row>
    <row r="2" spans="1:20" ht="15" customHeight="1">
      <c r="A2" s="64"/>
      <c r="B2" s="64"/>
      <c r="C2" s="64"/>
      <c r="D2" s="64"/>
      <c r="E2" s="65"/>
      <c r="F2" s="65"/>
      <c r="G2" s="65"/>
      <c r="H2" s="65"/>
      <c r="I2" s="65"/>
      <c r="J2" s="65"/>
      <c r="K2" s="65"/>
      <c r="L2" s="65"/>
      <c r="M2" s="65"/>
      <c r="N2" s="65"/>
      <c r="O2" s="65"/>
      <c r="P2" s="66"/>
    </row>
    <row r="3" spans="1:20" ht="15" customHeight="1">
      <c r="A3" s="2"/>
      <c r="B3" s="2" t="str">
        <f>VLOOKUP(Providers!$A$19,Providers!$A$1:$C$17,3,FALSE)</f>
        <v>F0009040</v>
      </c>
      <c r="C3" s="2"/>
      <c r="D3" s="2"/>
      <c r="E3" s="66"/>
      <c r="F3" s="66"/>
      <c r="G3" s="66"/>
      <c r="H3" s="66"/>
      <c r="I3" s="66"/>
      <c r="J3" s="66"/>
      <c r="K3" s="66"/>
      <c r="L3" s="65"/>
      <c r="M3" s="65"/>
      <c r="N3" s="65"/>
      <c r="O3" s="65"/>
      <c r="P3" s="66"/>
    </row>
    <row r="4" spans="1:20" ht="15" customHeight="1">
      <c r="A4" s="2"/>
      <c r="B4" s="111"/>
      <c r="C4" s="111" t="s">
        <v>0</v>
      </c>
      <c r="D4" s="111" t="s">
        <v>117</v>
      </c>
      <c r="E4" s="111" t="s">
        <v>118</v>
      </c>
      <c r="F4" s="111" t="s">
        <v>119</v>
      </c>
      <c r="G4" s="111" t="s">
        <v>120</v>
      </c>
      <c r="H4" s="111" t="s">
        <v>121</v>
      </c>
      <c r="I4" s="111" t="s">
        <v>122</v>
      </c>
      <c r="J4" s="111" t="s">
        <v>123</v>
      </c>
      <c r="K4" s="111"/>
      <c r="L4" s="65"/>
      <c r="M4" s="65"/>
      <c r="N4" s="65"/>
      <c r="O4" s="65"/>
      <c r="P4" s="66"/>
    </row>
    <row r="5" spans="1:20" ht="15" customHeight="1">
      <c r="A5" s="2"/>
      <c r="B5" s="111"/>
      <c r="C5" s="112">
        <v>0.84</v>
      </c>
      <c r="D5" s="111"/>
      <c r="E5" s="111"/>
      <c r="F5" s="111"/>
      <c r="G5" s="111"/>
      <c r="H5" s="111"/>
      <c r="I5" s="111"/>
      <c r="J5" s="111"/>
      <c r="K5" s="111"/>
      <c r="L5" s="65"/>
      <c r="M5" s="66"/>
      <c r="N5" s="66"/>
      <c r="O5" s="66"/>
      <c r="P5" s="66"/>
    </row>
    <row r="6" spans="1:20" ht="15" customHeight="1">
      <c r="A6" s="67"/>
      <c r="B6" s="113"/>
      <c r="C6" s="114"/>
      <c r="D6" s="115">
        <f>VLOOKUP($B$3,Data!$A$1:$J$18,2,FALSE)</f>
        <v>0.98</v>
      </c>
      <c r="E6" s="111"/>
      <c r="F6" s="111"/>
      <c r="G6" s="111"/>
      <c r="H6" s="111"/>
      <c r="I6" s="111"/>
      <c r="J6" s="111"/>
      <c r="K6" s="111"/>
      <c r="L6" s="69"/>
      <c r="M6" s="68"/>
      <c r="N6" s="66"/>
      <c r="O6" s="66"/>
      <c r="P6" s="66"/>
    </row>
    <row r="7" spans="1:20" ht="15" customHeight="1">
      <c r="A7" s="70"/>
      <c r="B7" s="116" t="s">
        <v>140</v>
      </c>
      <c r="C7" s="114"/>
      <c r="D7" s="111"/>
      <c r="E7" s="115">
        <f>VLOOKUP($B$3,Data!$A$1:$J$18,3,FALSE)</f>
        <v>0.91</v>
      </c>
      <c r="F7" s="111"/>
      <c r="G7" s="111"/>
      <c r="H7" s="111"/>
      <c r="I7" s="111"/>
      <c r="J7" s="111"/>
      <c r="K7" s="111"/>
      <c r="L7" s="69"/>
      <c r="M7" s="68"/>
      <c r="N7" s="66"/>
      <c r="O7" s="66"/>
      <c r="P7" s="66"/>
    </row>
    <row r="8" spans="1:20" ht="15" customHeight="1">
      <c r="A8" s="71"/>
      <c r="B8" s="113"/>
      <c r="C8" s="114"/>
      <c r="D8" s="111"/>
      <c r="E8" s="111"/>
      <c r="F8" s="115">
        <f>VLOOKUP($B$3,Data!$A$1:$J$18,4,FALSE)</f>
        <v>0.89</v>
      </c>
      <c r="G8" s="111"/>
      <c r="H8" s="111"/>
      <c r="I8" s="111"/>
      <c r="J8" s="111"/>
      <c r="K8" s="111"/>
      <c r="L8" s="69"/>
      <c r="M8" s="52"/>
      <c r="N8" s="53"/>
      <c r="O8" s="53"/>
      <c r="P8" s="66"/>
    </row>
    <row r="9" spans="1:20" ht="15" customHeight="1">
      <c r="A9" s="71"/>
      <c r="B9" s="113"/>
      <c r="C9" s="114"/>
      <c r="D9" s="111"/>
      <c r="E9" s="111"/>
      <c r="F9" s="111"/>
      <c r="G9" s="111"/>
      <c r="H9" s="111"/>
      <c r="I9" s="111"/>
      <c r="J9" s="111"/>
      <c r="K9" s="111"/>
      <c r="L9" s="69"/>
      <c r="M9" s="52"/>
      <c r="N9" s="53"/>
      <c r="O9" s="53"/>
      <c r="P9" s="66"/>
    </row>
    <row r="10" spans="1:20" ht="15" customHeight="1">
      <c r="A10" s="71"/>
      <c r="B10" s="113"/>
      <c r="C10" s="114"/>
      <c r="D10" s="115">
        <f>VLOOKUP($B$3,Data!$A$1:$J$18,5,FALSE)</f>
        <v>0.96</v>
      </c>
      <c r="E10" s="111"/>
      <c r="F10" s="111"/>
      <c r="G10" s="111"/>
      <c r="H10" s="111"/>
      <c r="I10" s="111"/>
      <c r="J10" s="111"/>
      <c r="K10" s="111"/>
      <c r="L10" s="69"/>
      <c r="M10" s="52"/>
      <c r="N10" s="53"/>
      <c r="O10" s="53"/>
      <c r="P10" s="66"/>
    </row>
    <row r="11" spans="1:20" ht="15" customHeight="1">
      <c r="A11" s="72"/>
      <c r="B11" s="116" t="s">
        <v>148</v>
      </c>
      <c r="C11" s="114"/>
      <c r="D11" s="111"/>
      <c r="E11" s="115">
        <f>VLOOKUP($B$3,Data!$A$1:$J$18,6,FALSE)</f>
        <v>0.84</v>
      </c>
      <c r="F11" s="111"/>
      <c r="G11" s="111"/>
      <c r="H11" s="111"/>
      <c r="I11" s="111"/>
      <c r="J11" s="111"/>
      <c r="K11" s="111"/>
      <c r="L11" s="69"/>
      <c r="M11" s="68"/>
      <c r="N11" s="66"/>
      <c r="O11" s="66"/>
      <c r="P11" s="66"/>
    </row>
    <row r="12" spans="1:20" ht="15" customHeight="1">
      <c r="A12" s="67"/>
      <c r="B12" s="113"/>
      <c r="C12" s="114"/>
      <c r="D12" s="111"/>
      <c r="E12" s="111"/>
      <c r="F12" s="115">
        <f>VLOOKUP($B$3,Data!$A$1:$J$18,7,FALSE)</f>
        <v>0.81</v>
      </c>
      <c r="G12" s="111"/>
      <c r="H12" s="111"/>
      <c r="I12" s="111"/>
      <c r="J12" s="111"/>
      <c r="K12" s="111"/>
      <c r="L12" s="69"/>
      <c r="M12" s="69"/>
      <c r="N12" s="65"/>
      <c r="O12" s="65"/>
      <c r="P12" s="66"/>
    </row>
    <row r="13" spans="1:20" ht="15" customHeight="1">
      <c r="A13" s="67"/>
      <c r="B13" s="113"/>
      <c r="C13" s="114"/>
      <c r="D13" s="111"/>
      <c r="E13" s="111"/>
      <c r="F13" s="111"/>
      <c r="G13" s="111"/>
      <c r="H13" s="111"/>
      <c r="I13" s="111"/>
      <c r="J13" s="111"/>
      <c r="K13" s="111"/>
      <c r="L13" s="69"/>
      <c r="M13" s="69"/>
      <c r="N13" s="65"/>
      <c r="O13" s="65"/>
      <c r="P13" s="66"/>
    </row>
    <row r="14" spans="1:20" ht="15" customHeight="1">
      <c r="A14" s="2"/>
      <c r="B14" s="113"/>
      <c r="C14" s="114"/>
      <c r="D14" s="115">
        <f>VLOOKUP($B$3,Data!$A$1:$J$18,8,FALSE)</f>
        <v>0.96</v>
      </c>
      <c r="E14" s="111"/>
      <c r="F14" s="111"/>
      <c r="G14" s="111"/>
      <c r="H14" s="111"/>
      <c r="I14" s="111"/>
      <c r="J14" s="111"/>
      <c r="K14" s="111"/>
      <c r="L14" s="65"/>
      <c r="M14" s="65"/>
      <c r="N14" s="65"/>
      <c r="O14" s="65"/>
      <c r="P14" s="66"/>
      <c r="S14" s="79"/>
      <c r="T14" s="79"/>
    </row>
    <row r="15" spans="1:20" ht="15" customHeight="1">
      <c r="A15" s="2"/>
      <c r="B15" s="116" t="s">
        <v>168</v>
      </c>
      <c r="C15" s="114"/>
      <c r="D15" s="111"/>
      <c r="E15" s="115">
        <f>VLOOKUP($B$3,Data!$A$1:$J$18,9,FALSE)</f>
        <v>0.89</v>
      </c>
      <c r="F15" s="111"/>
      <c r="G15" s="111"/>
      <c r="H15" s="111"/>
      <c r="I15" s="111"/>
      <c r="J15" s="111"/>
      <c r="K15" s="111"/>
      <c r="L15" s="65"/>
      <c r="M15" s="65"/>
      <c r="N15" s="65"/>
      <c r="O15" s="65"/>
      <c r="P15" s="66"/>
      <c r="S15" s="79"/>
      <c r="T15" s="79"/>
    </row>
    <row r="16" spans="1:20" ht="15" customHeight="1">
      <c r="A16" s="2"/>
      <c r="B16" s="113"/>
      <c r="C16" s="114"/>
      <c r="D16" s="111"/>
      <c r="E16" s="111"/>
      <c r="F16" s="115">
        <f>VLOOKUP($B$3,Data!$A$1:$J$18,10,FALSE)</f>
        <v>0.86</v>
      </c>
      <c r="G16" s="118"/>
      <c r="H16" s="118"/>
      <c r="I16" s="117"/>
      <c r="J16" s="117"/>
      <c r="K16" s="115"/>
      <c r="L16" s="65"/>
      <c r="M16" s="115"/>
      <c r="N16" s="65"/>
      <c r="O16" s="65"/>
      <c r="P16" s="66"/>
      <c r="S16" s="79"/>
      <c r="T16" s="79"/>
    </row>
    <row r="17" spans="1:21" ht="15" customHeight="1">
      <c r="A17" s="2"/>
      <c r="B17" s="111"/>
      <c r="C17" s="112">
        <v>0.84</v>
      </c>
      <c r="D17" s="111"/>
      <c r="E17" s="111"/>
      <c r="F17" s="111"/>
      <c r="G17" s="111"/>
      <c r="H17" s="111"/>
      <c r="I17" s="111"/>
      <c r="J17" s="111"/>
      <c r="K17" s="111"/>
      <c r="L17" s="65"/>
      <c r="M17" s="65"/>
      <c r="N17" s="65"/>
      <c r="O17" s="65"/>
      <c r="P17" s="66"/>
      <c r="S17" s="79"/>
      <c r="T17" s="79"/>
    </row>
    <row r="18" spans="1:21" ht="15" customHeight="1">
      <c r="A18" s="2"/>
      <c r="B18" s="2"/>
      <c r="C18" s="2"/>
      <c r="D18" s="2"/>
      <c r="E18" s="66"/>
      <c r="F18" s="66"/>
      <c r="G18" s="66"/>
      <c r="H18" s="66"/>
      <c r="I18" s="66"/>
      <c r="J18" s="66"/>
      <c r="K18" s="66"/>
      <c r="L18" s="65"/>
      <c r="M18" s="65"/>
      <c r="N18" s="65"/>
      <c r="O18" s="65"/>
      <c r="P18" s="66"/>
      <c r="S18" s="79"/>
      <c r="T18" s="79"/>
    </row>
    <row r="19" spans="1:21" ht="33.75" customHeight="1">
      <c r="A19" s="64"/>
      <c r="B19" s="64"/>
      <c r="C19" s="64"/>
      <c r="D19" s="64"/>
      <c r="E19" s="65"/>
      <c r="F19" s="65"/>
      <c r="G19" s="65"/>
      <c r="H19" s="65"/>
      <c r="I19" s="65"/>
      <c r="J19" s="65"/>
      <c r="K19" s="65"/>
      <c r="L19" s="65"/>
      <c r="M19" s="65"/>
      <c r="N19" s="65"/>
      <c r="O19" s="65"/>
      <c r="P19" s="66"/>
    </row>
    <row r="20" spans="1:21" ht="15" customHeight="1">
      <c r="A20" s="185" t="s">
        <v>169</v>
      </c>
      <c r="B20" s="185"/>
      <c r="C20" s="185"/>
      <c r="D20" s="185"/>
      <c r="E20" s="185"/>
      <c r="F20" s="185"/>
      <c r="G20" s="185"/>
      <c r="H20" s="185"/>
      <c r="I20" s="185"/>
    </row>
    <row r="21" spans="1:21" ht="10.5" customHeight="1"/>
    <row r="22" spans="1:21" ht="27" customHeight="1">
      <c r="A22" s="73" t="s">
        <v>69</v>
      </c>
      <c r="B22" s="74"/>
      <c r="C22" s="75" t="s">
        <v>1</v>
      </c>
      <c r="D22" s="75"/>
      <c r="E22" s="75" t="s">
        <v>2</v>
      </c>
      <c r="F22" s="75"/>
      <c r="G22" s="75" t="s">
        <v>77</v>
      </c>
      <c r="H22" s="76"/>
      <c r="I22" s="74" t="s">
        <v>70</v>
      </c>
      <c r="J22" s="77"/>
      <c r="K22" s="78"/>
      <c r="L22" s="76"/>
      <c r="M22" s="74" t="s">
        <v>78</v>
      </c>
      <c r="N22" s="74"/>
      <c r="O22" s="74"/>
      <c r="U22" s="79"/>
    </row>
    <row r="23" spans="1:21" ht="15" customHeight="1">
      <c r="A23" s="79"/>
      <c r="B23" s="79"/>
      <c r="C23" s="54"/>
      <c r="D23" s="54"/>
      <c r="E23" s="54"/>
      <c r="F23" s="54"/>
      <c r="G23" s="54"/>
      <c r="H23" s="80"/>
      <c r="I23" s="81" t="s">
        <v>160</v>
      </c>
      <c r="J23" s="79"/>
      <c r="K23" s="122">
        <f>VLOOKUP(ADD!$B$3,Data!$L$2:$Q$18,2,FALSE)</f>
        <v>2.8011000000000001E-2</v>
      </c>
      <c r="L23" s="80"/>
      <c r="M23" s="179" t="s">
        <v>80</v>
      </c>
      <c r="N23" s="180"/>
      <c r="O23" s="120">
        <f>VLOOKUP(ADD!$B$3,Data!$L$21:$Q$37,2,FALSE)</f>
        <v>0.18939874139999999</v>
      </c>
      <c r="U23" s="79"/>
    </row>
    <row r="24" spans="1:21" ht="15" customHeight="1">
      <c r="A24" s="79" t="s">
        <v>81</v>
      </c>
      <c r="B24" s="79"/>
      <c r="C24" s="120">
        <f>VLOOKUP(ADD!$B$3,Data!$A$21:$J$37,2,FALSE)</f>
        <v>2.967E-3</v>
      </c>
      <c r="D24" s="120"/>
      <c r="E24" s="120">
        <f>VLOOKUP(ADD!$B$3,Data!$A$21:$J$37,3,FALSE)</f>
        <v>0.27200800000000003</v>
      </c>
      <c r="F24" s="120"/>
      <c r="G24" s="120">
        <f>VLOOKUP(ADD!$B$3,Data!$A$21:$J$37,4,FALSE)</f>
        <v>0.27497500000000002</v>
      </c>
      <c r="H24" s="80"/>
      <c r="I24" s="79" t="s">
        <v>159</v>
      </c>
      <c r="J24" s="79"/>
      <c r="K24" s="122">
        <f>VLOOKUP(ADD!$B$3,Data!$L$2:$Q$18,3,FALSE)</f>
        <v>4.202E-3</v>
      </c>
      <c r="L24" s="80"/>
      <c r="M24" s="83"/>
      <c r="N24" s="79"/>
      <c r="O24" s="120">
        <f>VLOOKUP(ADD!$B$3,Data!$L$21:$Q$37,3,FALSE)</f>
        <v>0.13885257540000001</v>
      </c>
      <c r="U24" s="79"/>
    </row>
    <row r="25" spans="1:21" ht="15" customHeight="1">
      <c r="A25" s="79" t="s">
        <v>82</v>
      </c>
      <c r="B25" s="79"/>
      <c r="C25" s="120">
        <f>VLOOKUP(ADD!$B$3,Data!$A$21:$J$37,5,FALSE)</f>
        <v>1.8793000000000001E-2</v>
      </c>
      <c r="D25" s="120"/>
      <c r="E25" s="120">
        <f>VLOOKUP(ADD!$B$3,Data!$A$21:$J$37,6,FALSE)</f>
        <v>0.703264</v>
      </c>
      <c r="F25" s="120"/>
      <c r="G25" s="120">
        <f>VLOOKUP(ADD!$B$3,Data!$A$21:$J$37,7,FALSE)</f>
        <v>0.72205699999999995</v>
      </c>
      <c r="H25" s="80"/>
      <c r="I25" s="79" t="s">
        <v>161</v>
      </c>
      <c r="J25" s="79"/>
      <c r="K25" s="122">
        <f>VLOOKUP(ADD!$B$3,Data!$L$2:$Q$18,4,FALSE)</f>
        <v>2.8010000000000001E-3</v>
      </c>
      <c r="L25" s="80"/>
      <c r="M25" s="83"/>
      <c r="N25" s="79"/>
      <c r="O25" s="120">
        <f>VLOOKUP(ADD!$B$3,Data!$L$21:$Q$37,4,FALSE)</f>
        <v>0.33453614459999997</v>
      </c>
      <c r="U25" s="79"/>
    </row>
    <row r="26" spans="1:21" ht="15" customHeight="1">
      <c r="B26" s="79"/>
      <c r="C26" s="3"/>
      <c r="D26" s="3"/>
      <c r="E26" s="3"/>
      <c r="F26" s="3"/>
      <c r="G26" s="3"/>
      <c r="H26" s="80"/>
      <c r="I26" s="79" t="s">
        <v>79</v>
      </c>
      <c r="J26" s="79"/>
      <c r="K26" s="122">
        <f>VLOOKUP(ADD!$B$3,Data!$L$2:$Q$18,5,FALSE)</f>
        <v>0.92576999999999998</v>
      </c>
      <c r="L26" s="80"/>
      <c r="M26" s="83"/>
      <c r="N26" s="79"/>
      <c r="O26" s="120">
        <f>VLOOKUP(ADD!$B$3,Data!$L$21:$Q$37,5,FALSE)</f>
        <v>0.22459655680000001</v>
      </c>
      <c r="U26" s="79"/>
    </row>
    <row r="27" spans="1:21" ht="15" customHeight="1">
      <c r="A27" s="84" t="s">
        <v>83</v>
      </c>
      <c r="B27" s="84"/>
      <c r="C27" s="121">
        <f>VLOOKUP(ADD!$B$3,Data!$A$21:$J$37,8,FALSE)</f>
        <v>2.2749999999999999E-2</v>
      </c>
      <c r="D27" s="121"/>
      <c r="E27" s="121">
        <f>VLOOKUP(ADD!$B$3,Data!$A$21:$J$37,9,FALSE)</f>
        <v>0.97724999999999995</v>
      </c>
      <c r="F27" s="121"/>
      <c r="G27" s="121">
        <f>VLOOKUP(ADD!$B$3,Data!$A$21:$J$37,10,FALSE)</f>
        <v>1</v>
      </c>
      <c r="H27" s="80"/>
      <c r="I27" s="79" t="s">
        <v>162</v>
      </c>
      <c r="J27" s="79"/>
      <c r="K27" s="122">
        <f>VLOOKUP(ADD!$B$3,Data!$L$2:$Q$18,6,FALSE)</f>
        <v>3.9216000000000001E-2</v>
      </c>
      <c r="L27" s="80"/>
      <c r="M27" s="179" t="s">
        <v>85</v>
      </c>
      <c r="N27" s="180"/>
      <c r="O27" s="120">
        <f>VLOOKUP(ADD!$B$3,Data!$L$21:$Q$37,6,FALSE)</f>
        <v>0.11261598170000001</v>
      </c>
    </row>
    <row r="28" spans="1:21" ht="9.75" customHeight="1">
      <c r="A28" s="85"/>
      <c r="B28" s="85"/>
      <c r="C28" s="85"/>
      <c r="D28" s="85"/>
      <c r="E28" s="56"/>
      <c r="F28" s="56"/>
      <c r="G28" s="56"/>
      <c r="H28" s="80"/>
      <c r="I28" s="85"/>
      <c r="J28" s="85"/>
      <c r="K28" s="86"/>
      <c r="L28" s="80"/>
      <c r="M28" s="87"/>
      <c r="N28" s="85"/>
      <c r="O28" s="56"/>
    </row>
    <row r="29" spans="1:21" ht="9.75" customHeight="1">
      <c r="A29" s="79"/>
      <c r="B29" s="79"/>
      <c r="C29" s="79"/>
      <c r="D29" s="79"/>
      <c r="E29" s="55"/>
      <c r="F29" s="55"/>
      <c r="G29" s="55"/>
      <c r="H29" s="80"/>
      <c r="I29" s="79"/>
      <c r="J29" s="79"/>
      <c r="K29" s="82"/>
      <c r="L29" s="80"/>
      <c r="M29" s="83"/>
      <c r="N29" s="79"/>
      <c r="O29" s="55"/>
    </row>
    <row r="30" spans="1:21" ht="27" customHeight="1">
      <c r="A30" s="77" t="s">
        <v>124</v>
      </c>
      <c r="B30" s="78"/>
      <c r="C30" s="78"/>
      <c r="D30" s="78"/>
      <c r="E30" s="78"/>
      <c r="F30" s="78"/>
      <c r="G30" s="78"/>
      <c r="H30" s="78"/>
      <c r="I30" s="82"/>
      <c r="J30" s="79"/>
      <c r="K30" s="82"/>
      <c r="L30" s="80"/>
      <c r="M30" s="83"/>
      <c r="N30" s="79"/>
      <c r="O30" s="55"/>
    </row>
    <row r="31" spans="1:21" ht="15" customHeight="1">
      <c r="A31" s="126" t="s">
        <v>129</v>
      </c>
      <c r="H31" s="122">
        <f>VLOOKUP(ADD!$B$3,Data!$S$2:$Y$18,2,FALSE)</f>
        <v>0.1256181998</v>
      </c>
      <c r="I31" s="82"/>
      <c r="J31" s="79"/>
      <c r="K31" s="82"/>
      <c r="L31" s="80"/>
      <c r="M31" s="83"/>
      <c r="N31" s="79"/>
      <c r="O31" s="55"/>
    </row>
    <row r="32" spans="1:21" ht="15" customHeight="1">
      <c r="A32" s="126" t="s">
        <v>125</v>
      </c>
      <c r="B32" s="127"/>
      <c r="C32" s="127"/>
      <c r="D32" s="127"/>
      <c r="E32" s="127"/>
      <c r="F32" s="127"/>
      <c r="H32" s="122">
        <f>VLOOKUP(ADD!$B$3,Data!$S$2:$Y$18,3,FALSE)</f>
        <v>6.7260138499999997E-2</v>
      </c>
      <c r="I32" s="82"/>
      <c r="J32" s="79"/>
      <c r="K32" s="82"/>
      <c r="L32" s="80"/>
      <c r="M32" s="83"/>
      <c r="N32" s="79"/>
      <c r="O32" s="55"/>
    </row>
    <row r="33" spans="1:16" ht="15" customHeight="1">
      <c r="A33" s="126" t="s">
        <v>130</v>
      </c>
      <c r="B33" s="125"/>
      <c r="C33" s="125"/>
      <c r="D33" s="125"/>
      <c r="E33" s="125"/>
      <c r="F33" s="125"/>
      <c r="H33" s="122">
        <f>VLOOKUP(ADD!$B$3,Data!$S$2:$Y$18,4,FALSE)</f>
        <v>7.9129574999999997E-3</v>
      </c>
      <c r="I33" s="82"/>
      <c r="J33" s="79"/>
      <c r="K33" s="82"/>
      <c r="L33" s="80"/>
      <c r="M33" s="83"/>
      <c r="N33" s="79"/>
      <c r="O33" s="55"/>
    </row>
    <row r="34" spans="1:16" ht="15" customHeight="1">
      <c r="A34" s="126" t="s">
        <v>126</v>
      </c>
      <c r="B34" s="125"/>
      <c r="C34" s="125"/>
      <c r="D34" s="125"/>
      <c r="E34" s="125"/>
      <c r="F34" s="125"/>
      <c r="H34" s="122">
        <f>VLOOKUP(ADD!$B$3,Data!$S$2:$Y$18,5,FALSE)</f>
        <v>1.9782393999999998E-3</v>
      </c>
      <c r="I34" s="82"/>
      <c r="J34" s="79"/>
      <c r="K34" s="82"/>
      <c r="L34" s="80"/>
      <c r="M34" s="83"/>
      <c r="N34" s="79"/>
      <c r="O34" s="55"/>
    </row>
    <row r="35" spans="1:16" ht="15" customHeight="1">
      <c r="A35" s="126" t="s">
        <v>127</v>
      </c>
      <c r="B35" s="125"/>
      <c r="C35" s="125"/>
      <c r="D35" s="125"/>
      <c r="E35" s="125"/>
      <c r="F35" s="125"/>
      <c r="H35" s="122">
        <f>VLOOKUP(ADD!$B$3,Data!$S$2:$Y$18,6,FALSE)</f>
        <v>0</v>
      </c>
      <c r="I35" s="82"/>
      <c r="J35" s="79"/>
      <c r="K35" s="82"/>
      <c r="L35" s="80"/>
      <c r="M35" s="83"/>
      <c r="N35" s="79"/>
      <c r="O35" s="55"/>
    </row>
    <row r="36" spans="1:16" ht="15" customHeight="1">
      <c r="A36" s="128" t="s">
        <v>128</v>
      </c>
      <c r="B36" s="129"/>
      <c r="C36" s="130"/>
      <c r="D36" s="130"/>
      <c r="E36" s="130"/>
      <c r="F36" s="130"/>
      <c r="G36" s="130"/>
      <c r="H36" s="131">
        <f>VLOOKUP(ADD!$B$3,Data!$S$2:$Y$18,7,FALSE)</f>
        <v>0.79723046490000005</v>
      </c>
      <c r="I36" s="82"/>
      <c r="J36" s="79"/>
      <c r="K36" s="82"/>
      <c r="L36" s="80"/>
      <c r="M36" s="83"/>
      <c r="N36" s="79"/>
      <c r="O36" s="55"/>
    </row>
    <row r="37" spans="1:16" ht="9.75" customHeight="1">
      <c r="H37" s="80"/>
      <c r="I37" s="82"/>
      <c r="J37" s="79"/>
      <c r="K37" s="82"/>
      <c r="L37" s="80"/>
      <c r="M37" s="83"/>
      <c r="N37" s="79"/>
      <c r="O37" s="55"/>
      <c r="P37" s="79"/>
    </row>
    <row r="38" spans="1:16" ht="18">
      <c r="A38" s="88" t="s">
        <v>170</v>
      </c>
      <c r="B38" s="88"/>
      <c r="C38" s="88"/>
      <c r="D38" s="89"/>
    </row>
    <row r="39" spans="1:16" ht="9" customHeight="1">
      <c r="A39" s="90"/>
      <c r="B39" s="90"/>
      <c r="C39" s="90"/>
      <c r="D39" s="90"/>
      <c r="E39" s="91"/>
      <c r="F39" s="91"/>
      <c r="G39" s="91"/>
      <c r="H39" s="91"/>
      <c r="I39" s="91"/>
      <c r="J39" s="91"/>
      <c r="K39" s="90"/>
      <c r="L39" s="90"/>
      <c r="M39" s="90"/>
      <c r="N39" s="90"/>
      <c r="O39" s="90"/>
    </row>
    <row r="40" spans="1:16" s="76" customFormat="1" ht="47.25" customHeight="1">
      <c r="A40" s="92" t="s">
        <v>86</v>
      </c>
      <c r="B40" s="92"/>
      <c r="C40" s="181" t="s">
        <v>87</v>
      </c>
      <c r="D40" s="181"/>
      <c r="E40" s="181"/>
      <c r="F40" s="181"/>
      <c r="G40" s="181"/>
      <c r="H40" s="181"/>
      <c r="I40" s="93"/>
      <c r="J40" s="93"/>
      <c r="K40" s="92"/>
      <c r="L40" s="93"/>
      <c r="M40" s="92" t="s">
        <v>88</v>
      </c>
      <c r="N40" s="92"/>
      <c r="O40" s="92" t="s">
        <v>171</v>
      </c>
      <c r="P40" s="94"/>
    </row>
    <row r="41" spans="1:16" s="76" customFormat="1" ht="17.25" customHeight="1">
      <c r="A41" s="95" t="s">
        <v>89</v>
      </c>
      <c r="B41" s="95"/>
      <c r="C41" s="182" t="s">
        <v>90</v>
      </c>
      <c r="D41" s="182"/>
      <c r="E41" s="182"/>
      <c r="F41" s="182"/>
      <c r="G41" s="182"/>
      <c r="H41" s="182"/>
      <c r="K41" s="96"/>
      <c r="L41" s="97"/>
      <c r="M41" s="123">
        <f>VLOOKUP(ADD!$B$3,Data!$A$41:$Y$57,2,FALSE)</f>
        <v>0.88</v>
      </c>
      <c r="N41" s="57"/>
      <c r="O41" s="132">
        <v>0.78</v>
      </c>
      <c r="P41" s="58"/>
    </row>
    <row r="42" spans="1:16" s="76" customFormat="1" ht="18.75" customHeight="1">
      <c r="B42" s="98"/>
      <c r="C42" s="76" t="s">
        <v>91</v>
      </c>
      <c r="K42" s="96"/>
      <c r="L42" s="99"/>
      <c r="M42" s="123">
        <f>VLOOKUP(ADD!$B$3,Data!$A$41:$Y$57,3,FALSE)</f>
        <v>0.73</v>
      </c>
      <c r="N42" s="57"/>
      <c r="O42" s="132">
        <v>0.85</v>
      </c>
      <c r="P42" s="58"/>
    </row>
    <row r="43" spans="1:16" s="76" customFormat="1" ht="18.75" customHeight="1">
      <c r="A43" s="98"/>
      <c r="B43" s="98"/>
      <c r="C43" s="182" t="s">
        <v>92</v>
      </c>
      <c r="D43" s="182"/>
      <c r="E43" s="182"/>
      <c r="F43" s="182"/>
      <c r="G43" s="182"/>
      <c r="H43" s="182"/>
      <c r="K43" s="96"/>
      <c r="L43" s="99"/>
      <c r="M43" s="123">
        <f>VLOOKUP(ADD!$B$3,Data!$A$41:$Y$57,4,FALSE)</f>
        <v>0.69</v>
      </c>
      <c r="N43" s="57"/>
      <c r="O43" s="132">
        <v>0.79</v>
      </c>
      <c r="P43" s="58"/>
    </row>
    <row r="44" spans="1:16" s="76" customFormat="1" ht="18.75" customHeight="1">
      <c r="C44" s="182" t="s">
        <v>93</v>
      </c>
      <c r="D44" s="182"/>
      <c r="E44" s="182"/>
      <c r="F44" s="182"/>
      <c r="G44" s="182"/>
      <c r="H44" s="182"/>
      <c r="K44" s="96"/>
      <c r="L44" s="99"/>
      <c r="M44" s="123">
        <f>VLOOKUP(ADD!$B$3,Data!$A$41:$Y$57,5,FALSE)</f>
        <v>0.83</v>
      </c>
      <c r="N44" s="57"/>
      <c r="O44" s="132">
        <v>0.85</v>
      </c>
      <c r="P44" s="58"/>
    </row>
    <row r="45" spans="1:16" s="76" customFormat="1" ht="18.75" customHeight="1">
      <c r="C45" s="76" t="s">
        <v>94</v>
      </c>
      <c r="K45" s="96"/>
      <c r="L45" s="99"/>
      <c r="M45" s="123">
        <f>VLOOKUP(ADD!$B$3,Data!$A$41:$Y$57,6,FALSE)</f>
        <v>0.78</v>
      </c>
      <c r="N45" s="57"/>
      <c r="O45" s="132">
        <v>0.79</v>
      </c>
      <c r="P45" s="58"/>
    </row>
    <row r="46" spans="1:16" s="76" customFormat="1" ht="18.75" customHeight="1">
      <c r="C46" s="184" t="s">
        <v>84</v>
      </c>
      <c r="D46" s="184"/>
      <c r="E46" s="184"/>
      <c r="F46" s="184"/>
      <c r="G46" s="184"/>
      <c r="H46" s="184"/>
      <c r="K46" s="96"/>
      <c r="L46" s="99"/>
      <c r="M46" s="123">
        <f>VLOOKUP(ADD!$B$3,Data!$A$41:$Y$57,7,FALSE)</f>
        <v>0.86</v>
      </c>
      <c r="N46" s="57"/>
      <c r="O46" s="132">
        <v>0.87</v>
      </c>
      <c r="P46" s="58"/>
    </row>
    <row r="47" spans="1:16" s="76" customFormat="1" ht="18.75" customHeight="1">
      <c r="A47" s="98" t="s">
        <v>95</v>
      </c>
      <c r="C47" s="182" t="s">
        <v>90</v>
      </c>
      <c r="D47" s="182"/>
      <c r="E47" s="182"/>
      <c r="F47" s="182"/>
      <c r="G47" s="182"/>
      <c r="H47" s="182"/>
      <c r="K47" s="96"/>
      <c r="L47" s="99"/>
      <c r="M47" s="123">
        <f>VLOOKUP(ADD!$B$3,Data!$A$41:$Y$57,8,FALSE)</f>
        <v>0.83</v>
      </c>
      <c r="N47" s="57"/>
      <c r="O47" s="132">
        <v>0.85</v>
      </c>
      <c r="P47" s="58"/>
    </row>
    <row r="48" spans="1:16" s="76" customFormat="1" ht="18.75" customHeight="1">
      <c r="C48" s="76" t="s">
        <v>91</v>
      </c>
      <c r="K48" s="96"/>
      <c r="L48" s="99"/>
      <c r="M48" s="123">
        <f>VLOOKUP(ADD!$B$3,Data!$A$41:$Y$57,9,FALSE)</f>
        <v>0.79</v>
      </c>
      <c r="N48" s="57"/>
      <c r="O48" s="132">
        <v>0.79</v>
      </c>
      <c r="P48" s="58"/>
    </row>
    <row r="49" spans="1:16" s="76" customFormat="1" ht="18.75" customHeight="1">
      <c r="A49" s="98"/>
      <c r="C49" s="182" t="s">
        <v>92</v>
      </c>
      <c r="D49" s="182"/>
      <c r="E49" s="182"/>
      <c r="F49" s="182"/>
      <c r="G49" s="182"/>
      <c r="H49" s="182"/>
      <c r="K49" s="96"/>
      <c r="L49" s="99"/>
      <c r="M49" s="123">
        <f>VLOOKUP(ADD!$B$3,Data!$A$41:$Y$57,10,FALSE)</f>
        <v>0.83</v>
      </c>
      <c r="N49" s="57"/>
      <c r="O49" s="132">
        <v>0.79</v>
      </c>
      <c r="P49" s="58"/>
    </row>
    <row r="50" spans="1:16" s="76" customFormat="1" ht="18.75" customHeight="1">
      <c r="C50" s="182" t="s">
        <v>93</v>
      </c>
      <c r="D50" s="182"/>
      <c r="E50" s="182"/>
      <c r="F50" s="182"/>
      <c r="G50" s="182"/>
      <c r="H50" s="182"/>
      <c r="K50" s="96"/>
      <c r="L50" s="99"/>
      <c r="M50" s="123">
        <f>VLOOKUP(ADD!$B$3,Data!$A$41:$Y$57,11,FALSE)</f>
        <v>0.75</v>
      </c>
      <c r="N50" s="57"/>
      <c r="O50" s="132">
        <v>0.84</v>
      </c>
      <c r="P50" s="58"/>
    </row>
    <row r="51" spans="1:16" s="76" customFormat="1" ht="18.75" customHeight="1">
      <c r="C51" s="76" t="s">
        <v>94</v>
      </c>
      <c r="K51" s="96"/>
      <c r="L51" s="99"/>
      <c r="M51" s="123">
        <f>VLOOKUP(ADD!$B$3,Data!$A$41:$Y$57,12,FALSE)</f>
        <v>0.56999999999999995</v>
      </c>
      <c r="N51" s="57"/>
      <c r="O51" s="132">
        <v>0.69</v>
      </c>
      <c r="P51" s="58"/>
    </row>
    <row r="52" spans="1:16" s="76" customFormat="1" ht="18.75" customHeight="1">
      <c r="C52" s="184" t="s">
        <v>84</v>
      </c>
      <c r="D52" s="184"/>
      <c r="E52" s="184"/>
      <c r="F52" s="184"/>
      <c r="G52" s="184"/>
      <c r="H52" s="184"/>
      <c r="K52" s="96"/>
      <c r="L52" s="99"/>
      <c r="M52" s="123">
        <f>VLOOKUP(ADD!$B$3,Data!$A$41:$Y$57,13,FALSE)</f>
        <v>0.92</v>
      </c>
      <c r="N52" s="57"/>
      <c r="O52" s="132">
        <v>0.9</v>
      </c>
      <c r="P52" s="58"/>
    </row>
    <row r="53" spans="1:16" s="76" customFormat="1" ht="18.75" customHeight="1">
      <c r="A53" s="98" t="s">
        <v>96</v>
      </c>
      <c r="C53" s="182" t="s">
        <v>90</v>
      </c>
      <c r="D53" s="182"/>
      <c r="E53" s="182"/>
      <c r="F53" s="182"/>
      <c r="G53" s="182"/>
      <c r="H53" s="182"/>
      <c r="K53" s="96"/>
      <c r="L53" s="99"/>
      <c r="M53" s="123">
        <f>VLOOKUP(ADD!$B$3,Data!$A$41:$Y$57,14,FALSE)</f>
        <v>0.64</v>
      </c>
      <c r="N53" s="57"/>
      <c r="O53" s="132">
        <v>0.74</v>
      </c>
      <c r="P53" s="58"/>
    </row>
    <row r="54" spans="1:16" s="76" customFormat="1" ht="18.75" customHeight="1">
      <c r="C54" s="76" t="s">
        <v>91</v>
      </c>
      <c r="K54" s="96"/>
      <c r="L54" s="99"/>
      <c r="M54" s="123" t="str">
        <f>VLOOKUP(ADD!$B$3,Data!$A$41:$Y$57,15,FALSE)</f>
        <v xml:space="preserve">* </v>
      </c>
      <c r="N54" s="57"/>
      <c r="O54" s="132">
        <v>0.78</v>
      </c>
      <c r="P54" s="58"/>
    </row>
    <row r="55" spans="1:16" s="76" customFormat="1" ht="18.75" customHeight="1">
      <c r="C55" s="182" t="s">
        <v>92</v>
      </c>
      <c r="D55" s="182"/>
      <c r="E55" s="182"/>
      <c r="F55" s="182"/>
      <c r="G55" s="182"/>
      <c r="H55" s="182"/>
      <c r="K55" s="96"/>
      <c r="L55" s="99"/>
      <c r="M55" s="123" t="str">
        <f>VLOOKUP(ADD!$B$3,Data!$A$41:$Y$57,16,FALSE)</f>
        <v xml:space="preserve">n/a </v>
      </c>
      <c r="N55" s="57"/>
      <c r="O55" s="132">
        <v>0.85</v>
      </c>
      <c r="P55" s="58"/>
    </row>
    <row r="56" spans="1:16" s="76" customFormat="1" ht="18.75" customHeight="1">
      <c r="A56" s="98"/>
      <c r="C56" s="182" t="s">
        <v>93</v>
      </c>
      <c r="D56" s="182"/>
      <c r="E56" s="182"/>
      <c r="F56" s="182"/>
      <c r="G56" s="182"/>
      <c r="H56" s="182"/>
      <c r="K56" s="96"/>
      <c r="L56" s="99"/>
      <c r="M56" s="123">
        <f>VLOOKUP(ADD!$B$3,Data!$A$41:$Y$57,17,FALSE)</f>
        <v>0.82</v>
      </c>
      <c r="N56" s="57"/>
      <c r="O56" s="132">
        <v>0.8</v>
      </c>
      <c r="P56" s="58"/>
    </row>
    <row r="57" spans="1:16" s="76" customFormat="1" ht="18.75" customHeight="1">
      <c r="C57" s="76" t="s">
        <v>94</v>
      </c>
      <c r="K57" s="96"/>
      <c r="L57" s="99"/>
      <c r="M57" s="123">
        <f>VLOOKUP(ADD!$B$3,Data!$A$41:$Y$57,18,FALSE)</f>
        <v>0.31</v>
      </c>
      <c r="N57" s="57"/>
      <c r="O57" s="132">
        <v>0.75</v>
      </c>
      <c r="P57" s="58"/>
    </row>
    <row r="58" spans="1:16" s="76" customFormat="1" ht="18.75" customHeight="1">
      <c r="C58" s="184" t="s">
        <v>84</v>
      </c>
      <c r="D58" s="184"/>
      <c r="E58" s="184"/>
      <c r="F58" s="184"/>
      <c r="G58" s="184"/>
      <c r="H58" s="184"/>
      <c r="K58" s="96"/>
      <c r="L58" s="99"/>
      <c r="M58" s="123">
        <f>VLOOKUP(ADD!$B$3,Data!$A$41:$Y$57,19,FALSE)</f>
        <v>0.85</v>
      </c>
      <c r="N58" s="57"/>
      <c r="O58" s="132">
        <v>0.86</v>
      </c>
      <c r="P58" s="58"/>
    </row>
    <row r="59" spans="1:16" s="76" customFormat="1" ht="18.75" customHeight="1">
      <c r="A59" s="98" t="s">
        <v>97</v>
      </c>
      <c r="C59" s="182" t="s">
        <v>90</v>
      </c>
      <c r="D59" s="182"/>
      <c r="E59" s="182"/>
      <c r="F59" s="182"/>
      <c r="G59" s="182"/>
      <c r="H59" s="182"/>
      <c r="K59" s="96"/>
      <c r="L59" s="99"/>
      <c r="M59" s="123" t="str">
        <f>VLOOKUP(ADD!$B$3,Data!$A$41:$Y$57,20,FALSE)</f>
        <v xml:space="preserve">n/a </v>
      </c>
      <c r="N59" s="57"/>
      <c r="O59" s="132">
        <v>0.39</v>
      </c>
      <c r="P59" s="58"/>
    </row>
    <row r="60" spans="1:16" s="76" customFormat="1" ht="18.75" customHeight="1">
      <c r="A60" s="90" t="s">
        <v>98</v>
      </c>
      <c r="C60" s="76" t="s">
        <v>91</v>
      </c>
      <c r="K60" s="96"/>
      <c r="L60" s="99"/>
      <c r="M60" s="123" t="str">
        <f>VLOOKUP(ADD!$B$3,Data!$A$41:$Y$57,21,FALSE)</f>
        <v xml:space="preserve">n/a </v>
      </c>
      <c r="N60" s="57"/>
      <c r="O60" s="132">
        <v>0.75</v>
      </c>
      <c r="P60" s="58"/>
    </row>
    <row r="61" spans="1:16" s="76" customFormat="1" ht="18.75" customHeight="1">
      <c r="A61" s="90" t="s">
        <v>99</v>
      </c>
      <c r="C61" s="182" t="s">
        <v>92</v>
      </c>
      <c r="D61" s="182"/>
      <c r="E61" s="182"/>
      <c r="F61" s="182"/>
      <c r="G61" s="182"/>
      <c r="H61" s="182"/>
      <c r="K61" s="96"/>
      <c r="L61" s="99"/>
      <c r="M61" s="123" t="str">
        <f>VLOOKUP(ADD!$B$3,Data!$A$41:$Y$57,22,FALSE)</f>
        <v xml:space="preserve">n/a </v>
      </c>
      <c r="N61" s="57"/>
      <c r="O61" s="132" t="s">
        <v>138</v>
      </c>
      <c r="P61" s="58"/>
    </row>
    <row r="62" spans="1:16" s="76" customFormat="1" ht="18.75" customHeight="1">
      <c r="C62" s="182" t="s">
        <v>100</v>
      </c>
      <c r="D62" s="182"/>
      <c r="E62" s="182"/>
      <c r="F62" s="182"/>
      <c r="G62" s="182"/>
      <c r="H62" s="182"/>
      <c r="K62" s="96"/>
      <c r="L62" s="99"/>
      <c r="M62" s="123" t="str">
        <f>VLOOKUP(ADD!$B$3,Data!$A$41:$Y$57,23,FALSE)</f>
        <v xml:space="preserve">n/a </v>
      </c>
      <c r="N62" s="57"/>
      <c r="O62" s="132">
        <v>0.47</v>
      </c>
      <c r="P62" s="58"/>
    </row>
    <row r="63" spans="1:16" s="76" customFormat="1" ht="18.75" customHeight="1">
      <c r="A63" s="95"/>
      <c r="B63" s="95"/>
      <c r="C63" s="76" t="s">
        <v>94</v>
      </c>
      <c r="K63" s="96"/>
      <c r="L63" s="97"/>
      <c r="M63" s="123" t="str">
        <f>VLOOKUP(ADD!$B$3,Data!$A$41:$Y$57,24,FALSE)</f>
        <v xml:space="preserve">n/a </v>
      </c>
      <c r="N63" s="57"/>
      <c r="O63" s="132" t="s">
        <v>138</v>
      </c>
      <c r="P63" s="58"/>
    </row>
    <row r="64" spans="1:16" s="76" customFormat="1" ht="18.75" customHeight="1">
      <c r="A64" s="100"/>
      <c r="B64" s="100"/>
      <c r="C64" s="183" t="s">
        <v>84</v>
      </c>
      <c r="D64" s="183"/>
      <c r="E64" s="183"/>
      <c r="F64" s="183"/>
      <c r="G64" s="183"/>
      <c r="H64" s="183"/>
      <c r="I64" s="101"/>
      <c r="J64" s="101"/>
      <c r="K64" s="102"/>
      <c r="L64" s="103"/>
      <c r="M64" s="124">
        <f>VLOOKUP(ADD!$B$3,Data!$A$41:$Y$57,25,FALSE)</f>
        <v>0.95</v>
      </c>
      <c r="N64" s="59"/>
      <c r="O64" s="133">
        <v>0.88</v>
      </c>
      <c r="P64" s="58"/>
    </row>
    <row r="65" spans="1:16" s="76" customFormat="1" ht="3" customHeight="1">
      <c r="A65" s="98"/>
      <c r="B65" s="98"/>
      <c r="C65" s="98"/>
      <c r="D65" s="98"/>
      <c r="E65" s="97"/>
      <c r="F65" s="97"/>
      <c r="G65" s="97"/>
      <c r="H65" s="97"/>
      <c r="I65" s="97"/>
      <c r="J65" s="97"/>
      <c r="K65" s="104"/>
      <c r="L65" s="104"/>
      <c r="M65" s="65" t="s">
        <v>14</v>
      </c>
      <c r="N65" s="60"/>
      <c r="O65" s="105"/>
      <c r="P65" s="58">
        <v>22</v>
      </c>
    </row>
    <row r="66" spans="1:16" ht="18.75" customHeight="1">
      <c r="O66" s="106" t="s">
        <v>172</v>
      </c>
    </row>
    <row r="67" spans="1:16" ht="9" customHeight="1">
      <c r="O67" s="106"/>
    </row>
    <row r="68" spans="1:16" ht="15" customHeight="1">
      <c r="A68" s="79" t="s">
        <v>101</v>
      </c>
      <c r="O68" s="106"/>
    </row>
  </sheetData>
  <mergeCells count="20">
    <mergeCell ref="C61:H61"/>
    <mergeCell ref="C62:H62"/>
    <mergeCell ref="C64:H64"/>
    <mergeCell ref="C52:H52"/>
    <mergeCell ref="A20:I20"/>
    <mergeCell ref="C44:H44"/>
    <mergeCell ref="C46:H46"/>
    <mergeCell ref="C47:H47"/>
    <mergeCell ref="C49:H49"/>
    <mergeCell ref="C50:H50"/>
    <mergeCell ref="C53:H53"/>
    <mergeCell ref="C55:H55"/>
    <mergeCell ref="C56:H56"/>
    <mergeCell ref="C58:H58"/>
    <mergeCell ref="C59:H59"/>
    <mergeCell ref="M23:N23"/>
    <mergeCell ref="M27:N27"/>
    <mergeCell ref="C40:H40"/>
    <mergeCell ref="C41:H41"/>
    <mergeCell ref="C43:H43"/>
  </mergeCells>
  <printOptions horizontalCentered="1"/>
  <pageMargins left="0.27559055118110237" right="0.15748031496062992" top="0.6692913385826772" bottom="0.23622047244094491" header="0.23622047244094491" footer="0.23622047244094491"/>
  <pageSetup paperSize="9" scale="57" orientation="portrait" horizontalDpi="300" verticalDpi="300" r:id="rId1"/>
  <headerFooter alignWithMargins="0">
    <oddHeader>&amp;L&amp;"Arial,Bold Italic"&amp;18Adroddiad ar Ddeilliannau Dysgwyr ar gyfer 2017/18</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5"/>
  <sheetViews>
    <sheetView showGridLines="0" workbookViewId="0"/>
  </sheetViews>
  <sheetFormatPr defaultRowHeight="15.5"/>
  <cols>
    <col min="1" max="1" width="9.07421875" bestFit="1" customWidth="1"/>
  </cols>
  <sheetData>
    <row r="1" spans="1:25" ht="16" thickBot="1">
      <c r="B1" s="194" t="s">
        <v>140</v>
      </c>
      <c r="C1" s="195"/>
      <c r="D1" s="196"/>
      <c r="E1" s="194" t="s">
        <v>148</v>
      </c>
      <c r="F1" s="195"/>
      <c r="G1" s="196"/>
      <c r="H1" s="194" t="s">
        <v>168</v>
      </c>
      <c r="I1" s="195"/>
      <c r="J1" s="196"/>
      <c r="S1" s="76" t="s">
        <v>131</v>
      </c>
    </row>
    <row r="2" spans="1:25" ht="16" thickBot="1">
      <c r="A2" s="11" t="s">
        <v>32</v>
      </c>
      <c r="B2" s="13" t="s">
        <v>42</v>
      </c>
      <c r="C2" s="14" t="s">
        <v>43</v>
      </c>
      <c r="D2" s="14" t="s">
        <v>44</v>
      </c>
      <c r="E2" s="13" t="s">
        <v>42</v>
      </c>
      <c r="F2" s="14" t="s">
        <v>43</v>
      </c>
      <c r="G2" s="14" t="s">
        <v>44</v>
      </c>
      <c r="H2" s="13" t="s">
        <v>42</v>
      </c>
      <c r="I2" s="14" t="s">
        <v>43</v>
      </c>
      <c r="J2" s="15" t="s">
        <v>44</v>
      </c>
      <c r="L2" s="11" t="s">
        <v>15</v>
      </c>
      <c r="M2" s="17" t="s">
        <v>160</v>
      </c>
      <c r="N2" s="17" t="s">
        <v>159</v>
      </c>
      <c r="O2" s="17" t="s">
        <v>161</v>
      </c>
      <c r="P2" s="17" t="s">
        <v>79</v>
      </c>
      <c r="Q2" s="18" t="s">
        <v>162</v>
      </c>
      <c r="S2" s="11" t="s">
        <v>15</v>
      </c>
      <c r="T2" s="16">
        <v>1</v>
      </c>
      <c r="U2" s="17">
        <v>2</v>
      </c>
      <c r="V2" s="17">
        <v>3</v>
      </c>
      <c r="W2" s="17">
        <v>4</v>
      </c>
      <c r="X2" s="17">
        <v>5</v>
      </c>
      <c r="Y2" s="18">
        <v>6</v>
      </c>
    </row>
    <row r="3" spans="1:25">
      <c r="A3" s="50" t="s">
        <v>16</v>
      </c>
      <c r="B3" s="135">
        <v>0.96</v>
      </c>
      <c r="C3" s="136">
        <v>0.96</v>
      </c>
      <c r="D3" s="136">
        <v>0.95</v>
      </c>
      <c r="E3" s="136">
        <v>0.95</v>
      </c>
      <c r="F3" s="136">
        <v>0.92</v>
      </c>
      <c r="G3" s="136">
        <v>0.9</v>
      </c>
      <c r="H3" s="136">
        <v>0.97</v>
      </c>
      <c r="I3" s="136">
        <v>0.88</v>
      </c>
      <c r="J3" s="137">
        <v>0.87</v>
      </c>
      <c r="L3" s="50" t="s">
        <v>16</v>
      </c>
      <c r="M3" s="141">
        <v>2.8011000000000001E-2</v>
      </c>
      <c r="N3" s="142">
        <v>4.202E-3</v>
      </c>
      <c r="O3" s="142">
        <v>2.8010000000000001E-3</v>
      </c>
      <c r="P3" s="142">
        <v>0.92576999999999998</v>
      </c>
      <c r="Q3" s="143">
        <v>3.9216000000000001E-2</v>
      </c>
      <c r="S3" s="50" t="s">
        <v>16</v>
      </c>
      <c r="T3" s="141">
        <v>0.1256181998</v>
      </c>
      <c r="U3" s="142">
        <v>6.7260138499999997E-2</v>
      </c>
      <c r="V3" s="142">
        <v>7.9129574999999997E-3</v>
      </c>
      <c r="W3" s="142">
        <v>1.9782393999999998E-3</v>
      </c>
      <c r="X3" s="142">
        <v>0</v>
      </c>
      <c r="Y3" s="143">
        <v>0.79723046490000005</v>
      </c>
    </row>
    <row r="4" spans="1:25">
      <c r="A4" s="9" t="s">
        <v>17</v>
      </c>
      <c r="B4" s="135">
        <v>0.98</v>
      </c>
      <c r="C4" s="136">
        <v>0.93</v>
      </c>
      <c r="D4" s="136">
        <v>0.91</v>
      </c>
      <c r="E4" s="136">
        <v>0.95</v>
      </c>
      <c r="F4" s="136">
        <v>0.81</v>
      </c>
      <c r="G4" s="136">
        <v>0.75</v>
      </c>
      <c r="H4" s="136">
        <v>0.94</v>
      </c>
      <c r="I4" s="136">
        <v>0.91</v>
      </c>
      <c r="J4" s="137">
        <v>0.85</v>
      </c>
      <c r="L4" s="9" t="s">
        <v>17</v>
      </c>
      <c r="M4" s="144">
        <v>3.2874E-2</v>
      </c>
      <c r="N4" s="145">
        <v>6.3629999999999997E-3</v>
      </c>
      <c r="O4" s="145">
        <v>1.8027999999999999E-2</v>
      </c>
      <c r="P4" s="145">
        <v>0.889714</v>
      </c>
      <c r="Q4" s="146">
        <v>5.3022E-2</v>
      </c>
      <c r="S4" s="9" t="s">
        <v>17</v>
      </c>
      <c r="T4" s="144">
        <v>0.17232543240000001</v>
      </c>
      <c r="U4" s="145">
        <v>4.5483664299999997E-2</v>
      </c>
      <c r="V4" s="145">
        <v>1.66559898E-2</v>
      </c>
      <c r="W4" s="145">
        <v>4.4843048999999996E-3</v>
      </c>
      <c r="X4" s="145">
        <v>0</v>
      </c>
      <c r="Y4" s="146">
        <v>0.76105060859999996</v>
      </c>
    </row>
    <row r="5" spans="1:25">
      <c r="A5" s="9" t="s">
        <v>18</v>
      </c>
      <c r="B5" s="135">
        <v>0.98</v>
      </c>
      <c r="C5" s="136">
        <v>0.94</v>
      </c>
      <c r="D5" s="136">
        <v>0.92</v>
      </c>
      <c r="E5" s="136">
        <v>0.97</v>
      </c>
      <c r="F5" s="136">
        <v>0.83</v>
      </c>
      <c r="G5" s="136">
        <v>0.76</v>
      </c>
      <c r="H5" s="136">
        <v>0.94</v>
      </c>
      <c r="I5" s="136">
        <v>0.81</v>
      </c>
      <c r="J5" s="137">
        <v>0.76</v>
      </c>
      <c r="L5" s="9" t="s">
        <v>18</v>
      </c>
      <c r="M5" s="144">
        <v>1.6739E-2</v>
      </c>
      <c r="N5" s="145">
        <v>6.5500000000000003E-3</v>
      </c>
      <c r="O5" s="145">
        <v>8.7340000000000004E-3</v>
      </c>
      <c r="P5" s="145">
        <v>0.95924299999999996</v>
      </c>
      <c r="Q5" s="146">
        <v>8.7340000000000004E-3</v>
      </c>
      <c r="S5" s="9" t="s">
        <v>18</v>
      </c>
      <c r="T5" s="144">
        <v>0.3337104072</v>
      </c>
      <c r="U5" s="145">
        <v>5.9389140299999997E-2</v>
      </c>
      <c r="V5" s="145">
        <v>0.13348416290000001</v>
      </c>
      <c r="W5" s="145">
        <v>7.9185520000000006E-3</v>
      </c>
      <c r="X5" s="145">
        <v>6.10859729E-2</v>
      </c>
      <c r="Y5" s="146">
        <v>0.40441176470000001</v>
      </c>
    </row>
    <row r="6" spans="1:25">
      <c r="A6" s="9" t="s">
        <v>19</v>
      </c>
      <c r="B6" s="135">
        <v>0.97</v>
      </c>
      <c r="C6" s="136">
        <v>0.93</v>
      </c>
      <c r="D6" s="136">
        <v>0.9</v>
      </c>
      <c r="E6" s="136">
        <v>0.96</v>
      </c>
      <c r="F6" s="136">
        <v>0.94</v>
      </c>
      <c r="G6" s="136">
        <v>0.91</v>
      </c>
      <c r="H6" s="136">
        <v>0.97</v>
      </c>
      <c r="I6" s="136">
        <v>0.93</v>
      </c>
      <c r="J6" s="137">
        <v>0.9</v>
      </c>
      <c r="L6" s="9" t="s">
        <v>19</v>
      </c>
      <c r="M6" s="144">
        <v>2.5241E-2</v>
      </c>
      <c r="N6" s="145">
        <v>1.0392999999999999E-2</v>
      </c>
      <c r="O6" s="145">
        <v>8.1659999999999996E-3</v>
      </c>
      <c r="P6" s="145">
        <v>0.94506299999999999</v>
      </c>
      <c r="Q6" s="146">
        <v>1.1136E-2</v>
      </c>
      <c r="S6" s="9" t="s">
        <v>19</v>
      </c>
      <c r="T6" s="144">
        <v>0.2467648371</v>
      </c>
      <c r="U6" s="145">
        <v>7.8536367699999998E-2</v>
      </c>
      <c r="V6" s="145">
        <v>9.7724230300000006E-2</v>
      </c>
      <c r="W6" s="145">
        <v>4.0160643000000003E-3</v>
      </c>
      <c r="X6" s="145">
        <v>3.1236055299999999E-2</v>
      </c>
      <c r="Y6" s="146">
        <v>0.54172244530000002</v>
      </c>
    </row>
    <row r="7" spans="1:25">
      <c r="A7" s="9" t="s">
        <v>20</v>
      </c>
      <c r="B7" s="135">
        <v>0.99</v>
      </c>
      <c r="C7" s="136">
        <v>0.96</v>
      </c>
      <c r="D7" s="136">
        <v>0.95</v>
      </c>
      <c r="E7" s="136">
        <v>0.96</v>
      </c>
      <c r="F7" s="136">
        <v>0.88</v>
      </c>
      <c r="G7" s="136">
        <v>0.85</v>
      </c>
      <c r="H7" s="136">
        <v>0.96</v>
      </c>
      <c r="I7" s="136">
        <v>0.87</v>
      </c>
      <c r="J7" s="137">
        <v>0.83</v>
      </c>
      <c r="L7" s="9" t="s">
        <v>20</v>
      </c>
      <c r="M7" s="144">
        <v>0.117089</v>
      </c>
      <c r="N7" s="145">
        <v>1.5823E-2</v>
      </c>
      <c r="O7" s="145">
        <v>1.5823E-2</v>
      </c>
      <c r="P7" s="145">
        <v>0.76582300000000003</v>
      </c>
      <c r="Q7" s="146">
        <v>8.5443000000000005E-2</v>
      </c>
      <c r="S7" s="9" t="s">
        <v>20</v>
      </c>
      <c r="T7" s="144">
        <v>0.22866894199999999</v>
      </c>
      <c r="U7" s="145">
        <v>0.25255972700000001</v>
      </c>
      <c r="V7" s="145">
        <v>0.11774744030000001</v>
      </c>
      <c r="W7" s="145">
        <v>1.5358361799999999E-2</v>
      </c>
      <c r="X7" s="145">
        <v>5.8020477799999998E-2</v>
      </c>
      <c r="Y7" s="146">
        <v>0.32764505119999998</v>
      </c>
    </row>
    <row r="8" spans="1:25">
      <c r="A8" s="9" t="s">
        <v>21</v>
      </c>
      <c r="B8" s="135">
        <v>0.98</v>
      </c>
      <c r="C8" s="136">
        <v>0.92</v>
      </c>
      <c r="D8" s="136">
        <v>0.9</v>
      </c>
      <c r="E8" s="136">
        <v>0.98</v>
      </c>
      <c r="F8" s="136">
        <v>0.96</v>
      </c>
      <c r="G8" s="136">
        <v>0.96</v>
      </c>
      <c r="H8" s="136">
        <v>0.99</v>
      </c>
      <c r="I8" s="136">
        <v>0.95</v>
      </c>
      <c r="J8" s="137">
        <v>0.94</v>
      </c>
      <c r="L8" s="9" t="s">
        <v>21</v>
      </c>
      <c r="M8" s="144">
        <v>1.6605000000000002E-2</v>
      </c>
      <c r="N8" s="145">
        <v>1.8450000000000001E-3</v>
      </c>
      <c r="O8" s="145">
        <v>3.6900000000000001E-3</v>
      </c>
      <c r="P8" s="145">
        <v>0.96494500000000005</v>
      </c>
      <c r="Q8" s="146">
        <v>1.2914999999999999E-2</v>
      </c>
      <c r="S8" s="9" t="s">
        <v>21</v>
      </c>
      <c r="T8" s="144">
        <v>0.61262553799999997</v>
      </c>
      <c r="U8" s="145">
        <v>0.1291248207</v>
      </c>
      <c r="V8" s="145">
        <v>4.0172166400000001E-2</v>
      </c>
      <c r="W8" s="145">
        <v>3.1563845100000001E-2</v>
      </c>
      <c r="X8" s="145">
        <v>3.1563845100000001E-2</v>
      </c>
      <c r="Y8" s="146">
        <v>0.15494978479999999</v>
      </c>
    </row>
    <row r="9" spans="1:25">
      <c r="A9" s="9" t="s">
        <v>22</v>
      </c>
      <c r="B9" s="135">
        <v>0.93</v>
      </c>
      <c r="C9" s="136">
        <v>0.95</v>
      </c>
      <c r="D9" s="136">
        <v>0.91</v>
      </c>
      <c r="E9" s="136">
        <v>0.93</v>
      </c>
      <c r="F9" s="136">
        <v>0.91</v>
      </c>
      <c r="G9" s="136">
        <v>0.89</v>
      </c>
      <c r="H9" s="136">
        <v>0.93</v>
      </c>
      <c r="I9" s="136">
        <v>0.98</v>
      </c>
      <c r="J9" s="137">
        <v>0.97</v>
      </c>
      <c r="L9" s="9" t="s">
        <v>22</v>
      </c>
      <c r="M9" s="144">
        <v>2.8538999999999998E-2</v>
      </c>
      <c r="N9" s="145">
        <v>3.3579999999999999E-3</v>
      </c>
      <c r="O9" s="145">
        <v>6.156E-3</v>
      </c>
      <c r="P9" s="145">
        <v>0.94739799999999996</v>
      </c>
      <c r="Q9" s="146">
        <v>1.455E-2</v>
      </c>
      <c r="S9" s="9" t="s">
        <v>22</v>
      </c>
      <c r="T9" s="144">
        <v>0.41351351349999999</v>
      </c>
      <c r="U9" s="145">
        <v>0.27945945950000001</v>
      </c>
      <c r="V9" s="145">
        <v>0.13081081080000001</v>
      </c>
      <c r="W9" s="145">
        <v>2.59459459E-2</v>
      </c>
      <c r="X9" s="145">
        <v>6.9729729700000007E-2</v>
      </c>
      <c r="Y9" s="146">
        <v>8.0540540499999994E-2</v>
      </c>
    </row>
    <row r="10" spans="1:25">
      <c r="A10" s="9" t="s">
        <v>23</v>
      </c>
      <c r="B10" s="135">
        <v>0.97</v>
      </c>
      <c r="C10" s="136">
        <v>0.95</v>
      </c>
      <c r="D10" s="136">
        <v>0.9</v>
      </c>
      <c r="E10" s="136">
        <v>0.91</v>
      </c>
      <c r="F10" s="136">
        <v>0.79</v>
      </c>
      <c r="G10" s="136">
        <v>0.67</v>
      </c>
      <c r="H10" s="136">
        <v>0.94</v>
      </c>
      <c r="I10" s="136">
        <v>0.83</v>
      </c>
      <c r="J10" s="137">
        <v>0.73</v>
      </c>
      <c r="L10" s="9" t="s">
        <v>23</v>
      </c>
      <c r="M10" s="147">
        <v>3.7735999999999999E-2</v>
      </c>
      <c r="N10" s="148">
        <v>9.4339999999999997E-3</v>
      </c>
      <c r="O10" s="148">
        <v>1.1006E-2</v>
      </c>
      <c r="P10" s="148">
        <v>0.86949699999999996</v>
      </c>
      <c r="Q10" s="149">
        <v>7.2327000000000002E-2</v>
      </c>
      <c r="S10" s="9" t="s">
        <v>23</v>
      </c>
      <c r="T10" s="147">
        <v>0.30311231389999999</v>
      </c>
      <c r="U10" s="148">
        <v>0.11772665760000001</v>
      </c>
      <c r="V10" s="148">
        <v>0.10960757779999999</v>
      </c>
      <c r="W10" s="148">
        <v>3.9242219199999998E-2</v>
      </c>
      <c r="X10" s="148">
        <v>5.2774018899999997E-2</v>
      </c>
      <c r="Y10" s="149">
        <v>0.37753721239999999</v>
      </c>
    </row>
    <row r="11" spans="1:25">
      <c r="A11" s="9" t="s">
        <v>24</v>
      </c>
      <c r="B11" s="135">
        <v>0.93</v>
      </c>
      <c r="C11" s="136">
        <v>0.94</v>
      </c>
      <c r="D11" s="136">
        <v>0.9</v>
      </c>
      <c r="E11" s="136">
        <v>0.89</v>
      </c>
      <c r="F11" s="136">
        <v>0.63</v>
      </c>
      <c r="G11" s="136">
        <v>0.59</v>
      </c>
      <c r="H11" s="136">
        <v>0.87</v>
      </c>
      <c r="I11" s="136">
        <v>0.85</v>
      </c>
      <c r="J11" s="137">
        <v>0.79</v>
      </c>
      <c r="L11" s="9" t="s">
        <v>24</v>
      </c>
      <c r="M11" s="147">
        <v>8.1081E-2</v>
      </c>
      <c r="N11" s="148">
        <v>3.313E-2</v>
      </c>
      <c r="O11" s="148">
        <v>1.0462000000000001E-2</v>
      </c>
      <c r="P11" s="148">
        <v>0.81691400000000003</v>
      </c>
      <c r="Q11" s="149">
        <v>5.8413E-2</v>
      </c>
      <c r="S11" s="9" t="s">
        <v>24</v>
      </c>
      <c r="T11" s="147">
        <v>0.25851851850000002</v>
      </c>
      <c r="U11" s="148">
        <v>0.14962962960000001</v>
      </c>
      <c r="V11" s="148">
        <v>0.11333333330000001</v>
      </c>
      <c r="W11" s="148">
        <v>7.4074073999999997E-3</v>
      </c>
      <c r="X11" s="148">
        <v>0.26518518520000001</v>
      </c>
      <c r="Y11" s="149">
        <v>0.2059259259</v>
      </c>
    </row>
    <row r="12" spans="1:25">
      <c r="A12" s="9" t="s">
        <v>25</v>
      </c>
      <c r="B12" s="135">
        <v>0.98</v>
      </c>
      <c r="C12" s="136">
        <v>0.89</v>
      </c>
      <c r="D12" s="136">
        <v>0.87</v>
      </c>
      <c r="E12" s="136">
        <v>0.95</v>
      </c>
      <c r="F12" s="136">
        <v>0.9</v>
      </c>
      <c r="G12" s="136">
        <v>0.85</v>
      </c>
      <c r="H12" s="136">
        <v>0.96</v>
      </c>
      <c r="I12" s="136">
        <v>0.95</v>
      </c>
      <c r="J12" s="137">
        <v>0.92</v>
      </c>
      <c r="L12" s="9" t="s">
        <v>25</v>
      </c>
      <c r="M12" s="147">
        <v>2.7494999999999999E-2</v>
      </c>
      <c r="N12" s="148">
        <v>8.1469999999999997E-3</v>
      </c>
      <c r="O12" s="148">
        <v>4.0730000000000002E-3</v>
      </c>
      <c r="P12" s="148">
        <v>0.93482699999999996</v>
      </c>
      <c r="Q12" s="149">
        <v>2.5458000000000001E-2</v>
      </c>
      <c r="S12" s="9" t="s">
        <v>25</v>
      </c>
      <c r="T12" s="147">
        <v>0.2915750916</v>
      </c>
      <c r="U12" s="148">
        <v>0.11355311360000001</v>
      </c>
      <c r="V12" s="148">
        <v>0.12820512819999999</v>
      </c>
      <c r="W12" s="148">
        <v>1.31868132E-2</v>
      </c>
      <c r="X12" s="148">
        <v>2.6373626399999999E-2</v>
      </c>
      <c r="Y12" s="149">
        <v>0.42710622710000001</v>
      </c>
    </row>
    <row r="13" spans="1:25">
      <c r="A13" s="9" t="s">
        <v>26</v>
      </c>
      <c r="B13" s="135">
        <v>0.97</v>
      </c>
      <c r="C13" s="136">
        <v>0.92</v>
      </c>
      <c r="D13" s="136">
        <v>0.88</v>
      </c>
      <c r="E13" s="136">
        <v>0.92</v>
      </c>
      <c r="F13" s="136">
        <v>0.81</v>
      </c>
      <c r="G13" s="136">
        <v>0.72</v>
      </c>
      <c r="H13" s="136">
        <v>0.96</v>
      </c>
      <c r="I13" s="136">
        <v>0.83</v>
      </c>
      <c r="J13" s="137">
        <v>0.79</v>
      </c>
      <c r="L13" s="9" t="s">
        <v>26</v>
      </c>
      <c r="M13" s="147">
        <v>1.1364000000000001E-2</v>
      </c>
      <c r="N13" s="148">
        <v>1.1364000000000001E-2</v>
      </c>
      <c r="O13" s="148">
        <v>5.6820000000000004E-3</v>
      </c>
      <c r="P13" s="148">
        <v>0.94318199999999996</v>
      </c>
      <c r="Q13" s="149">
        <v>2.8409E-2</v>
      </c>
      <c r="S13" s="9" t="s">
        <v>26</v>
      </c>
      <c r="T13" s="147">
        <v>0.3053435115</v>
      </c>
      <c r="U13" s="148">
        <v>0.30025445290000002</v>
      </c>
      <c r="V13" s="148">
        <v>0.11704834610000001</v>
      </c>
      <c r="W13" s="148">
        <v>2.5445292999999999E-3</v>
      </c>
      <c r="X13" s="148">
        <v>3.0534351099999999E-2</v>
      </c>
      <c r="Y13" s="149">
        <v>0.2442748092</v>
      </c>
    </row>
    <row r="14" spans="1:25">
      <c r="A14" s="9" t="s">
        <v>27</v>
      </c>
      <c r="B14" s="135">
        <v>0.97</v>
      </c>
      <c r="C14" s="136">
        <v>0.9</v>
      </c>
      <c r="D14" s="136">
        <v>0.88</v>
      </c>
      <c r="E14" s="136">
        <v>0.95</v>
      </c>
      <c r="F14" s="136">
        <v>0.89</v>
      </c>
      <c r="G14" s="136">
        <v>0.84</v>
      </c>
      <c r="H14" s="136">
        <v>0.91</v>
      </c>
      <c r="I14" s="136">
        <v>0.86</v>
      </c>
      <c r="J14" s="137">
        <v>0.77</v>
      </c>
      <c r="L14" s="9" t="s">
        <v>27</v>
      </c>
      <c r="M14" s="147">
        <v>1.6427000000000001E-2</v>
      </c>
      <c r="N14" s="148">
        <v>1.9848999999999999E-2</v>
      </c>
      <c r="O14" s="148">
        <v>1.1636000000000001E-2</v>
      </c>
      <c r="P14" s="148">
        <v>0.94045199999999995</v>
      </c>
      <c r="Q14" s="149">
        <v>1.1636000000000001E-2</v>
      </c>
      <c r="S14" s="9" t="s">
        <v>27</v>
      </c>
      <c r="T14" s="147">
        <v>0.26257278979999998</v>
      </c>
      <c r="U14" s="148">
        <v>0.33721545790000002</v>
      </c>
      <c r="V14" s="148">
        <v>1.95870831E-2</v>
      </c>
      <c r="W14" s="148">
        <v>1.8528321899999999E-2</v>
      </c>
      <c r="X14" s="148">
        <v>5.4526204299999999E-2</v>
      </c>
      <c r="Y14" s="149">
        <v>0.30757014290000001</v>
      </c>
    </row>
    <row r="15" spans="1:25">
      <c r="A15" s="9" t="s">
        <v>28</v>
      </c>
      <c r="B15" s="135">
        <v>0.96</v>
      </c>
      <c r="C15" s="136">
        <v>0.89</v>
      </c>
      <c r="D15" s="136">
        <v>0.86</v>
      </c>
      <c r="E15" s="136">
        <v>0.92</v>
      </c>
      <c r="F15" s="136">
        <v>0.86</v>
      </c>
      <c r="G15" s="136">
        <v>0.8</v>
      </c>
      <c r="H15" s="136">
        <v>0.94</v>
      </c>
      <c r="I15" s="136">
        <v>0.84</v>
      </c>
      <c r="J15" s="137">
        <v>0.78</v>
      </c>
      <c r="L15" s="9" t="s">
        <v>28</v>
      </c>
      <c r="M15" s="147">
        <v>0.101852</v>
      </c>
      <c r="N15" s="148">
        <v>9.2589999999999999E-3</v>
      </c>
      <c r="O15" s="148">
        <v>2.7778000000000001E-2</v>
      </c>
      <c r="P15" s="148">
        <v>0.76851899999999995</v>
      </c>
      <c r="Q15" s="149">
        <v>9.2592999999999995E-2</v>
      </c>
      <c r="S15" s="9" t="s">
        <v>28</v>
      </c>
      <c r="T15" s="147">
        <v>0.3672985782</v>
      </c>
      <c r="U15" s="148">
        <v>0.21563981039999999</v>
      </c>
      <c r="V15" s="148">
        <v>0.11848341229999999</v>
      </c>
      <c r="W15" s="148">
        <v>0</v>
      </c>
      <c r="X15" s="148">
        <v>0</v>
      </c>
      <c r="Y15" s="149">
        <v>0.2985781991</v>
      </c>
    </row>
    <row r="16" spans="1:25">
      <c r="A16" s="9" t="s">
        <v>29</v>
      </c>
      <c r="B16" s="135">
        <v>0.94</v>
      </c>
      <c r="C16" s="136">
        <v>0.92</v>
      </c>
      <c r="D16" s="136">
        <v>0.85</v>
      </c>
      <c r="E16" s="136">
        <v>0.94</v>
      </c>
      <c r="F16" s="136">
        <v>0.88</v>
      </c>
      <c r="G16" s="136">
        <v>0.81</v>
      </c>
      <c r="H16" s="136">
        <v>0.94</v>
      </c>
      <c r="I16" s="136">
        <v>0.88</v>
      </c>
      <c r="J16" s="137">
        <v>0.82</v>
      </c>
      <c r="L16" s="9" t="s">
        <v>29</v>
      </c>
      <c r="M16" s="147">
        <v>7.3096999999999995E-2</v>
      </c>
      <c r="N16" s="148">
        <v>2.3362999999999998E-2</v>
      </c>
      <c r="O16" s="148">
        <v>1.1103E-2</v>
      </c>
      <c r="P16" s="148">
        <v>0.83483700000000005</v>
      </c>
      <c r="Q16" s="149">
        <v>5.7598999999999997E-2</v>
      </c>
      <c r="S16" s="9" t="s">
        <v>29</v>
      </c>
      <c r="T16" s="147">
        <v>0.3339330694</v>
      </c>
      <c r="U16" s="148">
        <v>0.1102914718</v>
      </c>
      <c r="V16" s="148">
        <v>0.2171644476</v>
      </c>
      <c r="W16" s="148">
        <v>1.4033825099999999E-2</v>
      </c>
      <c r="X16" s="148">
        <v>0.14177761780000001</v>
      </c>
      <c r="Y16" s="149">
        <v>0.18279956820000001</v>
      </c>
    </row>
    <row r="17" spans="1:25">
      <c r="A17" s="9" t="s">
        <v>30</v>
      </c>
      <c r="B17" s="135">
        <v>0.96</v>
      </c>
      <c r="C17" s="136">
        <v>0.98</v>
      </c>
      <c r="D17" s="136">
        <v>0.94</v>
      </c>
      <c r="E17" s="136">
        <v>0.99</v>
      </c>
      <c r="F17" s="136">
        <v>0.71</v>
      </c>
      <c r="G17" s="136">
        <v>0.7</v>
      </c>
      <c r="H17" s="136">
        <v>0.96</v>
      </c>
      <c r="I17" s="136">
        <v>0.9</v>
      </c>
      <c r="J17" s="137">
        <v>0.87</v>
      </c>
      <c r="L17" s="9" t="s">
        <v>30</v>
      </c>
      <c r="M17" s="147">
        <v>0</v>
      </c>
      <c r="N17" s="148">
        <v>0</v>
      </c>
      <c r="O17" s="148">
        <v>1.6393000000000001E-2</v>
      </c>
      <c r="P17" s="148">
        <v>0.98360700000000001</v>
      </c>
      <c r="Q17" s="149">
        <v>0</v>
      </c>
      <c r="S17" s="9" t="s">
        <v>30</v>
      </c>
      <c r="T17" s="147">
        <v>0.27868852459999999</v>
      </c>
      <c r="U17" s="148">
        <v>0.40983606560000002</v>
      </c>
      <c r="V17" s="148">
        <v>0.1147540984</v>
      </c>
      <c r="W17" s="148">
        <v>1.6393442599999999E-2</v>
      </c>
      <c r="X17" s="148">
        <v>1.6393442599999999E-2</v>
      </c>
      <c r="Y17" s="149">
        <v>0.16393442620000001</v>
      </c>
    </row>
    <row r="18" spans="1:25" ht="16" thickBot="1">
      <c r="A18" s="12" t="s">
        <v>31</v>
      </c>
      <c r="B18" s="138">
        <v>0.98</v>
      </c>
      <c r="C18" s="139">
        <v>0.91</v>
      </c>
      <c r="D18" s="139">
        <v>0.89</v>
      </c>
      <c r="E18" s="139">
        <v>0.96</v>
      </c>
      <c r="F18" s="139">
        <v>0.84</v>
      </c>
      <c r="G18" s="139">
        <v>0.81</v>
      </c>
      <c r="H18" s="139">
        <v>0.96</v>
      </c>
      <c r="I18" s="139">
        <v>0.89</v>
      </c>
      <c r="J18" s="140">
        <v>0.86</v>
      </c>
      <c r="L18" s="12" t="s">
        <v>31</v>
      </c>
      <c r="M18" s="150">
        <v>2.8011000000000001E-2</v>
      </c>
      <c r="N18" s="151">
        <v>4.202E-3</v>
      </c>
      <c r="O18" s="151">
        <v>2.8010000000000001E-3</v>
      </c>
      <c r="P18" s="151">
        <v>0.92576999999999998</v>
      </c>
      <c r="Q18" s="152">
        <v>3.9216000000000001E-2</v>
      </c>
      <c r="S18" s="12" t="s">
        <v>31</v>
      </c>
      <c r="T18" s="150">
        <v>0.1256181998</v>
      </c>
      <c r="U18" s="151">
        <v>6.7260138499999997E-2</v>
      </c>
      <c r="V18" s="151">
        <v>7.9129574999999997E-3</v>
      </c>
      <c r="W18" s="151">
        <v>1.9782393999999998E-3</v>
      </c>
      <c r="X18" s="151">
        <v>0</v>
      </c>
      <c r="Y18" s="152">
        <v>0.79723046490000005</v>
      </c>
    </row>
    <row r="20" spans="1:25" ht="16" thickBot="1"/>
    <row r="21" spans="1:25" ht="30" customHeight="1" thickBot="1">
      <c r="A21" s="11" t="s">
        <v>15</v>
      </c>
      <c r="B21" s="19" t="s">
        <v>33</v>
      </c>
      <c r="C21" s="20" t="s">
        <v>34</v>
      </c>
      <c r="D21" s="20" t="s">
        <v>35</v>
      </c>
      <c r="E21" s="20" t="s">
        <v>36</v>
      </c>
      <c r="F21" s="20" t="s">
        <v>37</v>
      </c>
      <c r="G21" s="20" t="s">
        <v>38</v>
      </c>
      <c r="H21" s="20" t="s">
        <v>39</v>
      </c>
      <c r="I21" s="20" t="s">
        <v>40</v>
      </c>
      <c r="J21" s="21" t="s">
        <v>41</v>
      </c>
      <c r="L21" s="11" t="s">
        <v>15</v>
      </c>
      <c r="M21" s="22" t="s">
        <v>3</v>
      </c>
      <c r="N21" s="14"/>
      <c r="O21" s="14"/>
      <c r="P21" s="14"/>
      <c r="Q21" s="23" t="s">
        <v>5</v>
      </c>
    </row>
    <row r="22" spans="1:25">
      <c r="A22" s="50" t="s">
        <v>16</v>
      </c>
      <c r="B22" s="153">
        <v>2.967E-3</v>
      </c>
      <c r="C22" s="154">
        <v>0.27200800000000003</v>
      </c>
      <c r="D22" s="154">
        <v>0.27497500000000002</v>
      </c>
      <c r="E22" s="154">
        <v>1.8793000000000001E-2</v>
      </c>
      <c r="F22" s="154">
        <v>0.703264</v>
      </c>
      <c r="G22" s="154">
        <v>0.72205699999999995</v>
      </c>
      <c r="H22" s="154">
        <v>2.2749999999999999E-2</v>
      </c>
      <c r="I22" s="154">
        <v>0.97724999999999995</v>
      </c>
      <c r="J22" s="155">
        <v>1</v>
      </c>
      <c r="L22" s="50" t="s">
        <v>16</v>
      </c>
      <c r="M22" s="42">
        <v>0.18939874139999999</v>
      </c>
      <c r="N22" s="43">
        <v>0.13885257540000001</v>
      </c>
      <c r="O22" s="43">
        <v>0.33453614459999997</v>
      </c>
      <c r="P22" s="43">
        <v>0.22459655680000001</v>
      </c>
      <c r="Q22" s="44">
        <v>0.11261598170000001</v>
      </c>
    </row>
    <row r="23" spans="1:25">
      <c r="A23" s="9" t="s">
        <v>17</v>
      </c>
      <c r="B23" s="153">
        <v>5.7879999999999997E-3</v>
      </c>
      <c r="C23" s="154">
        <v>0.28360099999999999</v>
      </c>
      <c r="D23" s="154">
        <v>0.28938900000000001</v>
      </c>
      <c r="E23" s="154">
        <v>1.6719999999999999E-2</v>
      </c>
      <c r="F23" s="154">
        <v>0.69196100000000005</v>
      </c>
      <c r="G23" s="154">
        <v>0.70868200000000003</v>
      </c>
      <c r="H23" s="154">
        <v>2.2508E-2</v>
      </c>
      <c r="I23" s="154">
        <v>0.97749200000000003</v>
      </c>
      <c r="J23" s="155">
        <v>1</v>
      </c>
      <c r="L23" s="9" t="s">
        <v>17</v>
      </c>
      <c r="M23" s="45">
        <v>0.20540140570000001</v>
      </c>
      <c r="N23" s="3">
        <v>0.24171576089999999</v>
      </c>
      <c r="O23" s="3">
        <v>0.1786844608</v>
      </c>
      <c r="P23" s="3">
        <v>0.20315358489999999</v>
      </c>
      <c r="Q23" s="46">
        <v>0.17104478770000001</v>
      </c>
    </row>
    <row r="24" spans="1:25">
      <c r="A24" s="9" t="s">
        <v>18</v>
      </c>
      <c r="B24" s="153">
        <v>6.803E-3</v>
      </c>
      <c r="C24" s="154">
        <v>0.220522</v>
      </c>
      <c r="D24" s="154">
        <v>0.227324</v>
      </c>
      <c r="E24" s="154">
        <v>1.3605000000000001E-2</v>
      </c>
      <c r="F24" s="154">
        <v>0.75850300000000004</v>
      </c>
      <c r="G24" s="154">
        <v>0.77210900000000005</v>
      </c>
      <c r="H24" s="154">
        <v>2.0407999999999999E-2</v>
      </c>
      <c r="I24" s="154">
        <v>0.97959200000000002</v>
      </c>
      <c r="J24" s="155">
        <v>1</v>
      </c>
      <c r="L24" s="9" t="s">
        <v>18</v>
      </c>
      <c r="M24" s="45">
        <v>0.14848896110000001</v>
      </c>
      <c r="N24" s="3">
        <v>0.1474609727</v>
      </c>
      <c r="O24" s="3">
        <v>0.12615662659999999</v>
      </c>
      <c r="P24" s="3">
        <v>0.24573774270000001</v>
      </c>
      <c r="Q24" s="46">
        <v>0.33215569690000002</v>
      </c>
    </row>
    <row r="25" spans="1:25">
      <c r="A25" s="9" t="s">
        <v>19</v>
      </c>
      <c r="B25" s="153">
        <v>1.3389999999999999E-3</v>
      </c>
      <c r="C25" s="154">
        <v>0.232932</v>
      </c>
      <c r="D25" s="154">
        <v>0.23427000000000001</v>
      </c>
      <c r="E25" s="154">
        <v>1.0263E-2</v>
      </c>
      <c r="F25" s="154">
        <v>0.75323499999999999</v>
      </c>
      <c r="G25" s="154">
        <v>0.76349800000000001</v>
      </c>
      <c r="H25" s="154">
        <v>1.2048E-2</v>
      </c>
      <c r="I25" s="154">
        <v>0.98795200000000005</v>
      </c>
      <c r="J25" s="155">
        <v>1</v>
      </c>
      <c r="L25" s="9" t="s">
        <v>19</v>
      </c>
      <c r="M25" s="45">
        <v>0.1478927937</v>
      </c>
      <c r="N25" s="3">
        <v>0.2406917036</v>
      </c>
      <c r="O25" s="3">
        <v>0.18961669510000001</v>
      </c>
      <c r="P25" s="3">
        <v>0.24252246350000001</v>
      </c>
      <c r="Q25" s="46">
        <v>0.179276344</v>
      </c>
    </row>
    <row r="26" spans="1:25">
      <c r="A26" s="9" t="s">
        <v>20</v>
      </c>
      <c r="B26" s="153">
        <v>6.8259999999999996E-3</v>
      </c>
      <c r="C26" s="154">
        <v>0.22866900000000001</v>
      </c>
      <c r="D26" s="154">
        <v>0.23549500000000001</v>
      </c>
      <c r="E26" s="154">
        <v>8.5319999999999997E-3</v>
      </c>
      <c r="F26" s="154">
        <v>0.75426599999999999</v>
      </c>
      <c r="G26" s="154">
        <v>0.762799</v>
      </c>
      <c r="H26" s="154">
        <v>1.5358E-2</v>
      </c>
      <c r="I26" s="154">
        <v>0.98464200000000002</v>
      </c>
      <c r="J26" s="155">
        <v>1</v>
      </c>
      <c r="L26" s="9" t="s">
        <v>20</v>
      </c>
      <c r="M26" s="45">
        <v>0.17093023260000001</v>
      </c>
      <c r="N26" s="3">
        <v>0.12301470019999999</v>
      </c>
      <c r="O26" s="3">
        <v>0.21578348950000001</v>
      </c>
      <c r="P26" s="3">
        <v>0.39790993829999999</v>
      </c>
      <c r="Q26" s="46">
        <v>9.2361639499999995E-2</v>
      </c>
    </row>
    <row r="27" spans="1:25">
      <c r="A27" s="9" t="s">
        <v>21</v>
      </c>
      <c r="B27" s="153">
        <v>1.4493000000000001E-2</v>
      </c>
      <c r="C27" s="154">
        <v>0.21884100000000001</v>
      </c>
      <c r="D27" s="154">
        <v>0.23333300000000001</v>
      </c>
      <c r="E27" s="154">
        <v>3.0435E-2</v>
      </c>
      <c r="F27" s="154">
        <v>0.73043499999999995</v>
      </c>
      <c r="G27" s="154">
        <v>0.76087000000000005</v>
      </c>
      <c r="H27" s="154">
        <v>4.4928000000000003E-2</v>
      </c>
      <c r="I27" s="154">
        <v>0.95507200000000003</v>
      </c>
      <c r="J27" s="155">
        <v>1</v>
      </c>
      <c r="L27" s="9" t="s">
        <v>21</v>
      </c>
      <c r="M27" s="45">
        <v>1.9362261700000001E-2</v>
      </c>
      <c r="N27" s="3">
        <v>0.15552512609999999</v>
      </c>
      <c r="O27" s="3">
        <v>0.45467739410000002</v>
      </c>
      <c r="P27" s="3">
        <v>0.2318277869</v>
      </c>
      <c r="Q27" s="46">
        <v>0.13860743119999999</v>
      </c>
    </row>
    <row r="28" spans="1:25">
      <c r="A28" s="9" t="s">
        <v>22</v>
      </c>
      <c r="B28" s="153">
        <v>2.3861E-2</v>
      </c>
      <c r="C28" s="154">
        <v>0.21312400000000001</v>
      </c>
      <c r="D28" s="154">
        <v>0.236985</v>
      </c>
      <c r="E28" s="154">
        <v>1.7354000000000001E-2</v>
      </c>
      <c r="F28" s="154">
        <v>0.74457700000000004</v>
      </c>
      <c r="G28" s="154">
        <v>0.76193100000000002</v>
      </c>
      <c r="H28" s="154">
        <v>4.1215000000000002E-2</v>
      </c>
      <c r="I28" s="154">
        <v>0.958785</v>
      </c>
      <c r="J28" s="155">
        <v>1</v>
      </c>
      <c r="L28" s="9" t="s">
        <v>22</v>
      </c>
      <c r="M28" s="45">
        <v>0.14275742829999999</v>
      </c>
      <c r="N28" s="3">
        <v>0.15720668700000001</v>
      </c>
      <c r="O28" s="3">
        <v>0.33256182200000001</v>
      </c>
      <c r="P28" s="3">
        <v>0.33290888530000001</v>
      </c>
      <c r="Q28" s="46">
        <v>3.4565177400000001E-2</v>
      </c>
    </row>
    <row r="29" spans="1:25">
      <c r="A29" s="9" t="s">
        <v>23</v>
      </c>
      <c r="B29" s="153">
        <v>1.2212000000000001E-2</v>
      </c>
      <c r="C29" s="154">
        <v>0.233379</v>
      </c>
      <c r="D29" s="154">
        <v>0.24559</v>
      </c>
      <c r="E29" s="154">
        <v>8.1410000000000007E-3</v>
      </c>
      <c r="F29" s="154">
        <v>0.74626899999999996</v>
      </c>
      <c r="G29" s="154">
        <v>0.75441000000000003</v>
      </c>
      <c r="H29" s="154">
        <v>2.0353E-2</v>
      </c>
      <c r="I29" s="154">
        <v>0.97964700000000005</v>
      </c>
      <c r="J29" s="155">
        <v>1</v>
      </c>
      <c r="L29" s="9" t="s">
        <v>23</v>
      </c>
      <c r="M29" s="45">
        <v>0.1483669259</v>
      </c>
      <c r="N29" s="3">
        <v>0.31913223800000001</v>
      </c>
      <c r="O29" s="3">
        <v>0.27872527120000001</v>
      </c>
      <c r="P29" s="3">
        <v>0.2104145764</v>
      </c>
      <c r="Q29" s="46">
        <v>4.3360988500000003E-2</v>
      </c>
    </row>
    <row r="30" spans="1:25">
      <c r="A30" s="9" t="s">
        <v>24</v>
      </c>
      <c r="B30" s="153">
        <v>1.0370000000000001E-2</v>
      </c>
      <c r="C30" s="154">
        <v>0.28370400000000001</v>
      </c>
      <c r="D30" s="154">
        <v>0.294074</v>
      </c>
      <c r="E30" s="154">
        <v>1.4815E-2</v>
      </c>
      <c r="F30" s="154">
        <v>0.68740699999999999</v>
      </c>
      <c r="G30" s="154">
        <v>0.70222200000000001</v>
      </c>
      <c r="H30" s="154">
        <v>2.5184999999999999E-2</v>
      </c>
      <c r="I30" s="154">
        <v>0.97481499999999999</v>
      </c>
      <c r="J30" s="155">
        <v>1</v>
      </c>
      <c r="L30" s="9" t="s">
        <v>24</v>
      </c>
      <c r="M30" s="45">
        <v>0.26609473779999998</v>
      </c>
      <c r="N30" s="3">
        <v>0.20476768819999999</v>
      </c>
      <c r="O30" s="3">
        <v>0.14723441600000001</v>
      </c>
      <c r="P30" s="3">
        <v>0.1158041276</v>
      </c>
      <c r="Q30" s="46">
        <v>0.26609903039999999</v>
      </c>
    </row>
    <row r="31" spans="1:25">
      <c r="A31" s="9" t="s">
        <v>25</v>
      </c>
      <c r="B31" s="153">
        <v>1.3304E-2</v>
      </c>
      <c r="C31" s="154">
        <v>0.33111600000000002</v>
      </c>
      <c r="D31" s="154">
        <v>0.34442</v>
      </c>
      <c r="E31" s="154">
        <v>2.6608E-2</v>
      </c>
      <c r="F31" s="154">
        <v>0.62084300000000003</v>
      </c>
      <c r="G31" s="154">
        <v>0.64744999999999997</v>
      </c>
      <c r="H31" s="154">
        <v>4.1390000000000003E-2</v>
      </c>
      <c r="I31" s="154">
        <v>0.95860999999999996</v>
      </c>
      <c r="J31" s="155">
        <v>1</v>
      </c>
      <c r="L31" s="9" t="s">
        <v>25</v>
      </c>
      <c r="M31" s="45">
        <v>0.3606228574</v>
      </c>
      <c r="N31" s="3">
        <v>0.2541975172</v>
      </c>
      <c r="O31" s="3">
        <v>0.1345750235</v>
      </c>
      <c r="P31" s="3">
        <v>0.13718696350000001</v>
      </c>
      <c r="Q31" s="46">
        <v>0.11341763840000001</v>
      </c>
    </row>
    <row r="32" spans="1:25">
      <c r="A32" s="9" t="s">
        <v>26</v>
      </c>
      <c r="B32" s="153">
        <v>2.545E-3</v>
      </c>
      <c r="C32" s="154">
        <v>0.30279899999999998</v>
      </c>
      <c r="D32" s="154">
        <v>0.305344</v>
      </c>
      <c r="E32" s="154">
        <v>2.545E-3</v>
      </c>
      <c r="F32" s="154">
        <v>0.68956700000000004</v>
      </c>
      <c r="G32" s="154">
        <v>0.69211199999999995</v>
      </c>
      <c r="H32" s="154">
        <v>5.0889999999999998E-3</v>
      </c>
      <c r="I32" s="154">
        <v>0.99491099999999999</v>
      </c>
      <c r="J32" s="155">
        <v>1</v>
      </c>
      <c r="L32" s="9" t="s">
        <v>26</v>
      </c>
      <c r="M32" s="45">
        <v>0.28608514759999998</v>
      </c>
      <c r="N32" s="3">
        <v>0.241931324</v>
      </c>
      <c r="O32" s="3">
        <v>8.7403598999999998E-2</v>
      </c>
      <c r="P32" s="3">
        <v>0.19158598069999999</v>
      </c>
      <c r="Q32" s="46">
        <v>0.19299394880000001</v>
      </c>
    </row>
    <row r="33" spans="1:25">
      <c r="A33" s="9" t="s">
        <v>27</v>
      </c>
      <c r="B33" s="153">
        <v>1.2746E-2</v>
      </c>
      <c r="C33" s="154">
        <v>0.25756800000000002</v>
      </c>
      <c r="D33" s="154">
        <v>0.27031300000000003</v>
      </c>
      <c r="E33" s="154">
        <v>3.9829999999999997E-2</v>
      </c>
      <c r="F33" s="154">
        <v>0.68826299999999996</v>
      </c>
      <c r="G33" s="154">
        <v>0.72809299999999999</v>
      </c>
      <c r="H33" s="154">
        <v>5.2575999999999998E-2</v>
      </c>
      <c r="I33" s="154">
        <v>0.94742400000000004</v>
      </c>
      <c r="J33" s="155">
        <v>1</v>
      </c>
      <c r="L33" s="9" t="s">
        <v>27</v>
      </c>
      <c r="M33" s="45">
        <v>0.34702898370000002</v>
      </c>
      <c r="N33" s="3">
        <v>0.32462801000000002</v>
      </c>
      <c r="O33" s="3">
        <v>0.11785661009999999</v>
      </c>
      <c r="P33" s="3">
        <v>8.1843732000000002E-2</v>
      </c>
      <c r="Q33" s="46">
        <v>0.1286426641</v>
      </c>
    </row>
    <row r="34" spans="1:25">
      <c r="A34" s="9" t="s">
        <v>28</v>
      </c>
      <c r="B34" s="153">
        <v>1.1847999999999999E-2</v>
      </c>
      <c r="C34" s="154">
        <v>0.25829400000000002</v>
      </c>
      <c r="D34" s="154">
        <v>0.27014199999999999</v>
      </c>
      <c r="E34" s="154">
        <v>4.0284E-2</v>
      </c>
      <c r="F34" s="154">
        <v>0.68483400000000005</v>
      </c>
      <c r="G34" s="154">
        <v>0.72511800000000004</v>
      </c>
      <c r="H34" s="154">
        <v>5.2132999999999999E-2</v>
      </c>
      <c r="I34" s="154">
        <v>0.94786700000000002</v>
      </c>
      <c r="J34" s="155">
        <v>1</v>
      </c>
      <c r="L34" s="9" t="s">
        <v>28</v>
      </c>
      <c r="M34" s="45">
        <v>0.37106353749999998</v>
      </c>
      <c r="N34" s="3">
        <v>0.30339422199999999</v>
      </c>
      <c r="O34" s="3">
        <v>0.20216998110000001</v>
      </c>
      <c r="P34" s="3">
        <v>8.2397653400000007E-2</v>
      </c>
      <c r="Q34" s="46">
        <v>4.0974605999999997E-2</v>
      </c>
    </row>
    <row r="35" spans="1:25">
      <c r="A35" s="9" t="s">
        <v>29</v>
      </c>
      <c r="B35" s="153">
        <v>1.3317000000000001E-2</v>
      </c>
      <c r="C35" s="154">
        <v>0.25553399999999998</v>
      </c>
      <c r="D35" s="154">
        <v>0.26884999999999998</v>
      </c>
      <c r="E35" s="154">
        <v>2.3213999999999999E-2</v>
      </c>
      <c r="F35" s="154">
        <v>0.70685600000000004</v>
      </c>
      <c r="G35" s="154">
        <v>0.73007</v>
      </c>
      <c r="H35" s="154">
        <v>3.6531000000000001E-2</v>
      </c>
      <c r="I35" s="154">
        <v>0.96346900000000002</v>
      </c>
      <c r="J35" s="155">
        <v>1</v>
      </c>
      <c r="L35" s="9" t="s">
        <v>29</v>
      </c>
      <c r="M35" s="45">
        <v>0.3247469066</v>
      </c>
      <c r="N35" s="3">
        <v>0.19836173600000001</v>
      </c>
      <c r="O35" s="3">
        <v>0.18383259939999999</v>
      </c>
      <c r="P35" s="3">
        <v>0.17407389970000001</v>
      </c>
      <c r="Q35" s="46">
        <v>0.1189848583</v>
      </c>
    </row>
    <row r="36" spans="1:25">
      <c r="A36" s="9" t="s">
        <v>30</v>
      </c>
      <c r="B36" s="153">
        <v>0</v>
      </c>
      <c r="C36" s="154">
        <v>0.39344299999999999</v>
      </c>
      <c r="D36" s="154">
        <v>0.39344299999999999</v>
      </c>
      <c r="E36" s="154">
        <v>0</v>
      </c>
      <c r="F36" s="154">
        <v>0.60655700000000001</v>
      </c>
      <c r="G36" s="154">
        <v>0.60655700000000001</v>
      </c>
      <c r="H36" s="154">
        <v>0</v>
      </c>
      <c r="I36" s="154">
        <v>1</v>
      </c>
      <c r="J36" s="155">
        <v>1</v>
      </c>
      <c r="L36" s="9" t="s">
        <v>30</v>
      </c>
      <c r="M36" s="45">
        <v>0.1480698043</v>
      </c>
      <c r="N36" s="3">
        <v>0.1961924907</v>
      </c>
      <c r="O36" s="3">
        <v>0.3442622951</v>
      </c>
      <c r="P36" s="3">
        <v>0.18032786889999999</v>
      </c>
      <c r="Q36" s="46">
        <v>0.13114754100000001</v>
      </c>
    </row>
    <row r="37" spans="1:25" ht="16" thickBot="1">
      <c r="A37" s="12" t="s">
        <v>31</v>
      </c>
      <c r="B37" s="156">
        <v>2.967E-3</v>
      </c>
      <c r="C37" s="157">
        <v>0.27200800000000003</v>
      </c>
      <c r="D37" s="157">
        <v>0.27497500000000002</v>
      </c>
      <c r="E37" s="157">
        <v>1.8793000000000001E-2</v>
      </c>
      <c r="F37" s="157">
        <v>0.703264</v>
      </c>
      <c r="G37" s="157">
        <v>0.72205699999999995</v>
      </c>
      <c r="H37" s="157">
        <v>2.2749999999999999E-2</v>
      </c>
      <c r="I37" s="157">
        <v>0.97724999999999995</v>
      </c>
      <c r="J37" s="158">
        <v>1</v>
      </c>
      <c r="L37" s="12" t="s">
        <v>31</v>
      </c>
      <c r="M37" s="47">
        <v>0.18939874139999999</v>
      </c>
      <c r="N37" s="48">
        <v>0.13885257540000001</v>
      </c>
      <c r="O37" s="48">
        <v>0.33453614459999997</v>
      </c>
      <c r="P37" s="48">
        <v>0.22459655680000001</v>
      </c>
      <c r="Q37" s="49">
        <v>0.11261598170000001</v>
      </c>
    </row>
    <row r="38" spans="1:25">
      <c r="B38">
        <v>0</v>
      </c>
      <c r="C38">
        <v>0.119565</v>
      </c>
      <c r="D38">
        <v>0.119565</v>
      </c>
      <c r="E38">
        <v>3.2608999999999999E-2</v>
      </c>
      <c r="F38">
        <v>0.84782599999999997</v>
      </c>
      <c r="G38">
        <v>0.88043499999999997</v>
      </c>
      <c r="H38">
        <v>3.2608999999999999E-2</v>
      </c>
      <c r="I38">
        <v>0.967391</v>
      </c>
      <c r="J38">
        <v>1</v>
      </c>
      <c r="M38">
        <v>0.17441860470000001</v>
      </c>
      <c r="N38">
        <v>0.32489740080000001</v>
      </c>
      <c r="O38">
        <v>0.16279069769999999</v>
      </c>
      <c r="P38">
        <v>0.17510259919999999</v>
      </c>
      <c r="Q38">
        <v>0.16279069769999999</v>
      </c>
    </row>
    <row r="39" spans="1:25" ht="16" thickBot="1"/>
    <row r="40" spans="1:25" ht="18.75" customHeight="1" thickBot="1">
      <c r="B40" s="186" t="s">
        <v>6</v>
      </c>
      <c r="C40" s="187"/>
      <c r="D40" s="187"/>
      <c r="E40" s="187"/>
      <c r="F40" s="187"/>
      <c r="G40" s="188"/>
      <c r="H40" s="189" t="s">
        <v>12</v>
      </c>
      <c r="I40" s="189"/>
      <c r="J40" s="189"/>
      <c r="K40" s="189"/>
      <c r="L40" s="189"/>
      <c r="M40" s="189"/>
      <c r="N40" s="190" t="s">
        <v>13</v>
      </c>
      <c r="O40" s="189"/>
      <c r="P40" s="189"/>
      <c r="Q40" s="189"/>
      <c r="R40" s="189"/>
      <c r="S40" s="191"/>
      <c r="T40" s="192" t="s">
        <v>45</v>
      </c>
      <c r="U40" s="192"/>
      <c r="V40" s="192"/>
      <c r="W40" s="192"/>
      <c r="X40" s="192"/>
      <c r="Y40" s="193"/>
    </row>
    <row r="41" spans="1:25" ht="16" thickBot="1">
      <c r="A41" s="25" t="s">
        <v>15</v>
      </c>
      <c r="B41" s="26" t="s">
        <v>7</v>
      </c>
      <c r="C41" s="27" t="s">
        <v>8</v>
      </c>
      <c r="D41" s="27" t="s">
        <v>9</v>
      </c>
      <c r="E41" s="27" t="s">
        <v>10</v>
      </c>
      <c r="F41" s="27" t="s">
        <v>11</v>
      </c>
      <c r="G41" s="29" t="s">
        <v>4</v>
      </c>
      <c r="H41" s="27" t="s">
        <v>7</v>
      </c>
      <c r="I41" s="27" t="s">
        <v>8</v>
      </c>
      <c r="J41" s="27" t="s">
        <v>9</v>
      </c>
      <c r="K41" s="27" t="s">
        <v>10</v>
      </c>
      <c r="L41" s="27" t="s">
        <v>11</v>
      </c>
      <c r="M41" s="28" t="s">
        <v>4</v>
      </c>
      <c r="N41" s="26" t="s">
        <v>7</v>
      </c>
      <c r="O41" s="27" t="s">
        <v>8</v>
      </c>
      <c r="P41" s="27" t="s">
        <v>9</v>
      </c>
      <c r="Q41" s="27" t="s">
        <v>10</v>
      </c>
      <c r="R41" s="27" t="s">
        <v>11</v>
      </c>
      <c r="S41" s="29" t="s">
        <v>4</v>
      </c>
      <c r="T41" s="27" t="s">
        <v>7</v>
      </c>
      <c r="U41" s="27" t="s">
        <v>8</v>
      </c>
      <c r="V41" s="27" t="s">
        <v>9</v>
      </c>
      <c r="W41" s="27" t="s">
        <v>10</v>
      </c>
      <c r="X41" s="27" t="s">
        <v>11</v>
      </c>
      <c r="Y41" s="29" t="s">
        <v>4</v>
      </c>
    </row>
    <row r="42" spans="1:25">
      <c r="A42" s="50" t="s">
        <v>16</v>
      </c>
      <c r="B42" s="30" t="s">
        <v>179</v>
      </c>
      <c r="C42" s="31" t="s">
        <v>179</v>
      </c>
      <c r="D42" s="31" t="s">
        <v>180</v>
      </c>
      <c r="E42" s="31">
        <v>0.92</v>
      </c>
      <c r="F42" s="31">
        <v>0.96</v>
      </c>
      <c r="G42" s="31">
        <v>0.71</v>
      </c>
      <c r="H42" s="31">
        <v>0.56000000000000005</v>
      </c>
      <c r="I42" s="31" t="s">
        <v>179</v>
      </c>
      <c r="J42" s="31" t="s">
        <v>179</v>
      </c>
      <c r="K42" s="31">
        <v>0.88</v>
      </c>
      <c r="L42" s="31">
        <v>0.96</v>
      </c>
      <c r="M42" s="31">
        <v>0.86</v>
      </c>
      <c r="N42" s="31">
        <v>0.9</v>
      </c>
      <c r="O42" s="31" t="s">
        <v>179</v>
      </c>
      <c r="P42" s="32" t="s">
        <v>179</v>
      </c>
      <c r="Q42" s="31">
        <v>0.59</v>
      </c>
      <c r="R42" s="32">
        <v>1</v>
      </c>
      <c r="S42" s="31">
        <v>0.78</v>
      </c>
      <c r="T42" s="32" t="s">
        <v>179</v>
      </c>
      <c r="U42" s="32" t="s">
        <v>179</v>
      </c>
      <c r="V42" s="32" t="s">
        <v>179</v>
      </c>
      <c r="W42" s="32" t="s">
        <v>179</v>
      </c>
      <c r="X42" s="32" t="s">
        <v>179</v>
      </c>
      <c r="Y42" s="33" t="s">
        <v>181</v>
      </c>
    </row>
    <row r="43" spans="1:25">
      <c r="A43" s="9" t="s">
        <v>17</v>
      </c>
      <c r="B43" s="34">
        <v>0.84</v>
      </c>
      <c r="C43" s="6" t="s">
        <v>180</v>
      </c>
      <c r="D43" s="5" t="s">
        <v>179</v>
      </c>
      <c r="E43" s="5">
        <v>0.61</v>
      </c>
      <c r="F43" s="5">
        <v>0.97</v>
      </c>
      <c r="G43" s="5">
        <v>0.67</v>
      </c>
      <c r="H43" s="6">
        <v>0.85</v>
      </c>
      <c r="I43" s="5" t="s">
        <v>180</v>
      </c>
      <c r="J43" s="5">
        <v>0.91</v>
      </c>
      <c r="K43" s="6">
        <v>0.84</v>
      </c>
      <c r="L43" s="5">
        <v>0.9</v>
      </c>
      <c r="M43" s="5">
        <v>0.91</v>
      </c>
      <c r="N43" s="6" t="s">
        <v>179</v>
      </c>
      <c r="O43" s="5" t="s">
        <v>179</v>
      </c>
      <c r="P43" s="6" t="s">
        <v>179</v>
      </c>
      <c r="Q43" s="6" t="s">
        <v>180</v>
      </c>
      <c r="R43" s="5">
        <v>0.89</v>
      </c>
      <c r="S43" s="5">
        <v>0.79</v>
      </c>
      <c r="T43" s="6" t="s">
        <v>179</v>
      </c>
      <c r="U43" s="6" t="s">
        <v>179</v>
      </c>
      <c r="V43" s="6" t="s">
        <v>179</v>
      </c>
      <c r="W43" s="6" t="s">
        <v>179</v>
      </c>
      <c r="X43" s="6" t="s">
        <v>179</v>
      </c>
      <c r="Y43" s="35" t="s">
        <v>138</v>
      </c>
    </row>
    <row r="44" spans="1:25">
      <c r="A44" s="9" t="s">
        <v>18</v>
      </c>
      <c r="B44" s="36" t="s">
        <v>179</v>
      </c>
      <c r="C44" s="5" t="s">
        <v>179</v>
      </c>
      <c r="D44" s="5" t="s">
        <v>179</v>
      </c>
      <c r="E44" s="5" t="s">
        <v>179</v>
      </c>
      <c r="F44" s="5" t="s">
        <v>179</v>
      </c>
      <c r="G44" s="5">
        <v>0.75</v>
      </c>
      <c r="H44" s="5" t="s">
        <v>179</v>
      </c>
      <c r="I44" s="5" t="s">
        <v>179</v>
      </c>
      <c r="J44" s="5">
        <v>0.92</v>
      </c>
      <c r="K44" s="5">
        <v>0.8</v>
      </c>
      <c r="L44" s="5" t="s">
        <v>179</v>
      </c>
      <c r="M44" s="5">
        <v>0.98</v>
      </c>
      <c r="N44" s="5" t="s">
        <v>179</v>
      </c>
      <c r="O44" s="5" t="s">
        <v>179</v>
      </c>
      <c r="P44" s="6" t="s">
        <v>179</v>
      </c>
      <c r="Q44" s="6" t="s">
        <v>179</v>
      </c>
      <c r="R44" s="6" t="s">
        <v>179</v>
      </c>
      <c r="S44" s="5">
        <v>0.46</v>
      </c>
      <c r="T44" s="6" t="s">
        <v>179</v>
      </c>
      <c r="U44" s="5" t="s">
        <v>179</v>
      </c>
      <c r="V44" s="6" t="s">
        <v>179</v>
      </c>
      <c r="W44" s="6" t="s">
        <v>179</v>
      </c>
      <c r="X44" s="6" t="s">
        <v>179</v>
      </c>
      <c r="Y44" s="35">
        <v>1</v>
      </c>
    </row>
    <row r="45" spans="1:25">
      <c r="A45" s="9" t="s">
        <v>19</v>
      </c>
      <c r="B45" s="34" t="s">
        <v>180</v>
      </c>
      <c r="C45" s="6" t="s">
        <v>180</v>
      </c>
      <c r="D45" s="6" t="s">
        <v>179</v>
      </c>
      <c r="E45" s="5" t="s">
        <v>180</v>
      </c>
      <c r="F45" s="5" t="s">
        <v>179</v>
      </c>
      <c r="G45" s="5">
        <v>0.78</v>
      </c>
      <c r="H45" s="5" t="s">
        <v>180</v>
      </c>
      <c r="I45" s="6" t="s">
        <v>179</v>
      </c>
      <c r="J45" s="5">
        <v>0.81</v>
      </c>
      <c r="K45" s="5" t="s">
        <v>180</v>
      </c>
      <c r="L45" s="5" t="s">
        <v>179</v>
      </c>
      <c r="M45" s="5">
        <v>0.93</v>
      </c>
      <c r="N45" s="6" t="s">
        <v>179</v>
      </c>
      <c r="O45" s="5" t="s">
        <v>179</v>
      </c>
      <c r="P45" s="6" t="s">
        <v>179</v>
      </c>
      <c r="Q45" s="6" t="s">
        <v>179</v>
      </c>
      <c r="R45" s="6" t="s">
        <v>179</v>
      </c>
      <c r="S45" s="5">
        <v>0.89</v>
      </c>
      <c r="T45" s="6" t="s">
        <v>179</v>
      </c>
      <c r="U45" s="6" t="s">
        <v>179</v>
      </c>
      <c r="V45" s="6" t="s">
        <v>179</v>
      </c>
      <c r="W45" s="6" t="s">
        <v>179</v>
      </c>
      <c r="X45" s="6" t="s">
        <v>179</v>
      </c>
      <c r="Y45" s="35">
        <v>0.81</v>
      </c>
    </row>
    <row r="46" spans="1:25">
      <c r="A46" s="9" t="s">
        <v>20</v>
      </c>
      <c r="B46" s="36">
        <v>0.93</v>
      </c>
      <c r="C46" s="5">
        <v>0.89</v>
      </c>
      <c r="D46" s="5">
        <v>0.79</v>
      </c>
      <c r="E46" s="5">
        <v>0.91</v>
      </c>
      <c r="F46" s="5">
        <v>0.79</v>
      </c>
      <c r="G46" s="5">
        <v>0.94</v>
      </c>
      <c r="H46" s="5">
        <v>0.89</v>
      </c>
      <c r="I46" s="5">
        <v>0.42</v>
      </c>
      <c r="J46" s="6">
        <v>0.9</v>
      </c>
      <c r="K46" s="5">
        <v>0.85</v>
      </c>
      <c r="L46" s="6">
        <v>0.78</v>
      </c>
      <c r="M46" s="5">
        <v>0.48</v>
      </c>
      <c r="N46" s="5" t="s">
        <v>180</v>
      </c>
      <c r="O46" s="5" t="s">
        <v>180</v>
      </c>
      <c r="P46" s="6" t="s">
        <v>179</v>
      </c>
      <c r="Q46" s="6" t="s">
        <v>180</v>
      </c>
      <c r="R46" s="6" t="s">
        <v>180</v>
      </c>
      <c r="S46" s="5">
        <v>1</v>
      </c>
      <c r="T46" s="6" t="s">
        <v>179</v>
      </c>
      <c r="U46" s="6" t="s">
        <v>179</v>
      </c>
      <c r="V46" s="6" t="s">
        <v>179</v>
      </c>
      <c r="W46" s="6" t="s">
        <v>179</v>
      </c>
      <c r="X46" s="6" t="s">
        <v>179</v>
      </c>
      <c r="Y46" s="35" t="s">
        <v>138</v>
      </c>
    </row>
    <row r="47" spans="1:25">
      <c r="A47" s="9" t="s">
        <v>21</v>
      </c>
      <c r="B47" s="36">
        <v>0.87</v>
      </c>
      <c r="C47" s="5" t="s">
        <v>180</v>
      </c>
      <c r="D47" s="5" t="s">
        <v>179</v>
      </c>
      <c r="E47" s="5">
        <v>0.9</v>
      </c>
      <c r="F47" s="5" t="s">
        <v>179</v>
      </c>
      <c r="G47" s="5" t="s">
        <v>179</v>
      </c>
      <c r="H47" s="5">
        <v>0.83</v>
      </c>
      <c r="I47" s="5" t="s">
        <v>180</v>
      </c>
      <c r="J47" s="5" t="s">
        <v>179</v>
      </c>
      <c r="K47" s="5" t="s">
        <v>180</v>
      </c>
      <c r="L47" s="5" t="s">
        <v>179</v>
      </c>
      <c r="M47" s="5" t="s">
        <v>179</v>
      </c>
      <c r="N47" s="5" t="s">
        <v>179</v>
      </c>
      <c r="O47" s="5" t="s">
        <v>180</v>
      </c>
      <c r="P47" s="6" t="s">
        <v>179</v>
      </c>
      <c r="Q47" s="6" t="s">
        <v>179</v>
      </c>
      <c r="R47" s="6" t="s">
        <v>179</v>
      </c>
      <c r="S47" s="5">
        <v>0.9</v>
      </c>
      <c r="T47" s="6" t="s">
        <v>179</v>
      </c>
      <c r="U47" s="5" t="s">
        <v>179</v>
      </c>
      <c r="V47" s="6" t="s">
        <v>179</v>
      </c>
      <c r="W47" s="6" t="s">
        <v>180</v>
      </c>
      <c r="X47" s="6" t="s">
        <v>179</v>
      </c>
      <c r="Y47" s="35">
        <v>0.97</v>
      </c>
    </row>
    <row r="48" spans="1:25">
      <c r="A48" s="9" t="s">
        <v>22</v>
      </c>
      <c r="B48" s="36">
        <v>0.94</v>
      </c>
      <c r="C48" s="6" t="s">
        <v>180</v>
      </c>
      <c r="D48" s="5" t="s">
        <v>179</v>
      </c>
      <c r="E48" s="5">
        <v>0.97</v>
      </c>
      <c r="F48" s="5">
        <v>0.98</v>
      </c>
      <c r="G48" s="5" t="s">
        <v>179</v>
      </c>
      <c r="H48" s="5" t="s">
        <v>180</v>
      </c>
      <c r="I48" s="5" t="s">
        <v>180</v>
      </c>
      <c r="J48" s="6" t="s">
        <v>179</v>
      </c>
      <c r="K48" s="5">
        <v>0.98</v>
      </c>
      <c r="L48" s="5" t="s">
        <v>180</v>
      </c>
      <c r="M48" s="5" t="s">
        <v>179</v>
      </c>
      <c r="N48" s="6" t="s">
        <v>179</v>
      </c>
      <c r="O48" s="6">
        <v>1</v>
      </c>
      <c r="P48" s="6" t="s">
        <v>180</v>
      </c>
      <c r="Q48" s="6" t="s">
        <v>180</v>
      </c>
      <c r="R48" s="5" t="s">
        <v>180</v>
      </c>
      <c r="S48" s="5">
        <v>0.96</v>
      </c>
      <c r="T48" s="6" t="s">
        <v>180</v>
      </c>
      <c r="U48" s="6" t="s">
        <v>180</v>
      </c>
      <c r="V48" s="6" t="s">
        <v>179</v>
      </c>
      <c r="W48" s="6" t="s">
        <v>179</v>
      </c>
      <c r="X48" s="6" t="s">
        <v>179</v>
      </c>
      <c r="Y48" s="37">
        <v>0.98</v>
      </c>
    </row>
    <row r="49" spans="1:25">
      <c r="A49" s="9" t="s">
        <v>23</v>
      </c>
      <c r="B49" s="36" t="s">
        <v>179</v>
      </c>
      <c r="C49" s="5" t="s">
        <v>179</v>
      </c>
      <c r="D49" s="5">
        <v>0.47</v>
      </c>
      <c r="E49" s="5">
        <v>0.73</v>
      </c>
      <c r="F49" s="5">
        <v>0.73</v>
      </c>
      <c r="G49" s="5" t="s">
        <v>179</v>
      </c>
      <c r="H49" s="5" t="s">
        <v>179</v>
      </c>
      <c r="I49" s="5" t="s">
        <v>179</v>
      </c>
      <c r="J49" s="5">
        <v>0.72</v>
      </c>
      <c r="K49" s="5">
        <v>0.8</v>
      </c>
      <c r="L49" s="5">
        <v>0.73</v>
      </c>
      <c r="M49" s="5">
        <v>0.78</v>
      </c>
      <c r="N49" s="5" t="s">
        <v>179</v>
      </c>
      <c r="O49" s="5" t="s">
        <v>179</v>
      </c>
      <c r="P49" s="6" t="s">
        <v>180</v>
      </c>
      <c r="Q49" s="5" t="s">
        <v>180</v>
      </c>
      <c r="R49" s="5" t="s">
        <v>179</v>
      </c>
      <c r="S49" s="5">
        <v>0.73</v>
      </c>
      <c r="T49" s="6" t="s">
        <v>179</v>
      </c>
      <c r="U49" s="5" t="s">
        <v>179</v>
      </c>
      <c r="V49" s="6" t="s">
        <v>179</v>
      </c>
      <c r="W49" s="6" t="s">
        <v>179</v>
      </c>
      <c r="X49" s="6" t="s">
        <v>179</v>
      </c>
      <c r="Y49" s="35">
        <v>0.9</v>
      </c>
    </row>
    <row r="50" spans="1:25">
      <c r="A50" s="9" t="s">
        <v>24</v>
      </c>
      <c r="B50" s="36">
        <v>1</v>
      </c>
      <c r="C50" s="5" t="s">
        <v>179</v>
      </c>
      <c r="D50" s="5" t="s">
        <v>179</v>
      </c>
      <c r="E50" s="5">
        <v>0.88</v>
      </c>
      <c r="F50" s="5">
        <v>0.74</v>
      </c>
      <c r="G50" s="5">
        <v>0.91</v>
      </c>
      <c r="H50" s="5" t="s">
        <v>180</v>
      </c>
      <c r="I50" s="5" t="s">
        <v>179</v>
      </c>
      <c r="J50" s="5" t="s">
        <v>179</v>
      </c>
      <c r="K50" s="5" t="s">
        <v>180</v>
      </c>
      <c r="L50" s="5">
        <v>0.17</v>
      </c>
      <c r="M50" s="5">
        <v>0.99</v>
      </c>
      <c r="N50" s="5" t="s">
        <v>179</v>
      </c>
      <c r="O50" s="5" t="s">
        <v>179</v>
      </c>
      <c r="P50" s="6" t="s">
        <v>179</v>
      </c>
      <c r="Q50" s="5" t="s">
        <v>179</v>
      </c>
      <c r="R50" s="5">
        <v>0.31</v>
      </c>
      <c r="S50" s="5" t="s">
        <v>179</v>
      </c>
      <c r="T50" s="6" t="s">
        <v>179</v>
      </c>
      <c r="U50" s="6" t="s">
        <v>179</v>
      </c>
      <c r="V50" s="6" t="s">
        <v>179</v>
      </c>
      <c r="W50" s="6" t="s">
        <v>179</v>
      </c>
      <c r="X50" s="6" t="s">
        <v>179</v>
      </c>
      <c r="Y50" s="35">
        <v>1</v>
      </c>
    </row>
    <row r="51" spans="1:25">
      <c r="A51" s="9" t="s">
        <v>25</v>
      </c>
      <c r="B51" s="36" t="s">
        <v>179</v>
      </c>
      <c r="C51" s="5" t="s">
        <v>180</v>
      </c>
      <c r="D51" s="6">
        <v>0.9</v>
      </c>
      <c r="E51" s="5">
        <v>0.96</v>
      </c>
      <c r="F51" s="6" t="s">
        <v>180</v>
      </c>
      <c r="G51" s="5">
        <v>0.99</v>
      </c>
      <c r="H51" s="5" t="s">
        <v>179</v>
      </c>
      <c r="I51" s="5">
        <v>0.93</v>
      </c>
      <c r="J51" s="5">
        <v>0.71</v>
      </c>
      <c r="K51" s="5">
        <v>0.94</v>
      </c>
      <c r="L51" s="6">
        <v>0.77</v>
      </c>
      <c r="M51" s="5">
        <v>0.98</v>
      </c>
      <c r="N51" s="5" t="s">
        <v>180</v>
      </c>
      <c r="O51" s="6">
        <v>1</v>
      </c>
      <c r="P51" s="6" t="s">
        <v>180</v>
      </c>
      <c r="Q51" s="6">
        <v>1</v>
      </c>
      <c r="R51" s="6" t="s">
        <v>180</v>
      </c>
      <c r="S51" s="5">
        <v>0.95</v>
      </c>
      <c r="T51" s="6" t="s">
        <v>180</v>
      </c>
      <c r="U51" s="6" t="s">
        <v>180</v>
      </c>
      <c r="V51" s="6" t="s">
        <v>180</v>
      </c>
      <c r="W51" s="6" t="s">
        <v>179</v>
      </c>
      <c r="X51" s="6" t="s">
        <v>179</v>
      </c>
      <c r="Y51" s="35">
        <v>0.72</v>
      </c>
    </row>
    <row r="52" spans="1:25">
      <c r="A52" s="9" t="s">
        <v>26</v>
      </c>
      <c r="B52" s="36">
        <v>0.93</v>
      </c>
      <c r="C52" s="5">
        <v>0.94</v>
      </c>
      <c r="D52" s="6">
        <v>0.9</v>
      </c>
      <c r="E52" s="5">
        <v>0.87</v>
      </c>
      <c r="F52" s="5" t="s">
        <v>179</v>
      </c>
      <c r="G52" s="5">
        <v>0.81</v>
      </c>
      <c r="H52" s="5" t="s">
        <v>179</v>
      </c>
      <c r="I52" s="5" t="s">
        <v>179</v>
      </c>
      <c r="J52" s="5" t="s">
        <v>180</v>
      </c>
      <c r="K52" s="5" t="s">
        <v>180</v>
      </c>
      <c r="L52" s="5" t="s">
        <v>179</v>
      </c>
      <c r="M52" s="5">
        <v>0.66</v>
      </c>
      <c r="N52" s="5" t="s">
        <v>179</v>
      </c>
      <c r="O52" s="5">
        <v>0.69</v>
      </c>
      <c r="P52" s="6" t="s">
        <v>179</v>
      </c>
      <c r="Q52" s="5" t="s">
        <v>179</v>
      </c>
      <c r="R52" s="6" t="s">
        <v>179</v>
      </c>
      <c r="S52" s="5">
        <v>0.72</v>
      </c>
      <c r="T52" s="6" t="s">
        <v>179</v>
      </c>
      <c r="U52" s="6" t="s">
        <v>179</v>
      </c>
      <c r="V52" s="6" t="s">
        <v>179</v>
      </c>
      <c r="W52" s="6" t="s">
        <v>180</v>
      </c>
      <c r="X52" s="6" t="s">
        <v>179</v>
      </c>
      <c r="Y52" s="35">
        <v>1</v>
      </c>
    </row>
    <row r="53" spans="1:25">
      <c r="A53" s="9" t="s">
        <v>27</v>
      </c>
      <c r="B53" s="36">
        <v>0.55000000000000004</v>
      </c>
      <c r="C53" s="5">
        <v>0.45</v>
      </c>
      <c r="D53" s="6" t="s">
        <v>179</v>
      </c>
      <c r="E53" s="5">
        <v>0.74</v>
      </c>
      <c r="F53" s="5">
        <v>0.53</v>
      </c>
      <c r="G53" s="5">
        <v>0.84</v>
      </c>
      <c r="H53" s="6">
        <v>0.88</v>
      </c>
      <c r="I53" s="5">
        <v>0.93</v>
      </c>
      <c r="J53" s="5">
        <v>0.79</v>
      </c>
      <c r="K53" s="5">
        <v>0.8</v>
      </c>
      <c r="L53" s="6" t="s">
        <v>180</v>
      </c>
      <c r="M53" s="5">
        <v>0.67</v>
      </c>
      <c r="N53" s="6" t="s">
        <v>179</v>
      </c>
      <c r="O53" s="5">
        <v>0.56000000000000005</v>
      </c>
      <c r="P53" s="6" t="s">
        <v>179</v>
      </c>
      <c r="Q53" s="5" t="s">
        <v>180</v>
      </c>
      <c r="R53" s="6" t="s">
        <v>179</v>
      </c>
      <c r="S53" s="5">
        <v>0.85</v>
      </c>
      <c r="T53" s="6">
        <v>0.41</v>
      </c>
      <c r="U53" s="6" t="s">
        <v>180</v>
      </c>
      <c r="V53" s="6" t="s">
        <v>179</v>
      </c>
      <c r="W53" s="6" t="s">
        <v>179</v>
      </c>
      <c r="X53" s="6" t="s">
        <v>179</v>
      </c>
      <c r="Y53" s="35">
        <v>0.89</v>
      </c>
    </row>
    <row r="54" spans="1:25">
      <c r="A54" s="9" t="s">
        <v>28</v>
      </c>
      <c r="B54" s="36" t="s">
        <v>179</v>
      </c>
      <c r="C54" s="5" t="s">
        <v>180</v>
      </c>
      <c r="D54" s="5" t="s">
        <v>179</v>
      </c>
      <c r="E54" s="5" t="s">
        <v>180</v>
      </c>
      <c r="F54" s="5">
        <v>0.71</v>
      </c>
      <c r="G54" s="5">
        <v>0.73</v>
      </c>
      <c r="H54" s="5" t="s">
        <v>179</v>
      </c>
      <c r="I54" s="5" t="s">
        <v>180</v>
      </c>
      <c r="J54" s="6" t="s">
        <v>179</v>
      </c>
      <c r="K54" s="5" t="s">
        <v>179</v>
      </c>
      <c r="L54" s="6" t="s">
        <v>179</v>
      </c>
      <c r="M54" s="5">
        <v>0.68</v>
      </c>
      <c r="N54" s="5" t="s">
        <v>179</v>
      </c>
      <c r="O54" s="5" t="s">
        <v>179</v>
      </c>
      <c r="P54" s="6" t="s">
        <v>179</v>
      </c>
      <c r="Q54" s="5" t="s">
        <v>179</v>
      </c>
      <c r="R54" s="6" t="s">
        <v>179</v>
      </c>
      <c r="S54" s="5">
        <v>0.78</v>
      </c>
      <c r="T54" s="6" t="s">
        <v>179</v>
      </c>
      <c r="U54" s="5" t="s">
        <v>179</v>
      </c>
      <c r="V54" s="6" t="s">
        <v>179</v>
      </c>
      <c r="W54" s="6" t="s">
        <v>179</v>
      </c>
      <c r="X54" s="6" t="s">
        <v>179</v>
      </c>
      <c r="Y54" s="35">
        <v>1</v>
      </c>
    </row>
    <row r="55" spans="1:25">
      <c r="A55" s="9" t="s">
        <v>29</v>
      </c>
      <c r="B55" s="36">
        <v>0.94</v>
      </c>
      <c r="C55" s="5" t="s">
        <v>179</v>
      </c>
      <c r="D55" s="5" t="s">
        <v>180</v>
      </c>
      <c r="E55" s="5">
        <v>0.81</v>
      </c>
      <c r="F55" s="5">
        <v>0.75</v>
      </c>
      <c r="G55" s="5">
        <v>0.88</v>
      </c>
      <c r="H55" s="5" t="s">
        <v>180</v>
      </c>
      <c r="I55" s="5">
        <v>0.31</v>
      </c>
      <c r="J55" s="5">
        <v>0.85</v>
      </c>
      <c r="K55" s="5">
        <v>0.73</v>
      </c>
      <c r="L55" s="5">
        <v>0.47</v>
      </c>
      <c r="M55" s="5">
        <v>0.9</v>
      </c>
      <c r="N55" s="5" t="s">
        <v>180</v>
      </c>
      <c r="O55" s="5">
        <v>0.56000000000000005</v>
      </c>
      <c r="P55" s="6">
        <v>0.81</v>
      </c>
      <c r="Q55" s="6">
        <v>0.86</v>
      </c>
      <c r="R55" s="6" t="s">
        <v>179</v>
      </c>
      <c r="S55" s="5">
        <v>0.89</v>
      </c>
      <c r="T55" s="6" t="s">
        <v>180</v>
      </c>
      <c r="U55" s="6" t="s">
        <v>180</v>
      </c>
      <c r="V55" s="6" t="s">
        <v>179</v>
      </c>
      <c r="W55" s="6">
        <v>0</v>
      </c>
      <c r="X55" s="6" t="s">
        <v>180</v>
      </c>
      <c r="Y55" s="35">
        <v>0.9</v>
      </c>
    </row>
    <row r="56" spans="1:25">
      <c r="A56" s="9" t="s">
        <v>30</v>
      </c>
      <c r="B56" s="34">
        <v>0.91</v>
      </c>
      <c r="C56" s="5">
        <v>0.9</v>
      </c>
      <c r="D56" s="6">
        <v>1</v>
      </c>
      <c r="E56" s="5">
        <v>0.89</v>
      </c>
      <c r="F56" s="5">
        <v>0.81</v>
      </c>
      <c r="G56" s="5">
        <v>0.94</v>
      </c>
      <c r="H56" s="5">
        <v>1</v>
      </c>
      <c r="I56" s="5">
        <v>0.9</v>
      </c>
      <c r="J56" s="5">
        <v>0.86</v>
      </c>
      <c r="K56" s="5">
        <v>0.88</v>
      </c>
      <c r="L56" s="5">
        <v>0.7</v>
      </c>
      <c r="M56" s="5">
        <v>0.94</v>
      </c>
      <c r="N56" s="5" t="s">
        <v>179</v>
      </c>
      <c r="O56" s="6">
        <v>0.86</v>
      </c>
      <c r="P56" s="6" t="s">
        <v>179</v>
      </c>
      <c r="Q56" s="6">
        <v>0.83</v>
      </c>
      <c r="R56" s="5">
        <v>0.94</v>
      </c>
      <c r="S56" s="5">
        <v>0.85</v>
      </c>
      <c r="T56" s="6" t="s">
        <v>179</v>
      </c>
      <c r="U56" s="6">
        <v>0.93</v>
      </c>
      <c r="V56" s="6" t="s">
        <v>179</v>
      </c>
      <c r="W56" s="6">
        <v>1</v>
      </c>
      <c r="X56" s="6" t="s">
        <v>179</v>
      </c>
      <c r="Y56" s="35">
        <v>0.85</v>
      </c>
    </row>
    <row r="57" spans="1:25" ht="16" thickBot="1">
      <c r="A57" s="12" t="s">
        <v>31</v>
      </c>
      <c r="B57" s="38">
        <v>0.88</v>
      </c>
      <c r="C57" s="39">
        <v>0.73</v>
      </c>
      <c r="D57" s="39">
        <v>0.69</v>
      </c>
      <c r="E57" s="39">
        <v>0.83</v>
      </c>
      <c r="F57" s="39">
        <v>0.78</v>
      </c>
      <c r="G57" s="40">
        <v>0.86</v>
      </c>
      <c r="H57" s="39">
        <v>0.83</v>
      </c>
      <c r="I57" s="39">
        <v>0.79</v>
      </c>
      <c r="J57" s="39">
        <v>0.83</v>
      </c>
      <c r="K57" s="39">
        <v>0.75</v>
      </c>
      <c r="L57" s="39">
        <v>0.56999999999999995</v>
      </c>
      <c r="M57" s="39">
        <v>0.92</v>
      </c>
      <c r="N57" s="39">
        <v>0.64</v>
      </c>
      <c r="O57" s="39" t="s">
        <v>180</v>
      </c>
      <c r="P57" s="39" t="s">
        <v>179</v>
      </c>
      <c r="Q57" s="39">
        <v>0.82</v>
      </c>
      <c r="R57" s="39">
        <v>0.31</v>
      </c>
      <c r="S57" s="40">
        <v>0.85</v>
      </c>
      <c r="T57" s="39" t="s">
        <v>179</v>
      </c>
      <c r="U57" s="39" t="s">
        <v>179</v>
      </c>
      <c r="V57" s="39" t="s">
        <v>179</v>
      </c>
      <c r="W57" s="39" t="s">
        <v>179</v>
      </c>
      <c r="X57" s="39" t="s">
        <v>179</v>
      </c>
      <c r="Y57" s="41">
        <v>0.95</v>
      </c>
    </row>
    <row r="62" spans="1:25">
      <c r="A62" s="4"/>
      <c r="B62" s="4"/>
      <c r="C62" s="4"/>
      <c r="D62" s="4"/>
      <c r="E62" s="4"/>
      <c r="F62" s="4"/>
    </row>
    <row r="63" spans="1:25">
      <c r="A63" s="4"/>
      <c r="B63" s="4"/>
      <c r="C63" s="4"/>
      <c r="D63" s="4"/>
      <c r="E63" s="4"/>
      <c r="F63" s="4"/>
    </row>
    <row r="64" spans="1:25">
      <c r="A64" s="4"/>
      <c r="B64" s="4"/>
      <c r="C64" s="4"/>
      <c r="D64" s="4"/>
      <c r="E64" s="4"/>
      <c r="F64" s="4"/>
    </row>
    <row r="65" spans="1:6">
      <c r="A65" s="4"/>
      <c r="B65" s="4"/>
      <c r="C65" s="4"/>
      <c r="D65" s="4"/>
      <c r="E65" s="4"/>
      <c r="F65" s="4"/>
    </row>
    <row r="66" spans="1:6">
      <c r="A66" s="4"/>
      <c r="B66" s="4"/>
      <c r="C66" s="4"/>
      <c r="D66" s="4"/>
      <c r="E66" s="4"/>
      <c r="F66" s="4"/>
    </row>
    <row r="67" spans="1:6">
      <c r="A67" s="24"/>
      <c r="B67" s="24"/>
      <c r="C67" s="24"/>
      <c r="D67" s="24"/>
      <c r="E67" s="24"/>
      <c r="F67" s="2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24"/>
      <c r="B73" s="24"/>
      <c r="C73" s="24"/>
      <c r="D73" s="24"/>
      <c r="E73" s="24"/>
      <c r="F73" s="2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24"/>
      <c r="B79" s="24"/>
      <c r="C79" s="24"/>
      <c r="D79" s="24"/>
      <c r="E79" s="24"/>
      <c r="F79" s="2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24"/>
      <c r="B85" s="24"/>
      <c r="C85" s="24"/>
      <c r="D85" s="24"/>
      <c r="E85" s="24"/>
      <c r="F85" s="24"/>
    </row>
  </sheetData>
  <sheetProtection selectLockedCells="1" selectUnlockedCells="1"/>
  <mergeCells count="7">
    <mergeCell ref="B40:G40"/>
    <mergeCell ref="H40:M40"/>
    <mergeCell ref="N40:S40"/>
    <mergeCell ref="T40:Y40"/>
    <mergeCell ref="B1:D1"/>
    <mergeCell ref="E1:G1"/>
    <mergeCell ref="H1:J1"/>
  </mergeCells>
  <conditionalFormatting sqref="B42:Y57">
    <cfRule type="cellIs" dxfId="5" priority="1" stopIfTrue="1" operator="equal">
      <formula>"*"</formula>
    </cfRule>
    <cfRule type="cellIs" dxfId="4" priority="2" stopIfTrue="1" operator="equal">
      <formula>"n/a"</formula>
    </cfRule>
    <cfRule type="cellIs" dxfId="3" priority="67" stopIfTrue="1" operator="between">
      <formula>0.85</formula>
      <formula>1</formula>
    </cfRule>
    <cfRule type="cellIs" dxfId="2" priority="68" stopIfTrue="1" operator="between">
      <formula>0.75</formula>
      <formula>0.85</formula>
    </cfRule>
    <cfRule type="cellIs" dxfId="1" priority="69" stopIfTrue="1" operator="between">
      <formula>0.65</formula>
      <formula>0.75</formula>
    </cfRule>
    <cfRule type="cellIs" dxfId="0" priority="70" stopIfTrue="1" operator="lessThan">
      <formula>0.65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
  <sheetViews>
    <sheetView showGridLines="0" workbookViewId="0">
      <selection activeCell="A18" sqref="A18:XFD18"/>
    </sheetView>
  </sheetViews>
  <sheetFormatPr defaultRowHeight="15.5"/>
  <cols>
    <col min="2" max="2" width="69" customWidth="1"/>
    <col min="3" max="3" width="9.07421875" bestFit="1" customWidth="1"/>
  </cols>
  <sheetData>
    <row r="1" spans="1:5" ht="16" thickBot="1">
      <c r="A1" s="10"/>
      <c r="B1" s="11" t="s">
        <v>15</v>
      </c>
      <c r="C1" s="11" t="s">
        <v>32</v>
      </c>
    </row>
    <row r="2" spans="1:5">
      <c r="A2" s="7">
        <v>1</v>
      </c>
      <c r="B2" s="61" t="s">
        <v>76</v>
      </c>
      <c r="C2" s="9" t="s">
        <v>31</v>
      </c>
      <c r="E2" s="51"/>
    </row>
    <row r="3" spans="1:5">
      <c r="A3" s="7">
        <v>2</v>
      </c>
      <c r="B3" s="62" t="s">
        <v>103</v>
      </c>
      <c r="C3" s="9" t="s">
        <v>26</v>
      </c>
      <c r="E3" s="51"/>
    </row>
    <row r="4" spans="1:5">
      <c r="A4" s="7">
        <v>3</v>
      </c>
      <c r="B4" s="62" t="s">
        <v>104</v>
      </c>
      <c r="C4" s="9" t="s">
        <v>30</v>
      </c>
      <c r="E4" s="51"/>
    </row>
    <row r="5" spans="1:5">
      <c r="A5" s="7">
        <v>4</v>
      </c>
      <c r="B5" s="8" t="s">
        <v>105</v>
      </c>
      <c r="C5" s="9" t="s">
        <v>23</v>
      </c>
      <c r="E5" s="51"/>
    </row>
    <row r="6" spans="1:5">
      <c r="A6" s="7">
        <v>5</v>
      </c>
      <c r="B6" s="63" t="s">
        <v>106</v>
      </c>
      <c r="C6" s="9" t="s">
        <v>21</v>
      </c>
      <c r="E6" s="51"/>
    </row>
    <row r="7" spans="1:5">
      <c r="A7" s="7">
        <v>6</v>
      </c>
      <c r="B7" s="63" t="s">
        <v>102</v>
      </c>
      <c r="C7" s="9" t="s">
        <v>17</v>
      </c>
      <c r="E7" s="51"/>
    </row>
    <row r="8" spans="1:5">
      <c r="A8" s="7">
        <v>7</v>
      </c>
      <c r="B8" s="62" t="s">
        <v>107</v>
      </c>
      <c r="C8" s="9" t="s">
        <v>18</v>
      </c>
      <c r="E8" s="51"/>
    </row>
    <row r="9" spans="1:5">
      <c r="A9" s="7">
        <v>8</v>
      </c>
      <c r="B9" s="62" t="s">
        <v>108</v>
      </c>
      <c r="C9" s="9" t="s">
        <v>29</v>
      </c>
      <c r="E9" s="51"/>
    </row>
    <row r="10" spans="1:5">
      <c r="A10" s="7">
        <v>9</v>
      </c>
      <c r="B10" s="62" t="s">
        <v>109</v>
      </c>
      <c r="C10" s="9" t="s">
        <v>16</v>
      </c>
      <c r="E10" s="51"/>
    </row>
    <row r="11" spans="1:5">
      <c r="A11" s="7">
        <v>10</v>
      </c>
      <c r="B11" s="62" t="s">
        <v>110</v>
      </c>
      <c r="C11" s="9" t="s">
        <v>28</v>
      </c>
      <c r="E11" s="51"/>
    </row>
    <row r="12" spans="1:5">
      <c r="A12" s="7">
        <v>11</v>
      </c>
      <c r="B12" s="63" t="s">
        <v>111</v>
      </c>
      <c r="C12" s="9" t="s">
        <v>25</v>
      </c>
      <c r="E12" s="51"/>
    </row>
    <row r="13" spans="1:5">
      <c r="A13" s="7">
        <v>12</v>
      </c>
      <c r="B13" s="62" t="s">
        <v>112</v>
      </c>
      <c r="C13" s="9" t="s">
        <v>22</v>
      </c>
      <c r="E13" s="51"/>
    </row>
    <row r="14" spans="1:5">
      <c r="A14" s="7">
        <v>13</v>
      </c>
      <c r="B14" s="62" t="s">
        <v>113</v>
      </c>
      <c r="C14" s="9" t="s">
        <v>20</v>
      </c>
      <c r="E14" s="51"/>
    </row>
    <row r="15" spans="1:5">
      <c r="A15" s="7">
        <v>14</v>
      </c>
      <c r="B15" s="62" t="s">
        <v>114</v>
      </c>
      <c r="C15" s="9" t="s">
        <v>27</v>
      </c>
      <c r="E15" s="51"/>
    </row>
    <row r="16" spans="1:5">
      <c r="A16" s="7">
        <v>15</v>
      </c>
      <c r="B16" s="63" t="s">
        <v>115</v>
      </c>
      <c r="C16" s="9" t="s">
        <v>24</v>
      </c>
      <c r="E16" s="51"/>
    </row>
    <row r="17" spans="1:5">
      <c r="A17" s="7">
        <v>16</v>
      </c>
      <c r="B17" s="62" t="s">
        <v>116</v>
      </c>
      <c r="C17" s="9" t="s">
        <v>19</v>
      </c>
      <c r="E17" s="51"/>
    </row>
    <row r="18" spans="1:5" ht="16" thickBot="1"/>
    <row r="19" spans="1:5" ht="16" thickBot="1">
      <c r="A19" s="119">
        <v>1</v>
      </c>
    </row>
  </sheetData>
  <sheetProtection sheet="1" objects="1" scenarios="1" selectLockedCells="1" selectUnlockedCells="1"/>
  <sortState xmlns:xlrd2="http://schemas.microsoft.com/office/spreadsheetml/2017/richdata2" ref="E2:E17">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Deall y data</vt:lpstr>
      <vt:lpstr>Nodiadau esboniadol</vt:lpstr>
      <vt:lpstr>Dewiswch Bartneriaeth DOG</vt:lpstr>
      <vt:lpstr>ADD</vt:lpstr>
      <vt:lpstr>Data</vt:lpstr>
      <vt:lpstr>Providers</vt:lpstr>
      <vt:lpstr>ADD!Print_Area</vt:lpstr>
      <vt:lpstr>'Deall y data'!Print_Area</vt:lpstr>
      <vt:lpstr>'Nodiadau esboniadol'!Print_Area</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Cox, Jonathan (COOG - DDAT - KAS - Statistical Service</cp:lastModifiedBy>
  <cp:lastPrinted>2017-01-26T11:23:02Z</cp:lastPrinted>
  <dcterms:created xsi:type="dcterms:W3CDTF">2016-02-10T15:05:14Z</dcterms:created>
  <dcterms:modified xsi:type="dcterms:W3CDTF">2024-03-14T08:04:24Z</dcterms:modified>
</cp:coreProperties>
</file>