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queryTables/queryTable2.xml" ContentType="application/vnd.openxmlformats-officedocument.spreadsheetml.queryTable+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hidePivotFieldList="1"/>
  <mc:AlternateContent xmlns:mc="http://schemas.openxmlformats.org/markup-compatibility/2006">
    <mc:Choice Requires="x15">
      <x15ac:absPath xmlns:x15ac="http://schemas.microsoft.com/office/spreadsheetml/2010/11/ac" url="https://wales365uk-my.sharepoint.com/personal/megan_williams001_gov_wales/Documents/Profile/Documents/April 2024/"/>
    </mc:Choice>
  </mc:AlternateContent>
  <xr:revisionPtr revIDLastSave="0" documentId="8_{93F90A73-3E4D-48C2-9DA8-60BD48CDA192}" xr6:coauthVersionLast="47" xr6:coauthVersionMax="47" xr10:uidLastSave="{00000000-0000-0000-0000-000000000000}"/>
  <bookViews>
    <workbookView xWindow="-110" yWindow="-110" windowWidth="19420" windowHeight="10420" tabRatio="651" xr2:uid="{00000000-000D-0000-FFFF-FFFF00000000}"/>
  </bookViews>
  <sheets>
    <sheet name="FrontPage" sheetId="1" r:id="rId1"/>
    <sheet name="Page1" sheetId="2" r:id="rId2"/>
    <sheet name="Validations" sheetId="9" r:id="rId3"/>
    <sheet name="Comments" sheetId="11" r:id="rId4"/>
    <sheet name="Survey Response Burden" sheetId="12" r:id="rId5"/>
    <sheet name="Transfer" sheetId="3" state="hidden" r:id="rId6"/>
    <sheet name="CTC_LY_Data" sheetId="10" state="hidden" r:id="rId7"/>
    <sheet name="BRData" sheetId="6" state="hidden" r:id="rId8"/>
    <sheet name="Text" sheetId="13" state="hidden" r:id="rId9"/>
    <sheet name="Details" sheetId="4" state="hidden" r:id="rId10"/>
    <sheet name="ValData" sheetId="14" state="hidden" r:id="rId11"/>
  </sheets>
  <definedNames>
    <definedName name="_tab1">Transfer!$C$4:$H$26</definedName>
    <definedName name="Addresses">Details!$E$8:$R$48</definedName>
    <definedName name="Authority">Details!$A$36:$C$58</definedName>
    <definedName name="BRData">BRData!$A$4:$B$73</definedName>
    <definedName name="CTC_LY_Data">CTC_LY_Data!$A$4:$B$924</definedName>
    <definedName name="CTCData">Transfer!$A$4:$H$26</definedName>
    <definedName name="CTCP1">Page1!$C$12:$AA$35</definedName>
    <definedName name="CTCPrev">CTC_LY_Data!$F$4:$G$924</definedName>
    <definedName name="Page1">Page1!$C$12:$G$35</definedName>
    <definedName name="_xlnm.Print_Area" localSheetId="3">Comments!$B$2:$I$16</definedName>
    <definedName name="_xlnm.Print_Area" localSheetId="0">FrontPage!$B$2:$M$45</definedName>
    <definedName name="_xlnm.Print_Area" localSheetId="1">Page1!$B$2:$H$36</definedName>
    <definedName name="_xlnm.Print_Area" localSheetId="4">'Survey Response Burden'!$B$2:$J$20</definedName>
    <definedName name="_xlnm.Print_Area" localSheetId="2">Validations!$B$2:$Q$66</definedName>
    <definedName name="Query_from_Local_Government_Finance_1" localSheetId="7">BRData!$A$4:$B$73</definedName>
    <definedName name="Query_from_Local_Government_Finance_1" localSheetId="6">CTC_LY_Data!$A$4:$E$924</definedName>
    <definedName name="UAnumber">Details!$B$32</definedName>
    <definedName name="ValYOY">ValData!$A$3:$P$16</definedName>
    <definedName name="vtab">Transfer!$B$4:$H$26</definedName>
    <definedName name="Year">Details!$F$57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64" i="10" l="1"/>
  <c r="G864" i="10"/>
  <c r="F865" i="10"/>
  <c r="G865" i="10"/>
  <c r="F866" i="10"/>
  <c r="G866" i="10"/>
  <c r="F867" i="10"/>
  <c r="G867" i="10"/>
  <c r="F868" i="10"/>
  <c r="G868" i="10"/>
  <c r="F869" i="10"/>
  <c r="G869" i="10"/>
  <c r="F870" i="10"/>
  <c r="G870" i="10"/>
  <c r="F871" i="10"/>
  <c r="G871" i="10"/>
  <c r="F872" i="10"/>
  <c r="G872" i="10"/>
  <c r="F873" i="10"/>
  <c r="G873" i="10"/>
  <c r="F874" i="10"/>
  <c r="G874" i="10"/>
  <c r="F875" i="10"/>
  <c r="G875" i="10"/>
  <c r="F876" i="10"/>
  <c r="G876" i="10"/>
  <c r="F877" i="10"/>
  <c r="G877" i="10"/>
  <c r="F878" i="10"/>
  <c r="G878" i="10"/>
  <c r="F879" i="10"/>
  <c r="G879" i="10"/>
  <c r="F880" i="10"/>
  <c r="G880" i="10"/>
  <c r="F881" i="10"/>
  <c r="G881" i="10"/>
  <c r="F882" i="10"/>
  <c r="G882" i="10"/>
  <c r="F883" i="10"/>
  <c r="G883" i="10"/>
  <c r="F884" i="10"/>
  <c r="G884" i="10"/>
  <c r="F885" i="10"/>
  <c r="G885" i="10"/>
  <c r="F886" i="10"/>
  <c r="G886" i="10"/>
  <c r="F887" i="10"/>
  <c r="G887" i="10"/>
  <c r="F888" i="10"/>
  <c r="G888" i="10"/>
  <c r="F889" i="10"/>
  <c r="G889" i="10"/>
  <c r="F890" i="10"/>
  <c r="G890" i="10"/>
  <c r="F891" i="10"/>
  <c r="G891" i="10"/>
  <c r="F892" i="10"/>
  <c r="G892" i="10"/>
  <c r="F893" i="10"/>
  <c r="G893" i="10"/>
  <c r="F894" i="10"/>
  <c r="G894" i="10"/>
  <c r="F895" i="10"/>
  <c r="G895" i="10"/>
  <c r="F896" i="10"/>
  <c r="G896" i="10"/>
  <c r="F897" i="10"/>
  <c r="G897" i="10"/>
  <c r="F898" i="10"/>
  <c r="G898" i="10"/>
  <c r="F899" i="10"/>
  <c r="G899" i="10"/>
  <c r="F900" i="10"/>
  <c r="G900" i="10"/>
  <c r="F901" i="10"/>
  <c r="G901" i="10"/>
  <c r="F902" i="10"/>
  <c r="G902" i="10"/>
  <c r="F903" i="10"/>
  <c r="G903" i="10"/>
  <c r="F904" i="10"/>
  <c r="G904" i="10"/>
  <c r="F905" i="10"/>
  <c r="G905" i="10"/>
  <c r="F906" i="10"/>
  <c r="G906" i="10"/>
  <c r="F907" i="10"/>
  <c r="G907" i="10"/>
  <c r="F908" i="10"/>
  <c r="G908" i="10"/>
  <c r="F909" i="10"/>
  <c r="G909" i="10"/>
  <c r="F910" i="10"/>
  <c r="G910" i="10"/>
  <c r="F911" i="10"/>
  <c r="G911" i="10"/>
  <c r="F912" i="10"/>
  <c r="G912" i="10"/>
  <c r="F913" i="10"/>
  <c r="G913" i="10"/>
  <c r="F914" i="10"/>
  <c r="G914" i="10"/>
  <c r="F915" i="10"/>
  <c r="G915" i="10"/>
  <c r="F916" i="10"/>
  <c r="G916" i="10"/>
  <c r="F917" i="10"/>
  <c r="G917" i="10"/>
  <c r="F918" i="10"/>
  <c r="G918" i="10"/>
  <c r="F919" i="10"/>
  <c r="G919" i="10"/>
  <c r="F920" i="10"/>
  <c r="G920" i="10"/>
  <c r="F921" i="10"/>
  <c r="G921" i="10"/>
  <c r="F922" i="10"/>
  <c r="G922" i="10"/>
  <c r="F923" i="10"/>
  <c r="G923" i="10"/>
  <c r="F924" i="10"/>
  <c r="G924" i="10"/>
  <c r="F832" i="10"/>
  <c r="G832" i="10"/>
  <c r="F833" i="10"/>
  <c r="G833" i="10"/>
  <c r="F834" i="10"/>
  <c r="G834" i="10"/>
  <c r="F835" i="10"/>
  <c r="G835" i="10"/>
  <c r="F836" i="10"/>
  <c r="G836" i="10"/>
  <c r="F837" i="10"/>
  <c r="G837" i="10"/>
  <c r="F838" i="10"/>
  <c r="G838" i="10"/>
  <c r="F839" i="10"/>
  <c r="G839" i="10"/>
  <c r="F840" i="10"/>
  <c r="G840" i="10"/>
  <c r="F841" i="10"/>
  <c r="G841" i="10"/>
  <c r="F842" i="10"/>
  <c r="G842" i="10"/>
  <c r="F843" i="10"/>
  <c r="G843" i="10"/>
  <c r="F844" i="10"/>
  <c r="G844" i="10"/>
  <c r="F845" i="10"/>
  <c r="G845" i="10"/>
  <c r="F846" i="10"/>
  <c r="G846" i="10"/>
  <c r="F847" i="10"/>
  <c r="G847" i="10"/>
  <c r="F848" i="10"/>
  <c r="G848" i="10"/>
  <c r="F849" i="10"/>
  <c r="G849" i="10"/>
  <c r="F850" i="10"/>
  <c r="G850" i="10"/>
  <c r="F851" i="10"/>
  <c r="G851" i="10"/>
  <c r="F852" i="10"/>
  <c r="G852" i="10"/>
  <c r="F853" i="10"/>
  <c r="G853" i="10"/>
  <c r="F854" i="10"/>
  <c r="G854" i="10"/>
  <c r="F855" i="10"/>
  <c r="G855" i="10"/>
  <c r="F856" i="10"/>
  <c r="G856" i="10"/>
  <c r="F857" i="10"/>
  <c r="G857" i="10"/>
  <c r="F858" i="10"/>
  <c r="G858" i="10"/>
  <c r="F859" i="10"/>
  <c r="G859" i="10"/>
  <c r="F860" i="10"/>
  <c r="G860" i="10"/>
  <c r="F861" i="10"/>
  <c r="G861" i="10"/>
  <c r="F862" i="10"/>
  <c r="G862" i="10"/>
  <c r="F863" i="10"/>
  <c r="G863" i="10"/>
  <c r="C52" i="13" l="1"/>
  <c r="C26" i="2" s="1"/>
  <c r="C53" i="13"/>
  <c r="D27" i="2" s="1"/>
  <c r="C54" i="13"/>
  <c r="D28" i="2" s="1"/>
  <c r="C55" i="13"/>
  <c r="D29" i="2" s="1"/>
  <c r="C56" i="13"/>
  <c r="D30" i="2" s="1"/>
  <c r="B18" i="3"/>
  <c r="B19" i="3"/>
  <c r="B20" i="3"/>
  <c r="B21" i="3"/>
  <c r="F55" i="4"/>
  <c r="G55" i="4"/>
  <c r="G57" i="4"/>
  <c r="H57" i="4"/>
  <c r="C19" i="3" s="1"/>
  <c r="F58" i="4"/>
  <c r="H58" i="4"/>
  <c r="H59" i="4"/>
  <c r="B9" i="3"/>
  <c r="B10" i="3"/>
  <c r="B11" i="3"/>
  <c r="B12" i="3"/>
  <c r="B13" i="3"/>
  <c r="B14" i="3"/>
  <c r="B15" i="3"/>
  <c r="B16" i="3"/>
  <c r="B17" i="3"/>
  <c r="B22" i="3"/>
  <c r="B23" i="3"/>
  <c r="B24" i="3"/>
  <c r="B25" i="3"/>
  <c r="B26" i="3"/>
  <c r="B6" i="3"/>
  <c r="B7" i="3"/>
  <c r="B8" i="3"/>
  <c r="B5" i="3"/>
  <c r="C18" i="3" l="1"/>
  <c r="C21" i="3"/>
  <c r="C20" i="3"/>
  <c r="C34" i="13"/>
  <c r="C31" i="13" l="1"/>
  <c r="A6" i="14" l="1"/>
  <c r="A7" i="14"/>
  <c r="A8" i="14"/>
  <c r="A9" i="14"/>
  <c r="A10" i="14"/>
  <c r="A11" i="14"/>
  <c r="A12" i="14"/>
  <c r="A13" i="14"/>
  <c r="A14" i="14"/>
  <c r="A15" i="14"/>
  <c r="A16" i="14"/>
  <c r="A5" i="14"/>
  <c r="G1" i="3"/>
  <c r="B69" i="13" l="1"/>
  <c r="A69" i="13"/>
  <c r="G6" i="10" l="1"/>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60" i="10"/>
  <c r="G161" i="10"/>
  <c r="G162" i="10"/>
  <c r="G163" i="10"/>
  <c r="G164" i="10"/>
  <c r="G165" i="10"/>
  <c r="G166" i="10"/>
  <c r="G167" i="10"/>
  <c r="G168" i="10"/>
  <c r="G169" i="10"/>
  <c r="G170" i="10"/>
  <c r="G171" i="10"/>
  <c r="G172" i="10"/>
  <c r="G173" i="10"/>
  <c r="G174" i="10"/>
  <c r="G175" i="10"/>
  <c r="G176" i="10"/>
  <c r="G177" i="10"/>
  <c r="G178" i="10"/>
  <c r="G179" i="10"/>
  <c r="G180" i="10"/>
  <c r="G181" i="10"/>
  <c r="G182" i="10"/>
  <c r="G183" i="10"/>
  <c r="G184" i="10"/>
  <c r="G185" i="10"/>
  <c r="G186" i="10"/>
  <c r="G187" i="10"/>
  <c r="G188" i="10"/>
  <c r="G189" i="10"/>
  <c r="G190" i="10"/>
  <c r="G191" i="10"/>
  <c r="G192" i="10"/>
  <c r="G193" i="10"/>
  <c r="G194" i="10"/>
  <c r="G195" i="10"/>
  <c r="G196" i="10"/>
  <c r="G197" i="10"/>
  <c r="G198" i="10"/>
  <c r="G199" i="10"/>
  <c r="G200" i="10"/>
  <c r="G201" i="10"/>
  <c r="G202" i="10"/>
  <c r="G203" i="10"/>
  <c r="G204" i="10"/>
  <c r="G205" i="10"/>
  <c r="G206" i="10"/>
  <c r="G207" i="10"/>
  <c r="G208" i="10"/>
  <c r="G209" i="10"/>
  <c r="G210" i="10"/>
  <c r="G211" i="10"/>
  <c r="G212" i="10"/>
  <c r="G213" i="10"/>
  <c r="G214" i="10"/>
  <c r="G215" i="10"/>
  <c r="G216" i="10"/>
  <c r="G217" i="10"/>
  <c r="G218" i="10"/>
  <c r="G219" i="10"/>
  <c r="G220" i="10"/>
  <c r="G221" i="10"/>
  <c r="G222" i="10"/>
  <c r="G223" i="10"/>
  <c r="G224" i="10"/>
  <c r="G225" i="10"/>
  <c r="G226" i="10"/>
  <c r="G227" i="10"/>
  <c r="G228" i="10"/>
  <c r="G229" i="10"/>
  <c r="G230" i="10"/>
  <c r="G231" i="10"/>
  <c r="G232" i="10"/>
  <c r="G233" i="10"/>
  <c r="G234" i="10"/>
  <c r="G235" i="10"/>
  <c r="G236" i="10"/>
  <c r="G237" i="10"/>
  <c r="G238" i="10"/>
  <c r="G239" i="10"/>
  <c r="G240" i="10"/>
  <c r="G241" i="10"/>
  <c r="G242" i="10"/>
  <c r="G243" i="10"/>
  <c r="G244" i="10"/>
  <c r="G245" i="10"/>
  <c r="G246" i="10"/>
  <c r="G247" i="10"/>
  <c r="G248" i="10"/>
  <c r="G249" i="10"/>
  <c r="G250" i="10"/>
  <c r="G251" i="10"/>
  <c r="G252" i="10"/>
  <c r="G253" i="10"/>
  <c r="G254" i="10"/>
  <c r="G255" i="10"/>
  <c r="G256" i="10"/>
  <c r="G257" i="10"/>
  <c r="G258" i="10"/>
  <c r="G259" i="10"/>
  <c r="G260" i="10"/>
  <c r="G261" i="10"/>
  <c r="G262" i="10"/>
  <c r="G263" i="10"/>
  <c r="G264" i="10"/>
  <c r="G265" i="10"/>
  <c r="G266" i="10"/>
  <c r="G267" i="10"/>
  <c r="G268" i="10"/>
  <c r="G269" i="10"/>
  <c r="G270" i="10"/>
  <c r="G271" i="10"/>
  <c r="G272" i="10"/>
  <c r="G273" i="10"/>
  <c r="G274" i="10"/>
  <c r="G275" i="10"/>
  <c r="G276" i="10"/>
  <c r="G277" i="10"/>
  <c r="G278" i="10"/>
  <c r="G279" i="10"/>
  <c r="G280" i="10"/>
  <c r="G281" i="10"/>
  <c r="G282" i="10"/>
  <c r="G283" i="10"/>
  <c r="G284" i="10"/>
  <c r="G285" i="10"/>
  <c r="G286" i="10"/>
  <c r="G287" i="10"/>
  <c r="G288" i="10"/>
  <c r="G289" i="10"/>
  <c r="G290" i="10"/>
  <c r="G291" i="10"/>
  <c r="G292" i="10"/>
  <c r="G293" i="10"/>
  <c r="G294" i="10"/>
  <c r="G295" i="10"/>
  <c r="G296" i="10"/>
  <c r="G297" i="10"/>
  <c r="G298" i="10"/>
  <c r="G299" i="10"/>
  <c r="G300" i="10"/>
  <c r="G301" i="10"/>
  <c r="G302" i="10"/>
  <c r="G303" i="10"/>
  <c r="G304" i="10"/>
  <c r="G305" i="10"/>
  <c r="G306" i="10"/>
  <c r="G307" i="10"/>
  <c r="G308" i="10"/>
  <c r="G309" i="10"/>
  <c r="G310" i="10"/>
  <c r="G311" i="10"/>
  <c r="G312" i="10"/>
  <c r="G313" i="10"/>
  <c r="G314" i="10"/>
  <c r="G315" i="10"/>
  <c r="G316" i="10"/>
  <c r="G317" i="10"/>
  <c r="G318" i="10"/>
  <c r="G319" i="10"/>
  <c r="G320" i="10"/>
  <c r="G321" i="10"/>
  <c r="G322" i="10"/>
  <c r="G323" i="10"/>
  <c r="G324" i="10"/>
  <c r="G325" i="10"/>
  <c r="G326" i="10"/>
  <c r="G327" i="10"/>
  <c r="G328" i="10"/>
  <c r="G329" i="10"/>
  <c r="G330" i="10"/>
  <c r="G331" i="10"/>
  <c r="G332" i="10"/>
  <c r="G333" i="10"/>
  <c r="G334" i="10"/>
  <c r="G335" i="10"/>
  <c r="G336" i="10"/>
  <c r="G337" i="10"/>
  <c r="G338" i="10"/>
  <c r="G339" i="10"/>
  <c r="G340" i="10"/>
  <c r="G341" i="10"/>
  <c r="G342" i="10"/>
  <c r="G343" i="10"/>
  <c r="G344" i="10"/>
  <c r="G345" i="10"/>
  <c r="G346" i="10"/>
  <c r="G347" i="10"/>
  <c r="G348" i="10"/>
  <c r="G349" i="10"/>
  <c r="G350" i="10"/>
  <c r="G351" i="10"/>
  <c r="G352" i="10"/>
  <c r="G353" i="10"/>
  <c r="G354" i="10"/>
  <c r="G355" i="10"/>
  <c r="G356" i="10"/>
  <c r="G357" i="10"/>
  <c r="G358" i="10"/>
  <c r="G359" i="10"/>
  <c r="G360" i="10"/>
  <c r="G361" i="10"/>
  <c r="G362" i="10"/>
  <c r="G363" i="10"/>
  <c r="G364" i="10"/>
  <c r="G365" i="10"/>
  <c r="G366" i="10"/>
  <c r="G367" i="10"/>
  <c r="G368" i="10"/>
  <c r="G369" i="10"/>
  <c r="G370" i="10"/>
  <c r="G371" i="10"/>
  <c r="G372" i="10"/>
  <c r="G373" i="10"/>
  <c r="G374" i="10"/>
  <c r="G375" i="10"/>
  <c r="G376" i="10"/>
  <c r="G377" i="10"/>
  <c r="G378" i="10"/>
  <c r="G379" i="10"/>
  <c r="G380" i="10"/>
  <c r="G381" i="10"/>
  <c r="G382" i="10"/>
  <c r="G383" i="10"/>
  <c r="G384" i="10"/>
  <c r="G385" i="10"/>
  <c r="G386" i="10"/>
  <c r="G387" i="10"/>
  <c r="G388" i="10"/>
  <c r="G389" i="10"/>
  <c r="G390" i="10"/>
  <c r="G391" i="10"/>
  <c r="G392" i="10"/>
  <c r="G393" i="10"/>
  <c r="G394" i="10"/>
  <c r="G395" i="10"/>
  <c r="G396" i="10"/>
  <c r="G397" i="10"/>
  <c r="G398" i="10"/>
  <c r="G399" i="10"/>
  <c r="G400" i="10"/>
  <c r="G401" i="10"/>
  <c r="G402" i="10"/>
  <c r="G403" i="10"/>
  <c r="G404" i="10"/>
  <c r="G405" i="10"/>
  <c r="G406" i="10"/>
  <c r="G407" i="10"/>
  <c r="G408" i="10"/>
  <c r="G409" i="10"/>
  <c r="G410" i="10"/>
  <c r="G411" i="10"/>
  <c r="G412" i="10"/>
  <c r="G413" i="10"/>
  <c r="G414" i="10"/>
  <c r="G415" i="10"/>
  <c r="G416" i="10"/>
  <c r="G417" i="10"/>
  <c r="G418" i="10"/>
  <c r="G419" i="10"/>
  <c r="G420" i="10"/>
  <c r="G421" i="10"/>
  <c r="G422" i="10"/>
  <c r="G423" i="10"/>
  <c r="G424" i="10"/>
  <c r="G425" i="10"/>
  <c r="G426" i="10"/>
  <c r="G427" i="10"/>
  <c r="G428" i="10"/>
  <c r="G429" i="10"/>
  <c r="G430" i="10"/>
  <c r="G431" i="10"/>
  <c r="G432" i="10"/>
  <c r="G433" i="10"/>
  <c r="G434" i="10"/>
  <c r="G435" i="10"/>
  <c r="G436" i="10"/>
  <c r="G437" i="10"/>
  <c r="G438" i="10"/>
  <c r="G439" i="10"/>
  <c r="G440" i="10"/>
  <c r="G441" i="10"/>
  <c r="G442" i="10"/>
  <c r="G443" i="10"/>
  <c r="G444" i="10"/>
  <c r="G445" i="10"/>
  <c r="G446" i="10"/>
  <c r="G447" i="10"/>
  <c r="G448" i="10"/>
  <c r="G449" i="10"/>
  <c r="G450" i="10"/>
  <c r="G451" i="10"/>
  <c r="G452" i="10"/>
  <c r="G453" i="10"/>
  <c r="G454" i="10"/>
  <c r="G455" i="10"/>
  <c r="G456" i="10"/>
  <c r="G457" i="10"/>
  <c r="G458" i="10"/>
  <c r="G459" i="10"/>
  <c r="G460" i="10"/>
  <c r="G461" i="10"/>
  <c r="G462" i="10"/>
  <c r="G463" i="10"/>
  <c r="G464" i="10"/>
  <c r="G465" i="10"/>
  <c r="G466" i="10"/>
  <c r="G467" i="10"/>
  <c r="G468" i="10"/>
  <c r="G469" i="10"/>
  <c r="G470" i="10"/>
  <c r="G471" i="10"/>
  <c r="G472" i="10"/>
  <c r="G473" i="10"/>
  <c r="G474" i="10"/>
  <c r="G475" i="10"/>
  <c r="G476" i="10"/>
  <c r="G477" i="10"/>
  <c r="G478" i="10"/>
  <c r="G479" i="10"/>
  <c r="G480" i="10"/>
  <c r="G481" i="10"/>
  <c r="G482" i="10"/>
  <c r="G483" i="10"/>
  <c r="G484" i="10"/>
  <c r="G485" i="10"/>
  <c r="G486" i="10"/>
  <c r="G487" i="10"/>
  <c r="G488" i="10"/>
  <c r="G489" i="10"/>
  <c r="G490" i="10"/>
  <c r="G491" i="10"/>
  <c r="G492" i="10"/>
  <c r="G493" i="10"/>
  <c r="G494" i="10"/>
  <c r="G495" i="10"/>
  <c r="G496" i="10"/>
  <c r="G497" i="10"/>
  <c r="G498" i="10"/>
  <c r="G499" i="10"/>
  <c r="G500" i="10"/>
  <c r="G501" i="10"/>
  <c r="G502" i="10"/>
  <c r="G503" i="10"/>
  <c r="G504" i="10"/>
  <c r="G505" i="10"/>
  <c r="G506" i="10"/>
  <c r="G507" i="10"/>
  <c r="G508" i="10"/>
  <c r="G509" i="10"/>
  <c r="G510" i="10"/>
  <c r="G511" i="10"/>
  <c r="G512" i="10"/>
  <c r="G513" i="10"/>
  <c r="G514" i="10"/>
  <c r="G515" i="10"/>
  <c r="G516" i="10"/>
  <c r="G517" i="10"/>
  <c r="G518" i="10"/>
  <c r="G519" i="10"/>
  <c r="G520" i="10"/>
  <c r="G521" i="10"/>
  <c r="G522" i="10"/>
  <c r="G523" i="10"/>
  <c r="G524" i="10"/>
  <c r="G525" i="10"/>
  <c r="G526" i="10"/>
  <c r="G527" i="10"/>
  <c r="G528" i="10"/>
  <c r="G529" i="10"/>
  <c r="G530" i="10"/>
  <c r="G531" i="10"/>
  <c r="G532" i="10"/>
  <c r="G533" i="10"/>
  <c r="G534" i="10"/>
  <c r="G535" i="10"/>
  <c r="G536" i="10"/>
  <c r="G537" i="10"/>
  <c r="G538" i="10"/>
  <c r="G539" i="10"/>
  <c r="G540" i="10"/>
  <c r="G541" i="10"/>
  <c r="G542" i="10"/>
  <c r="G543" i="10"/>
  <c r="G544" i="10"/>
  <c r="G545" i="10"/>
  <c r="G546" i="10"/>
  <c r="G547" i="10"/>
  <c r="G548" i="10"/>
  <c r="G549" i="10"/>
  <c r="G550" i="10"/>
  <c r="G551" i="10"/>
  <c r="G552" i="10"/>
  <c r="G553" i="10"/>
  <c r="G554" i="10"/>
  <c r="G555" i="10"/>
  <c r="G556" i="10"/>
  <c r="G557" i="10"/>
  <c r="G558" i="10"/>
  <c r="G559" i="10"/>
  <c r="G560" i="10"/>
  <c r="G561" i="10"/>
  <c r="G562" i="10"/>
  <c r="G563" i="10"/>
  <c r="G564" i="10"/>
  <c r="G565" i="10"/>
  <c r="G566" i="10"/>
  <c r="G567" i="10"/>
  <c r="G568" i="10"/>
  <c r="G569" i="10"/>
  <c r="G570" i="10"/>
  <c r="G571" i="10"/>
  <c r="G572" i="10"/>
  <c r="G573" i="10"/>
  <c r="G574" i="10"/>
  <c r="G575" i="10"/>
  <c r="G576" i="10"/>
  <c r="G577" i="10"/>
  <c r="G578" i="10"/>
  <c r="G579" i="10"/>
  <c r="G580" i="10"/>
  <c r="G581" i="10"/>
  <c r="G582" i="10"/>
  <c r="G583" i="10"/>
  <c r="G584" i="10"/>
  <c r="G585" i="10"/>
  <c r="G586" i="10"/>
  <c r="G587" i="10"/>
  <c r="G588" i="10"/>
  <c r="G589" i="10"/>
  <c r="G590" i="10"/>
  <c r="G591" i="10"/>
  <c r="G592" i="10"/>
  <c r="G593" i="10"/>
  <c r="G594" i="10"/>
  <c r="G595" i="10"/>
  <c r="G596" i="10"/>
  <c r="G597" i="10"/>
  <c r="G598" i="10"/>
  <c r="G599" i="10"/>
  <c r="G600" i="10"/>
  <c r="G601" i="10"/>
  <c r="G602" i="10"/>
  <c r="G603" i="10"/>
  <c r="G604" i="10"/>
  <c r="G605" i="10"/>
  <c r="G606" i="10"/>
  <c r="G607" i="10"/>
  <c r="G608" i="10"/>
  <c r="G609" i="10"/>
  <c r="G610" i="10"/>
  <c r="G611" i="10"/>
  <c r="G612" i="10"/>
  <c r="G613" i="10"/>
  <c r="G614" i="10"/>
  <c r="G615" i="10"/>
  <c r="G616" i="10"/>
  <c r="G617" i="10"/>
  <c r="G618" i="10"/>
  <c r="G619" i="10"/>
  <c r="G620" i="10"/>
  <c r="G621" i="10"/>
  <c r="G622" i="10"/>
  <c r="G623" i="10"/>
  <c r="G624" i="10"/>
  <c r="G625" i="10"/>
  <c r="G626" i="10"/>
  <c r="G627" i="10"/>
  <c r="G628" i="10"/>
  <c r="G629" i="10"/>
  <c r="G630" i="10"/>
  <c r="G631" i="10"/>
  <c r="G632" i="10"/>
  <c r="G633" i="10"/>
  <c r="G634" i="10"/>
  <c r="G635" i="10"/>
  <c r="G636" i="10"/>
  <c r="G637" i="10"/>
  <c r="G638" i="10"/>
  <c r="G639" i="10"/>
  <c r="G640" i="10"/>
  <c r="G641" i="10"/>
  <c r="G642" i="10"/>
  <c r="G643" i="10"/>
  <c r="G644" i="10"/>
  <c r="G645" i="10"/>
  <c r="G646" i="10"/>
  <c r="G647" i="10"/>
  <c r="G648" i="10"/>
  <c r="G649" i="10"/>
  <c r="G650" i="10"/>
  <c r="G651" i="10"/>
  <c r="G652" i="10"/>
  <c r="G653" i="10"/>
  <c r="G654" i="10"/>
  <c r="G655" i="10"/>
  <c r="G656" i="10"/>
  <c r="G657" i="10"/>
  <c r="G658" i="10"/>
  <c r="G659" i="10"/>
  <c r="G660" i="10"/>
  <c r="G661" i="10"/>
  <c r="G662" i="10"/>
  <c r="G663" i="10"/>
  <c r="G664" i="10"/>
  <c r="G665" i="10"/>
  <c r="G666" i="10"/>
  <c r="G667" i="10"/>
  <c r="G668" i="10"/>
  <c r="G669" i="10"/>
  <c r="G670" i="10"/>
  <c r="G671" i="10"/>
  <c r="G672" i="10"/>
  <c r="G673" i="10"/>
  <c r="G674" i="10"/>
  <c r="G675" i="10"/>
  <c r="G676" i="10"/>
  <c r="G677" i="10"/>
  <c r="G678" i="10"/>
  <c r="G679" i="10"/>
  <c r="G680" i="10"/>
  <c r="G681" i="10"/>
  <c r="G682" i="10"/>
  <c r="G683" i="10"/>
  <c r="G684" i="10"/>
  <c r="G685" i="10"/>
  <c r="G686" i="10"/>
  <c r="G687" i="10"/>
  <c r="G688" i="10"/>
  <c r="G689" i="10"/>
  <c r="G690" i="10"/>
  <c r="G691" i="10"/>
  <c r="G692" i="10"/>
  <c r="G693" i="10"/>
  <c r="G694" i="10"/>
  <c r="G695" i="10"/>
  <c r="G696" i="10"/>
  <c r="G697" i="10"/>
  <c r="G698" i="10"/>
  <c r="G699" i="10"/>
  <c r="G700" i="10"/>
  <c r="G701" i="10"/>
  <c r="G702" i="10"/>
  <c r="G703" i="10"/>
  <c r="G704" i="10"/>
  <c r="G705" i="10"/>
  <c r="G706" i="10"/>
  <c r="G707" i="10"/>
  <c r="G708" i="10"/>
  <c r="G709" i="10"/>
  <c r="G710" i="10"/>
  <c r="G711" i="10"/>
  <c r="G712" i="10"/>
  <c r="G713" i="10"/>
  <c r="G714" i="10"/>
  <c r="G715" i="10"/>
  <c r="G716" i="10"/>
  <c r="G717" i="10"/>
  <c r="G718" i="10"/>
  <c r="G719" i="10"/>
  <c r="G720" i="10"/>
  <c r="G721" i="10"/>
  <c r="G722" i="10"/>
  <c r="G723" i="10"/>
  <c r="G724" i="10"/>
  <c r="G725" i="10"/>
  <c r="G726" i="10"/>
  <c r="G727" i="10"/>
  <c r="G728" i="10"/>
  <c r="G729" i="10"/>
  <c r="G730" i="10"/>
  <c r="G731" i="10"/>
  <c r="G732" i="10"/>
  <c r="G733" i="10"/>
  <c r="G734" i="10"/>
  <c r="G735" i="10"/>
  <c r="G736" i="10"/>
  <c r="G737" i="10"/>
  <c r="G738" i="10"/>
  <c r="G739" i="10"/>
  <c r="G740" i="10"/>
  <c r="G741" i="10"/>
  <c r="G742" i="10"/>
  <c r="G743" i="10"/>
  <c r="G744" i="10"/>
  <c r="G745" i="10"/>
  <c r="G746" i="10"/>
  <c r="G747" i="10"/>
  <c r="G748" i="10"/>
  <c r="G749" i="10"/>
  <c r="G750" i="10"/>
  <c r="G751" i="10"/>
  <c r="G752" i="10"/>
  <c r="G753" i="10"/>
  <c r="G754" i="10"/>
  <c r="G755" i="10"/>
  <c r="G756" i="10"/>
  <c r="G757" i="10"/>
  <c r="G758" i="10"/>
  <c r="G759" i="10"/>
  <c r="G760" i="10"/>
  <c r="G761" i="10"/>
  <c r="G762" i="10"/>
  <c r="G763" i="10"/>
  <c r="G764" i="10"/>
  <c r="G765" i="10"/>
  <c r="G766" i="10"/>
  <c r="G767" i="10"/>
  <c r="G768" i="10"/>
  <c r="G769" i="10"/>
  <c r="G770" i="10"/>
  <c r="G771" i="10"/>
  <c r="G772" i="10"/>
  <c r="G773" i="10"/>
  <c r="G774" i="10"/>
  <c r="G775" i="10"/>
  <c r="G776" i="10"/>
  <c r="G777" i="10"/>
  <c r="G778" i="10"/>
  <c r="G779" i="10"/>
  <c r="G780" i="10"/>
  <c r="G781" i="10"/>
  <c r="G782" i="10"/>
  <c r="G783" i="10"/>
  <c r="G784" i="10"/>
  <c r="G785" i="10"/>
  <c r="G786" i="10"/>
  <c r="G787" i="10"/>
  <c r="G788" i="10"/>
  <c r="G789" i="10"/>
  <c r="G790" i="10"/>
  <c r="G791" i="10"/>
  <c r="G792" i="10"/>
  <c r="G793" i="10"/>
  <c r="G794" i="10"/>
  <c r="G795" i="10"/>
  <c r="G796" i="10"/>
  <c r="G797" i="10"/>
  <c r="G798" i="10"/>
  <c r="G799" i="10"/>
  <c r="G800" i="10"/>
  <c r="G801" i="10"/>
  <c r="G802" i="10"/>
  <c r="G803" i="10"/>
  <c r="G804" i="10"/>
  <c r="G805" i="10"/>
  <c r="G806" i="10"/>
  <c r="G807" i="10"/>
  <c r="G808" i="10"/>
  <c r="G809" i="10"/>
  <c r="G810" i="10"/>
  <c r="G811" i="10"/>
  <c r="G812" i="10"/>
  <c r="G813" i="10"/>
  <c r="G814" i="10"/>
  <c r="G815" i="10"/>
  <c r="G816" i="10"/>
  <c r="G817" i="10"/>
  <c r="G818" i="10"/>
  <c r="G819" i="10"/>
  <c r="G820" i="10"/>
  <c r="G821" i="10"/>
  <c r="G822" i="10"/>
  <c r="G823" i="10"/>
  <c r="G824" i="10"/>
  <c r="G825" i="10"/>
  <c r="G826" i="10"/>
  <c r="G827" i="10"/>
  <c r="G828" i="10"/>
  <c r="G829" i="10"/>
  <c r="G830" i="10"/>
  <c r="G831"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F307" i="10"/>
  <c r="F308" i="10"/>
  <c r="F309" i="10"/>
  <c r="F310" i="10"/>
  <c r="F311" i="10"/>
  <c r="F312" i="10"/>
  <c r="F313" i="10"/>
  <c r="F314" i="10"/>
  <c r="F315" i="10"/>
  <c r="F316" i="10"/>
  <c r="F317" i="10"/>
  <c r="F318" i="10"/>
  <c r="F319" i="10"/>
  <c r="F320" i="10"/>
  <c r="F321" i="10"/>
  <c r="F322" i="10"/>
  <c r="F323" i="10"/>
  <c r="F324" i="10"/>
  <c r="F325" i="10"/>
  <c r="F326" i="10"/>
  <c r="F327" i="10"/>
  <c r="F328" i="10"/>
  <c r="F329" i="10"/>
  <c r="F330" i="10"/>
  <c r="F331" i="10"/>
  <c r="F332" i="10"/>
  <c r="F333" i="10"/>
  <c r="F334" i="10"/>
  <c r="F335" i="10"/>
  <c r="F336" i="10"/>
  <c r="F337" i="10"/>
  <c r="F338" i="10"/>
  <c r="F339" i="10"/>
  <c r="F340" i="10"/>
  <c r="F341" i="10"/>
  <c r="F342" i="10"/>
  <c r="F343" i="10"/>
  <c r="F344" i="10"/>
  <c r="F345" i="10"/>
  <c r="F346" i="10"/>
  <c r="F347" i="10"/>
  <c r="F348" i="10"/>
  <c r="F349" i="10"/>
  <c r="F350" i="10"/>
  <c r="F351" i="10"/>
  <c r="F352" i="10"/>
  <c r="F353" i="10"/>
  <c r="F354" i="10"/>
  <c r="F355" i="10"/>
  <c r="F356" i="10"/>
  <c r="F357" i="10"/>
  <c r="F358" i="10"/>
  <c r="F359" i="10"/>
  <c r="F360" i="10"/>
  <c r="F361" i="10"/>
  <c r="F362" i="10"/>
  <c r="F363" i="10"/>
  <c r="F364" i="10"/>
  <c r="F365" i="10"/>
  <c r="F366" i="10"/>
  <c r="F367" i="10"/>
  <c r="F368" i="10"/>
  <c r="F369" i="10"/>
  <c r="F370" i="10"/>
  <c r="F371" i="10"/>
  <c r="F372" i="10"/>
  <c r="F373" i="10"/>
  <c r="F374" i="10"/>
  <c r="F375" i="10"/>
  <c r="F376" i="10"/>
  <c r="F377" i="10"/>
  <c r="F378" i="10"/>
  <c r="F379" i="10"/>
  <c r="F380" i="10"/>
  <c r="F381" i="10"/>
  <c r="F382" i="10"/>
  <c r="F383" i="10"/>
  <c r="F384" i="10"/>
  <c r="F385" i="10"/>
  <c r="F386" i="10"/>
  <c r="F387" i="10"/>
  <c r="F388" i="10"/>
  <c r="F389" i="10"/>
  <c r="F390" i="10"/>
  <c r="F391" i="10"/>
  <c r="F392" i="10"/>
  <c r="F393" i="10"/>
  <c r="F394" i="10"/>
  <c r="F395" i="10"/>
  <c r="F396" i="10"/>
  <c r="F397" i="10"/>
  <c r="F398" i="10"/>
  <c r="F399" i="10"/>
  <c r="F400" i="10"/>
  <c r="F401" i="10"/>
  <c r="F402" i="10"/>
  <c r="F403" i="10"/>
  <c r="F404" i="10"/>
  <c r="F405" i="10"/>
  <c r="F406" i="10"/>
  <c r="F407" i="10"/>
  <c r="F408" i="10"/>
  <c r="F409" i="10"/>
  <c r="F410" i="10"/>
  <c r="F411" i="10"/>
  <c r="F412" i="10"/>
  <c r="F413" i="10"/>
  <c r="F414" i="10"/>
  <c r="F415" i="10"/>
  <c r="F416" i="10"/>
  <c r="F417" i="10"/>
  <c r="F418" i="10"/>
  <c r="F419" i="10"/>
  <c r="F420" i="10"/>
  <c r="F421" i="10"/>
  <c r="F422" i="10"/>
  <c r="F423" i="10"/>
  <c r="F424" i="10"/>
  <c r="F425" i="10"/>
  <c r="F426" i="10"/>
  <c r="F427" i="10"/>
  <c r="F428" i="10"/>
  <c r="F429" i="10"/>
  <c r="F430" i="10"/>
  <c r="F431" i="10"/>
  <c r="F432" i="10"/>
  <c r="F433" i="10"/>
  <c r="F434" i="10"/>
  <c r="F435" i="10"/>
  <c r="F436" i="10"/>
  <c r="F437" i="10"/>
  <c r="F438" i="10"/>
  <c r="F439" i="10"/>
  <c r="F440" i="10"/>
  <c r="F441" i="10"/>
  <c r="F442" i="10"/>
  <c r="F443" i="10"/>
  <c r="F444" i="10"/>
  <c r="F445" i="10"/>
  <c r="F446" i="10"/>
  <c r="F447" i="10"/>
  <c r="F448" i="10"/>
  <c r="F449" i="10"/>
  <c r="F450" i="10"/>
  <c r="F451" i="10"/>
  <c r="F452" i="10"/>
  <c r="F453" i="10"/>
  <c r="F454" i="10"/>
  <c r="F455" i="10"/>
  <c r="F456" i="10"/>
  <c r="F457" i="10"/>
  <c r="F458" i="10"/>
  <c r="F459" i="10"/>
  <c r="F460" i="10"/>
  <c r="F461" i="10"/>
  <c r="F462" i="10"/>
  <c r="F463" i="10"/>
  <c r="F464" i="10"/>
  <c r="F465" i="10"/>
  <c r="F466" i="10"/>
  <c r="F467" i="10"/>
  <c r="F468" i="10"/>
  <c r="F469" i="10"/>
  <c r="F470" i="10"/>
  <c r="F471" i="10"/>
  <c r="F472" i="10"/>
  <c r="F473" i="10"/>
  <c r="F474" i="10"/>
  <c r="F475" i="10"/>
  <c r="F476" i="10"/>
  <c r="F477" i="10"/>
  <c r="F478" i="10"/>
  <c r="F479" i="10"/>
  <c r="F480" i="10"/>
  <c r="F481" i="10"/>
  <c r="F482" i="10"/>
  <c r="F483" i="10"/>
  <c r="F484" i="10"/>
  <c r="F485" i="10"/>
  <c r="F486" i="10"/>
  <c r="F487" i="10"/>
  <c r="F488" i="10"/>
  <c r="F489" i="10"/>
  <c r="F490" i="10"/>
  <c r="F491" i="10"/>
  <c r="F492" i="10"/>
  <c r="F493" i="10"/>
  <c r="F494" i="10"/>
  <c r="F495" i="10"/>
  <c r="F496" i="10"/>
  <c r="F497" i="10"/>
  <c r="F498" i="10"/>
  <c r="F499" i="10"/>
  <c r="F500" i="10"/>
  <c r="F501" i="10"/>
  <c r="F502" i="10"/>
  <c r="F503" i="10"/>
  <c r="F504" i="10"/>
  <c r="F505" i="10"/>
  <c r="F506" i="10"/>
  <c r="F507" i="10"/>
  <c r="F508" i="10"/>
  <c r="F509" i="10"/>
  <c r="F510" i="10"/>
  <c r="F511" i="10"/>
  <c r="F512" i="10"/>
  <c r="F513" i="10"/>
  <c r="F514" i="10"/>
  <c r="F515" i="10"/>
  <c r="F516" i="10"/>
  <c r="F517" i="10"/>
  <c r="F518" i="10"/>
  <c r="F519" i="10"/>
  <c r="F520" i="10"/>
  <c r="F521" i="10"/>
  <c r="F522" i="10"/>
  <c r="F523" i="10"/>
  <c r="F524" i="10"/>
  <c r="F525" i="10"/>
  <c r="F526" i="10"/>
  <c r="F527" i="10"/>
  <c r="F528" i="10"/>
  <c r="F529" i="10"/>
  <c r="F530" i="10"/>
  <c r="F531" i="10"/>
  <c r="F532" i="10"/>
  <c r="F533" i="10"/>
  <c r="F534" i="10"/>
  <c r="F535" i="10"/>
  <c r="F536" i="10"/>
  <c r="F537" i="10"/>
  <c r="F538" i="10"/>
  <c r="F539" i="10"/>
  <c r="F540" i="10"/>
  <c r="F541" i="10"/>
  <c r="F542" i="10"/>
  <c r="F543" i="10"/>
  <c r="F544" i="10"/>
  <c r="F545" i="10"/>
  <c r="F546" i="10"/>
  <c r="F547" i="10"/>
  <c r="F548" i="10"/>
  <c r="F549" i="10"/>
  <c r="F550" i="10"/>
  <c r="F551" i="10"/>
  <c r="F552" i="10"/>
  <c r="F553" i="10"/>
  <c r="F554" i="10"/>
  <c r="F555" i="10"/>
  <c r="F556" i="10"/>
  <c r="F557" i="10"/>
  <c r="F558" i="10"/>
  <c r="F559" i="10"/>
  <c r="F560" i="10"/>
  <c r="F561" i="10"/>
  <c r="F562" i="10"/>
  <c r="F563" i="10"/>
  <c r="F564" i="10"/>
  <c r="F565" i="10"/>
  <c r="F566" i="10"/>
  <c r="F567" i="10"/>
  <c r="F568" i="10"/>
  <c r="F569" i="10"/>
  <c r="F570" i="10"/>
  <c r="F571" i="10"/>
  <c r="F572" i="10"/>
  <c r="F573" i="10"/>
  <c r="F574" i="10"/>
  <c r="F575" i="10"/>
  <c r="F576" i="10"/>
  <c r="F577" i="10"/>
  <c r="F578" i="10"/>
  <c r="F579" i="10"/>
  <c r="F580" i="10"/>
  <c r="F581" i="10"/>
  <c r="F582" i="10"/>
  <c r="F583" i="10"/>
  <c r="F584" i="10"/>
  <c r="F585" i="10"/>
  <c r="F586" i="10"/>
  <c r="F587" i="10"/>
  <c r="F588" i="10"/>
  <c r="F589" i="10"/>
  <c r="F590" i="10"/>
  <c r="F591" i="10"/>
  <c r="F592" i="10"/>
  <c r="F593" i="10"/>
  <c r="F594" i="10"/>
  <c r="F595" i="10"/>
  <c r="F596" i="10"/>
  <c r="F597" i="10"/>
  <c r="F598" i="10"/>
  <c r="F599" i="10"/>
  <c r="F600" i="10"/>
  <c r="F601" i="10"/>
  <c r="F602" i="10"/>
  <c r="F603" i="10"/>
  <c r="F604" i="10"/>
  <c r="F605" i="10"/>
  <c r="F606" i="10"/>
  <c r="F607" i="10"/>
  <c r="F608" i="10"/>
  <c r="F609" i="10"/>
  <c r="F610" i="10"/>
  <c r="F611" i="10"/>
  <c r="F612" i="10"/>
  <c r="F613" i="10"/>
  <c r="F614" i="10"/>
  <c r="F615" i="10"/>
  <c r="F616" i="10"/>
  <c r="F617" i="10"/>
  <c r="F618" i="10"/>
  <c r="F619" i="10"/>
  <c r="F620" i="10"/>
  <c r="F621" i="10"/>
  <c r="F622" i="10"/>
  <c r="F623" i="10"/>
  <c r="F624" i="10"/>
  <c r="F625" i="10"/>
  <c r="F626" i="10"/>
  <c r="F627" i="10"/>
  <c r="F628" i="10"/>
  <c r="F629" i="10"/>
  <c r="F630" i="10"/>
  <c r="F631" i="10"/>
  <c r="F632" i="10"/>
  <c r="F633" i="10"/>
  <c r="F634" i="10"/>
  <c r="F635" i="10"/>
  <c r="F636" i="10"/>
  <c r="F637" i="10"/>
  <c r="F638" i="10"/>
  <c r="F639" i="10"/>
  <c r="F640" i="10"/>
  <c r="F641" i="10"/>
  <c r="F642" i="10"/>
  <c r="F643" i="10"/>
  <c r="F644" i="10"/>
  <c r="F645" i="10"/>
  <c r="F646" i="10"/>
  <c r="F647" i="10"/>
  <c r="F648" i="10"/>
  <c r="F649" i="10"/>
  <c r="F650" i="10"/>
  <c r="F651" i="10"/>
  <c r="F652" i="10"/>
  <c r="F653" i="10"/>
  <c r="F654" i="10"/>
  <c r="F655" i="10"/>
  <c r="F656" i="10"/>
  <c r="F657" i="10"/>
  <c r="F658" i="10"/>
  <c r="F659" i="10"/>
  <c r="F660" i="10"/>
  <c r="F661" i="10"/>
  <c r="F662" i="10"/>
  <c r="F663" i="10"/>
  <c r="F664" i="10"/>
  <c r="F665" i="10"/>
  <c r="F666" i="10"/>
  <c r="F667" i="10"/>
  <c r="F668" i="10"/>
  <c r="F669" i="10"/>
  <c r="F670" i="10"/>
  <c r="F671" i="10"/>
  <c r="F672" i="10"/>
  <c r="F673" i="10"/>
  <c r="F674" i="10"/>
  <c r="F675" i="10"/>
  <c r="F676" i="10"/>
  <c r="F677" i="10"/>
  <c r="F678" i="10"/>
  <c r="F679" i="10"/>
  <c r="F680" i="10"/>
  <c r="F681" i="10"/>
  <c r="F682" i="10"/>
  <c r="F683" i="10"/>
  <c r="F684" i="10"/>
  <c r="F685" i="10"/>
  <c r="F686" i="10"/>
  <c r="F687" i="10"/>
  <c r="F688" i="10"/>
  <c r="F689" i="10"/>
  <c r="F690" i="10"/>
  <c r="F691" i="10"/>
  <c r="F692" i="10"/>
  <c r="F693" i="10"/>
  <c r="F694" i="10"/>
  <c r="F695" i="10"/>
  <c r="F696" i="10"/>
  <c r="F697" i="10"/>
  <c r="F698" i="10"/>
  <c r="F699" i="10"/>
  <c r="F700" i="10"/>
  <c r="F701" i="10"/>
  <c r="F702" i="10"/>
  <c r="F703" i="10"/>
  <c r="F704" i="10"/>
  <c r="F705" i="10"/>
  <c r="F706" i="10"/>
  <c r="F707" i="10"/>
  <c r="F708" i="10"/>
  <c r="F709" i="10"/>
  <c r="F710" i="10"/>
  <c r="F711" i="10"/>
  <c r="F712" i="10"/>
  <c r="F713" i="10"/>
  <c r="F714" i="10"/>
  <c r="F715" i="10"/>
  <c r="F716" i="10"/>
  <c r="F717" i="10"/>
  <c r="F718" i="10"/>
  <c r="F719" i="10"/>
  <c r="F720" i="10"/>
  <c r="F721" i="10"/>
  <c r="F722" i="10"/>
  <c r="F723" i="10"/>
  <c r="F724" i="10"/>
  <c r="F725" i="10"/>
  <c r="F726" i="10"/>
  <c r="F727" i="10"/>
  <c r="F728" i="10"/>
  <c r="F729" i="10"/>
  <c r="F730" i="10"/>
  <c r="F731" i="10"/>
  <c r="F732" i="10"/>
  <c r="F733" i="10"/>
  <c r="F734" i="10"/>
  <c r="F735" i="10"/>
  <c r="F736" i="10"/>
  <c r="F737" i="10"/>
  <c r="F738" i="10"/>
  <c r="F739" i="10"/>
  <c r="F740" i="10"/>
  <c r="F741" i="10"/>
  <c r="F742" i="10"/>
  <c r="F743" i="10"/>
  <c r="F744" i="10"/>
  <c r="F745" i="10"/>
  <c r="F746" i="10"/>
  <c r="F747" i="10"/>
  <c r="F748" i="10"/>
  <c r="F749" i="10"/>
  <c r="F750" i="10"/>
  <c r="F751" i="10"/>
  <c r="F752" i="10"/>
  <c r="F753" i="10"/>
  <c r="F754" i="10"/>
  <c r="F755" i="10"/>
  <c r="F756" i="10"/>
  <c r="F757" i="10"/>
  <c r="F758" i="10"/>
  <c r="F759" i="10"/>
  <c r="F760" i="10"/>
  <c r="F761" i="10"/>
  <c r="F762" i="10"/>
  <c r="F763" i="10"/>
  <c r="F764" i="10"/>
  <c r="F765" i="10"/>
  <c r="F766" i="10"/>
  <c r="F767" i="10"/>
  <c r="F768" i="10"/>
  <c r="F769" i="10"/>
  <c r="F770" i="10"/>
  <c r="F771" i="10"/>
  <c r="F772" i="10"/>
  <c r="F773" i="10"/>
  <c r="F774" i="10"/>
  <c r="F775" i="10"/>
  <c r="F776" i="10"/>
  <c r="F777" i="10"/>
  <c r="F778" i="10"/>
  <c r="F779" i="10"/>
  <c r="F780" i="10"/>
  <c r="F781" i="10"/>
  <c r="F782" i="10"/>
  <c r="F783" i="10"/>
  <c r="F784" i="10"/>
  <c r="F785" i="10"/>
  <c r="F786" i="10"/>
  <c r="F787" i="10"/>
  <c r="F788" i="10"/>
  <c r="F789" i="10"/>
  <c r="F790" i="10"/>
  <c r="F791" i="10"/>
  <c r="F792" i="10"/>
  <c r="F793" i="10"/>
  <c r="F794" i="10"/>
  <c r="F795" i="10"/>
  <c r="F796" i="10"/>
  <c r="F797" i="10"/>
  <c r="F798" i="10"/>
  <c r="F799" i="10"/>
  <c r="F800" i="10"/>
  <c r="F801" i="10"/>
  <c r="F802" i="10"/>
  <c r="F803" i="10"/>
  <c r="F804" i="10"/>
  <c r="F805" i="10"/>
  <c r="F806" i="10"/>
  <c r="F807" i="10"/>
  <c r="F808" i="10"/>
  <c r="F809" i="10"/>
  <c r="F810" i="10"/>
  <c r="F811" i="10"/>
  <c r="F812" i="10"/>
  <c r="F813" i="10"/>
  <c r="F814" i="10"/>
  <c r="F815" i="10"/>
  <c r="F816" i="10"/>
  <c r="F817" i="10"/>
  <c r="F818" i="10"/>
  <c r="F819" i="10"/>
  <c r="F820" i="10"/>
  <c r="F821" i="10"/>
  <c r="F822" i="10"/>
  <c r="F823" i="10"/>
  <c r="F824" i="10"/>
  <c r="F825" i="10"/>
  <c r="F826" i="10"/>
  <c r="F827" i="10"/>
  <c r="F828" i="10"/>
  <c r="F829" i="10"/>
  <c r="F830" i="10"/>
  <c r="F831" i="10"/>
  <c r="J11" i="2" l="1"/>
  <c r="B16" i="13" l="1"/>
  <c r="A16" i="13"/>
  <c r="C115" i="13" l="1"/>
  <c r="C44" i="9" s="1"/>
  <c r="L16" i="2"/>
  <c r="H7" i="14" s="1"/>
  <c r="L17" i="2"/>
  <c r="H8" i="14" s="1"/>
  <c r="L13" i="2"/>
  <c r="H5" i="14" s="1"/>
  <c r="L34" i="2"/>
  <c r="R34" i="2" s="1"/>
  <c r="L33" i="2"/>
  <c r="R33" i="2" s="1"/>
  <c r="L32" i="2"/>
  <c r="R32" i="2" s="1"/>
  <c r="L20" i="2"/>
  <c r="H10" i="14" s="1"/>
  <c r="L12" i="2"/>
  <c r="H4" i="14" s="1"/>
  <c r="M32" i="2"/>
  <c r="A22" i="14"/>
  <c r="A23" i="14"/>
  <c r="A24" i="14"/>
  <c r="A25" i="14"/>
  <c r="A26" i="14"/>
  <c r="A27" i="14"/>
  <c r="A28" i="14"/>
  <c r="A29" i="14"/>
  <c r="A30" i="14"/>
  <c r="A4" i="14"/>
  <c r="F5" i="10"/>
  <c r="G5" i="10"/>
  <c r="A37" i="4"/>
  <c r="B37" i="4"/>
  <c r="A38" i="4"/>
  <c r="B38" i="4"/>
  <c r="A39" i="4"/>
  <c r="B39" i="4"/>
  <c r="A40" i="4"/>
  <c r="B40" i="4"/>
  <c r="A41" i="4"/>
  <c r="B41" i="4"/>
  <c r="A42" i="4"/>
  <c r="B42" i="4"/>
  <c r="A43" i="4"/>
  <c r="B43" i="4"/>
  <c r="A44" i="4"/>
  <c r="B44" i="4"/>
  <c r="A45" i="4"/>
  <c r="B45" i="4"/>
  <c r="A46" i="4"/>
  <c r="B46" i="4"/>
  <c r="A47" i="4"/>
  <c r="B47" i="4"/>
  <c r="A48" i="4"/>
  <c r="B48" i="4"/>
  <c r="A49" i="4"/>
  <c r="B49" i="4"/>
  <c r="A50" i="4"/>
  <c r="B50" i="4"/>
  <c r="A51" i="4"/>
  <c r="B51" i="4"/>
  <c r="A52" i="4"/>
  <c r="B52" i="4"/>
  <c r="A53" i="4"/>
  <c r="B53" i="4"/>
  <c r="A54" i="4"/>
  <c r="B54" i="4"/>
  <c r="A55" i="4"/>
  <c r="B55" i="4"/>
  <c r="A56" i="4"/>
  <c r="B56" i="4"/>
  <c r="A57" i="4"/>
  <c r="B57" i="4"/>
  <c r="A58" i="4"/>
  <c r="B58" i="4"/>
  <c r="B36" i="4"/>
  <c r="A36" i="4"/>
  <c r="B33" i="4"/>
  <c r="T5" i="14" s="1"/>
  <c r="C69" i="13"/>
  <c r="G12" i="9" s="1"/>
  <c r="C33" i="13"/>
  <c r="C32" i="13"/>
  <c r="E7" i="2" s="1"/>
  <c r="C63" i="13"/>
  <c r="C6" i="9" s="1"/>
  <c r="C98" i="13"/>
  <c r="G64" i="9" s="1"/>
  <c r="C99" i="13"/>
  <c r="K46" i="9" s="1"/>
  <c r="C97" i="13"/>
  <c r="C62" i="9" s="1"/>
  <c r="C85" i="13"/>
  <c r="C49" i="9" s="1"/>
  <c r="C86" i="13"/>
  <c r="C87" i="13"/>
  <c r="C88" i="13"/>
  <c r="C39" i="9" s="1"/>
  <c r="C89" i="13"/>
  <c r="C91" i="13"/>
  <c r="C56" i="9" s="1"/>
  <c r="C92" i="13"/>
  <c r="C57" i="9" s="1"/>
  <c r="C93" i="13"/>
  <c r="C60" i="13"/>
  <c r="D34" i="2" s="1"/>
  <c r="C61" i="13"/>
  <c r="D35" i="2" s="1"/>
  <c r="C9" i="13"/>
  <c r="L2" i="1" s="1"/>
  <c r="G2" i="2" s="1"/>
  <c r="C109" i="13"/>
  <c r="C10" i="12" s="1"/>
  <c r="C81" i="13"/>
  <c r="C29" i="9" s="1"/>
  <c r="C82" i="13"/>
  <c r="G30" i="9" s="1"/>
  <c r="C83" i="13"/>
  <c r="C84" i="13"/>
  <c r="K30" i="9" s="1"/>
  <c r="C94" i="13"/>
  <c r="C95" i="13"/>
  <c r="G57" i="9" s="1"/>
  <c r="C77" i="13"/>
  <c r="C22" i="9" s="1"/>
  <c r="C71" i="13"/>
  <c r="C72" i="13"/>
  <c r="C73" i="13"/>
  <c r="C15" i="9" s="1"/>
  <c r="C78" i="13"/>
  <c r="G25" i="9" s="1"/>
  <c r="C79" i="13"/>
  <c r="G26" i="9" s="1"/>
  <c r="C80" i="13"/>
  <c r="C96" i="13"/>
  <c r="G58" i="9" s="1"/>
  <c r="C64" i="13"/>
  <c r="K6" i="9" s="1"/>
  <c r="C65" i="13"/>
  <c r="P6" i="9" s="1"/>
  <c r="C66" i="13"/>
  <c r="C8" i="9" s="1"/>
  <c r="C67" i="13"/>
  <c r="C10" i="9" s="1"/>
  <c r="C70" i="13"/>
  <c r="C101" i="13"/>
  <c r="C102" i="13"/>
  <c r="C8" i="11" s="1"/>
  <c r="C103" i="13"/>
  <c r="C10" i="11" s="1"/>
  <c r="C104" i="13"/>
  <c r="C12" i="11" s="1"/>
  <c r="C105" i="13"/>
  <c r="C14" i="11" s="1"/>
  <c r="C107" i="13"/>
  <c r="C7" i="12" s="1"/>
  <c r="C108" i="13"/>
  <c r="C8" i="12" s="1"/>
  <c r="C110" i="13"/>
  <c r="C12" i="12" s="1"/>
  <c r="C111" i="13"/>
  <c r="C13" i="12" s="1"/>
  <c r="C112" i="13"/>
  <c r="C14" i="12" s="1"/>
  <c r="C113" i="13"/>
  <c r="C16" i="12" s="1"/>
  <c r="C114" i="13"/>
  <c r="C18" i="12" s="1"/>
  <c r="C39" i="13"/>
  <c r="C8" i="2" s="1"/>
  <c r="C41" i="13"/>
  <c r="D12" i="2" s="1"/>
  <c r="C42" i="13"/>
  <c r="D13" i="2" s="1"/>
  <c r="C43" i="13"/>
  <c r="D14" i="2" s="1"/>
  <c r="C44" i="13"/>
  <c r="D15" i="2" s="1"/>
  <c r="C45" i="13"/>
  <c r="D16" i="2" s="1"/>
  <c r="C46" i="13"/>
  <c r="D17" i="2" s="1"/>
  <c r="C47" i="13"/>
  <c r="D18" i="2" s="1"/>
  <c r="C48" i="13"/>
  <c r="D20" i="2" s="1"/>
  <c r="C50" i="13"/>
  <c r="D23" i="2" s="1"/>
  <c r="C51" i="13"/>
  <c r="D24" i="2" s="1"/>
  <c r="C57" i="13"/>
  <c r="C31" i="2" s="1"/>
  <c r="C58" i="13"/>
  <c r="D32" i="2" s="1"/>
  <c r="C59" i="13"/>
  <c r="D33" i="2" s="1"/>
  <c r="C11" i="13"/>
  <c r="C9" i="1" s="1"/>
  <c r="C12" i="13"/>
  <c r="E20" i="1" s="1"/>
  <c r="C13" i="13"/>
  <c r="E23" i="1" s="1"/>
  <c r="C14" i="13"/>
  <c r="C15" i="13"/>
  <c r="C29" i="1" s="1"/>
  <c r="C16" i="13"/>
  <c r="C31" i="1" s="1"/>
  <c r="C17" i="13"/>
  <c r="C33" i="1" s="1"/>
  <c r="C18" i="13"/>
  <c r="C34" i="1" s="1"/>
  <c r="C19" i="13"/>
  <c r="C35" i="1" s="1"/>
  <c r="C20" i="13"/>
  <c r="C37" i="1" s="1"/>
  <c r="C21" i="13"/>
  <c r="C38" i="1" s="1"/>
  <c r="C22" i="13"/>
  <c r="C39" i="1" s="1"/>
  <c r="C23" i="13"/>
  <c r="C40" i="1" s="1"/>
  <c r="C24" i="13"/>
  <c r="C41" i="1" s="1"/>
  <c r="C25" i="13"/>
  <c r="C42" i="1" s="1"/>
  <c r="C26" i="13"/>
  <c r="D43" i="1" s="1"/>
  <c r="C27" i="13"/>
  <c r="E43" i="1" s="1"/>
  <c r="E6" i="2"/>
  <c r="C35" i="13"/>
  <c r="C11" i="2" s="1"/>
  <c r="C36" i="13"/>
  <c r="G6" i="2" s="1"/>
  <c r="C37" i="13"/>
  <c r="F8" i="2" s="1"/>
  <c r="C38" i="13"/>
  <c r="G8" i="2" s="1"/>
  <c r="C10" i="13"/>
  <c r="C4" i="1" s="1"/>
  <c r="H5" i="3"/>
  <c r="F14" i="2"/>
  <c r="H7" i="3" s="1"/>
  <c r="H16" i="3"/>
  <c r="G14" i="2"/>
  <c r="L14" i="2" s="1"/>
  <c r="H6" i="14" s="1"/>
  <c r="H13" i="3"/>
  <c r="H11" i="3"/>
  <c r="H8" i="3"/>
  <c r="P2" i="9"/>
  <c r="G35" i="2"/>
  <c r="L35" i="2" s="1"/>
  <c r="G24" i="2"/>
  <c r="L24" i="2" s="1"/>
  <c r="H14" i="3"/>
  <c r="H9" i="3"/>
  <c r="H6" i="3"/>
  <c r="B8" i="13"/>
  <c r="B49" i="13"/>
  <c r="B90" i="13"/>
  <c r="A1" i="6"/>
  <c r="B76" i="13"/>
  <c r="G9" i="2"/>
  <c r="B40" i="13"/>
  <c r="A90" i="13"/>
  <c r="C90" i="13" s="1"/>
  <c r="C54" i="9" s="1"/>
  <c r="A40" i="13"/>
  <c r="A76" i="13"/>
  <c r="A1" i="10"/>
  <c r="A8" i="13"/>
  <c r="A49" i="13"/>
  <c r="C8" i="3"/>
  <c r="V34" i="2"/>
  <c r="R20" i="2" l="1"/>
  <c r="C49" i="13"/>
  <c r="C22" i="2" s="1"/>
  <c r="N16" i="14" s="1"/>
  <c r="C8" i="13"/>
  <c r="C2" i="1" s="1"/>
  <c r="C2" i="2" s="1"/>
  <c r="G40" i="9"/>
  <c r="G35" i="9"/>
  <c r="G42" i="9"/>
  <c r="G37" i="9"/>
  <c r="G47" i="9"/>
  <c r="G27" i="9"/>
  <c r="G36" i="9"/>
  <c r="G46" i="9"/>
  <c r="G60" i="9"/>
  <c r="G32" i="9"/>
  <c r="G65" i="9"/>
  <c r="G13" i="9"/>
  <c r="G20" i="9"/>
  <c r="G45" i="9"/>
  <c r="G31" i="9"/>
  <c r="G41" i="9"/>
  <c r="G50" i="9"/>
  <c r="G63" i="9"/>
  <c r="C76" i="13"/>
  <c r="G19" i="9" s="1"/>
  <c r="C40" i="13"/>
  <c r="F9" i="2" s="1"/>
  <c r="I2" i="12"/>
  <c r="R13" i="2"/>
  <c r="H12" i="3"/>
  <c r="G18" i="2"/>
  <c r="L18" i="2" s="1"/>
  <c r="H9" i="14" s="1"/>
  <c r="R17" i="2"/>
  <c r="G23" i="2"/>
  <c r="L23" i="2" s="1"/>
  <c r="D44" i="1"/>
  <c r="E25" i="1"/>
  <c r="K36" i="9"/>
  <c r="K50" i="9"/>
  <c r="R16" i="2"/>
  <c r="F18" i="2"/>
  <c r="H10" i="3" s="1"/>
  <c r="T6" i="14"/>
  <c r="C46" i="4"/>
  <c r="R12" i="2"/>
  <c r="C34" i="9"/>
  <c r="T11" i="14"/>
  <c r="V10" i="2" s="1"/>
  <c r="T18" i="14"/>
  <c r="M10" i="2" s="1"/>
  <c r="K64" i="9"/>
  <c r="K41" i="9"/>
  <c r="C54" i="4"/>
  <c r="K19" i="9"/>
  <c r="C51" i="4"/>
  <c r="T8" i="14"/>
  <c r="S10" i="2" s="1"/>
  <c r="T3" i="14"/>
  <c r="C56" i="4"/>
  <c r="T29" i="14"/>
  <c r="M11" i="2" s="1"/>
  <c r="T31" i="14"/>
  <c r="T30" i="14"/>
  <c r="T16" i="14"/>
  <c r="AA11" i="2" s="1"/>
  <c r="C49" i="4"/>
  <c r="C41" i="4"/>
  <c r="T27" i="14"/>
  <c r="C40" i="4"/>
  <c r="T20" i="14"/>
  <c r="T21" i="14"/>
  <c r="C43" i="4"/>
  <c r="C38" i="4"/>
  <c r="T32" i="14"/>
  <c r="C50" i="4"/>
  <c r="C45" i="4"/>
  <c r="C36" i="4"/>
  <c r="C58" i="4"/>
  <c r="T10" i="14"/>
  <c r="U10" i="2" s="1"/>
  <c r="T19" i="14"/>
  <c r="Q9" i="2" s="1"/>
  <c r="C44" i="4"/>
  <c r="C57" i="4"/>
  <c r="T24" i="14"/>
  <c r="T9" i="14"/>
  <c r="T10" i="2" s="1"/>
  <c r="C48" i="4"/>
  <c r="T26" i="14"/>
  <c r="T12" i="14"/>
  <c r="W10" i="2" s="1"/>
  <c r="T22" i="14"/>
  <c r="C55" i="4"/>
  <c r="C47" i="4"/>
  <c r="T7" i="14"/>
  <c r="O11" i="2" s="1"/>
  <c r="B32" i="4"/>
  <c r="V32" i="2"/>
  <c r="C9" i="3"/>
  <c r="C24" i="3"/>
  <c r="C23" i="3"/>
  <c r="C16" i="3"/>
  <c r="C25" i="3"/>
  <c r="C11" i="3"/>
  <c r="C6" i="3"/>
  <c r="V18" i="2"/>
  <c r="H2" i="11"/>
  <c r="V16" i="2"/>
  <c r="V33" i="2"/>
  <c r="V17" i="2"/>
  <c r="R14" i="2"/>
  <c r="U9" i="2"/>
  <c r="B68" i="13"/>
  <c r="A68" i="13"/>
  <c r="C39" i="4"/>
  <c r="A74" i="13"/>
  <c r="C74" i="13" s="1"/>
  <c r="C24" i="9" s="1"/>
  <c r="C10" i="3"/>
  <c r="L11" i="2"/>
  <c r="R10" i="2" s="1"/>
  <c r="C37" i="4"/>
  <c r="AF3" i="9"/>
  <c r="K11" i="2"/>
  <c r="V12" i="2"/>
  <c r="V20" i="2"/>
  <c r="B75" i="13"/>
  <c r="A75" i="13"/>
  <c r="V14" i="2"/>
  <c r="T14" i="14"/>
  <c r="Y11" i="2" s="1"/>
  <c r="T34" i="14"/>
  <c r="C42" i="4"/>
  <c r="C52" i="4"/>
  <c r="T23" i="14"/>
  <c r="J10" i="2" s="1"/>
  <c r="T28" i="14"/>
  <c r="C53" i="4"/>
  <c r="T13" i="14"/>
  <c r="X11" i="2" s="1"/>
  <c r="T4" i="14"/>
  <c r="T17" i="14"/>
  <c r="O10" i="2" s="1"/>
  <c r="T15" i="14"/>
  <c r="Z11" i="2" s="1"/>
  <c r="C12" i="3"/>
  <c r="C15" i="3"/>
  <c r="B74" i="13"/>
  <c r="V13" i="2"/>
  <c r="C7" i="3"/>
  <c r="C13" i="3"/>
  <c r="AG3" i="9"/>
  <c r="C17" i="3"/>
  <c r="C5" i="3"/>
  <c r="C22" i="3"/>
  <c r="C26" i="3"/>
  <c r="C14" i="3"/>
  <c r="C2" i="11" l="1"/>
  <c r="C2" i="9"/>
  <c r="C2" i="12"/>
  <c r="L11" i="14"/>
  <c r="O12" i="14"/>
  <c r="H22" i="3"/>
  <c r="K11" i="14"/>
  <c r="J16" i="14"/>
  <c r="N11" i="14"/>
  <c r="M16" i="14"/>
  <c r="H18" i="3"/>
  <c r="M12" i="14"/>
  <c r="M11" i="14"/>
  <c r="H24" i="3"/>
  <c r="H11" i="14"/>
  <c r="H12" i="14"/>
  <c r="P11" i="14"/>
  <c r="H15" i="14"/>
  <c r="L16" i="14"/>
  <c r="H19" i="3"/>
  <c r="O16" i="14"/>
  <c r="L12" i="14"/>
  <c r="H26" i="3"/>
  <c r="I16" i="14"/>
  <c r="I11" i="14"/>
  <c r="N12" i="14"/>
  <c r="K12" i="14"/>
  <c r="H20" i="3"/>
  <c r="H16" i="14"/>
  <c r="H13" i="14"/>
  <c r="K16" i="14"/>
  <c r="P12" i="14"/>
  <c r="H14" i="14"/>
  <c r="J11" i="14"/>
  <c r="H21" i="3"/>
  <c r="P16" i="14"/>
  <c r="H23" i="3"/>
  <c r="I12" i="14"/>
  <c r="H25" i="3"/>
  <c r="C68" i="13"/>
  <c r="G11" i="9" s="1"/>
  <c r="J12" i="14"/>
  <c r="O11" i="14"/>
  <c r="G20" i="3"/>
  <c r="A20" i="3" s="1"/>
  <c r="G19" i="3"/>
  <c r="A19" i="3" s="1"/>
  <c r="G21" i="3"/>
  <c r="A21" i="3" s="1"/>
  <c r="G18" i="3"/>
  <c r="A18" i="3" s="1"/>
  <c r="D4" i="12"/>
  <c r="D4" i="11"/>
  <c r="D5" i="11"/>
  <c r="D5" i="12"/>
  <c r="D4" i="9"/>
  <c r="D5" i="9"/>
  <c r="E5" i="2"/>
  <c r="E4" i="2"/>
  <c r="D39" i="4"/>
  <c r="C75" i="13"/>
  <c r="G18" i="9" s="1"/>
  <c r="F25" i="1"/>
  <c r="J12" i="2"/>
  <c r="F4" i="14" s="1"/>
  <c r="H15" i="3"/>
  <c r="R18" i="2"/>
  <c r="H17" i="3"/>
  <c r="F23" i="1"/>
  <c r="E13" i="14"/>
  <c r="J17" i="2"/>
  <c r="F8" i="14" s="1"/>
  <c r="G12" i="3"/>
  <c r="A12" i="3" s="1"/>
  <c r="J16" i="2"/>
  <c r="F7" i="14" s="1"/>
  <c r="G26" i="3"/>
  <c r="A26" i="3" s="1"/>
  <c r="C23" i="14"/>
  <c r="G5" i="3"/>
  <c r="A5" i="3" s="1"/>
  <c r="J14" i="2"/>
  <c r="F6" i="14" s="1"/>
  <c r="C26" i="14"/>
  <c r="E16" i="1"/>
  <c r="C24" i="14"/>
  <c r="C30" i="14"/>
  <c r="G25" i="3"/>
  <c r="A25" i="3" s="1"/>
  <c r="J20" i="2"/>
  <c r="F10" i="14" s="1"/>
  <c r="E15" i="14"/>
  <c r="C22" i="14"/>
  <c r="G13" i="3"/>
  <c r="A13" i="3" s="1"/>
  <c r="E12" i="14"/>
  <c r="J24" i="2"/>
  <c r="F12" i="14" s="1"/>
  <c r="C28" i="14"/>
  <c r="J35" i="2"/>
  <c r="F16" i="14" s="1"/>
  <c r="G22" i="3"/>
  <c r="A22" i="3" s="1"/>
  <c r="J33" i="2"/>
  <c r="F14" i="14" s="1"/>
  <c r="E9" i="14"/>
  <c r="G15" i="3"/>
  <c r="A15" i="3" s="1"/>
  <c r="E16" i="14"/>
  <c r="J32" i="2"/>
  <c r="F13" i="14" s="1"/>
  <c r="J23" i="2"/>
  <c r="F11" i="14" s="1"/>
  <c r="G16" i="3"/>
  <c r="A16" i="3" s="1"/>
  <c r="G7" i="3"/>
  <c r="A7" i="3" s="1"/>
  <c r="G23" i="3"/>
  <c r="A23" i="3" s="1"/>
  <c r="E7" i="14"/>
  <c r="G9" i="3"/>
  <c r="A9" i="3" s="1"/>
  <c r="J13" i="2"/>
  <c r="F5" i="14" s="1"/>
  <c r="G24" i="3"/>
  <c r="A24" i="3" s="1"/>
  <c r="C29" i="14"/>
  <c r="G8" i="3"/>
  <c r="A8" i="3" s="1"/>
  <c r="C27" i="14"/>
  <c r="E10" i="14"/>
  <c r="G6" i="3"/>
  <c r="A6" i="3" s="1"/>
  <c r="J18" i="2"/>
  <c r="F9" i="14" s="1"/>
  <c r="G10" i="3"/>
  <c r="A10" i="3" s="1"/>
  <c r="J34" i="2"/>
  <c r="F15" i="14" s="1"/>
  <c r="G17" i="3"/>
  <c r="A17" i="3" s="1"/>
  <c r="E5" i="14"/>
  <c r="G14" i="3"/>
  <c r="A14" i="3" s="1"/>
  <c r="E14" i="1"/>
  <c r="AF4" i="9"/>
  <c r="F20" i="1"/>
  <c r="E17" i="1"/>
  <c r="E11" i="14"/>
  <c r="E8" i="14"/>
  <c r="E4" i="14"/>
  <c r="E14" i="14"/>
  <c r="G11" i="3"/>
  <c r="A11" i="3" s="1"/>
  <c r="E6" i="14"/>
  <c r="C25" i="14"/>
  <c r="E15" i="1"/>
  <c r="E18" i="1"/>
  <c r="E13" i="1"/>
  <c r="C32" i="4"/>
  <c r="C17" i="9"/>
  <c r="V9" i="2"/>
  <c r="K24" i="2"/>
  <c r="G12" i="14" s="1"/>
  <c r="K20" i="2"/>
  <c r="G10" i="14" s="1"/>
  <c r="K32" i="2"/>
  <c r="G13" i="14" s="1"/>
  <c r="K12" i="2"/>
  <c r="G4" i="14" s="1"/>
  <c r="K17" i="2"/>
  <c r="G8" i="14" s="1"/>
  <c r="K33" i="2"/>
  <c r="G14" i="14" s="1"/>
  <c r="K16" i="2"/>
  <c r="G7" i="14" s="1"/>
  <c r="K14" i="2"/>
  <c r="G6" i="14" s="1"/>
  <c r="K18" i="2"/>
  <c r="G9" i="14" s="1"/>
  <c r="K35" i="2"/>
  <c r="G16" i="14" s="1"/>
  <c r="Q10" i="2"/>
  <c r="K34" i="2"/>
  <c r="G15" i="14" s="1"/>
  <c r="K13" i="2"/>
  <c r="G5" i="14" s="1"/>
  <c r="K23" i="2"/>
  <c r="G11" i="14" s="1"/>
  <c r="H58" i="9" l="1"/>
  <c r="D57" i="9"/>
  <c r="H31" i="9"/>
  <c r="H46" i="9"/>
  <c r="H45" i="9"/>
  <c r="H41" i="9"/>
  <c r="H19" i="9"/>
  <c r="H63" i="9"/>
  <c r="H50" i="9"/>
  <c r="P49" i="9" s="1"/>
  <c r="H30" i="9"/>
  <c r="H26" i="9"/>
  <c r="H25" i="9"/>
  <c r="H12" i="9"/>
  <c r="H35" i="9"/>
  <c r="H40" i="9"/>
  <c r="H36" i="9"/>
  <c r="C30" i="13"/>
  <c r="C5" i="12" s="1"/>
  <c r="C29" i="13"/>
  <c r="H64" i="9"/>
  <c r="H11" i="9"/>
  <c r="H57" i="9"/>
  <c r="H18" i="9"/>
  <c r="Q33" i="2"/>
  <c r="O33" i="2"/>
  <c r="P33" i="2" s="1"/>
  <c r="Q18" i="2"/>
  <c r="O18" i="2"/>
  <c r="P18" i="2" s="1"/>
  <c r="Q17" i="2"/>
  <c r="O17" i="2"/>
  <c r="P17" i="2" s="1"/>
  <c r="Q20" i="2"/>
  <c r="O20" i="2"/>
  <c r="P20" i="2" s="1"/>
  <c r="Q34" i="2"/>
  <c r="O34" i="2"/>
  <c r="P34" i="2" s="1"/>
  <c r="Q14" i="2"/>
  <c r="O14" i="2"/>
  <c r="P14" i="2" s="1"/>
  <c r="O12" i="2"/>
  <c r="P12" i="2" s="1"/>
  <c r="Q12" i="2"/>
  <c r="Q13" i="2"/>
  <c r="O13" i="2"/>
  <c r="P13" i="2" s="1"/>
  <c r="Q16" i="2"/>
  <c r="O16" i="2"/>
  <c r="P16" i="2" s="1"/>
  <c r="O32" i="2"/>
  <c r="P32" i="2" s="1"/>
  <c r="Q32" i="2"/>
  <c r="S20" i="2" l="1"/>
  <c r="T20" i="2" s="1"/>
  <c r="K10" i="14" s="1"/>
  <c r="S32" i="2"/>
  <c r="T32" i="2" s="1"/>
  <c r="J13" i="14" s="1"/>
  <c r="S17" i="2"/>
  <c r="T17" i="2" s="1"/>
  <c r="S34" i="2"/>
  <c r="T34" i="2" s="1"/>
  <c r="I15" i="14" s="1"/>
  <c r="S33" i="2"/>
  <c r="T33" i="2" s="1"/>
  <c r="N14" i="14" s="1"/>
  <c r="S16" i="2"/>
  <c r="T16" i="2" s="1"/>
  <c r="I7" i="14" s="1"/>
  <c r="S14" i="2"/>
  <c r="T14" i="2" s="1"/>
  <c r="N6" i="14" s="1"/>
  <c r="S13" i="2"/>
  <c r="T13" i="2" s="1"/>
  <c r="I5" i="14" s="1"/>
  <c r="S18" i="2"/>
  <c r="T18" i="2" s="1"/>
  <c r="M9" i="14" s="1"/>
  <c r="H59" i="9"/>
  <c r="H60" i="9" s="1"/>
  <c r="P56" i="9" s="1"/>
  <c r="C4" i="12"/>
  <c r="C4" i="11"/>
  <c r="D4" i="2"/>
  <c r="C4" i="9"/>
  <c r="C5" i="11"/>
  <c r="C5" i="9"/>
  <c r="D5" i="2"/>
  <c r="S12" i="2"/>
  <c r="T12" i="2" s="1"/>
  <c r="H20" i="9"/>
  <c r="P17" i="9" s="1"/>
  <c r="H13" i="9"/>
  <c r="P10" i="9" s="1"/>
  <c r="H65" i="9"/>
  <c r="P62" i="9" s="1"/>
  <c r="H42" i="9"/>
  <c r="P39" i="9" s="1"/>
  <c r="H37" i="9"/>
  <c r="P34" i="9" s="1"/>
  <c r="H27" i="9"/>
  <c r="P24" i="9" s="1"/>
  <c r="H47" i="9"/>
  <c r="P44" i="9" s="1"/>
  <c r="P29" i="9"/>
  <c r="H32" i="9"/>
  <c r="K14" i="14" l="1"/>
  <c r="J6" i="14"/>
  <c r="J7" i="14"/>
  <c r="O7" i="14"/>
  <c r="O6" i="14"/>
  <c r="O5" i="14"/>
  <c r="M15" i="14"/>
  <c r="N15" i="14"/>
  <c r="K15" i="14"/>
  <c r="P15" i="14"/>
  <c r="J14" i="14"/>
  <c r="M14" i="14"/>
  <c r="K7" i="14"/>
  <c r="M5" i="14"/>
  <c r="I6" i="14"/>
  <c r="K5" i="14"/>
  <c r="P6" i="14"/>
  <c r="M6" i="14"/>
  <c r="N13" i="14"/>
  <c r="L6" i="14"/>
  <c r="P13" i="14"/>
  <c r="K6" i="14"/>
  <c r="O14" i="14"/>
  <c r="P10" i="14"/>
  <c r="J10" i="14"/>
  <c r="I13" i="14"/>
  <c r="L13" i="14"/>
  <c r="L5" i="14"/>
  <c r="P9" i="14"/>
  <c r="I10" i="14"/>
  <c r="N9" i="14"/>
  <c r="K13" i="14"/>
  <c r="O10" i="14"/>
  <c r="J5" i="14"/>
  <c r="L9" i="14"/>
  <c r="O13" i="14"/>
  <c r="J15" i="14"/>
  <c r="L14" i="14"/>
  <c r="N10" i="14"/>
  <c r="P5" i="14"/>
  <c r="O9" i="14"/>
  <c r="M13" i="14"/>
  <c r="O15" i="14"/>
  <c r="I14" i="14"/>
  <c r="M10" i="14"/>
  <c r="N5" i="14"/>
  <c r="L15" i="14"/>
  <c r="P14" i="14"/>
  <c r="L10" i="14"/>
  <c r="I9" i="14"/>
  <c r="K9" i="14"/>
  <c r="M7" i="14"/>
  <c r="J9" i="14"/>
  <c r="P7" i="14"/>
  <c r="N7" i="14"/>
  <c r="L7" i="14"/>
  <c r="K4" i="14"/>
  <c r="L4" i="14"/>
  <c r="M4" i="14"/>
  <c r="I4" i="14"/>
  <c r="N4" i="14"/>
  <c r="O4" i="14"/>
  <c r="P4" i="14"/>
  <c r="J4" i="14"/>
  <c r="O8" i="14"/>
  <c r="P8" i="14"/>
  <c r="J8" i="14"/>
  <c r="K8" i="14"/>
  <c r="L8" i="14"/>
  <c r="M8" i="14"/>
  <c r="I8" i="14"/>
  <c r="N8" i="14"/>
  <c r="T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kellyf</author>
  </authors>
  <commentList>
    <comment ref="A3" authorId="0" shapeId="0" xr:uid="{00000000-0006-0000-0600-000001000000}">
      <text>
        <r>
          <rPr>
            <sz val="10"/>
            <color indexed="81"/>
            <rFont val="Arial"/>
            <family val="2"/>
          </rPr>
          <t>SELECT Convert(varchar(20),MainUnionCTC.yearcode)+Convert(varchar(20),MainUnionCTC.FormRef)+Convert(varchar(20),MainUnionCTC.authcode)+Convert(varchar(20),MainUnionCTC.rowRef)+Convert(varchar(20),MainUnionCTC.ColumnRef), MainUnionCTC.Data, MainUnionCTC.AuthCode, MainUnionCTC.RowRef, MainUnionCTC.ColumnRef
FROM SD_LocalGovernmentFinance.dbo.AuthCodes AuthCodes, SD_LocalGovernmentFinance.dbo.ColRefs ColRefs, SD_LocalGovernmentFinance.dbo.MainUnionCTC MainUnionCTC, SD_LocalGovernmentFinance.dbo.RowRefs RowRefs
WHERE MainUnionCTC.AuthCode = AuthCodes.AuthCode AND MainUnionCTC.ColumnRef = ColRefs.ColumnRef AND MainUnionCTC.FormRef = ColRefs.FormRef AND MainUnionCTC.YearCode = ColRefs.YearCode AND RowRefs.FormRef = MainUnionCTC.FormRef AND RowRefs.RowRef = MainUnionCTC.RowRef AND RowRefs.YearCode = MainUnionCTC.YearCode AND ((MainUnionCTC.YearCode Between 202021 And 202122))
ORDER BY Convert(varchar(20),MainUnionCTC.yearcode)+Convert(varchar(20),MainUnionCTC.FormRef)+Convert(varchar(20),MainUnionCTC.authcode)+Convert(varchar(20),MainUnionCTC.rowRef)+Convert(varchar(20),MainUnionCTC.ColumnRef)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kellyf</author>
  </authors>
  <commentList>
    <comment ref="A3" authorId="0" shapeId="0" xr:uid="{00000000-0006-0000-0700-000001000000}">
      <text>
        <r>
          <rPr>
            <sz val="10"/>
            <color indexed="81"/>
            <rFont val="Arial"/>
            <family val="2"/>
          </rPr>
          <t>SELECT Convert(varchar(20),MainUnionBR.yearcode)+Convert(varchar(20),MainUnionBR.FormRef)+Convert(varchar(20),MainUnionBR.authcode)+Convert(varchar(20),MainUnionBR.rowRef)+Convert(varchar(20),MainUnionBR.ColumnRef), MainUnionBR.Data
FROM SD_LocalGovernmentFinance.dbo.AuthCodes AuthCodes, SD_LocalGovernmentFinance.dbo.ColRefs ColRefs, SD_LocalGovernmentFinance.dbo.MainUnionBR MainUnionBR, SD_LocalGovernmentFinance.dbo.RowRefs RowRefs
WHERE MainUnionBR.AuthCode = AuthCodes.AuthCode AND MainUnionBR.ColumnRef = ColRefs.ColumnRef AND MainUnionBR.FormRef = ColRefs.FormRef AND MainUnionBR.YearCode = ColRefs.YearCode AND RowRefs.FormRef = MainUnionBR.FormRef AND RowRefs.RowRef = MainUnionBR.RowRef AND RowRefs.YearCode = MainUnionBR.YearCode AND ((MainUnionBR.YearCode=202223) AND (MainUnionBR.FormRef='BR1') AND (MainUnionBR.RowRef=$5) OR (MainUnionBR.YearCode=202223) AND (MainUnionBR.FormRef='BR1') AND (MainUnionBR.RowRef=$7) OR (MainUnionBR.YearCode=202223) AND (MainUnionBR.FormRef='BR1') AND (MainUnionBR.RowRef=$16))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Frank Kelly</author>
  </authors>
  <commentList>
    <comment ref="E5" authorId="0" shapeId="0" xr:uid="{00000000-0006-0000-0900-000001000000}">
      <text>
        <r>
          <rPr>
            <sz val="10"/>
            <color indexed="81"/>
            <rFont val="Arial"/>
            <family val="2"/>
          </rPr>
          <t>SELECT tblUADetails.UACode, tblUADetails.AuthorityName, tblUADetails.EnglishWelsh, tblUADetails.CFOName, tblUADetails.CFOEMail, tblUADetails.Address1, tblUADetails.Address2, tblUADetails.Address3, tblUADetails.Address4, tblUADetails.Postcode, tblFormContacts.CTCName, tblFormContacts.CTCSTDCode, tblFormContacts.CTCNumber, tblFormContacts.CTCEMail, tblFormContacts.CTCNotes
FROM tblFormContacts INNER JOIN tblUADetails ON tblFormContacts.UACode = tblUADetails.UACode
WHERE (((tblUADetails.UACode)&lt;=514) AND ((tblUADetails.EnglishWelsh)=Yes)) OR (((tblUADetails.UACode)&gt;=516 And (tblUADetails.UACode)&lt;=552) AND ((tblUADetails.EnglishWelsh)=No));</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8" background="1" saveData="1">
    <dbPr connection="DRIVER=SQL Server;SERVER=HCA124;UID=Kellyf;Trusted_Connection=Yes;APP=Microsoft Office 2003;WSID=HJL028;DATABASE=SD_LocalGovernmentFinance" command="SELECT Convert(varchar(20),MainUnionCTC.yearcode)+Convert(varchar(20),MainUnionCTC.FormRef)+Convert(varchar(20),MainUnionCTC.authcode)+Convert(varchar(20),MainUnionCTC.rowRef)+Convert(varchar(20),MainUnionCTC.ColumnRef), MainUnionCTC.Data, MainUnionCTC.AuthCode, MainUnionCTC.RowRef, MainUnionCTC.ColumnRef_x000d__x000a_FROM SD_LocalGovernmentFinance.dbo.AuthCodes AuthCodes, SD_LocalGovernmentFinance.dbo.ColRefs ColRefs, SD_LocalGovernmentFinance.dbo.MainUnionCTC MainUnionCTC, SD_LocalGovernmentFinance.dbo.RowRefs RowRefs_x000d__x000a_WHERE MainUnionCTC.AuthCode = AuthCodes.AuthCode AND MainUnionCTC.ColumnRef = ColRefs.ColumnRef AND MainUnionCTC.FormRef = ColRefs.FormRef AND MainUnionCTC.YearCode = ColRefs.YearCode AND RowRefs.FormRef = MainUnionCTC.FormRef AND RowRefs.RowRef = MainUnionCTC.RowRef AND RowRefs.YearCode = MainUnionCTC.YearCode AND ((MainUnionCTC.YearCode Between 202122 And 202223))_x000d__x000a_ORDER BY Convert(varchar(20),MainUnionCTC.yearcode)+Convert(varchar(20),MainUnionCTC.FormRef)+Convert(varchar(20),MainUnionCTC.authcode)+Convert(varchar(20),MainUnionCTC.rowRef)+Convert(varchar(20),MainUnionCTC.ColumnRef)"/>
  </connection>
  <connection id="2" xr16:uid="{00000000-0015-0000-FFFF-FFFF01000000}" name="Connection1" type="1" refreshedVersion="8" background="1" saveData="1">
    <dbPr connection="DRIVER=SQL Server;SERVER=HCA124;UID=Kellyf;Trusted_Connection=Yes;APP=Microsoft Office 2003;WSID=HJL028;DATABASE=SD_LocalGovernmentFinance" command="SELECT Convert(varchar(20),MainUnionBR.yearcode)+Convert(varchar(20),MainUnionBR.FormRef)+Convert(varchar(20),MainUnionBR.authcode)+Convert(varchar(20),MainUnionBR.rowRef)+Convert(varchar(20),MainUnionBR.ColumnRef), MainUnionBR.Data_x000d__x000a_FROM SD_LocalGovernmentFinance.dbo.AuthCodes AuthCodes, SD_LocalGovernmentFinance.dbo.ColRefs ColRefs, SD_LocalGovernmentFinance.dbo.MainUnionBR MainUnionBR, SD_LocalGovernmentFinance.dbo.RowRefs RowRefs_x000d__x000a_WHERE MainUnionBR.AuthCode = AuthCodes.AuthCode AND MainUnionBR.ColumnRef = ColRefs.ColumnRef AND MainUnionBR.FormRef = ColRefs.FormRef AND MainUnionBR.YearCode = ColRefs.YearCode AND RowRefs.FormRef = MainUnionBR.FormRef AND RowRefs.RowRef = MainUnionBR.RowRef AND RowRefs.YearCode = MainUnionBR.YearCode AND ((MainUnionBR.YearCode=202324) AND (MainUnionBR.FormRef='BR1') AND (MainUnionBR.RowRef=$5) OR (MainUnionBR.YearCode=202324) AND (MainUnionBR.FormRef='BR1') AND (MainUnionBR.RowRef=$7) OR (MainUnionBR.YearCode=202324) AND (MainUnionBR.FormRef='BR1') AND (MainUnionBR.RowRef=$16))"/>
  </connection>
</connections>
</file>

<file path=xl/sharedStrings.xml><?xml version="1.0" encoding="utf-8"?>
<sst xmlns="http://schemas.openxmlformats.org/spreadsheetml/2006/main" count="1748" uniqueCount="1593">
  <si>
    <t>Canolfan Rheidol, Rhodfa Padarn</t>
  </si>
  <si>
    <t>Llanbadarn Fawr,</t>
  </si>
  <si>
    <t>SY23 3UE</t>
  </si>
  <si>
    <t>Emma Evans</t>
  </si>
  <si>
    <t>emma.evans@pembrokeshire.gov.uk</t>
  </si>
  <si>
    <t>Cathays Park,</t>
  </si>
  <si>
    <t>CARDIFF,</t>
  </si>
  <si>
    <t>CF10 3NQ.</t>
  </si>
  <si>
    <t>SECTION A - Council tax</t>
  </si>
  <si>
    <t>(1)</t>
  </si>
  <si>
    <t>(2)</t>
  </si>
  <si>
    <t>County and County borough councils only</t>
  </si>
  <si>
    <t>Council tax arrears</t>
  </si>
  <si>
    <t>All amounts are to be net of council tax benefits (see notes)</t>
  </si>
  <si>
    <t>In-year debit for the year</t>
  </si>
  <si>
    <t>of which:</t>
  </si>
  <si>
    <t>Amount originally budgeted to be collected for the year when the council tax was set</t>
  </si>
  <si>
    <t>SECTION B - Non-domestic rates</t>
  </si>
  <si>
    <t>NDR collection rate  (%) (line 11 / line 10.5 x 100)</t>
  </si>
  <si>
    <t>YearCode</t>
  </si>
  <si>
    <t>FormRef</t>
  </si>
  <si>
    <t>RowRef</t>
  </si>
  <si>
    <t>ColumnRef</t>
  </si>
  <si>
    <t>AuthCode</t>
  </si>
  <si>
    <t>Data</t>
  </si>
  <si>
    <t>CTC</t>
  </si>
  <si>
    <t>Authority Details:</t>
  </si>
  <si>
    <t>Addresses:</t>
  </si>
  <si>
    <t>SQL</t>
  </si>
  <si>
    <t>P:\statshare\LGF\Statistics\Admin\ContactDetails.mdb</t>
  </si>
  <si>
    <t>Index</t>
  </si>
  <si>
    <t>UACode</t>
  </si>
  <si>
    <t>UAName</t>
  </si>
  <si>
    <t>Address1</t>
  </si>
  <si>
    <t>Address2</t>
  </si>
  <si>
    <t>Address3</t>
  </si>
  <si>
    <t>Address4</t>
  </si>
  <si>
    <t>Postcode</t>
  </si>
  <si>
    <t>Cyngor Sir Ynys Môn</t>
  </si>
  <si>
    <t>Llangefni</t>
  </si>
  <si>
    <t>Ynys Môn</t>
  </si>
  <si>
    <t/>
  </si>
  <si>
    <t>LL77 7TW</t>
  </si>
  <si>
    <t>Geraint Jones</t>
  </si>
  <si>
    <t>ghjfi@ynysmon.gov.uk</t>
  </si>
  <si>
    <t>Cyngor Gwynedd</t>
  </si>
  <si>
    <t>Swyddfa'r Cyngor</t>
  </si>
  <si>
    <t>Caernarfon</t>
  </si>
  <si>
    <t>Gwynedd</t>
  </si>
  <si>
    <t>LL55 1SH</t>
  </si>
  <si>
    <t>Conwy County Borough Council</t>
  </si>
  <si>
    <t>Bodlondeb</t>
  </si>
  <si>
    <t>Bangor Road</t>
  </si>
  <si>
    <t>Conwy</t>
  </si>
  <si>
    <t>LL32 8DU</t>
  </si>
  <si>
    <t>Denbighshire County Council</t>
  </si>
  <si>
    <t>Wynnstay Road</t>
  </si>
  <si>
    <t>Ruthin</t>
  </si>
  <si>
    <t>Denbighshire</t>
  </si>
  <si>
    <t>Flintshire County Council</t>
  </si>
  <si>
    <t>County Hall</t>
  </si>
  <si>
    <t>Mold</t>
  </si>
  <si>
    <t>Flintshire</t>
  </si>
  <si>
    <t>CH7 6NB</t>
  </si>
  <si>
    <t>Wrexham County Borough Council</t>
  </si>
  <si>
    <t>Lambpit Street</t>
  </si>
  <si>
    <t>Wrexham</t>
  </si>
  <si>
    <t>LL11 1AR</t>
  </si>
  <si>
    <t>Powys County Council</t>
  </si>
  <si>
    <t>Llandrindod Wells</t>
  </si>
  <si>
    <t>Powys</t>
  </si>
  <si>
    <t>LD1 5LG</t>
  </si>
  <si>
    <t>Ceredigion County Council</t>
  </si>
  <si>
    <t>Aberystwyth</t>
  </si>
  <si>
    <t>Ceredigion</t>
  </si>
  <si>
    <t>Iain Marshalsay</t>
  </si>
  <si>
    <t>iainm@ceredigion.gov.uk</t>
  </si>
  <si>
    <t>Pembrokeshire County Council</t>
  </si>
  <si>
    <t>Haverfordwest</t>
  </si>
  <si>
    <t>Pembrokeshire</t>
  </si>
  <si>
    <t>SA61 1TP</t>
  </si>
  <si>
    <t>Carmarthenshire County Council</t>
  </si>
  <si>
    <t>Carmarthen</t>
  </si>
  <si>
    <t>Carmarthenshire</t>
  </si>
  <si>
    <t>SA31 1JP</t>
  </si>
  <si>
    <t>City and County of Swansea</t>
  </si>
  <si>
    <t>Oystermouth Road</t>
  </si>
  <si>
    <t>Swansea</t>
  </si>
  <si>
    <t>SA1 3SN</t>
  </si>
  <si>
    <t>Neath Port Talbot County Borough Council</t>
  </si>
  <si>
    <t>Civic Centre</t>
  </si>
  <si>
    <t>Port Talbot</t>
  </si>
  <si>
    <t>SA13 1PJ</t>
  </si>
  <si>
    <t>Bridgend County Borough Council</t>
  </si>
  <si>
    <t>PO Box 4</t>
  </si>
  <si>
    <t>Civic Offices</t>
  </si>
  <si>
    <t>Angel Street</t>
  </si>
  <si>
    <t>Bridgend</t>
  </si>
  <si>
    <t>The Vale of Glamorgan Council</t>
  </si>
  <si>
    <t>Holton Road</t>
  </si>
  <si>
    <t>Barry</t>
  </si>
  <si>
    <t>CF63 4RU</t>
  </si>
  <si>
    <t>Rhondda, Cynon, Taff C.B.C.</t>
  </si>
  <si>
    <t>Bronwydd</t>
  </si>
  <si>
    <t>Porth</t>
  </si>
  <si>
    <t>Rhondda</t>
  </si>
  <si>
    <t>CF39 9DL</t>
  </si>
  <si>
    <t>Merthyr Tydfil County Borough Council</t>
  </si>
  <si>
    <t>Castle Street</t>
  </si>
  <si>
    <t>Merthyr Tydfil</t>
  </si>
  <si>
    <t>CF47 8AN</t>
  </si>
  <si>
    <t>Caerphilly County Borough Council</t>
  </si>
  <si>
    <t>Ystrad Mynach</t>
  </si>
  <si>
    <t>Blaenau Gwent County Borough Council</t>
  </si>
  <si>
    <t>Municipal Offices</t>
  </si>
  <si>
    <t>Ebbw Vale</t>
  </si>
  <si>
    <t>NP3 6XB</t>
  </si>
  <si>
    <t>Dave Elias</t>
  </si>
  <si>
    <t>dave.elias@blaenau-gwent.gov.uk</t>
  </si>
  <si>
    <t>Torfaen County Borough Council</t>
  </si>
  <si>
    <t>Mr Nigel Aurelius</t>
  </si>
  <si>
    <t>Pontypool</t>
  </si>
  <si>
    <t>Torfaen</t>
  </si>
  <si>
    <t>NP4 6YB</t>
  </si>
  <si>
    <t>Sharon Lear</t>
  </si>
  <si>
    <t>sharon.lear@torfaen.gov.uk</t>
  </si>
  <si>
    <t>Monmouthshire County Council</t>
  </si>
  <si>
    <t>Newport City Council</t>
  </si>
  <si>
    <t>Newport</t>
  </si>
  <si>
    <t>NP20 4UR</t>
  </si>
  <si>
    <t>The City and County of Cardiff</t>
  </si>
  <si>
    <t>Atlantic Wharf</t>
  </si>
  <si>
    <t>Cardiff</t>
  </si>
  <si>
    <t>CF1 5UW</t>
  </si>
  <si>
    <t>Total arrears brought forward at the start of the year</t>
  </si>
  <si>
    <t>Total amount due in year (line 1 + line 2):</t>
  </si>
  <si>
    <t xml:space="preserve">   Arrears outstanding at the end of the year (line 3 - line 4 - line 5)</t>
  </si>
  <si>
    <t>Please email the spreadsheet to the address below, please note that we no longer require a signed hard-copy of this return.</t>
  </si>
  <si>
    <t>Matthew Phillips</t>
  </si>
  <si>
    <t>matthew.d.phillips@rhondda-cynon-taff.gov.uk</t>
  </si>
  <si>
    <t>In-year council tax</t>
  </si>
  <si>
    <t>Please select your authority</t>
  </si>
  <si>
    <t>%</t>
  </si>
  <si>
    <t>Monmouthshire</t>
  </si>
  <si>
    <t>BR1</t>
  </si>
  <si>
    <t>Tolerance</t>
  </si>
  <si>
    <t>Key</t>
  </si>
  <si>
    <t>Difference</t>
  </si>
  <si>
    <t>1.00</t>
  </si>
  <si>
    <t>7.000</t>
  </si>
  <si>
    <t>AuthorityName</t>
  </si>
  <si>
    <t>CFOName</t>
  </si>
  <si>
    <t>CFOEMail</t>
  </si>
  <si>
    <t>CTCName</t>
  </si>
  <si>
    <t>CTCSTDCode</t>
  </si>
  <si>
    <t>CTCNumber</t>
  </si>
  <si>
    <t>CTCEMail</t>
  </si>
  <si>
    <t>Swyddfeydd y Cyngor</t>
  </si>
  <si>
    <t>Stryd y Jêl</t>
  </si>
  <si>
    <t>LL15 1YN</t>
  </si>
  <si>
    <t>Vale of Glamorgan Council</t>
  </si>
  <si>
    <t>Penallta House</t>
  </si>
  <si>
    <t>Tredomen Park</t>
  </si>
  <si>
    <t>CF82 7PG</t>
  </si>
  <si>
    <t>Nigel.aurelius@torfaen.gov.uk</t>
  </si>
  <si>
    <t>Year:</t>
  </si>
  <si>
    <t>Code:</t>
  </si>
  <si>
    <t>Row</t>
  </si>
  <si>
    <t>Col.</t>
  </si>
  <si>
    <t>Form</t>
  </si>
  <si>
    <t>5.000</t>
  </si>
  <si>
    <t>16.000</t>
  </si>
  <si>
    <t>Percentage</t>
  </si>
  <si>
    <t>Arrears brought forward</t>
  </si>
  <si>
    <t>6.000</t>
  </si>
  <si>
    <t>BR1, line 5 (£K)</t>
  </si>
  <si>
    <t>3</t>
  </si>
  <si>
    <t>2</t>
  </si>
  <si>
    <t>4</t>
  </si>
  <si>
    <t>7</t>
  </si>
  <si>
    <t>Amount received in relation to the total amount due</t>
  </si>
  <si>
    <t>Validation checks</t>
  </si>
  <si>
    <t>Amount received compared to amount originally budgeted to be collected</t>
  </si>
  <si>
    <t>Amount received as a percentage of amount due</t>
  </si>
  <si>
    <t>+ Line 16 (£K)</t>
  </si>
  <si>
    <t>8</t>
  </si>
  <si>
    <t>Amount received as a % of amount due with BR1 equivalent</t>
  </si>
  <si>
    <t>8.000</t>
  </si>
  <si>
    <t>3.00</t>
  </si>
  <si>
    <t>BR1, line 7</t>
  </si>
  <si>
    <t>Totals</t>
  </si>
  <si>
    <t>1</t>
  </si>
  <si>
    <t>In-year debit compared to amount originally budgeted to be collected</t>
  </si>
  <si>
    <t>ARREARS OF COUNCIL TAX</t>
  </si>
  <si>
    <t>YEAR ON YEAR COMPARISON</t>
  </si>
  <si>
    <t>IN-YEAR COUNCIL TAX</t>
  </si>
  <si>
    <t>CTC, row 7</t>
  </si>
  <si>
    <t>Amount originally budgeted (row 7)</t>
  </si>
  <si>
    <t>CTC, row 8</t>
  </si>
  <si>
    <t>2.00</t>
  </si>
  <si>
    <t>+/- 99k</t>
  </si>
  <si>
    <t>&gt;30%</t>
  </si>
  <si>
    <t>+/- 1k</t>
  </si>
  <si>
    <t>row 2 &gt;= row 7</t>
  </si>
  <si>
    <t>Andrew Griffiths</t>
  </si>
  <si>
    <t>andrewg@powys.gov.uk</t>
  </si>
  <si>
    <t>Set cells below to grey</t>
  </si>
  <si>
    <t>Line 4 as a % of total amount due: (line 4 / line 3 x 100)</t>
  </si>
  <si>
    <t>Line 4 as a % of budgeted amount: (line 4 / line 7 x 100)</t>
  </si>
  <si>
    <t>Debit for the year (row 2, col. 2)</t>
  </si>
  <si>
    <t>Received (row 4, col. 2)</t>
  </si>
  <si>
    <t>Total amount due (row 3, col. 2)</t>
  </si>
  <si>
    <t>Please comment below if necessary</t>
  </si>
  <si>
    <t>Form Design</t>
  </si>
  <si>
    <t>Validation</t>
  </si>
  <si>
    <t>Documentation</t>
  </si>
  <si>
    <t>General Comments</t>
  </si>
  <si>
    <t>Survey Response Burden</t>
  </si>
  <si>
    <t>Please enter the time it has taken you (and any colleagues) to prepare and send the return.</t>
  </si>
  <si>
    <t>Please only include time spent on activities to prepare and send this return, such as:</t>
  </si>
  <si>
    <t>● collection, analysis and aggregation of records and data required;</t>
  </si>
  <si>
    <t>● completing, checking, amending and approving the form.</t>
  </si>
  <si>
    <t>Hours taken</t>
  </si>
  <si>
    <t>Please feel free to add any comments</t>
  </si>
  <si>
    <t>The information on this form must be submitted to the Welsh Government under section 65 of the Local Government and Housing Act 1989.</t>
  </si>
  <si>
    <t>Knowledge and Analytical Services,</t>
  </si>
  <si>
    <t>Welsh Government,</t>
  </si>
  <si>
    <t xml:space="preserve">The Welsh Government are monitoring the burden of completing this data collection form. </t>
  </si>
  <si>
    <t>It is a Welsh Government audit requirement that all cells are completed.  Please ensure that all blank cells are populated with zeros, those that are not will be assumed to be zero.</t>
  </si>
  <si>
    <t>Local Government Finance Statistics,</t>
  </si>
  <si>
    <t xml:space="preserve">   Received in-year</t>
  </si>
  <si>
    <t xml:space="preserve">   Written off as bad debts in-year</t>
  </si>
  <si>
    <t>Estimated in-year net collectable debit</t>
  </si>
  <si>
    <t>Receipts of in-year non-domestic rates (net of refunds)</t>
  </si>
  <si>
    <t>1st Floor</t>
  </si>
  <si>
    <t>Lisa Case</t>
  </si>
  <si>
    <t>lisa.case@wrexham.gov.uk</t>
  </si>
  <si>
    <t>Mike Parry</t>
  </si>
  <si>
    <t>Rhadyr</t>
  </si>
  <si>
    <t>Usk</t>
  </si>
  <si>
    <t>NP15 1GA</t>
  </si>
  <si>
    <t>Meirion.Rushworth@newport.gov.uk</t>
  </si>
  <si>
    <t>Gary Ferguson</t>
  </si>
  <si>
    <t>Jonathan Haswell</t>
  </si>
  <si>
    <t>Mr Chris Moore</t>
  </si>
  <si>
    <t>Meirion Rushworth</t>
  </si>
  <si>
    <t>gary.ferguson@flintshire.gov.uk</t>
  </si>
  <si>
    <t>Jonathan.Haswell@pembrokeshire.gov.uk</t>
  </si>
  <si>
    <t>CMoore@carmarthenshire.gov.uk</t>
  </si>
  <si>
    <t>English / Saesneg</t>
  </si>
  <si>
    <t>Text Conversion Tables</t>
  </si>
  <si>
    <t>English Text</t>
  </si>
  <si>
    <t>Welsh Text</t>
  </si>
  <si>
    <t>Display Text</t>
  </si>
  <si>
    <t>FrontPage</t>
  </si>
  <si>
    <t>Page 1</t>
  </si>
  <si>
    <t>We are continually striving to improve the form to make it easier to complete, whilst still ensuring data integrity and consistency across all authorities. If you have any comments or suggestions that may be useful,  please note them below:</t>
  </si>
  <si>
    <t>Comments</t>
  </si>
  <si>
    <t>Validations</t>
  </si>
  <si>
    <t>Please Comment</t>
  </si>
  <si>
    <t>Clear</t>
  </si>
  <si>
    <t>Cynghorau Sir a Bwrdeistref Sirol yn unig</t>
  </si>
  <si>
    <t>Enw cyswllt:</t>
  </si>
  <si>
    <t>E-bost cyswllt:</t>
  </si>
  <si>
    <t>Rhif ffôn:</t>
  </si>
  <si>
    <t>Mae'n rhaid i'r wybodaeth ar y ffurflen hon gael ei chyflwyno i Lywodraeth Cymru o dan adran 65 o Ddeddf Llywodraeth Leol a Thai 1989.</t>
  </si>
  <si>
    <t>Anfonwch y daenlen drwy e-bost i'r cyfeiriad isod. Nodwch nad oes angen copi caled wedi'i lofnodi o'r ffurflen hon arnom bellach.</t>
  </si>
  <si>
    <t>Mae gofynion archwilio Llywodraeth Cymru yn golygu bod rhaid llenwi'r holl gelloedd. Sicrhewch bod sero yn cael ei roi ym mhob cell gwag. Os na fydd sero yn cael ei roi mewn cell, tybir y dylai gynnwys sero.</t>
  </si>
  <si>
    <t>Ystadegau Cyllid Llywodraeth Leol,</t>
  </si>
  <si>
    <t>Gwasanaethau Gwybodaeth a Dadansoddi,</t>
  </si>
  <si>
    <t>Llywodraeth Cymru,</t>
  </si>
  <si>
    <t>Parc Cathays,</t>
  </si>
  <si>
    <t>CAERDYDD,</t>
  </si>
  <si>
    <t>E-mail:</t>
  </si>
  <si>
    <t>E-bost:</t>
  </si>
  <si>
    <t>ADRAN A – y Dreth Gyngor</t>
  </si>
  <si>
    <t>Ôl-ddyledion y dreth gyngor</t>
  </si>
  <si>
    <t>Y dreth gyngor yn ystod y flwyddyn</t>
  </si>
  <si>
    <t>Ni ddylai'r holl symiau gynnwys buddion y dreth gyngor (gweler y nodiadau)</t>
  </si>
  <si>
    <t>Cyfanswm yr ôl-ddyledion a gafodd eu dwyn ymlaen ar ddechrau'r flwyddyn</t>
  </si>
  <si>
    <t>Cyfanswm y debyd yn ystod y flwyddyn</t>
  </si>
  <si>
    <t>Y cyfanswm sy'n ddyledus mewn blwyddyn (llinell 1 + llinell 2):</t>
  </si>
  <si>
    <t>ac o hynny:</t>
  </si>
  <si>
    <t xml:space="preserve">   Y swm a gafwyd yn ystod y flwyddyn</t>
  </si>
  <si>
    <t xml:space="preserve">   Y swm a gafodd ei ddileu fel dyled ddrwg yn ystod y flwyddyn</t>
  </si>
  <si>
    <t xml:space="preserve">Y swm yn y gyllideb yn wreiddiol i'w gasglu ar gyfer y flwyddyn pan osodwyd y dreth gyngor </t>
  </si>
  <si>
    <t>Llinell 4 fel % o'r cyfanswm sy'n ddyledus: (llinell 4 / llinell 3 x 100)</t>
  </si>
  <si>
    <t>Llinell 4 fel % o'r swm yn y gyllideb: (llinell 4 / llinell 7 x 100)</t>
  </si>
  <si>
    <t>ADRAN B – Ardrethi annomestig</t>
  </si>
  <si>
    <t>Amcangyfrif o ddebyd net sydd i'w gasglu yn ystod y flwyddyn</t>
  </si>
  <si>
    <t xml:space="preserve">Derbyniadau ardrethi annomestig yn ystod y flwyddyn (heb gynnwys ad-daliadau) </t>
  </si>
  <si>
    <t>Derbyniadau ardrethi annomestig ar gyfer blynyddoedd cynharach (heb gynnwys ad-daliadau)</t>
  </si>
  <si>
    <t>Receipts of non-domestic rates for earlier years (net of refunds)</t>
  </si>
  <si>
    <t xml:space="preserve">Rydym bob amser yn ceisio gwella'r ffurflen i'w gwneud yn rhwyddach i'w llenwi, gan barhau i sicrhau uniondeb data a chysondeb ar gyfer yr holl awdurdodau. Os oes gennych unrhyw sylwadau neu awgrymiadau a allai fod yn ddefnyddiol, nodwch nhw isod: </t>
  </si>
  <si>
    <t>Dyluniad y ffurflen</t>
  </si>
  <si>
    <t>Dilysu</t>
  </si>
  <si>
    <t>Dogfennaeth</t>
  </si>
  <si>
    <t>Sylwadau cyffredinol</t>
  </si>
  <si>
    <t>Y Baich o Ymateb i'r Arolwg</t>
  </si>
  <si>
    <t xml:space="preserve">Mae Llywodraeth Cymru yn monitro'r baich o lenwi'r ffurflen gasglu data hon. </t>
  </si>
  <si>
    <t xml:space="preserve">Nodwch yr amser a gymerwyd gennych chi (ac unrhyw gydweithiwr) i baratoi ac anfon y ffurflen. </t>
  </si>
  <si>
    <t>Dylech gynnwys yr amser a dreuliwyd ar weithgarwch i baratoi ac anfon y ffurflen hon yn unig, megis:</t>
  </si>
  <si>
    <t>● casglu, dadansoddi a chrynhoi'r cofnodion a'r data gofynnol</t>
  </si>
  <si>
    <t>● cwblhau, gwirio, diwygio a chymeradwyo'r ffurflen.</t>
  </si>
  <si>
    <t>Nifer yr oriau</t>
  </si>
  <si>
    <t>Mae croeso i chi ychwanegu unrhyw sylwadau</t>
  </si>
  <si>
    <t>Cyfradd casglu ardrethi annomestig (%) (llinell 11 / llinell 10.5 x 100)</t>
  </si>
  <si>
    <t>Gwiriadau dilysu</t>
  </si>
  <si>
    <t>Goddefiant</t>
  </si>
  <si>
    <t>Rhowch sylw isod os oes angen</t>
  </si>
  <si>
    <t>ÔL-DDYLEDION Y DRETH GYNGOR</t>
  </si>
  <si>
    <t>Gwahaniaeth</t>
  </si>
  <si>
    <t>Rhowch sylw</t>
  </si>
  <si>
    <t>CYMHARU'R NAILL FLWYDDYN AR ÔL Y LLALL</t>
  </si>
  <si>
    <t>Y DRETH GYNGOR YN YSTOD Y FLWYDDYN</t>
  </si>
  <si>
    <t>Canran</t>
  </si>
  <si>
    <t>Dyled yn ystod y flwyddyn o gymharu â'r swm yn y gyllideb yn wreiddiol i'w gasglu</t>
  </si>
  <si>
    <t>Cyfanswm y debyd ar gyfer y flwyddyn (rhes 2, colofn 2)</t>
  </si>
  <si>
    <t>Y swm a nodwyd yn y gyllideb yn wreiddiol (rhes 7)</t>
  </si>
  <si>
    <t>Y swm a gafwyd fel canran o'r swm sy'n ddyledus</t>
  </si>
  <si>
    <t>Y swm a gafwyd (rhes 4, colofn 2)</t>
  </si>
  <si>
    <t>rhes 2 &gt;= rhes 7</t>
  </si>
  <si>
    <t>Y cyfanswm sy'n ddyledus (rhes 3, colofn 2)</t>
  </si>
  <si>
    <t>Y swm a gafwyd o gymharu â'r swm i'w gasglu o'r gyllideb wreiddiol</t>
  </si>
  <si>
    <t>+ rhes 10</t>
  </si>
  <si>
    <t>Cyfanswm</t>
  </si>
  <si>
    <t>BR1, llinell 5 (£K)</t>
  </si>
  <si>
    <t>+ llinell 16 (£K)</t>
  </si>
  <si>
    <t>Y swm a gafwyd fel % o'r swm sy'n ddyledus gyfwerth â BR1</t>
  </si>
  <si>
    <t>BR1, llinell 7</t>
  </si>
  <si>
    <t>CTC, rhes 8</t>
  </si>
  <si>
    <t>CTC, rhes 7</t>
  </si>
  <si>
    <t>to</t>
  </si>
  <si>
    <t>i</t>
  </si>
  <si>
    <t>Marc Jones</t>
  </si>
  <si>
    <t>MarcJones@ynysmon.gov.uk</t>
  </si>
  <si>
    <t>Carys Lord</t>
  </si>
  <si>
    <t>barrie.j.davies@rctcbc.gov.uk</t>
  </si>
  <si>
    <t>Editable area</t>
  </si>
  <si>
    <t>£ thousand</t>
  </si>
  <si>
    <t>£ miloedd</t>
  </si>
  <si>
    <t>Man y gellid ei olygu</t>
  </si>
  <si>
    <t>Clir</t>
  </si>
  <si>
    <t>For Welsh government use only</t>
  </si>
  <si>
    <t>Dewiswch eich awdurdod</t>
  </si>
  <si>
    <t>Cyngor Bwrdeistref Sirol Conwy</t>
  </si>
  <si>
    <t>Cyngor Sir Ddinbych</t>
  </si>
  <si>
    <t>Cyngor Sir y Fflint</t>
  </si>
  <si>
    <t>Cyngor Bwrdeistref Sirol Wrecsam</t>
  </si>
  <si>
    <t>Cyngor Sir Powys</t>
  </si>
  <si>
    <t>Cyngor Sir Ceredigion</t>
  </si>
  <si>
    <t>Cyngor Sir Penfro</t>
  </si>
  <si>
    <t>Cyngor Sir Gaerfyrddin</t>
  </si>
  <si>
    <t>Cyngor Dinas a Sir Abertawe</t>
  </si>
  <si>
    <t>Cyngor Bwrdeistref Sirol Castell-Nedd Port Talbot</t>
  </si>
  <si>
    <t>Cyngor Bwrdeistref Sirol Pen-y-Bont ar Ogwr</t>
  </si>
  <si>
    <t>Cyngor Bro Morgannwg</t>
  </si>
  <si>
    <t>Cyngor Bwrdeistref Sirol Rhondda Cynon Taf</t>
  </si>
  <si>
    <t>Cyngor Bwrdeistref Sirol Merthyr Tudful</t>
  </si>
  <si>
    <t>Cyngor Bwrdeistref Sirol Caerffili</t>
  </si>
  <si>
    <t>Cyngor Bwrdeistref Sirol Blaenau Gwent</t>
  </si>
  <si>
    <t>Cyngor Bwrdeistref Sirol Torfaen</t>
  </si>
  <si>
    <t>Cyngor Sir Fynwy</t>
  </si>
  <si>
    <t>Cyngor Dinas Casnewydd</t>
  </si>
  <si>
    <t>Cyngor Dinas Caerdydd</t>
  </si>
  <si>
    <t>Current language dropdown selection</t>
  </si>
  <si>
    <t>0300 025 9169 or 0300 025 5673</t>
  </si>
  <si>
    <t>Any queries on completion of the form or spreadsheet should be directed to Bruce Anderson or Frank Kelly, via telephone, e-mail as directed below.</t>
  </si>
  <si>
    <t>Ôl-ddyledion a ddygwyd ymlaen</t>
  </si>
  <si>
    <t>Dylid cyfeirio unrhyw ymholiadau ynghylch llenwi'r ffurflen neu'r daenlen at Bruce Anderson neu Frank Kelly, dros y ffôn neu drwy e-bost fel y nodir isod.</t>
  </si>
  <si>
    <t>The City of Cardiff Council</t>
  </si>
  <si>
    <t>Ben Smith</t>
  </si>
  <si>
    <t>Ben.Smith@swansea.gov.uk</t>
  </si>
  <si>
    <t>Julian Morgans</t>
  </si>
  <si>
    <t>julian.morgans@swansea.gov.uk</t>
  </si>
  <si>
    <t>gill.lewis@bridgend.gov.uk</t>
  </si>
  <si>
    <t>reverting to Geraint Jones next year</t>
  </si>
  <si>
    <t>iain is p/time. Send to: rhodri.morris (633163)</t>
  </si>
  <si>
    <t>Was Nick Johns, now Emma Evans dealing with it 23.5.11</t>
  </si>
  <si>
    <t>LGFS.Transfer@gov.wales</t>
  </si>
  <si>
    <t>YCLLL.trosglwyddo@llyw.cymru</t>
  </si>
  <si>
    <t>CTCNotes</t>
  </si>
  <si>
    <t>YOY Figures</t>
  </si>
  <si>
    <t>Auto</t>
  </si>
  <si>
    <t>Check</t>
  </si>
  <si>
    <t>Status</t>
  </si>
  <si>
    <t>mark</t>
  </si>
  <si>
    <t>value</t>
  </si>
  <si>
    <t>CTCPrev</t>
  </si>
  <si>
    <t>Your comments</t>
  </si>
  <si>
    <t>Our comments</t>
  </si>
  <si>
    <t>signed by</t>
  </si>
  <si>
    <t>date</t>
  </si>
  <si>
    <t>DataY1</t>
  </si>
  <si>
    <t>DataY2</t>
  </si>
  <si>
    <t>DataY3</t>
  </si>
  <si>
    <t>Mark</t>
  </si>
  <si>
    <t>Your Comments</t>
  </si>
  <si>
    <t>Our Comments</t>
  </si>
  <si>
    <t>Initials</t>
  </si>
  <si>
    <t>Date</t>
  </si>
  <si>
    <t>YOYOut</t>
  </si>
  <si>
    <t>Lookup</t>
  </si>
  <si>
    <t>ColRef</t>
  </si>
  <si>
    <t>OurComments</t>
  </si>
  <si>
    <t>signed</t>
  </si>
  <si>
    <t>YOYIn</t>
  </si>
  <si>
    <t>Bilingual text for YOY Validation Table</t>
  </si>
  <si>
    <t>English</t>
  </si>
  <si>
    <t>Welsh</t>
  </si>
  <si>
    <t>select</t>
  </si>
  <si>
    <t>dewiswch</t>
  </si>
  <si>
    <t>row</t>
  </si>
  <si>
    <t>rhes</t>
  </si>
  <si>
    <t>column</t>
  </si>
  <si>
    <t>colofn</t>
  </si>
  <si>
    <t>row description (sum lines shown in bold)</t>
  </si>
  <si>
    <t>disgrifiad rhes (Llinellau swm a ddangosir mewn print trwm)</t>
  </si>
  <si>
    <t>prisio</t>
  </si>
  <si>
    <t>type</t>
  </si>
  <si>
    <t>deipio</t>
  </si>
  <si>
    <t>auto</t>
  </si>
  <si>
    <t>awto</t>
  </si>
  <si>
    <t>marcio</t>
  </si>
  <si>
    <t>check</t>
  </si>
  <si>
    <t>wirio</t>
  </si>
  <si>
    <t>status</t>
  </si>
  <si>
    <t>statws</t>
  </si>
  <si>
    <t>Eich sylwadau</t>
  </si>
  <si>
    <t>Ein sylwadau</t>
  </si>
  <si>
    <t>arwydd gan</t>
  </si>
  <si>
    <t>dyddiad</t>
  </si>
  <si>
    <t>difference</t>
  </si>
  <si>
    <t>gwahaniaeth</t>
  </si>
  <si>
    <t>tolerance:</t>
  </si>
  <si>
    <t>goddefiant:</t>
  </si>
  <si>
    <t>zero?</t>
  </si>
  <si>
    <t>sero?</t>
  </si>
  <si>
    <t>Cyfansymiau</t>
  </si>
  <si>
    <t>Any totals not = zero in column "V" will be flagged in 'auto' column and highlighted in red.</t>
  </si>
  <si>
    <t>Bydd unrhyw gyfanswmiau nad sy’n = sero yng ngholofn ‘V’ yn  cael ei farcio yn y golofn ‘Awtomatig’ a’I amlinellu yn goch.</t>
  </si>
  <si>
    <t>Arithmetic Checks</t>
  </si>
  <si>
    <t>Gwiriadau Rhifyddol</t>
  </si>
  <si>
    <t>Ffigyrau blwyddyn-wrth-flwyddyn</t>
  </si>
  <si>
    <t>Please follow the instructions below when completing this page:</t>
  </si>
  <si>
    <t>Dilynwch y cyfarwyddiadau isod wrth lenwi'r dudalen hon:</t>
  </si>
  <si>
    <t>Val No</t>
  </si>
  <si>
    <t>dilysu rhif</t>
  </si>
  <si>
    <t>Tolerance Levels</t>
  </si>
  <si>
    <t>Goddefiant Rhagosodau</t>
  </si>
  <si>
    <t>Value</t>
  </si>
  <si>
    <t>Prisio</t>
  </si>
  <si>
    <t>Validation Key</t>
  </si>
  <si>
    <t>Allwedd dilysu</t>
  </si>
  <si>
    <t>Figure</t>
  </si>
  <si>
    <t>Ffigwr</t>
  </si>
  <si>
    <t>Result</t>
  </si>
  <si>
    <t>Canlyniad</t>
  </si>
  <si>
    <t>Please add information to the 'Your Comments' field for any flagged figures and/or any selected in the 'Check' column</t>
  </si>
  <si>
    <t>Ychwanegwch wybodaeth at y maes 'Eich Sylwadau' ar gyfer unrhyw ffigurau sydd wedi'u fflagio a/neu unrhyw ffigurau dan sylw yn y golofn 'Gwirio'.</t>
  </si>
  <si>
    <t>Displayed Text</t>
  </si>
  <si>
    <t xml:space="preserve">   Yr ôl-ddyledion heb eu talu ar ddiwedd y flwyddyn (llinell 3 - llinell 4 - llinell 5)</t>
  </si>
  <si>
    <t>Swm a dderbyniwyd mewn perthynas â swm y cyfanswm sy'n ddyledus</t>
  </si>
  <si>
    <t>---&gt;</t>
  </si>
  <si>
    <t>Deadline dates:</t>
  </si>
  <si>
    <t>Leah Gray</t>
  </si>
  <si>
    <t>leah.gray@denbighshire.gov.uk</t>
  </si>
  <si>
    <t>Jane Thomas</t>
  </si>
  <si>
    <t>jane.thomas@powys.gov.uk</t>
  </si>
  <si>
    <t>CF31 4WB</t>
  </si>
  <si>
    <t>Helen Rodgers</t>
  </si>
  <si>
    <t>Helen.Rodgers@bridgend.gov.uk</t>
  </si>
  <si>
    <t>Emma Johnson moved to Newport CC</t>
  </si>
  <si>
    <t>Mr Barrie Davies</t>
  </si>
  <si>
    <t>Mike.Parry@Merthyr.gov.uk</t>
  </si>
  <si>
    <t>John Carpenter, Sean O'Donnell</t>
  </si>
  <si>
    <t>863421 / 864013</t>
  </si>
  <si>
    <t>carpewj@caerphilly.gov.uk; odonns@caerphilly.gov.uk</t>
  </si>
  <si>
    <t>Rhian Hayden</t>
  </si>
  <si>
    <t>rhian.hayden@blaenau-gwent.gov.uk</t>
  </si>
  <si>
    <t>Peter Davies</t>
  </si>
  <si>
    <t>Peterdavies@monmouthshire.gov.uk</t>
  </si>
  <si>
    <t>Cymraeg / Welsh</t>
  </si>
  <si>
    <t xml:space="preserve">  DO NOT DELETE - this is the list for the Language Dropdown on FrontPage</t>
  </si>
  <si>
    <t>Received (row 4, col. 3)</t>
  </si>
  <si>
    <t>Total amount due (row 3, col. 3)</t>
  </si>
  <si>
    <t>Y swm a gafwyd (rhes 4, colofn 3)</t>
  </si>
  <si>
    <t>Y cyfanswm sy'n ddyledus (rhes 3, colofn 3)</t>
  </si>
  <si>
    <t>CTC, line 7 minus BR1 lines 5 + 16 (in thousands)</t>
  </si>
  <si>
    <t>CTC, llinell 7 minws llinellau 5 + 16 BR1 (mewn miloedd)</t>
  </si>
  <si>
    <t>Contact name:</t>
  </si>
  <si>
    <t>Contact E-mail:</t>
  </si>
  <si>
    <t>Telephone:</t>
  </si>
  <si>
    <t>Please select your authority and if necessary, amend any incorrect details</t>
  </si>
  <si>
    <t>Dewiswch eich awdurdod a cywirwch eich cyfeiriad os oes angen</t>
  </si>
  <si>
    <t>Link</t>
  </si>
  <si>
    <t>Dolen</t>
  </si>
  <si>
    <t xml:space="preserve">Year= </t>
  </si>
  <si>
    <t>Dewiswch eich awdurdod ar y dudalen flaen</t>
  </si>
  <si>
    <t>Please select your authority on the front page</t>
  </si>
  <si>
    <t>Cod:</t>
  </si>
  <si>
    <t>Authority:</t>
  </si>
  <si>
    <t>Awdurdod:</t>
  </si>
  <si>
    <t>Notes for guidance hyperlink:</t>
  </si>
  <si>
    <t>Hyperddolen canllawiau:</t>
  </si>
  <si>
    <t>+ row 10</t>
  </si>
  <si>
    <t xml:space="preserve">FK  Updated on: </t>
  </si>
  <si>
    <t xml:space="preserve">Bruce  Checked on: </t>
  </si>
  <si>
    <t xml:space="preserve">FK  Updated and checked on: </t>
  </si>
  <si>
    <t>Edward Bleddyn Jones</t>
  </si>
  <si>
    <t>edwardbleddynjones@gwynedd.llyw.cymru</t>
  </si>
  <si>
    <t>27/03/19 - Euryl now retired. BA. Replaced with Edward Bleddyn Jones</t>
  </si>
  <si>
    <t>Steve Gadd</t>
  </si>
  <si>
    <t>steve.gadd@denbighshire.gov.uk</t>
  </si>
  <si>
    <t>Stephen Harris</t>
  </si>
  <si>
    <t>HARRISR@CAERPHILLY.GOV.UK</t>
  </si>
  <si>
    <t>Emma Johnson</t>
  </si>
  <si>
    <t>Emma.Johnson@newport.gov.uk</t>
  </si>
  <si>
    <t>Mr Christopher Lee</t>
  </si>
  <si>
    <t>Christopher.lee@cardiff.gov.uk</t>
  </si>
  <si>
    <t>Sally Ormiston, Maria Maddar</t>
  </si>
  <si>
    <t>872290 (x/est. 72290)</t>
  </si>
  <si>
    <t>sormiston@cardiff.gov.uk; MAMaddar@cardiff.gov.uk</t>
  </si>
  <si>
    <t>Version</t>
  </si>
  <si>
    <t>Susan Plumb</t>
  </si>
  <si>
    <t>576447 / 576446</t>
  </si>
  <si>
    <t>susan.plumb@conwy.gov.uk</t>
  </si>
  <si>
    <t>Vicki Hankin</t>
  </si>
  <si>
    <t>vicki.j.hankin@flintshire.gov.uk</t>
  </si>
  <si>
    <t>Ann Hinder</t>
  </si>
  <si>
    <t>a.hinder@npt.gov.uk</t>
  </si>
  <si>
    <t>Paul Russell</t>
  </si>
  <si>
    <t>prussell@valeofglamorgan.gov.uk</t>
  </si>
  <si>
    <t>Deb Smith</t>
  </si>
  <si>
    <t>742359 (Internal 2359)</t>
  </si>
  <si>
    <t>deb.smith@torfaen.gov.uk</t>
  </si>
  <si>
    <t>Amanda Hughes</t>
  </si>
  <si>
    <t>amanda.hughes2@conwy.gov.uk</t>
  </si>
  <si>
    <t>Mr Richard Weigh</t>
  </si>
  <si>
    <t>Richard.weigh@wrexham.gov.uk</t>
  </si>
  <si>
    <t>Mr Huw Jones</t>
  </si>
  <si>
    <t>h.jones@npt.gov.uk</t>
  </si>
  <si>
    <t>202122CTC5121.0002.00</t>
  </si>
  <si>
    <t>202122CTC51210.5004.00</t>
  </si>
  <si>
    <t>202122CTC51211.0004.00</t>
  </si>
  <si>
    <t>202122CTC51212.0004.00</t>
  </si>
  <si>
    <t>202122CTC51212.5004.00</t>
  </si>
  <si>
    <t>202122CTC5122.0002.00</t>
  </si>
  <si>
    <t>202122CTC5122.0003.00</t>
  </si>
  <si>
    <t>202122CTC5123.0002.00</t>
  </si>
  <si>
    <t>202122CTC5123.0003.00</t>
  </si>
  <si>
    <t>202122CTC5124.0002.00</t>
  </si>
  <si>
    <t>202122CTC5124.0003.00</t>
  </si>
  <si>
    <t>202122CTC5125.0002.00</t>
  </si>
  <si>
    <t>202122CTC5125.0003.00</t>
  </si>
  <si>
    <t>202122CTC5126.0002.00</t>
  </si>
  <si>
    <t>202122CTC5126.0003.00</t>
  </si>
  <si>
    <t>202122CTC5127.0003.00</t>
  </si>
  <si>
    <t>202122CTC5128.0003.00</t>
  </si>
  <si>
    <t>202122CTC5129.0003.00</t>
  </si>
  <si>
    <t>202122CTC5141.0002.00</t>
  </si>
  <si>
    <t>202122CTC51410.5004.00</t>
  </si>
  <si>
    <t>202122CTC51411.0004.00</t>
  </si>
  <si>
    <t>202122CTC51412.0004.00</t>
  </si>
  <si>
    <t>202122CTC51412.5004.00</t>
  </si>
  <si>
    <t>202122CTC5142.0002.00</t>
  </si>
  <si>
    <t>202122CTC5142.0003.00</t>
  </si>
  <si>
    <t>202122CTC5143.0002.00</t>
  </si>
  <si>
    <t>202122CTC5143.0003.00</t>
  </si>
  <si>
    <t>202122CTC5144.0002.00</t>
  </si>
  <si>
    <t>202122CTC5144.0003.00</t>
  </si>
  <si>
    <t>202122CTC5145.0002.00</t>
  </si>
  <si>
    <t>202122CTC5145.0003.00</t>
  </si>
  <si>
    <t>202122CTC5146.0002.00</t>
  </si>
  <si>
    <t>202122CTC5146.0003.00</t>
  </si>
  <si>
    <t>202122CTC5147.0003.00</t>
  </si>
  <si>
    <t>202122CTC5148.0003.00</t>
  </si>
  <si>
    <t>202122CTC5149.0003.00</t>
  </si>
  <si>
    <t>202122CTC5161.0002.00</t>
  </si>
  <si>
    <t>202122CTC51610.5004.00</t>
  </si>
  <si>
    <t>202122CTC51611.0004.00</t>
  </si>
  <si>
    <t>202122CTC51612.0004.00</t>
  </si>
  <si>
    <t>202122CTC51612.5004.00</t>
  </si>
  <si>
    <t>202122CTC5162.0002.00</t>
  </si>
  <si>
    <t>202122CTC5162.0003.00</t>
  </si>
  <si>
    <t>202122CTC5163.0002.00</t>
  </si>
  <si>
    <t>202122CTC5163.0003.00</t>
  </si>
  <si>
    <t>202122CTC5164.0002.00</t>
  </si>
  <si>
    <t>202122CTC5164.0003.00</t>
  </si>
  <si>
    <t>202122CTC5165.0002.00</t>
  </si>
  <si>
    <t>202122CTC5165.0003.00</t>
  </si>
  <si>
    <t>202122CTC5166.0002.00</t>
  </si>
  <si>
    <t>202122CTC5166.0003.00</t>
  </si>
  <si>
    <t>202122CTC5167.0003.00</t>
  </si>
  <si>
    <t>202122CTC5168.0003.00</t>
  </si>
  <si>
    <t>202122CTC5169.0003.00</t>
  </si>
  <si>
    <t>202122CTC5181.0002.00</t>
  </si>
  <si>
    <t>202122CTC51810.5004.00</t>
  </si>
  <si>
    <t>202122CTC51811.0004.00</t>
  </si>
  <si>
    <t>202122CTC51812.0004.00</t>
  </si>
  <si>
    <t>202122CTC51812.5004.00</t>
  </si>
  <si>
    <t>202122CTC5182.0002.00</t>
  </si>
  <si>
    <t>202122CTC5182.0003.00</t>
  </si>
  <si>
    <t>202122CTC5183.0002.00</t>
  </si>
  <si>
    <t>202122CTC5183.0003.00</t>
  </si>
  <si>
    <t>202122CTC5184.0002.00</t>
  </si>
  <si>
    <t>202122CTC5184.0003.00</t>
  </si>
  <si>
    <t>202122CTC5185.0002.00</t>
  </si>
  <si>
    <t>202122CTC5185.0003.00</t>
  </si>
  <si>
    <t>202122CTC5186.0002.00</t>
  </si>
  <si>
    <t>202122CTC5186.0003.00</t>
  </si>
  <si>
    <t>202122CTC5187.0003.00</t>
  </si>
  <si>
    <t>202122CTC5188.0003.00</t>
  </si>
  <si>
    <t>202122CTC5189.0003.00</t>
  </si>
  <si>
    <t>202122CTC5201.0002.00</t>
  </si>
  <si>
    <t>202122CTC52010.5004.00</t>
  </si>
  <si>
    <t>202122CTC52011.0004.00</t>
  </si>
  <si>
    <t>202122CTC52012.0004.00</t>
  </si>
  <si>
    <t>202122CTC52012.5004.00</t>
  </si>
  <si>
    <t>202122CTC5202.0002.00</t>
  </si>
  <si>
    <t>202122CTC5202.0003.00</t>
  </si>
  <si>
    <t>202122CTC5203.0002.00</t>
  </si>
  <si>
    <t>202122CTC5203.0003.00</t>
  </si>
  <si>
    <t>202122CTC5204.0002.00</t>
  </si>
  <si>
    <t>202122CTC5204.0003.00</t>
  </si>
  <si>
    <t>202122CTC5205.0002.00</t>
  </si>
  <si>
    <t>202122CTC5205.0003.00</t>
  </si>
  <si>
    <t>202122CTC5206.0002.00</t>
  </si>
  <si>
    <t>202122CTC5206.0003.00</t>
  </si>
  <si>
    <t>202122CTC5207.0003.00</t>
  </si>
  <si>
    <t>202122CTC5208.0003.00</t>
  </si>
  <si>
    <t>202122CTC5209.0003.00</t>
  </si>
  <si>
    <t>202122CTC5221.0002.00</t>
  </si>
  <si>
    <t>202122CTC52210.5004.00</t>
  </si>
  <si>
    <t>202122CTC52211.0004.00</t>
  </si>
  <si>
    <t>202122CTC52212.0004.00</t>
  </si>
  <si>
    <t>202122CTC52212.5004.00</t>
  </si>
  <si>
    <t>202122CTC5222.0002.00</t>
  </si>
  <si>
    <t>202122CTC5222.0003.00</t>
  </si>
  <si>
    <t>202122CTC5223.0002.00</t>
  </si>
  <si>
    <t>202122CTC5223.0003.00</t>
  </si>
  <si>
    <t>202122CTC5224.0002.00</t>
  </si>
  <si>
    <t>202122CTC5224.0003.00</t>
  </si>
  <si>
    <t>202122CTC5225.0002.00</t>
  </si>
  <si>
    <t>202122CTC5225.0003.00</t>
  </si>
  <si>
    <t>202122CTC5226.0002.00</t>
  </si>
  <si>
    <t>202122CTC5226.0003.00</t>
  </si>
  <si>
    <t>202122CTC5227.0003.00</t>
  </si>
  <si>
    <t>202122CTC5228.0003.00</t>
  </si>
  <si>
    <t>202122CTC5229.0003.00</t>
  </si>
  <si>
    <t>202122CTC5241.0002.00</t>
  </si>
  <si>
    <t>202122CTC52410.5004.00</t>
  </si>
  <si>
    <t>202122CTC52411.0004.00</t>
  </si>
  <si>
    <t>202122CTC52412.0004.00</t>
  </si>
  <si>
    <t>202122CTC52412.5004.00</t>
  </si>
  <si>
    <t>202122CTC5242.0002.00</t>
  </si>
  <si>
    <t>202122CTC5242.0003.00</t>
  </si>
  <si>
    <t>202122CTC5243.0002.00</t>
  </si>
  <si>
    <t>202122CTC5243.0003.00</t>
  </si>
  <si>
    <t>202122CTC5244.0002.00</t>
  </si>
  <si>
    <t>202122CTC5244.0003.00</t>
  </si>
  <si>
    <t>202122CTC5245.0002.00</t>
  </si>
  <si>
    <t>202122CTC5245.0003.00</t>
  </si>
  <si>
    <t>202122CTC5246.0002.00</t>
  </si>
  <si>
    <t>202122CTC5246.0003.00</t>
  </si>
  <si>
    <t>202122CTC5247.0003.00</t>
  </si>
  <si>
    <t>202122CTC5248.0003.00</t>
  </si>
  <si>
    <t>202122CTC5249.0003.00</t>
  </si>
  <si>
    <t>202122CTC5261.0002.00</t>
  </si>
  <si>
    <t>202122CTC52610.5004.00</t>
  </si>
  <si>
    <t>202122CTC52611.0004.00</t>
  </si>
  <si>
    <t>202122CTC52612.0004.00</t>
  </si>
  <si>
    <t>202122CTC52612.5004.00</t>
  </si>
  <si>
    <t>202122CTC5262.0002.00</t>
  </si>
  <si>
    <t>202122CTC5262.0003.00</t>
  </si>
  <si>
    <t>202122CTC5263.0002.00</t>
  </si>
  <si>
    <t>202122CTC5263.0003.00</t>
  </si>
  <si>
    <t>202122CTC5264.0002.00</t>
  </si>
  <si>
    <t>202122CTC5264.0003.00</t>
  </si>
  <si>
    <t>202122CTC5265.0002.00</t>
  </si>
  <si>
    <t>202122CTC5265.0003.00</t>
  </si>
  <si>
    <t>202122CTC5266.0002.00</t>
  </si>
  <si>
    <t>202122CTC5266.0003.00</t>
  </si>
  <si>
    <t>202122CTC5267.0003.00</t>
  </si>
  <si>
    <t>202122CTC5268.0003.00</t>
  </si>
  <si>
    <t>202122CTC5269.0003.00</t>
  </si>
  <si>
    <t>202122CTC5281.0002.00</t>
  </si>
  <si>
    <t>202122CTC52810.5004.00</t>
  </si>
  <si>
    <t>202122CTC52811.0004.00</t>
  </si>
  <si>
    <t>202122CTC52812.0004.00</t>
  </si>
  <si>
    <t>202122CTC52812.5004.00</t>
  </si>
  <si>
    <t>202122CTC5282.0002.00</t>
  </si>
  <si>
    <t>202122CTC5282.0003.00</t>
  </si>
  <si>
    <t>202122CTC5283.0002.00</t>
  </si>
  <si>
    <t>202122CTC5283.0003.00</t>
  </si>
  <si>
    <t>202122CTC5284.0002.00</t>
  </si>
  <si>
    <t>202122CTC5284.0003.00</t>
  </si>
  <si>
    <t>202122CTC5285.0002.00</t>
  </si>
  <si>
    <t>202122CTC5285.0003.00</t>
  </si>
  <si>
    <t>202122CTC5286.0002.00</t>
  </si>
  <si>
    <t>202122CTC5286.0003.00</t>
  </si>
  <si>
    <t>202122CTC5287.0003.00</t>
  </si>
  <si>
    <t>202122CTC5288.0003.00</t>
  </si>
  <si>
    <t>202122CTC5289.0003.00</t>
  </si>
  <si>
    <t>202122CTC5301.0002.00</t>
  </si>
  <si>
    <t>202122CTC53010.5004.00</t>
  </si>
  <si>
    <t>202122CTC53011.0004.00</t>
  </si>
  <si>
    <t>202122CTC53012.0004.00</t>
  </si>
  <si>
    <t>202122CTC53012.5004.00</t>
  </si>
  <si>
    <t>202122CTC5302.0002.00</t>
  </si>
  <si>
    <t>202122CTC5302.0003.00</t>
  </si>
  <si>
    <t>202122CTC5303.0002.00</t>
  </si>
  <si>
    <t>202122CTC5303.0003.00</t>
  </si>
  <si>
    <t>202122CTC5304.0002.00</t>
  </si>
  <si>
    <t>202122CTC5304.0003.00</t>
  </si>
  <si>
    <t>202122CTC5305.0002.00</t>
  </si>
  <si>
    <t>202122CTC5305.0003.00</t>
  </si>
  <si>
    <t>202122CTC5306.0002.00</t>
  </si>
  <si>
    <t>202122CTC5306.0003.00</t>
  </si>
  <si>
    <t>202122CTC5307.0003.00</t>
  </si>
  <si>
    <t>202122CTC5308.0003.00</t>
  </si>
  <si>
    <t>202122CTC5309.0003.00</t>
  </si>
  <si>
    <t>202122CTC5321.0002.00</t>
  </si>
  <si>
    <t>202122CTC53210.5004.00</t>
  </si>
  <si>
    <t>202122CTC53211.0004.00</t>
  </si>
  <si>
    <t>202122CTC53212.0004.00</t>
  </si>
  <si>
    <t>202122CTC53212.5004.00</t>
  </si>
  <si>
    <t>202122CTC5322.0002.00</t>
  </si>
  <si>
    <t>202122CTC5322.0003.00</t>
  </si>
  <si>
    <t>202122CTC5323.0002.00</t>
  </si>
  <si>
    <t>202122CTC5323.0003.00</t>
  </si>
  <si>
    <t>202122CTC5324.0002.00</t>
  </si>
  <si>
    <t>202122CTC5324.0003.00</t>
  </si>
  <si>
    <t>202122CTC5325.0002.00</t>
  </si>
  <si>
    <t>202122CTC5325.0003.00</t>
  </si>
  <si>
    <t>202122CTC5326.0002.00</t>
  </si>
  <si>
    <t>202122CTC5326.0003.00</t>
  </si>
  <si>
    <t>202122CTC5327.0003.00</t>
  </si>
  <si>
    <t>202122CTC5328.0003.00</t>
  </si>
  <si>
    <t>202122CTC5329.0003.00</t>
  </si>
  <si>
    <t>202122CTC5341.0002.00</t>
  </si>
  <si>
    <t>202122CTC53410.5004.00</t>
  </si>
  <si>
    <t>202122CTC53411.0004.00</t>
  </si>
  <si>
    <t>202122CTC53412.0004.00</t>
  </si>
  <si>
    <t>202122CTC53412.5004.00</t>
  </si>
  <si>
    <t>202122CTC5342.0002.00</t>
  </si>
  <si>
    <t>202122CTC5342.0003.00</t>
  </si>
  <si>
    <t>202122CTC5343.0002.00</t>
  </si>
  <si>
    <t>202122CTC5343.0003.00</t>
  </si>
  <si>
    <t>202122CTC5344.0002.00</t>
  </si>
  <si>
    <t>202122CTC5344.0003.00</t>
  </si>
  <si>
    <t>202122CTC5345.0002.00</t>
  </si>
  <si>
    <t>202122CTC5345.0003.00</t>
  </si>
  <si>
    <t>202122CTC5346.0002.00</t>
  </si>
  <si>
    <t>202122CTC5346.0003.00</t>
  </si>
  <si>
    <t>202122CTC5347.0003.00</t>
  </si>
  <si>
    <t>202122CTC5348.0003.00</t>
  </si>
  <si>
    <t>202122CTC5349.0003.00</t>
  </si>
  <si>
    <t>202122CTC5361.0002.00</t>
  </si>
  <si>
    <t>202122CTC53610.5004.00</t>
  </si>
  <si>
    <t>202122CTC53611.0004.00</t>
  </si>
  <si>
    <t>202122CTC53612.0004.00</t>
  </si>
  <si>
    <t>202122CTC53612.5004.00</t>
  </si>
  <si>
    <t>202122CTC5362.0002.00</t>
  </si>
  <si>
    <t>202122CTC5362.0003.00</t>
  </si>
  <si>
    <t>202122CTC5363.0002.00</t>
  </si>
  <si>
    <t>202122CTC5363.0003.00</t>
  </si>
  <si>
    <t>202122CTC5364.0002.00</t>
  </si>
  <si>
    <t>202122CTC5364.0003.00</t>
  </si>
  <si>
    <t>202122CTC5365.0002.00</t>
  </si>
  <si>
    <t>202122CTC5365.0003.00</t>
  </si>
  <si>
    <t>202122CTC5366.0002.00</t>
  </si>
  <si>
    <t>202122CTC5366.0003.00</t>
  </si>
  <si>
    <t>202122CTC5367.0003.00</t>
  </si>
  <si>
    <t>202122CTC5368.0003.00</t>
  </si>
  <si>
    <t>202122CTC5369.0003.00</t>
  </si>
  <si>
    <t>202122CTC5381.0002.00</t>
  </si>
  <si>
    <t>202122CTC53810.5004.00</t>
  </si>
  <si>
    <t>202122CTC53811.0004.00</t>
  </si>
  <si>
    <t>202122CTC53812.0004.00</t>
  </si>
  <si>
    <t>202122CTC53812.5004.00</t>
  </si>
  <si>
    <t>202122CTC5382.0002.00</t>
  </si>
  <si>
    <t>202122CTC5382.0003.00</t>
  </si>
  <si>
    <t>202122CTC5383.0002.00</t>
  </si>
  <si>
    <t>202122CTC5383.0003.00</t>
  </si>
  <si>
    <t>202122CTC5384.0002.00</t>
  </si>
  <si>
    <t>202122CTC5384.0003.00</t>
  </si>
  <si>
    <t>202122CTC5385.0002.00</t>
  </si>
  <si>
    <t>202122CTC5385.0003.00</t>
  </si>
  <si>
    <t>202122CTC5386.0002.00</t>
  </si>
  <si>
    <t>202122CTC5386.0003.00</t>
  </si>
  <si>
    <t>202122CTC5387.0003.00</t>
  </si>
  <si>
    <t>202122CTC5388.0003.00</t>
  </si>
  <si>
    <t>202122CTC5389.0003.00</t>
  </si>
  <si>
    <t>202122CTC5401.0002.00</t>
  </si>
  <si>
    <t>202122CTC54010.5004.00</t>
  </si>
  <si>
    <t>202122CTC54011.0004.00</t>
  </si>
  <si>
    <t>202122CTC54012.0004.00</t>
  </si>
  <si>
    <t>202122CTC54012.5004.00</t>
  </si>
  <si>
    <t>202122CTC5402.0002.00</t>
  </si>
  <si>
    <t>202122CTC5402.0003.00</t>
  </si>
  <si>
    <t>202122CTC5403.0002.00</t>
  </si>
  <si>
    <t>202122CTC5403.0003.00</t>
  </si>
  <si>
    <t>202122CTC5404.0002.00</t>
  </si>
  <si>
    <t>202122CTC5404.0003.00</t>
  </si>
  <si>
    <t>202122CTC5405.0002.00</t>
  </si>
  <si>
    <t>202122CTC5405.0003.00</t>
  </si>
  <si>
    <t>202122CTC5406.0002.00</t>
  </si>
  <si>
    <t>202122CTC5406.0003.00</t>
  </si>
  <si>
    <t>202122CTC5407.0003.00</t>
  </si>
  <si>
    <t>202122CTC5408.0003.00</t>
  </si>
  <si>
    <t>202122CTC5409.0003.00</t>
  </si>
  <si>
    <t>202122CTC5421.0002.00</t>
  </si>
  <si>
    <t>202122CTC54210.5004.00</t>
  </si>
  <si>
    <t>202122CTC54211.0004.00</t>
  </si>
  <si>
    <t>202122CTC54212.0004.00</t>
  </si>
  <si>
    <t>202122CTC54212.5004.00</t>
  </si>
  <si>
    <t>202122CTC5422.0002.00</t>
  </si>
  <si>
    <t>202122CTC5422.0003.00</t>
  </si>
  <si>
    <t>202122CTC5423.0002.00</t>
  </si>
  <si>
    <t>202122CTC5423.0003.00</t>
  </si>
  <si>
    <t>202122CTC5424.0002.00</t>
  </si>
  <si>
    <t>202122CTC5424.0003.00</t>
  </si>
  <si>
    <t>202122CTC5425.0002.00</t>
  </si>
  <si>
    <t>202122CTC5425.0003.00</t>
  </si>
  <si>
    <t>202122CTC5426.0002.00</t>
  </si>
  <si>
    <t>202122CTC5426.0003.00</t>
  </si>
  <si>
    <t>202122CTC5427.0003.00</t>
  </si>
  <si>
    <t>202122CTC5428.0003.00</t>
  </si>
  <si>
    <t>202122CTC5429.0003.00</t>
  </si>
  <si>
    <t>202122CTC5441.0002.00</t>
  </si>
  <si>
    <t>202122CTC54410.5004.00</t>
  </si>
  <si>
    <t>202122CTC54411.0004.00</t>
  </si>
  <si>
    <t>202122CTC54412.0004.00</t>
  </si>
  <si>
    <t>202122CTC54412.5004.00</t>
  </si>
  <si>
    <t>202122CTC5442.0002.00</t>
  </si>
  <si>
    <t>202122CTC5442.0003.00</t>
  </si>
  <si>
    <t>202122CTC5443.0002.00</t>
  </si>
  <si>
    <t>202122CTC5443.0003.00</t>
  </si>
  <si>
    <t>202122CTC5444.0002.00</t>
  </si>
  <si>
    <t>202122CTC5444.0003.00</t>
  </si>
  <si>
    <t>202122CTC5445.0002.00</t>
  </si>
  <si>
    <t>202122CTC5445.0003.00</t>
  </si>
  <si>
    <t>202122CTC5446.0002.00</t>
  </si>
  <si>
    <t>202122CTC5446.0003.00</t>
  </si>
  <si>
    <t>202122CTC5447.0003.00</t>
  </si>
  <si>
    <t>202122CTC5448.0003.00</t>
  </si>
  <si>
    <t>202122CTC5449.0003.00</t>
  </si>
  <si>
    <t>202122CTC5451.0002.00</t>
  </si>
  <si>
    <t>202122CTC54510.5004.00</t>
  </si>
  <si>
    <t>202122CTC54511.0004.00</t>
  </si>
  <si>
    <t>202122CTC54512.0004.00</t>
  </si>
  <si>
    <t>202122CTC54512.5004.00</t>
  </si>
  <si>
    <t>202122CTC5452.0002.00</t>
  </si>
  <si>
    <t>202122CTC5452.0003.00</t>
  </si>
  <si>
    <t>202122CTC5453.0002.00</t>
  </si>
  <si>
    <t>202122CTC5453.0003.00</t>
  </si>
  <si>
    <t>202122CTC5454.0002.00</t>
  </si>
  <si>
    <t>202122CTC5454.0003.00</t>
  </si>
  <si>
    <t>202122CTC5455.0002.00</t>
  </si>
  <si>
    <t>202122CTC5455.0003.00</t>
  </si>
  <si>
    <t>202122CTC5456.0002.00</t>
  </si>
  <si>
    <t>202122CTC5456.0003.00</t>
  </si>
  <si>
    <t>202122CTC5457.0003.00</t>
  </si>
  <si>
    <t>202122CTC5458.0003.00</t>
  </si>
  <si>
    <t>202122CTC5459.0003.00</t>
  </si>
  <si>
    <t>202122CTC5461.0002.00</t>
  </si>
  <si>
    <t>202122CTC54610.5004.00</t>
  </si>
  <si>
    <t>202122CTC54611.0004.00</t>
  </si>
  <si>
    <t>202122CTC54612.0004.00</t>
  </si>
  <si>
    <t>202122CTC54612.5004.00</t>
  </si>
  <si>
    <t>202122CTC5462.0002.00</t>
  </si>
  <si>
    <t>202122CTC5462.0003.00</t>
  </si>
  <si>
    <t>202122CTC5463.0002.00</t>
  </si>
  <si>
    <t>202122CTC5463.0003.00</t>
  </si>
  <si>
    <t>202122CTC5464.0002.00</t>
  </si>
  <si>
    <t>202122CTC5464.0003.00</t>
  </si>
  <si>
    <t>202122CTC5465.0002.00</t>
  </si>
  <si>
    <t>202122CTC5465.0003.00</t>
  </si>
  <si>
    <t>202122CTC5466.0002.00</t>
  </si>
  <si>
    <t>202122CTC5466.0003.00</t>
  </si>
  <si>
    <t>202122CTC5467.0003.00</t>
  </si>
  <si>
    <t>202122CTC5468.0003.00</t>
  </si>
  <si>
    <t>202122CTC5469.0003.00</t>
  </si>
  <si>
    <t>202122CTC5481.0002.00</t>
  </si>
  <si>
    <t>202122CTC54810.5004.00</t>
  </si>
  <si>
    <t>202122CTC54811.0004.00</t>
  </si>
  <si>
    <t>202122CTC54812.0004.00</t>
  </si>
  <si>
    <t>202122CTC54812.5004.00</t>
  </si>
  <si>
    <t>202122CTC5482.0002.00</t>
  </si>
  <si>
    <t>202122CTC5482.0003.00</t>
  </si>
  <si>
    <t>202122CTC5483.0002.00</t>
  </si>
  <si>
    <t>202122CTC5483.0003.00</t>
  </si>
  <si>
    <t>202122CTC5484.0002.00</t>
  </si>
  <si>
    <t>202122CTC5484.0003.00</t>
  </si>
  <si>
    <t>202122CTC5485.0002.00</t>
  </si>
  <si>
    <t>202122CTC5485.0003.00</t>
  </si>
  <si>
    <t>202122CTC5486.0002.00</t>
  </si>
  <si>
    <t>202122CTC5486.0003.00</t>
  </si>
  <si>
    <t>202122CTC5487.0003.00</t>
  </si>
  <si>
    <t>202122CTC5488.0003.00</t>
  </si>
  <si>
    <t>202122CTC5489.0003.00</t>
  </si>
  <si>
    <t>202122CTC5501.0002.00</t>
  </si>
  <si>
    <t>202122CTC55010.5004.00</t>
  </si>
  <si>
    <t>202122CTC55011.0004.00</t>
  </si>
  <si>
    <t>202122CTC55012.0004.00</t>
  </si>
  <si>
    <t>202122CTC55012.5004.00</t>
  </si>
  <si>
    <t>202122CTC5502.0002.00</t>
  </si>
  <si>
    <t>202122CTC5502.0003.00</t>
  </si>
  <si>
    <t>202122CTC5503.0002.00</t>
  </si>
  <si>
    <t>202122CTC5503.0003.00</t>
  </si>
  <si>
    <t>202122CTC5504.0002.00</t>
  </si>
  <si>
    <t>202122CTC5504.0003.00</t>
  </si>
  <si>
    <t>202122CTC5505.0002.00</t>
  </si>
  <si>
    <t>202122CTC5505.0003.00</t>
  </si>
  <si>
    <t>202122CTC5506.0002.00</t>
  </si>
  <si>
    <t>202122CTC5506.0003.00</t>
  </si>
  <si>
    <t>202122CTC5507.0003.00</t>
  </si>
  <si>
    <t>202122CTC5508.0003.00</t>
  </si>
  <si>
    <t>202122CTC5509.0003.00</t>
  </si>
  <si>
    <t>202122CTC5521.0002.00</t>
  </si>
  <si>
    <t>202122CTC55210.5004.00</t>
  </si>
  <si>
    <t>202122CTC55211.0004.00</t>
  </si>
  <si>
    <t>202122CTC55212.0004.00</t>
  </si>
  <si>
    <t>202122CTC55212.5004.00</t>
  </si>
  <si>
    <t>202122CTC5522.0002.00</t>
  </si>
  <si>
    <t>202122CTC5522.0003.00</t>
  </si>
  <si>
    <t>202122CTC5523.0002.00</t>
  </si>
  <si>
    <t>202122CTC5523.0003.00</t>
  </si>
  <si>
    <t>202122CTC5524.0002.00</t>
  </si>
  <si>
    <t>202122CTC5524.0003.00</t>
  </si>
  <si>
    <t>202122CTC5525.0002.00</t>
  </si>
  <si>
    <t>202122CTC5525.0003.00</t>
  </si>
  <si>
    <t>202122CTC5526.0002.00</t>
  </si>
  <si>
    <t>202122CTC5526.0003.00</t>
  </si>
  <si>
    <t>202122CTC5527.0003.00</t>
  </si>
  <si>
    <t>202122CTC5528.0003.00</t>
  </si>
  <si>
    <t>202122CTC5529.0003.00</t>
  </si>
  <si>
    <t>202122CTC5961.0002.00</t>
  </si>
  <si>
    <t>202122CTC59610.5004.00</t>
  </si>
  <si>
    <t>202122CTC59611.0004.00</t>
  </si>
  <si>
    <t>202122CTC59612.0004.00</t>
  </si>
  <si>
    <t>202122CTC59612.5004.00</t>
  </si>
  <si>
    <t>202122CTC5962.0002.00</t>
  </si>
  <si>
    <t>202122CTC5962.0003.00</t>
  </si>
  <si>
    <t>202122CTC5963.0002.00</t>
  </si>
  <si>
    <t>202122CTC5963.0003.00</t>
  </si>
  <si>
    <t>202122CTC5964.0002.00</t>
  </si>
  <si>
    <t>202122CTC5964.0003.00</t>
  </si>
  <si>
    <t>202122CTC5965.0002.00</t>
  </si>
  <si>
    <t>202122CTC5965.0003.00</t>
  </si>
  <si>
    <t>202122CTC5966.0002.00</t>
  </si>
  <si>
    <t>202122CTC5966.0003.00</t>
  </si>
  <si>
    <t>202122CTC5967.0003.00</t>
  </si>
  <si>
    <t>202122CTC5968.0003.00</t>
  </si>
  <si>
    <t>202122CTC5969.0003.00</t>
  </si>
  <si>
    <t>5.04.23</t>
  </si>
  <si>
    <t>5.4.23</t>
  </si>
  <si>
    <t>Mr Dewi Aeron Morgan</t>
  </si>
  <si>
    <t>dewiaeronmorgan@gwynedd.llyw.cymru</t>
  </si>
  <si>
    <t>Mr Duncan Hall</t>
  </si>
  <si>
    <t>Duncan.Hall@ceredigion.gov.uk</t>
  </si>
  <si>
    <t>???Carys Lord</t>
  </si>
  <si>
    <t>Rhondda Cynon Taf County Borough Council</t>
  </si>
  <si>
    <t>12.04.23</t>
  </si>
  <si>
    <t>Number of properties liable for long term empty property premium</t>
  </si>
  <si>
    <t>Number of properties liable for second home premium</t>
  </si>
  <si>
    <t>Memorandum</t>
  </si>
  <si>
    <t>Income received from charging a premium on long term empty properties</t>
  </si>
  <si>
    <t>Nifer o eiddo sy'n atebol am bremiwm eiddo gwag hirdymor</t>
  </si>
  <si>
    <t>Nifer o eiddo sy'n atebol am bremiwm ail gartref</t>
  </si>
  <si>
    <t>Income received from charging a premium on second homes</t>
  </si>
  <si>
    <t>Yr incwm a dderbyniwyd drwy godi premiwm ar eiddo gwag hirdymor</t>
  </si>
  <si>
    <t>Yr incwm sy'n cael ei dderbyn drwy godi premiwm ar ail gartrefi</t>
  </si>
  <si>
    <t>Memorandwm</t>
  </si>
  <si>
    <t>2023-24</t>
  </si>
  <si>
    <t>Query for CTC form</t>
  </si>
  <si>
    <t>From DT: 'KJ is Local Taxation Manager technically the contact, but I am NNDR Team Leader and complete NDR1 and NDR3. E-Mail both of us' fk 8.3.10. Tim Gledhill - BA 27/03/19</t>
  </si>
  <si>
    <t>David Thomas taking over at least temporarily from Colin Bailey who retires at the end of July 2008 fk 11.7.8.</t>
  </si>
  <si>
    <t>Tim Gledhill (RBAS) tim.gledhill1@conwy.gov.uk</t>
  </si>
  <si>
    <t>I’ve left a message for Leah Gray to call you,</t>
  </si>
  <si>
    <t>She’s on 01824 706459. Ian S Paul 21.5.18.</t>
  </si>
  <si>
    <t xml:space="preserve">Vicki Hankin new contact 18.5.20. please…update…email address with a ‘.’ between forename and surname, as opposed to ‘-‘. Email sent back in March didn’t reach me for this reason. Ben Steventon 170517. sometimes rings through to automated service so follow options and ask for me by name. BS 6.4.11. Martyn Jarvis retired. Fk 26.6.6. Vicki J Hankin </t>
  </si>
  <si>
    <t>Could I ask that you amend your contact detail to myself for future returns.</t>
  </si>
  <si>
    <t>Many Thanks</t>
  </si>
  <si>
    <t>Lisa Case 24.04.13</t>
  </si>
  <si>
    <t>Andrew Griffiths MOB: 07964208547</t>
  </si>
  <si>
    <t>Andrew Durant-no longer works within Revenues Section Please add myself (Andrew Griffiths) to list. 22.3.10</t>
  </si>
  <si>
    <t>Ann Thomas, Dewi James</t>
  </si>
  <si>
    <t>AnThomas@carmarthenshire.gov.uk; DewJames@carmarthesnhire.gov.uk</t>
  </si>
  <si>
    <t>future correspondence come to myself and Dewi James Ann Thomas 14.4.23.</t>
  </si>
  <si>
    <t>Rose McCreesh has retired and I have taken over her role. Julian Morgans 13.3.18.</t>
  </si>
  <si>
    <t>Derek Woolley retired some months ago. Martin Webborn 10.1.11</t>
  </si>
  <si>
    <t>h_jenkins@npt.gov.uk undelivered 13.5.20 fk.</t>
  </si>
  <si>
    <t>Please update your records to show the following contacts within NPTCBC rather than Martin Jones and Steve Jones.</t>
  </si>
  <si>
    <t>Head of Financial Services, Hywel Jenkins h_jenkins@npt.gov.uk 01639 763646</t>
  </si>
  <si>
    <t>Principal Council Tax Officer, Ann Hinder a.hinder@npt.gov.uk 01639 763908</t>
  </si>
  <si>
    <t>CLLord@valeofglamorgan.gov.uk</t>
  </si>
  <si>
    <t>Nigel Smith retired.</t>
  </si>
  <si>
    <t>Russell, Paul BA 27/03/19</t>
  </si>
  <si>
    <t>Peter Milbourn retired a while ago 2.5.7. phone no. for Matthew Phillips 01443 680539 9.12.19 fk.</t>
  </si>
  <si>
    <t>Liam Hull</t>
  </si>
  <si>
    <t>liam.hull@merthyr.gov.uk</t>
  </si>
  <si>
    <t>Apologies, this should have come to me but for some reason was never passed on. MP 13.5.13</t>
  </si>
  <si>
    <t>I am currently the contact for Merthyr Tydfil</t>
  </si>
  <si>
    <t>JT 7.4.11. change of name from Adele Evans to Adele Lewis 7.5. AL on maternity leave, Geoff Francis taken over 2.6.10.</t>
  </si>
  <si>
    <t>Price, Mark 27/03/19</t>
  </si>
  <si>
    <t>Please change contact name to Sean O'Donnell. Email address odonns@caerphilly.gov.uk. Tele 01443 864013. Sean O'Donnell 12.04.18.</t>
  </si>
  <si>
    <t xml:space="preserve">GCSx Generic CS Revenues </t>
  </si>
  <si>
    <t>I will be completing this form Deb Smith 16.6.20.</t>
  </si>
  <si>
    <t>Send email to Sue in future 9.6.8</t>
  </si>
  <si>
    <t>Sue dealing at moment. Sue and Wendy jobshare, Wendy works Monday, Tuesday and Wednesday 19.5.6.</t>
  </si>
  <si>
    <t>spoke with EJ, put her as contact 200519 fk. Steve Hendon he has left.</t>
  </si>
  <si>
    <t>remove Rob Green...add myself and Maria Maddar (MAMaddar@cardiff.gov.uk) for all three CTC, BR1 and CT1 8.5.19 fk</t>
  </si>
  <si>
    <t>Owen James has left</t>
  </si>
  <si>
    <t>Greenwood, Nicola NGreenwood@cardiff.gov.uk</t>
  </si>
  <si>
    <t>202324BR15127.0001.00</t>
  </si>
  <si>
    <t>202324BR151216.0001.00</t>
  </si>
  <si>
    <t>202324BR15125.0001.00</t>
  </si>
  <si>
    <t>202324BR15147.0001.00</t>
  </si>
  <si>
    <t>202324BR151416.0001.00</t>
  </si>
  <si>
    <t>202324BR15145.0001.00</t>
  </si>
  <si>
    <t>202324BR15167.0001.00</t>
  </si>
  <si>
    <t>202324BR151616.0001.00</t>
  </si>
  <si>
    <t>202324BR15165.0001.00</t>
  </si>
  <si>
    <t>202324BR15187.0001.00</t>
  </si>
  <si>
    <t>202324BR151816.0001.00</t>
  </si>
  <si>
    <t>202324BR15185.0001.00</t>
  </si>
  <si>
    <t>202324BR15207.0001.00</t>
  </si>
  <si>
    <t>202324BR152016.0001.00</t>
  </si>
  <si>
    <t>202324BR15205.0001.00</t>
  </si>
  <si>
    <t>202324BR15227.0001.00</t>
  </si>
  <si>
    <t>202324BR152216.0001.00</t>
  </si>
  <si>
    <t>202324BR15225.0001.00</t>
  </si>
  <si>
    <t>202324BR15247.0001.00</t>
  </si>
  <si>
    <t>202324BR152416.0001.00</t>
  </si>
  <si>
    <t>202324BR15245.0001.00</t>
  </si>
  <si>
    <t>202324BR15267.0001.00</t>
  </si>
  <si>
    <t>202324BR152616.0001.00</t>
  </si>
  <si>
    <t>202324BR15265.0001.00</t>
  </si>
  <si>
    <t>202324BR15287.0001.00</t>
  </si>
  <si>
    <t>202324BR152816.0001.00</t>
  </si>
  <si>
    <t>202324BR15285.0001.00</t>
  </si>
  <si>
    <t>202324BR15307.0001.00</t>
  </si>
  <si>
    <t>202324BR153016.0001.00</t>
  </si>
  <si>
    <t>202324BR15305.0001.00</t>
  </si>
  <si>
    <t>202324BR15327.0001.00</t>
  </si>
  <si>
    <t>202324BR153216.0001.00</t>
  </si>
  <si>
    <t>202324BR15325.0001.00</t>
  </si>
  <si>
    <t>202324BR15347.0001.00</t>
  </si>
  <si>
    <t>202324BR153416.0001.00</t>
  </si>
  <si>
    <t>202324BR15345.0001.00</t>
  </si>
  <si>
    <t>202324BR15367.0001.00</t>
  </si>
  <si>
    <t>202324BR153616.0001.00</t>
  </si>
  <si>
    <t>202324BR15365.0001.00</t>
  </si>
  <si>
    <t>202324BR15387.0001.00</t>
  </si>
  <si>
    <t>202324BR153816.0001.00</t>
  </si>
  <si>
    <t>202324BR15385.0001.00</t>
  </si>
  <si>
    <t>202324BR15407.0001.00</t>
  </si>
  <si>
    <t>202324BR154016.0001.00</t>
  </si>
  <si>
    <t>202324BR15405.0001.00</t>
  </si>
  <si>
    <t>202324BR15427.0001.00</t>
  </si>
  <si>
    <t>202324BR154216.0001.00</t>
  </si>
  <si>
    <t>202324BR15425.0001.00</t>
  </si>
  <si>
    <t>202324BR15447.0001.00</t>
  </si>
  <si>
    <t>202324BR154416.0001.00</t>
  </si>
  <si>
    <t>202324BR15445.0001.00</t>
  </si>
  <si>
    <t>202324BR15457.0001.00</t>
  </si>
  <si>
    <t>202324BR154516.0001.00</t>
  </si>
  <si>
    <t>202324BR15455.0001.00</t>
  </si>
  <si>
    <t>202324BR15467.0001.00</t>
  </si>
  <si>
    <t>202324BR154616.0001.00</t>
  </si>
  <si>
    <t>202324BR15465.0001.00</t>
  </si>
  <si>
    <t>202324BR15487.0001.00</t>
  </si>
  <si>
    <t>202324BR154816.0001.00</t>
  </si>
  <si>
    <t>202324BR15485.0001.00</t>
  </si>
  <si>
    <t>202324BR15507.0001.00</t>
  </si>
  <si>
    <t>202324BR155016.0001.00</t>
  </si>
  <si>
    <t>202324BR15505.0001.00</t>
  </si>
  <si>
    <t>202324BR15527.0001.00</t>
  </si>
  <si>
    <t>202324BR155216.0001.00</t>
  </si>
  <si>
    <t>202324BR15525.0001.00</t>
  </si>
  <si>
    <t>202324BR15967.0001.00</t>
  </si>
  <si>
    <t>202324BR159616.0001.00</t>
  </si>
  <si>
    <t>202324BR15965.0001.00</t>
  </si>
  <si>
    <t>202223CTC5121.0002.00</t>
  </si>
  <si>
    <t>202223CTC51210.1003.00</t>
  </si>
  <si>
    <t>202223CTC51210.2003.00</t>
  </si>
  <si>
    <t>202223CTC51210.3003.00</t>
  </si>
  <si>
    <t>202223CTC51210.4003.00</t>
  </si>
  <si>
    <t>202223CTC51210.5004.00</t>
  </si>
  <si>
    <t>202223CTC51211.0004.00</t>
  </si>
  <si>
    <t>202223CTC51212.0004.00</t>
  </si>
  <si>
    <t>202223CTC51212.5004.00</t>
  </si>
  <si>
    <t>202223CTC5122.0002.00</t>
  </si>
  <si>
    <t>202223CTC5122.0003.00</t>
  </si>
  <si>
    <t>202223CTC5123.0002.00</t>
  </si>
  <si>
    <t>202223CTC5123.0003.00</t>
  </si>
  <si>
    <t>202223CTC5124.0002.00</t>
  </si>
  <si>
    <t>202223CTC5124.0003.00</t>
  </si>
  <si>
    <t>202223CTC5125.0002.00</t>
  </si>
  <si>
    <t>202223CTC5125.0003.00</t>
  </si>
  <si>
    <t>202223CTC5126.0002.00</t>
  </si>
  <si>
    <t>202223CTC5126.0003.00</t>
  </si>
  <si>
    <t>202223CTC5127.0003.00</t>
  </si>
  <si>
    <t>202223CTC5128.0003.00</t>
  </si>
  <si>
    <t>202223CTC5129.0003.00</t>
  </si>
  <si>
    <t>202223CTC5141.0002.00</t>
  </si>
  <si>
    <t>202223CTC51410.1003.00</t>
  </si>
  <si>
    <t>202223CTC51410.2003.00</t>
  </si>
  <si>
    <t>202223CTC51410.3003.00</t>
  </si>
  <si>
    <t>202223CTC51410.4003.00</t>
  </si>
  <si>
    <t>202223CTC51410.5004.00</t>
  </si>
  <si>
    <t>202223CTC51411.0004.00</t>
  </si>
  <si>
    <t>202223CTC51412.0004.00</t>
  </si>
  <si>
    <t>202223CTC51412.5004.00</t>
  </si>
  <si>
    <t>202223CTC5142.0002.00</t>
  </si>
  <si>
    <t>202223CTC5142.0003.00</t>
  </si>
  <si>
    <t>202223CTC5143.0002.00</t>
  </si>
  <si>
    <t>202223CTC5143.0003.00</t>
  </si>
  <si>
    <t>202223CTC5144.0002.00</t>
  </si>
  <si>
    <t>202223CTC5144.0003.00</t>
  </si>
  <si>
    <t>202223CTC5145.0002.00</t>
  </si>
  <si>
    <t>202223CTC5145.0003.00</t>
  </si>
  <si>
    <t>202223CTC5146.0002.00</t>
  </si>
  <si>
    <t>202223CTC5146.0003.00</t>
  </si>
  <si>
    <t>202223CTC5147.0003.00</t>
  </si>
  <si>
    <t>202223CTC5148.0003.00</t>
  </si>
  <si>
    <t>202223CTC5149.0003.00</t>
  </si>
  <si>
    <t>202223CTC5161.0002.00</t>
  </si>
  <si>
    <t>202223CTC51610.1003.00</t>
  </si>
  <si>
    <t>202223CTC51610.2003.00</t>
  </si>
  <si>
    <t>202223CTC51610.3003.00</t>
  </si>
  <si>
    <t>202223CTC51610.4003.00</t>
  </si>
  <si>
    <t>202223CTC51610.5004.00</t>
  </si>
  <si>
    <t>202223CTC51611.0004.00</t>
  </si>
  <si>
    <t>202223CTC51612.0004.00</t>
  </si>
  <si>
    <t>202223CTC51612.5004.00</t>
  </si>
  <si>
    <t>202223CTC5162.0002.00</t>
  </si>
  <si>
    <t>202223CTC5162.0003.00</t>
  </si>
  <si>
    <t>202223CTC5163.0002.00</t>
  </si>
  <si>
    <t>202223CTC5163.0003.00</t>
  </si>
  <si>
    <t>202223CTC5164.0002.00</t>
  </si>
  <si>
    <t>202223CTC5164.0003.00</t>
  </si>
  <si>
    <t>202223CTC5165.0002.00</t>
  </si>
  <si>
    <t>202223CTC5165.0003.00</t>
  </si>
  <si>
    <t>202223CTC5166.0002.00</t>
  </si>
  <si>
    <t>202223CTC5166.0003.00</t>
  </si>
  <si>
    <t>202223CTC5167.0003.00</t>
  </si>
  <si>
    <t>202223CTC5168.0003.00</t>
  </si>
  <si>
    <t>202223CTC5169.0003.00</t>
  </si>
  <si>
    <t>202223CTC5181.0002.00</t>
  </si>
  <si>
    <t>202223CTC51810.1003.00</t>
  </si>
  <si>
    <t>202223CTC51810.2003.00</t>
  </si>
  <si>
    <t>202223CTC51810.3003.00</t>
  </si>
  <si>
    <t>202223CTC51810.4003.00</t>
  </si>
  <si>
    <t>202223CTC51810.5004.00</t>
  </si>
  <si>
    <t>202223CTC51811.0004.00</t>
  </si>
  <si>
    <t>202223CTC51812.0004.00</t>
  </si>
  <si>
    <t>202223CTC51812.5004.00</t>
  </si>
  <si>
    <t>202223CTC5182.0002.00</t>
  </si>
  <si>
    <t>202223CTC5182.0003.00</t>
  </si>
  <si>
    <t>202223CTC5183.0002.00</t>
  </si>
  <si>
    <t>202223CTC5183.0003.00</t>
  </si>
  <si>
    <t>202223CTC5184.0002.00</t>
  </si>
  <si>
    <t>202223CTC5184.0003.00</t>
  </si>
  <si>
    <t>202223CTC5185.0002.00</t>
  </si>
  <si>
    <t>202223CTC5185.0003.00</t>
  </si>
  <si>
    <t>202223CTC5186.0002.00</t>
  </si>
  <si>
    <t>202223CTC5186.0003.00</t>
  </si>
  <si>
    <t>202223CTC5187.0003.00</t>
  </si>
  <si>
    <t>202223CTC5188.0003.00</t>
  </si>
  <si>
    <t>202223CTC5189.0003.00</t>
  </si>
  <si>
    <t>202223CTC5201.0002.00</t>
  </si>
  <si>
    <t>202223CTC52010.1003.00</t>
  </si>
  <si>
    <t>202223CTC52010.2003.00</t>
  </si>
  <si>
    <t>202223CTC52010.3003.00</t>
  </si>
  <si>
    <t>202223CTC52010.4003.00</t>
  </si>
  <si>
    <t>202223CTC52010.5004.00</t>
  </si>
  <si>
    <t>202223CTC52011.0004.00</t>
  </si>
  <si>
    <t>202223CTC52012.0004.00</t>
  </si>
  <si>
    <t>202223CTC52012.5004.00</t>
  </si>
  <si>
    <t>202223CTC5202.0002.00</t>
  </si>
  <si>
    <t>202223CTC5202.0003.00</t>
  </si>
  <si>
    <t>202223CTC5203.0002.00</t>
  </si>
  <si>
    <t>202223CTC5203.0003.00</t>
  </si>
  <si>
    <t>202223CTC5204.0002.00</t>
  </si>
  <si>
    <t>202223CTC5204.0003.00</t>
  </si>
  <si>
    <t>202223CTC5205.0002.00</t>
  </si>
  <si>
    <t>202223CTC5205.0003.00</t>
  </si>
  <si>
    <t>202223CTC5206.0002.00</t>
  </si>
  <si>
    <t>202223CTC5206.0003.00</t>
  </si>
  <si>
    <t>202223CTC5207.0003.00</t>
  </si>
  <si>
    <t>202223CTC5208.0003.00</t>
  </si>
  <si>
    <t>202223CTC5209.0003.00</t>
  </si>
  <si>
    <t>202223CTC5221.0002.00</t>
  </si>
  <si>
    <t>202223CTC52210.1003.00</t>
  </si>
  <si>
    <t>202223CTC52210.2003.00</t>
  </si>
  <si>
    <t>202223CTC52210.3003.00</t>
  </si>
  <si>
    <t>202223CTC52210.4003.00</t>
  </si>
  <si>
    <t>202223CTC52210.5004.00</t>
  </si>
  <si>
    <t>202223CTC52211.0004.00</t>
  </si>
  <si>
    <t>202223CTC52212.0004.00</t>
  </si>
  <si>
    <t>202223CTC52212.5004.00</t>
  </si>
  <si>
    <t>202223CTC5222.0002.00</t>
  </si>
  <si>
    <t>202223CTC5222.0003.00</t>
  </si>
  <si>
    <t>202223CTC5223.0002.00</t>
  </si>
  <si>
    <t>202223CTC5223.0003.00</t>
  </si>
  <si>
    <t>202223CTC5224.0002.00</t>
  </si>
  <si>
    <t>202223CTC5224.0003.00</t>
  </si>
  <si>
    <t>202223CTC5225.0002.00</t>
  </si>
  <si>
    <t>202223CTC5225.0003.00</t>
  </si>
  <si>
    <t>202223CTC5226.0002.00</t>
  </si>
  <si>
    <t>202223CTC5226.0003.00</t>
  </si>
  <si>
    <t>202223CTC5227.0003.00</t>
  </si>
  <si>
    <t>202223CTC5228.0003.00</t>
  </si>
  <si>
    <t>202223CTC5229.0003.00</t>
  </si>
  <si>
    <t>202223CTC5241.0002.00</t>
  </si>
  <si>
    <t>202223CTC52410.1003.00</t>
  </si>
  <si>
    <t>202223CTC52410.2003.00</t>
  </si>
  <si>
    <t>202223CTC52410.3003.00</t>
  </si>
  <si>
    <t>202223CTC52410.4003.00</t>
  </si>
  <si>
    <t>202223CTC52410.5004.00</t>
  </si>
  <si>
    <t>202223CTC52411.0004.00</t>
  </si>
  <si>
    <t>202223CTC52412.0004.00</t>
  </si>
  <si>
    <t>202223CTC52412.5004.00</t>
  </si>
  <si>
    <t>202223CTC5242.0002.00</t>
  </si>
  <si>
    <t>202223CTC5242.0003.00</t>
  </si>
  <si>
    <t>202223CTC5243.0002.00</t>
  </si>
  <si>
    <t>202223CTC5243.0003.00</t>
  </si>
  <si>
    <t>202223CTC5244.0002.00</t>
  </si>
  <si>
    <t>202223CTC5244.0003.00</t>
  </si>
  <si>
    <t>202223CTC5245.0002.00</t>
  </si>
  <si>
    <t>202223CTC5245.0003.00</t>
  </si>
  <si>
    <t>202223CTC5246.0002.00</t>
  </si>
  <si>
    <t>202223CTC5246.0003.00</t>
  </si>
  <si>
    <t>202223CTC5247.0003.00</t>
  </si>
  <si>
    <t>202223CTC5248.0003.00</t>
  </si>
  <si>
    <t>202223CTC5249.0003.00</t>
  </si>
  <si>
    <t>202223CTC5261.0002.00</t>
  </si>
  <si>
    <t>202223CTC52610.1003.00</t>
  </si>
  <si>
    <t>202223CTC52610.2003.00</t>
  </si>
  <si>
    <t>202223CTC52610.3003.00</t>
  </si>
  <si>
    <t>202223CTC52610.4003.00</t>
  </si>
  <si>
    <t>202223CTC52610.5004.00</t>
  </si>
  <si>
    <t>202223CTC52611.0004.00</t>
  </si>
  <si>
    <t>202223CTC52612.0004.00</t>
  </si>
  <si>
    <t>202223CTC52612.5004.00</t>
  </si>
  <si>
    <t>202223CTC5262.0002.00</t>
  </si>
  <si>
    <t>202223CTC5262.0003.00</t>
  </si>
  <si>
    <t>202223CTC5263.0002.00</t>
  </si>
  <si>
    <t>202223CTC5263.0003.00</t>
  </si>
  <si>
    <t>202223CTC5264.0002.00</t>
  </si>
  <si>
    <t>202223CTC5264.0003.00</t>
  </si>
  <si>
    <t>202223CTC5265.0002.00</t>
  </si>
  <si>
    <t>202223CTC5265.0003.00</t>
  </si>
  <si>
    <t>202223CTC5266.0002.00</t>
  </si>
  <si>
    <t>202223CTC5266.0003.00</t>
  </si>
  <si>
    <t>202223CTC5267.0003.00</t>
  </si>
  <si>
    <t>202223CTC5268.0003.00</t>
  </si>
  <si>
    <t>202223CTC5269.0003.00</t>
  </si>
  <si>
    <t>202223CTC5281.0002.00</t>
  </si>
  <si>
    <t>202223CTC52810.1003.00</t>
  </si>
  <si>
    <t>202223CTC52810.2003.00</t>
  </si>
  <si>
    <t>202223CTC52810.3003.00</t>
  </si>
  <si>
    <t>202223CTC52810.4003.00</t>
  </si>
  <si>
    <t>202223CTC52810.5004.00</t>
  </si>
  <si>
    <t>202223CTC52811.0004.00</t>
  </si>
  <si>
    <t>202223CTC52812.0004.00</t>
  </si>
  <si>
    <t>202223CTC52812.5004.00</t>
  </si>
  <si>
    <t>202223CTC5282.0002.00</t>
  </si>
  <si>
    <t>202223CTC5282.0003.00</t>
  </si>
  <si>
    <t>202223CTC5283.0002.00</t>
  </si>
  <si>
    <t>202223CTC5283.0003.00</t>
  </si>
  <si>
    <t>202223CTC5284.0002.00</t>
  </si>
  <si>
    <t>202223CTC5284.0003.00</t>
  </si>
  <si>
    <t>202223CTC5285.0002.00</t>
  </si>
  <si>
    <t>202223CTC5285.0003.00</t>
  </si>
  <si>
    <t>202223CTC5286.0002.00</t>
  </si>
  <si>
    <t>202223CTC5286.0003.00</t>
  </si>
  <si>
    <t>202223CTC5287.0003.00</t>
  </si>
  <si>
    <t>202223CTC5288.0003.00</t>
  </si>
  <si>
    <t>202223CTC5289.0003.00</t>
  </si>
  <si>
    <t>202223CTC5301.0002.00</t>
  </si>
  <si>
    <t>202223CTC53010.1003.00</t>
  </si>
  <si>
    <t>202223CTC53010.2003.00</t>
  </si>
  <si>
    <t>202223CTC53010.3003.00</t>
  </si>
  <si>
    <t>202223CTC53010.4003.00</t>
  </si>
  <si>
    <t>202223CTC53010.5004.00</t>
  </si>
  <si>
    <t>202223CTC53011.0004.00</t>
  </si>
  <si>
    <t>202223CTC53012.0004.00</t>
  </si>
  <si>
    <t>202223CTC53012.5004.00</t>
  </si>
  <si>
    <t>202223CTC5302.0002.00</t>
  </si>
  <si>
    <t>202223CTC5302.0003.00</t>
  </si>
  <si>
    <t>202223CTC5303.0002.00</t>
  </si>
  <si>
    <t>202223CTC5303.0003.00</t>
  </si>
  <si>
    <t>202223CTC5304.0002.00</t>
  </si>
  <si>
    <t>202223CTC5304.0003.00</t>
  </si>
  <si>
    <t>202223CTC5305.0002.00</t>
  </si>
  <si>
    <t>202223CTC5305.0003.00</t>
  </si>
  <si>
    <t>202223CTC5306.0002.00</t>
  </si>
  <si>
    <t>202223CTC5306.0003.00</t>
  </si>
  <si>
    <t>202223CTC5307.0003.00</t>
  </si>
  <si>
    <t>202223CTC5308.0003.00</t>
  </si>
  <si>
    <t>202223CTC5309.0003.00</t>
  </si>
  <si>
    <t>202223CTC5321.0002.00</t>
  </si>
  <si>
    <t>202223CTC53210.1003.00</t>
  </si>
  <si>
    <t>202223CTC53210.2003.00</t>
  </si>
  <si>
    <t>202223CTC53210.3003.00</t>
  </si>
  <si>
    <t>202223CTC53210.4003.00</t>
  </si>
  <si>
    <t>202223CTC53210.5004.00</t>
  </si>
  <si>
    <t>202223CTC53211.0004.00</t>
  </si>
  <si>
    <t>202223CTC53212.0004.00</t>
  </si>
  <si>
    <t>202223CTC53212.5004.00</t>
  </si>
  <si>
    <t>202223CTC5322.0002.00</t>
  </si>
  <si>
    <t>202223CTC5322.0003.00</t>
  </si>
  <si>
    <t>202223CTC5323.0002.00</t>
  </si>
  <si>
    <t>202223CTC5323.0003.00</t>
  </si>
  <si>
    <t>202223CTC5324.0002.00</t>
  </si>
  <si>
    <t>202223CTC5324.0003.00</t>
  </si>
  <si>
    <t>202223CTC5325.0002.00</t>
  </si>
  <si>
    <t>202223CTC5325.0003.00</t>
  </si>
  <si>
    <t>202223CTC5326.0002.00</t>
  </si>
  <si>
    <t>202223CTC5326.0003.00</t>
  </si>
  <si>
    <t>202223CTC5327.0003.00</t>
  </si>
  <si>
    <t>202223CTC5328.0003.00</t>
  </si>
  <si>
    <t>202223CTC5329.0003.00</t>
  </si>
  <si>
    <t>202223CTC5341.0002.00</t>
  </si>
  <si>
    <t>202223CTC53410.1003.00</t>
  </si>
  <si>
    <t>202223CTC53410.2003.00</t>
  </si>
  <si>
    <t>202223CTC53410.3003.00</t>
  </si>
  <si>
    <t>202223CTC53410.4003.00</t>
  </si>
  <si>
    <t>202223CTC53410.5004.00</t>
  </si>
  <si>
    <t>202223CTC53411.0004.00</t>
  </si>
  <si>
    <t>202223CTC53412.0004.00</t>
  </si>
  <si>
    <t>202223CTC53412.5004.00</t>
  </si>
  <si>
    <t>202223CTC5342.0002.00</t>
  </si>
  <si>
    <t>202223CTC5342.0003.00</t>
  </si>
  <si>
    <t>202223CTC5343.0002.00</t>
  </si>
  <si>
    <t>202223CTC5343.0003.00</t>
  </si>
  <si>
    <t>202223CTC5344.0002.00</t>
  </si>
  <si>
    <t>202223CTC5344.0003.00</t>
  </si>
  <si>
    <t>202223CTC5345.0002.00</t>
  </si>
  <si>
    <t>202223CTC5345.0003.00</t>
  </si>
  <si>
    <t>202223CTC5346.0002.00</t>
  </si>
  <si>
    <t>202223CTC5346.0003.00</t>
  </si>
  <si>
    <t>202223CTC5347.0003.00</t>
  </si>
  <si>
    <t>202223CTC5348.0003.00</t>
  </si>
  <si>
    <t>202223CTC5349.0003.00</t>
  </si>
  <si>
    <t>202223CTC5361.0002.00</t>
  </si>
  <si>
    <t>202223CTC53610.1003.00</t>
  </si>
  <si>
    <t>202223CTC53610.2003.00</t>
  </si>
  <si>
    <t>202223CTC53610.3003.00</t>
  </si>
  <si>
    <t>202223CTC53610.4003.00</t>
  </si>
  <si>
    <t>202223CTC53610.5004.00</t>
  </si>
  <si>
    <t>202223CTC53611.0004.00</t>
  </si>
  <si>
    <t>202223CTC53612.0004.00</t>
  </si>
  <si>
    <t>202223CTC53612.5004.00</t>
  </si>
  <si>
    <t>202223CTC5362.0002.00</t>
  </si>
  <si>
    <t>202223CTC5362.0003.00</t>
  </si>
  <si>
    <t>202223CTC5363.0002.00</t>
  </si>
  <si>
    <t>202223CTC5363.0003.00</t>
  </si>
  <si>
    <t>202223CTC5364.0002.00</t>
  </si>
  <si>
    <t>202223CTC5364.0003.00</t>
  </si>
  <si>
    <t>202223CTC5365.0002.00</t>
  </si>
  <si>
    <t>202223CTC5365.0003.00</t>
  </si>
  <si>
    <t>202223CTC5366.0002.00</t>
  </si>
  <si>
    <t>202223CTC5366.0003.00</t>
  </si>
  <si>
    <t>202223CTC5367.0003.00</t>
  </si>
  <si>
    <t>202223CTC5368.0003.00</t>
  </si>
  <si>
    <t>202223CTC5369.0003.00</t>
  </si>
  <si>
    <t>202223CTC5381.0002.00</t>
  </si>
  <si>
    <t>202223CTC53810.1003.00</t>
  </si>
  <si>
    <t>202223CTC53810.2003.00</t>
  </si>
  <si>
    <t>202223CTC53810.3003.00</t>
  </si>
  <si>
    <t>202223CTC53810.4003.00</t>
  </si>
  <si>
    <t>202223CTC53810.5004.00</t>
  </si>
  <si>
    <t>202223CTC53811.0004.00</t>
  </si>
  <si>
    <t>202223CTC53812.0004.00</t>
  </si>
  <si>
    <t>202223CTC53812.5004.00</t>
  </si>
  <si>
    <t>202223CTC5382.0002.00</t>
  </si>
  <si>
    <t>202223CTC5382.0003.00</t>
  </si>
  <si>
    <t>202223CTC5383.0002.00</t>
  </si>
  <si>
    <t>202223CTC5383.0003.00</t>
  </si>
  <si>
    <t>202223CTC5384.0002.00</t>
  </si>
  <si>
    <t>202223CTC5384.0003.00</t>
  </si>
  <si>
    <t>202223CTC5385.0002.00</t>
  </si>
  <si>
    <t>202223CTC5385.0003.00</t>
  </si>
  <si>
    <t>202223CTC5386.0002.00</t>
  </si>
  <si>
    <t>202223CTC5386.0003.00</t>
  </si>
  <si>
    <t>202223CTC5387.0003.00</t>
  </si>
  <si>
    <t>202223CTC5388.0003.00</t>
  </si>
  <si>
    <t>202223CTC5389.0003.00</t>
  </si>
  <si>
    <t>202223CTC5401.0002.00</t>
  </si>
  <si>
    <t>202223CTC54010.1003.00</t>
  </si>
  <si>
    <t>202223CTC54010.2003.00</t>
  </si>
  <si>
    <t>202223CTC54010.3003.00</t>
  </si>
  <si>
    <t>202223CTC54010.4003.00</t>
  </si>
  <si>
    <t>202223CTC54010.5004.00</t>
  </si>
  <si>
    <t>202223CTC54011.0004.00</t>
  </si>
  <si>
    <t>202223CTC54012.0004.00</t>
  </si>
  <si>
    <t>202223CTC54012.5004.00</t>
  </si>
  <si>
    <t>202223CTC5402.0002.00</t>
  </si>
  <si>
    <t>202223CTC5402.0003.00</t>
  </si>
  <si>
    <t>202223CTC5403.0002.00</t>
  </si>
  <si>
    <t>202223CTC5403.0003.00</t>
  </si>
  <si>
    <t>202223CTC5404.0002.00</t>
  </si>
  <si>
    <t>202223CTC5404.0003.00</t>
  </si>
  <si>
    <t>202223CTC5405.0002.00</t>
  </si>
  <si>
    <t>202223CTC5405.0003.00</t>
  </si>
  <si>
    <t>202223CTC5406.0002.00</t>
  </si>
  <si>
    <t>202223CTC5406.0003.00</t>
  </si>
  <si>
    <t>202223CTC5407.0003.00</t>
  </si>
  <si>
    <t>202223CTC5408.0003.00</t>
  </si>
  <si>
    <t>202223CTC5409.0003.00</t>
  </si>
  <si>
    <t>202223CTC5421.0002.00</t>
  </si>
  <si>
    <t>202223CTC54210.1003.00</t>
  </si>
  <si>
    <t>202223CTC54210.2003.00</t>
  </si>
  <si>
    <t>202223CTC54210.3003.00</t>
  </si>
  <si>
    <t>202223CTC54210.4003.00</t>
  </si>
  <si>
    <t>202223CTC54210.5004.00</t>
  </si>
  <si>
    <t>202223CTC54211.0004.00</t>
  </si>
  <si>
    <t>202223CTC54212.0004.00</t>
  </si>
  <si>
    <t>202223CTC54212.5004.00</t>
  </si>
  <si>
    <t>202223CTC5422.0002.00</t>
  </si>
  <si>
    <t>202223CTC5422.0003.00</t>
  </si>
  <si>
    <t>202223CTC5423.0002.00</t>
  </si>
  <si>
    <t>202223CTC5423.0003.00</t>
  </si>
  <si>
    <t>202223CTC5424.0002.00</t>
  </si>
  <si>
    <t>202223CTC5424.0003.00</t>
  </si>
  <si>
    <t>202223CTC5425.0002.00</t>
  </si>
  <si>
    <t>202223CTC5425.0003.00</t>
  </si>
  <si>
    <t>202223CTC5426.0002.00</t>
  </si>
  <si>
    <t>202223CTC5426.0003.00</t>
  </si>
  <si>
    <t>202223CTC5427.0003.00</t>
  </si>
  <si>
    <t>202223CTC5428.0003.00</t>
  </si>
  <si>
    <t>202223CTC5429.0003.00</t>
  </si>
  <si>
    <t>202223CTC5441.0002.00</t>
  </si>
  <si>
    <t>202223CTC54410.1003.00</t>
  </si>
  <si>
    <t>202223CTC54410.2003.00</t>
  </si>
  <si>
    <t>202223CTC54410.3003.00</t>
  </si>
  <si>
    <t>202223CTC54410.4003.00</t>
  </si>
  <si>
    <t>202223CTC54410.5004.00</t>
  </si>
  <si>
    <t>202223CTC54411.0004.00</t>
  </si>
  <si>
    <t>202223CTC54412.0004.00</t>
  </si>
  <si>
    <t>202223CTC54412.5004.00</t>
  </si>
  <si>
    <t>202223CTC5442.0002.00</t>
  </si>
  <si>
    <t>202223CTC5442.0003.00</t>
  </si>
  <si>
    <t>202223CTC5443.0002.00</t>
  </si>
  <si>
    <t>202223CTC5443.0003.00</t>
  </si>
  <si>
    <t>202223CTC5444.0002.00</t>
  </si>
  <si>
    <t>202223CTC5444.0003.00</t>
  </si>
  <si>
    <t>202223CTC5445.0002.00</t>
  </si>
  <si>
    <t>202223CTC5445.0003.00</t>
  </si>
  <si>
    <t>202223CTC5446.0002.00</t>
  </si>
  <si>
    <t>202223CTC5446.0003.00</t>
  </si>
  <si>
    <t>202223CTC5447.0003.00</t>
  </si>
  <si>
    <t>202223CTC5448.0003.00</t>
  </si>
  <si>
    <t>202223CTC5449.0003.00</t>
  </si>
  <si>
    <t>202223CTC5451.0002.00</t>
  </si>
  <si>
    <t>202223CTC54510.1003.00</t>
  </si>
  <si>
    <t>202223CTC54510.2003.00</t>
  </si>
  <si>
    <t>202223CTC54510.3003.00</t>
  </si>
  <si>
    <t>202223CTC54510.4003.00</t>
  </si>
  <si>
    <t>202223CTC54510.5004.00</t>
  </si>
  <si>
    <t>202223CTC54511.0004.00</t>
  </si>
  <si>
    <t>202223CTC54512.0004.00</t>
  </si>
  <si>
    <t>202223CTC54512.5004.00</t>
  </si>
  <si>
    <t>202223CTC5452.0002.00</t>
  </si>
  <si>
    <t>202223CTC5452.0003.00</t>
  </si>
  <si>
    <t>202223CTC5453.0002.00</t>
  </si>
  <si>
    <t>202223CTC5453.0003.00</t>
  </si>
  <si>
    <t>202223CTC5454.0002.00</t>
  </si>
  <si>
    <t>202223CTC5454.0003.00</t>
  </si>
  <si>
    <t>202223CTC5455.0002.00</t>
  </si>
  <si>
    <t>202223CTC5455.0003.00</t>
  </si>
  <si>
    <t>202223CTC5456.0002.00</t>
  </si>
  <si>
    <t>202223CTC5456.0003.00</t>
  </si>
  <si>
    <t>202223CTC5457.0003.00</t>
  </si>
  <si>
    <t>202223CTC5458.0003.00</t>
  </si>
  <si>
    <t>202223CTC5459.0003.00</t>
  </si>
  <si>
    <t>202223CTC5461.0002.00</t>
  </si>
  <si>
    <t>202223CTC54610.1003.00</t>
  </si>
  <si>
    <t>202223CTC54610.2003.00</t>
  </si>
  <si>
    <t>202223CTC54610.3003.00</t>
  </si>
  <si>
    <t>202223CTC54610.4003.00</t>
  </si>
  <si>
    <t>202223CTC54610.5004.00</t>
  </si>
  <si>
    <t>202223CTC54611.0004.00</t>
  </si>
  <si>
    <t>202223CTC54612.0004.00</t>
  </si>
  <si>
    <t>202223CTC54612.5004.00</t>
  </si>
  <si>
    <t>202223CTC5462.0002.00</t>
  </si>
  <si>
    <t>202223CTC5462.0003.00</t>
  </si>
  <si>
    <t>202223CTC5463.0002.00</t>
  </si>
  <si>
    <t>202223CTC5463.0003.00</t>
  </si>
  <si>
    <t>202223CTC5464.0002.00</t>
  </si>
  <si>
    <t>202223CTC5464.0003.00</t>
  </si>
  <si>
    <t>202223CTC5465.0002.00</t>
  </si>
  <si>
    <t>202223CTC5465.0003.00</t>
  </si>
  <si>
    <t>202223CTC5466.0002.00</t>
  </si>
  <si>
    <t>202223CTC5466.0003.00</t>
  </si>
  <si>
    <t>202223CTC5467.0003.00</t>
  </si>
  <si>
    <t>202223CTC5468.0003.00</t>
  </si>
  <si>
    <t>202223CTC5469.0003.00</t>
  </si>
  <si>
    <t>202223CTC5481.0002.00</t>
  </si>
  <si>
    <t>202223CTC54810.1003.00</t>
  </si>
  <si>
    <t>202223CTC54810.2003.00</t>
  </si>
  <si>
    <t>202223CTC54810.3003.00</t>
  </si>
  <si>
    <t>202223CTC54810.4003.00</t>
  </si>
  <si>
    <t>202223CTC54810.5004.00</t>
  </si>
  <si>
    <t>202223CTC54811.0004.00</t>
  </si>
  <si>
    <t>202223CTC54812.0004.00</t>
  </si>
  <si>
    <t>202223CTC54812.5004.00</t>
  </si>
  <si>
    <t>202223CTC5482.0002.00</t>
  </si>
  <si>
    <t>202223CTC5482.0003.00</t>
  </si>
  <si>
    <t>202223CTC5483.0002.00</t>
  </si>
  <si>
    <t>202223CTC5483.0003.00</t>
  </si>
  <si>
    <t>202223CTC5484.0002.00</t>
  </si>
  <si>
    <t>202223CTC5484.0003.00</t>
  </si>
  <si>
    <t>202223CTC5485.0002.00</t>
  </si>
  <si>
    <t>202223CTC5485.0003.00</t>
  </si>
  <si>
    <t>202223CTC5486.0002.00</t>
  </si>
  <si>
    <t>202223CTC5486.0003.00</t>
  </si>
  <si>
    <t>202223CTC5487.0003.00</t>
  </si>
  <si>
    <t>202223CTC5488.0003.00</t>
  </si>
  <si>
    <t>202223CTC5489.0003.00</t>
  </si>
  <si>
    <t>202223CTC5501.0002.00</t>
  </si>
  <si>
    <t>202223CTC55010.1003.00</t>
  </si>
  <si>
    <t>202223CTC55010.2003.00</t>
  </si>
  <si>
    <t>202223CTC55010.3003.00</t>
  </si>
  <si>
    <t>202223CTC55010.4003.00</t>
  </si>
  <si>
    <t>202223CTC55010.5004.00</t>
  </si>
  <si>
    <t>202223CTC55011.0004.00</t>
  </si>
  <si>
    <t>202223CTC55012.0004.00</t>
  </si>
  <si>
    <t>202223CTC55012.5004.00</t>
  </si>
  <si>
    <t>202223CTC5502.0002.00</t>
  </si>
  <si>
    <t>202223CTC5502.0003.00</t>
  </si>
  <si>
    <t>202223CTC5503.0002.00</t>
  </si>
  <si>
    <t>202223CTC5503.0003.00</t>
  </si>
  <si>
    <t>202223CTC5504.0002.00</t>
  </si>
  <si>
    <t>202223CTC5504.0003.00</t>
  </si>
  <si>
    <t>202223CTC5505.0002.00</t>
  </si>
  <si>
    <t>202223CTC5505.0003.00</t>
  </si>
  <si>
    <t>202223CTC5506.0002.00</t>
  </si>
  <si>
    <t>202223CTC5506.0003.00</t>
  </si>
  <si>
    <t>202223CTC5507.0003.00</t>
  </si>
  <si>
    <t>202223CTC5508.0003.00</t>
  </si>
  <si>
    <t>202223CTC5509.0003.00</t>
  </si>
  <si>
    <t>202223CTC5521.0002.00</t>
  </si>
  <si>
    <t>202223CTC55210.1003.00</t>
  </si>
  <si>
    <t>202223CTC55210.2003.00</t>
  </si>
  <si>
    <t>202223CTC55210.3003.00</t>
  </si>
  <si>
    <t>202223CTC55210.4003.00</t>
  </si>
  <si>
    <t>202223CTC55210.5004.00</t>
  </si>
  <si>
    <t>202223CTC55211.0004.00</t>
  </si>
  <si>
    <t>202223CTC55212.0004.00</t>
  </si>
  <si>
    <t>202223CTC55212.5004.00</t>
  </si>
  <si>
    <t>202223CTC5522.0002.00</t>
  </si>
  <si>
    <t>202223CTC5522.0003.00</t>
  </si>
  <si>
    <t>202223CTC5523.0002.00</t>
  </si>
  <si>
    <t>202223CTC5523.0003.00</t>
  </si>
  <si>
    <t>202223CTC5524.0002.00</t>
  </si>
  <si>
    <t>202223CTC5524.0003.00</t>
  </si>
  <si>
    <t>202223CTC5525.0002.00</t>
  </si>
  <si>
    <t>202223CTC5525.0003.00</t>
  </si>
  <si>
    <t>202223CTC5526.0002.00</t>
  </si>
  <si>
    <t>202223CTC5526.0003.00</t>
  </si>
  <si>
    <t>202223CTC5527.0003.00</t>
  </si>
  <si>
    <t>202223CTC5528.0003.00</t>
  </si>
  <si>
    <t>202223CTC5529.0003.00</t>
  </si>
  <si>
    <t>202223CTC5961.0002.00</t>
  </si>
  <si>
    <t>202223CTC59610.1003.00</t>
  </si>
  <si>
    <t>202223CTC59610.2003.00</t>
  </si>
  <si>
    <t>202223CTC59610.3003.00</t>
  </si>
  <si>
    <t>202223CTC59610.4003.00</t>
  </si>
  <si>
    <t>202223CTC59610.5004.00</t>
  </si>
  <si>
    <t>202223CTC59611.0004.00</t>
  </si>
  <si>
    <t>202223CTC59612.0004.00</t>
  </si>
  <si>
    <t>202223CTC59612.5004.00</t>
  </si>
  <si>
    <t>202223CTC5962.0002.00</t>
  </si>
  <si>
    <t>202223CTC5962.0003.00</t>
  </si>
  <si>
    <t>202223CTC5963.0002.00</t>
  </si>
  <si>
    <t>202223CTC5963.0003.00</t>
  </si>
  <si>
    <t>202223CTC5964.0002.00</t>
  </si>
  <si>
    <t>202223CTC5964.0003.00</t>
  </si>
  <si>
    <t>202223CTC5965.0002.00</t>
  </si>
  <si>
    <t>202223CTC5965.0003.00</t>
  </si>
  <si>
    <t>202223CTC5966.0002.00</t>
  </si>
  <si>
    <t>202223CTC5966.0003.00</t>
  </si>
  <si>
    <t>202223CTC5967.0003.00</t>
  </si>
  <si>
    <t>202223CTC5968.0003.00</t>
  </si>
  <si>
    <t>202223CTC5969.0003.00</t>
  </si>
  <si>
    <t>7 May 2024</t>
  </si>
  <si>
    <t>7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</si>
</sst>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0.0"/>
    <numFmt numFmtId="166" formatCode=";;;"/>
    <numFmt numFmtId="167" formatCode="#,##0_ ;[Red]\-#,##0\ "/>
    <numFmt numFmtId="168" formatCode="#,##0.0_ ;[Red]\-#,##0.0\ "/>
    <numFmt numFmtId="169" formatCode="#,##0.00_ ;[Red]\-#,##0.00\ "/>
    <numFmt numFmtId="170" formatCode="dd/mm/yy;@"/>
    <numFmt numFmtId="171" formatCode="0.0_ ;[Red]\-0.0\ "/>
    <numFmt numFmtId="172" formatCode="0_ ;[Red]\-0\ "/>
    <numFmt numFmtId="173" formatCode="dd/mm/yy"/>
    <numFmt numFmtId="174" formatCode="#,##0.000_ ;[Red]\-#,##0.000\ "/>
  </numFmts>
  <fonts count="64">
    <font>
      <sz val="12"/>
      <name val="Arial"/>
    </font>
    <font>
      <sz val="12"/>
      <name val="Arial"/>
      <family val="2"/>
    </font>
    <font>
      <u/>
      <sz val="12"/>
      <color indexed="12"/>
      <name val="Arial"/>
      <family val="2"/>
    </font>
    <font>
      <sz val="12"/>
      <color indexed="12"/>
      <name val="Arial"/>
      <family val="2"/>
    </font>
    <font>
      <sz val="12"/>
      <name val="Arial"/>
      <family val="2"/>
    </font>
    <font>
      <sz val="10"/>
      <name val="Arial"/>
      <family val="2"/>
    </font>
    <font>
      <i/>
      <sz val="10"/>
      <name val="Arial"/>
      <family val="2"/>
    </font>
    <font>
      <b/>
      <sz val="12"/>
      <name val="Arial"/>
      <family val="2"/>
    </font>
    <font>
      <sz val="12"/>
      <color indexed="62"/>
      <name val="Arial"/>
      <family val="2"/>
    </font>
    <font>
      <b/>
      <sz val="10"/>
      <name val="Arial"/>
      <family val="2"/>
    </font>
    <font>
      <sz val="9"/>
      <name val="Arial"/>
      <family val="2"/>
    </font>
    <font>
      <b/>
      <sz val="14"/>
      <name val="Arial"/>
      <family val="2"/>
    </font>
    <font>
      <b/>
      <sz val="12"/>
      <color indexed="12"/>
      <name val="Arial"/>
      <family val="2"/>
    </font>
    <font>
      <sz val="10"/>
      <color indexed="81"/>
      <name val="Arial"/>
      <family val="2"/>
    </font>
    <font>
      <sz val="8"/>
      <name val="Arial"/>
      <family val="2"/>
    </font>
    <font>
      <sz val="10"/>
      <name val="Arial"/>
      <family val="2"/>
    </font>
    <font>
      <sz val="10"/>
      <color indexed="12"/>
      <name val="Arial"/>
      <family val="2"/>
    </font>
    <font>
      <sz val="10"/>
      <color indexed="9"/>
      <name val="Arial"/>
      <family val="2"/>
    </font>
    <font>
      <b/>
      <u/>
      <sz val="10"/>
      <color indexed="20"/>
      <name val="Arial"/>
      <family val="2"/>
    </font>
    <font>
      <sz val="10"/>
      <color indexed="12"/>
      <name val="Arial"/>
      <family val="2"/>
    </font>
    <font>
      <b/>
      <sz val="12"/>
      <color indexed="20"/>
      <name val="Arial"/>
      <family val="2"/>
    </font>
    <font>
      <sz val="10"/>
      <color indexed="18"/>
      <name val="Arial"/>
      <family val="2"/>
    </font>
    <font>
      <b/>
      <sz val="10"/>
      <color indexed="9"/>
      <name val="Arial"/>
      <family val="2"/>
    </font>
    <font>
      <b/>
      <sz val="10"/>
      <color indexed="18"/>
      <name val="Arial"/>
      <family val="2"/>
    </font>
    <font>
      <b/>
      <sz val="12"/>
      <color indexed="18"/>
      <name val="Arial"/>
      <family val="2"/>
    </font>
    <font>
      <strike/>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2"/>
      <color indexed="55"/>
      <name val="Arial"/>
      <family val="2"/>
    </font>
    <font>
      <sz val="10"/>
      <name val="Wingdings"/>
      <charset val="2"/>
    </font>
    <font>
      <b/>
      <sz val="9"/>
      <name val="Arial"/>
      <family val="2"/>
    </font>
    <font>
      <b/>
      <sz val="9"/>
      <color indexed="18"/>
      <name val="Arial"/>
      <family val="2"/>
    </font>
    <font>
      <sz val="10"/>
      <color rgb="FFDDF2FF"/>
      <name val="Arial"/>
      <family val="2"/>
    </font>
    <font>
      <sz val="10"/>
      <color rgb="FF0000FF"/>
      <name val="Arial"/>
      <family val="2"/>
    </font>
    <font>
      <b/>
      <sz val="12"/>
      <color rgb="FFFF0000"/>
      <name val="Arial"/>
      <family val="2"/>
    </font>
    <font>
      <b/>
      <sz val="8"/>
      <color theme="0"/>
      <name val="Arial"/>
      <family val="2"/>
    </font>
    <font>
      <sz val="8"/>
      <color theme="1"/>
      <name val="Arial"/>
      <family val="2"/>
    </font>
    <font>
      <b/>
      <sz val="10"/>
      <color rgb="FFFF0000"/>
      <name val="Arial"/>
      <family val="2"/>
    </font>
    <font>
      <b/>
      <sz val="12"/>
      <color rgb="FF0000FF"/>
      <name val="Arial"/>
      <family val="2"/>
    </font>
    <font>
      <b/>
      <sz val="12"/>
      <color theme="0"/>
      <name val="Arial"/>
      <family val="2"/>
    </font>
    <font>
      <b/>
      <sz val="12"/>
      <color indexed="9"/>
      <name val="Arial"/>
      <family val="2"/>
    </font>
    <font>
      <sz val="11"/>
      <name val="Arial"/>
      <family val="2"/>
    </font>
    <font>
      <b/>
      <i/>
      <sz val="11"/>
      <name val="Arial"/>
      <family val="2"/>
    </font>
    <font>
      <i/>
      <sz val="11"/>
      <name val="Arial"/>
      <family val="2"/>
    </font>
    <font>
      <i/>
      <sz val="12"/>
      <name val="Arial"/>
      <family val="2"/>
    </font>
    <font>
      <sz val="12"/>
      <color rgb="FF0000FF"/>
      <name val="Arial"/>
      <family val="2"/>
    </font>
    <font>
      <sz val="12"/>
      <color rgb="FF0000CC"/>
      <name val="Arial"/>
      <family val="2"/>
    </font>
    <font>
      <b/>
      <sz val="10"/>
      <color rgb="FF0000CC"/>
      <name val="Arial"/>
      <family val="2"/>
    </font>
  </fonts>
  <fills count="37">
    <fill>
      <patternFill patternType="none"/>
    </fill>
    <fill>
      <patternFill patternType="gray125"/>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42"/>
        <bgColor indexed="64"/>
      </patternFill>
    </fill>
    <fill>
      <patternFill patternType="solid">
        <fgColor indexed="23"/>
        <bgColor indexed="64"/>
      </patternFill>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indexed="44"/>
        <bgColor indexed="64"/>
      </patternFill>
    </fill>
    <fill>
      <patternFill patternType="solid">
        <fgColor rgb="FFDDF2FF"/>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FCC"/>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CC"/>
        <bgColor indexed="64"/>
      </patternFill>
    </fill>
    <fill>
      <patternFill patternType="solid">
        <fgColor theme="0"/>
        <bgColor indexed="64"/>
      </patternFill>
    </fill>
    <fill>
      <patternFill patternType="solid">
        <fgColor rgb="FF99CCFF"/>
        <bgColor indexed="64"/>
      </patternFill>
    </fill>
    <fill>
      <patternFill patternType="solid">
        <fgColor rgb="FF66FF66"/>
        <bgColor indexed="64"/>
      </patternFill>
    </fill>
    <fill>
      <patternFill patternType="solid">
        <fgColor rgb="FFFFCCFF"/>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18"/>
      </left>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diagonal/>
    </border>
    <border>
      <left/>
      <right style="thin">
        <color indexed="18"/>
      </right>
      <top/>
      <bottom style="thin">
        <color indexed="18"/>
      </bottom>
      <diagonal/>
    </border>
    <border>
      <left style="thin">
        <color indexed="18"/>
      </left>
      <right/>
      <top style="thin">
        <color indexed="18"/>
      </top>
      <bottom style="thin">
        <color indexed="18"/>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thin">
        <color indexed="64"/>
      </right>
      <top/>
      <bottom/>
      <diagonal/>
    </border>
    <border>
      <left/>
      <right/>
      <top style="thin">
        <color indexed="64"/>
      </top>
      <bottom style="thin">
        <color indexed="64"/>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18"/>
      </left>
      <right style="thin">
        <color indexed="64"/>
      </right>
      <top style="thin">
        <color indexed="64"/>
      </top>
      <bottom style="thin">
        <color indexed="64"/>
      </bottom>
      <diagonal/>
    </border>
    <border>
      <left style="thin">
        <color indexed="64"/>
      </left>
      <right/>
      <top style="thin">
        <color indexed="64"/>
      </top>
      <bottom style="thin">
        <color indexed="18"/>
      </bottom>
      <diagonal/>
    </border>
    <border>
      <left/>
      <right/>
      <top style="thin">
        <color indexed="64"/>
      </top>
      <bottom/>
      <diagonal/>
    </border>
  </borders>
  <cellStyleXfs count="49">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3"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8" fillId="2"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2"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9" fillId="11" borderId="0" applyNumberFormat="0" applyBorder="0" applyAlignment="0" applyProtection="0"/>
    <xf numFmtId="0" fontId="30" fillId="12" borderId="1" applyNumberFormat="0" applyAlignment="0" applyProtection="0"/>
    <xf numFmtId="0" fontId="31" fillId="13" borderId="2" applyNumberFormat="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14"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2" fillId="0" borderId="0" applyNumberFormat="0" applyFill="0" applyBorder="0" applyAlignment="0" applyProtection="0">
      <alignment vertical="top"/>
      <protection locked="0"/>
    </xf>
    <xf numFmtId="0" fontId="37" fillId="3" borderId="1" applyNumberFormat="0" applyAlignment="0" applyProtection="0"/>
    <xf numFmtId="0" fontId="38" fillId="0" borderId="6" applyNumberFormat="0" applyFill="0" applyAlignment="0" applyProtection="0"/>
    <xf numFmtId="0" fontId="39" fillId="3" borderId="0" applyNumberFormat="0" applyBorder="0" applyAlignment="0" applyProtection="0"/>
    <xf numFmtId="0" fontId="1" fillId="0" borderId="0"/>
    <xf numFmtId="0" fontId="1" fillId="0" borderId="0"/>
    <xf numFmtId="0" fontId="15" fillId="0" borderId="0"/>
    <xf numFmtId="0" fontId="5" fillId="4" borderId="7" applyNumberFormat="0" applyFont="0" applyAlignment="0" applyProtection="0"/>
    <xf numFmtId="0" fontId="40" fillId="12" borderId="8" applyNumberFormat="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xf numFmtId="0" fontId="1" fillId="0" borderId="0"/>
  </cellStyleXfs>
  <cellXfs count="391">
    <xf numFmtId="0" fontId="0" fillId="0" borderId="0" xfId="0"/>
    <xf numFmtId="0" fontId="7" fillId="0" borderId="0" xfId="0" applyFont="1"/>
    <xf numFmtId="0" fontId="7" fillId="0" borderId="0" xfId="0" applyFont="1" applyAlignment="1">
      <alignment shrinkToFit="1"/>
    </xf>
    <xf numFmtId="0" fontId="4" fillId="0" borderId="0" xfId="0" applyFont="1"/>
    <xf numFmtId="3" fontId="4" fillId="0" borderId="0" xfId="0" applyNumberFormat="1" applyFont="1"/>
    <xf numFmtId="165" fontId="4" fillId="0" borderId="0" xfId="0" applyNumberFormat="1" applyFont="1"/>
    <xf numFmtId="0" fontId="0" fillId="0" borderId="11" xfId="0" applyBorder="1"/>
    <xf numFmtId="0" fontId="7" fillId="0" borderId="12" xfId="0" applyFont="1" applyBorder="1"/>
    <xf numFmtId="0" fontId="7" fillId="0" borderId="13" xfId="0" applyFont="1" applyBorder="1"/>
    <xf numFmtId="0" fontId="7" fillId="0" borderId="14" xfId="0" applyFont="1" applyBorder="1"/>
    <xf numFmtId="0" fontId="0" fillId="0" borderId="15" xfId="0" applyBorder="1"/>
    <xf numFmtId="0" fontId="0" fillId="0" borderId="16" xfId="0" applyBorder="1"/>
    <xf numFmtId="0" fontId="0" fillId="0" borderId="17" xfId="0" applyBorder="1"/>
    <xf numFmtId="0" fontId="0" fillId="0" borderId="18" xfId="0" applyBorder="1"/>
    <xf numFmtId="0" fontId="5" fillId="0" borderId="0" xfId="0" applyFont="1"/>
    <xf numFmtId="167" fontId="5" fillId="0" borderId="0" xfId="0" applyNumberFormat="1" applyFont="1"/>
    <xf numFmtId="169" fontId="5" fillId="0" borderId="0" xfId="0" applyNumberFormat="1" applyFont="1"/>
    <xf numFmtId="0" fontId="15" fillId="0" borderId="0" xfId="0" applyFont="1"/>
    <xf numFmtId="0" fontId="16" fillId="0" borderId="10" xfId="0" applyFont="1" applyBorder="1" applyAlignment="1">
      <alignment horizontal="center"/>
    </xf>
    <xf numFmtId="167" fontId="15" fillId="0" borderId="0" xfId="0" applyNumberFormat="1" applyFont="1"/>
    <xf numFmtId="169" fontId="15" fillId="0" borderId="0" xfId="0" applyNumberFormat="1" applyFont="1"/>
    <xf numFmtId="0" fontId="3" fillId="0" borderId="0" xfId="0" applyFont="1"/>
    <xf numFmtId="0" fontId="20" fillId="0" borderId="0" xfId="0" applyFont="1"/>
    <xf numFmtId="166" fontId="5" fillId="16" borderId="0" xfId="0" applyNumberFormat="1" applyFont="1" applyFill="1" applyProtection="1">
      <protection locked="0"/>
    </xf>
    <xf numFmtId="0" fontId="12" fillId="0" borderId="10" xfId="0" applyFont="1" applyBorder="1" applyAlignment="1">
      <alignment horizontal="center"/>
    </xf>
    <xf numFmtId="0" fontId="0" fillId="0" borderId="0" xfId="0" applyAlignment="1">
      <alignment horizontal="left"/>
    </xf>
    <xf numFmtId="0" fontId="5" fillId="0" borderId="10" xfId="41" applyFont="1" applyBorder="1" applyAlignment="1" applyProtection="1">
      <alignment horizontal="right" vertical="center"/>
      <protection locked="0"/>
    </xf>
    <xf numFmtId="0" fontId="48" fillId="21" borderId="0" xfId="0" applyFont="1" applyFill="1" applyAlignment="1" applyProtection="1">
      <alignment vertical="center"/>
      <protection locked="0"/>
    </xf>
    <xf numFmtId="0" fontId="9" fillId="0" borderId="0" xfId="0" applyFont="1" applyAlignment="1" applyProtection="1">
      <alignment horizontal="left" vertical="top" wrapText="1"/>
      <protection hidden="1"/>
    </xf>
    <xf numFmtId="0" fontId="5" fillId="0" borderId="0" xfId="0" applyFont="1" applyAlignment="1" applyProtection="1">
      <alignment horizontal="left" vertical="top" wrapText="1"/>
      <protection hidden="1"/>
    </xf>
    <xf numFmtId="0" fontId="5" fillId="0" borderId="0" xfId="0" applyFont="1" applyProtection="1">
      <protection hidden="1"/>
    </xf>
    <xf numFmtId="0" fontId="9" fillId="22" borderId="0" xfId="0" applyFont="1" applyFill="1" applyAlignment="1" applyProtection="1">
      <alignment horizontal="left" vertical="top" wrapText="1"/>
      <protection hidden="1"/>
    </xf>
    <xf numFmtId="0" fontId="5" fillId="22" borderId="0" xfId="0" applyFont="1" applyFill="1" applyAlignment="1" applyProtection="1">
      <alignment horizontal="left" vertical="top" wrapText="1"/>
      <protection hidden="1"/>
    </xf>
    <xf numFmtId="0" fontId="5" fillId="0" borderId="0" xfId="0" quotePrefix="1" applyFont="1" applyAlignment="1" applyProtection="1">
      <alignment horizontal="left" vertical="top" wrapText="1"/>
      <protection hidden="1"/>
    </xf>
    <xf numFmtId="0" fontId="5" fillId="0" borderId="0" xfId="0" applyFont="1" applyAlignment="1" applyProtection="1">
      <alignment horizontal="left" vertical="top"/>
      <protection hidden="1"/>
    </xf>
    <xf numFmtId="0" fontId="12" fillId="0" borderId="0" xfId="0" applyFont="1" applyAlignment="1">
      <alignment horizontal="center"/>
    </xf>
    <xf numFmtId="0" fontId="23" fillId="16" borderId="0" xfId="0" applyFont="1" applyFill="1" applyAlignment="1">
      <alignment horizontal="center"/>
    </xf>
    <xf numFmtId="0" fontId="23" fillId="16" borderId="0" xfId="0" applyFont="1" applyFill="1" applyAlignment="1">
      <alignment horizontal="left"/>
    </xf>
    <xf numFmtId="0" fontId="5" fillId="16" borderId="0" xfId="41" applyFont="1" applyFill="1" applyAlignment="1">
      <alignment horizontal="right" vertical="center"/>
    </xf>
    <xf numFmtId="0" fontId="1" fillId="16" borderId="0" xfId="41" applyFont="1" applyFill="1" applyAlignment="1">
      <alignment horizontal="right" vertical="center"/>
    </xf>
    <xf numFmtId="0" fontId="1" fillId="16" borderId="16" xfId="41" applyFont="1" applyFill="1" applyBorder="1" applyAlignment="1">
      <alignment horizontal="right" vertical="center"/>
    </xf>
    <xf numFmtId="0" fontId="7" fillId="16" borderId="0" xfId="41" applyFont="1" applyFill="1" applyAlignment="1">
      <alignment vertical="center"/>
    </xf>
    <xf numFmtId="0" fontId="5" fillId="16" borderId="0" xfId="41" applyFont="1" applyFill="1" applyAlignment="1">
      <alignment vertical="center"/>
    </xf>
    <xf numFmtId="0" fontId="9" fillId="16" borderId="0" xfId="41" applyFont="1" applyFill="1" applyAlignment="1">
      <alignment vertical="center"/>
    </xf>
    <xf numFmtId="0" fontId="5" fillId="16" borderId="0" xfId="41" applyFont="1" applyFill="1" applyAlignment="1">
      <alignment horizontal="left" vertical="center"/>
    </xf>
    <xf numFmtId="0" fontId="5" fillId="16" borderId="0" xfId="41" applyFont="1" applyFill="1" applyAlignment="1">
      <alignment horizontal="center" vertical="center"/>
    </xf>
    <xf numFmtId="0" fontId="15" fillId="16" borderId="0" xfId="39" applyFont="1" applyFill="1"/>
    <xf numFmtId="0" fontId="19" fillId="0" borderId="0" xfId="0" quotePrefix="1" applyFont="1"/>
    <xf numFmtId="0" fontId="5" fillId="0" borderId="18" xfId="0" applyFont="1" applyBorder="1"/>
    <xf numFmtId="0" fontId="5" fillId="0" borderId="0" xfId="0" applyFont="1" applyAlignment="1">
      <alignment horizontal="center"/>
    </xf>
    <xf numFmtId="0" fontId="18" fillId="0" borderId="0" xfId="0" applyFont="1"/>
    <xf numFmtId="0" fontId="9" fillId="0" borderId="0" xfId="0" applyFont="1"/>
    <xf numFmtId="167" fontId="5" fillId="0" borderId="0" xfId="28" applyNumberFormat="1" applyFont="1" applyFill="1" applyBorder="1" applyAlignment="1" applyProtection="1"/>
    <xf numFmtId="0" fontId="5" fillId="15" borderId="10" xfId="0" applyFont="1" applyFill="1" applyBorder="1" applyAlignment="1">
      <alignment horizontal="center"/>
    </xf>
    <xf numFmtId="167" fontId="5" fillId="0" borderId="0" xfId="0" applyNumberFormat="1" applyFont="1" applyAlignment="1">
      <alignment horizontal="right"/>
    </xf>
    <xf numFmtId="0" fontId="5" fillId="0" borderId="0" xfId="0" applyFont="1" applyAlignment="1">
      <alignment horizontal="right"/>
    </xf>
    <xf numFmtId="167" fontId="5" fillId="0" borderId="18" xfId="0" applyNumberFormat="1" applyFont="1" applyBorder="1" applyAlignment="1">
      <alignment horizontal="right"/>
    </xf>
    <xf numFmtId="0" fontId="4" fillId="0" borderId="0" xfId="0" applyFont="1" applyAlignment="1">
      <alignment wrapText="1"/>
    </xf>
    <xf numFmtId="164" fontId="5" fillId="0" borderId="0" xfId="0" applyNumberFormat="1" applyFont="1"/>
    <xf numFmtId="0" fontId="5" fillId="0" borderId="0" xfId="0" applyFont="1" applyAlignment="1">
      <alignment vertical="top" wrapText="1"/>
    </xf>
    <xf numFmtId="0" fontId="5" fillId="0" borderId="0" xfId="0" applyFont="1" applyAlignment="1">
      <alignment wrapText="1"/>
    </xf>
    <xf numFmtId="168" fontId="5" fillId="0" borderId="0" xfId="0" applyNumberFormat="1" applyFont="1" applyAlignment="1">
      <alignment horizontal="right"/>
    </xf>
    <xf numFmtId="0" fontId="5" fillId="0" borderId="0" xfId="0" quotePrefix="1" applyFont="1" applyAlignment="1">
      <alignment horizontal="left"/>
    </xf>
    <xf numFmtId="164" fontId="5" fillId="0" borderId="0" xfId="0" applyNumberFormat="1" applyFont="1" applyAlignment="1">
      <alignment horizontal="right"/>
    </xf>
    <xf numFmtId="0" fontId="9" fillId="0" borderId="0" xfId="0" applyFont="1" applyAlignment="1">
      <alignment horizontal="center"/>
    </xf>
    <xf numFmtId="0" fontId="5" fillId="0" borderId="0" xfId="0" applyFont="1" applyAlignment="1">
      <alignment horizontal="left"/>
    </xf>
    <xf numFmtId="0" fontId="5" fillId="0" borderId="0" xfId="0" quotePrefix="1" applyFont="1"/>
    <xf numFmtId="0" fontId="0" fillId="0" borderId="0" xfId="0" applyAlignment="1">
      <alignment horizontal="center"/>
    </xf>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1" fillId="0" borderId="28" xfId="0" applyFont="1" applyBorder="1"/>
    <xf numFmtId="0" fontId="5" fillId="0" borderId="16" xfId="0" applyFont="1" applyBorder="1" applyAlignment="1">
      <alignment horizontal="right"/>
    </xf>
    <xf numFmtId="0" fontId="5" fillId="0" borderId="18" xfId="0" applyFont="1" applyBorder="1" applyAlignment="1">
      <alignment horizontal="right"/>
    </xf>
    <xf numFmtId="0" fontId="5" fillId="0" borderId="28" xfId="0" applyFont="1" applyBorder="1" applyAlignment="1">
      <alignment horizontal="right"/>
    </xf>
    <xf numFmtId="0" fontId="5" fillId="0" borderId="16" xfId="0" applyFont="1" applyBorder="1" applyAlignment="1">
      <alignment horizontal="center"/>
    </xf>
    <xf numFmtId="3" fontId="5" fillId="16" borderId="0" xfId="0" applyNumberFormat="1" applyFont="1" applyFill="1" applyAlignment="1">
      <alignment vertical="center"/>
    </xf>
    <xf numFmtId="3" fontId="9" fillId="16" borderId="0" xfId="0" applyNumberFormat="1" applyFont="1" applyFill="1" applyAlignment="1">
      <alignment horizontal="right"/>
    </xf>
    <xf numFmtId="0" fontId="9" fillId="16" borderId="0" xfId="0" applyFont="1" applyFill="1" applyAlignment="1">
      <alignment horizontal="left"/>
    </xf>
    <xf numFmtId="0" fontId="9" fillId="16" borderId="0" xfId="0" applyFont="1" applyFill="1" applyAlignment="1">
      <alignment horizontal="center"/>
    </xf>
    <xf numFmtId="0" fontId="5" fillId="16" borderId="0" xfId="0" applyFont="1" applyFill="1"/>
    <xf numFmtId="0" fontId="9" fillId="16" borderId="0" xfId="0" applyFont="1" applyFill="1" applyAlignment="1">
      <alignment vertical="center"/>
    </xf>
    <xf numFmtId="0" fontId="5" fillId="16" borderId="0" xfId="0" applyFont="1" applyFill="1" applyAlignment="1">
      <alignment vertical="center"/>
    </xf>
    <xf numFmtId="0" fontId="1" fillId="0" borderId="11" xfId="0" applyFont="1" applyBorder="1"/>
    <xf numFmtId="0" fontId="7" fillId="0" borderId="29" xfId="0" applyFont="1" applyBorder="1"/>
    <xf numFmtId="0" fontId="15" fillId="0" borderId="0" xfId="39" applyFont="1" applyProtection="1">
      <protection locked="0"/>
    </xf>
    <xf numFmtId="0" fontId="5" fillId="0" borderId="0" xfId="39" applyFont="1" applyProtection="1">
      <protection locked="0"/>
    </xf>
    <xf numFmtId="0" fontId="1" fillId="0" borderId="0" xfId="39" applyProtection="1">
      <protection locked="0"/>
    </xf>
    <xf numFmtId="0" fontId="1" fillId="0" borderId="0" xfId="0" applyFont="1" applyProtection="1">
      <protection locked="0"/>
    </xf>
    <xf numFmtId="0" fontId="5" fillId="0" borderId="0" xfId="0" applyFont="1" applyProtection="1">
      <protection locked="0"/>
    </xf>
    <xf numFmtId="0" fontId="21" fillId="18" borderId="27" xfId="0" applyFont="1" applyFill="1" applyBorder="1" applyAlignment="1">
      <alignment horizontal="left" vertical="center"/>
    </xf>
    <xf numFmtId="0" fontId="5" fillId="16" borderId="0" xfId="0" applyFont="1" applyFill="1" applyAlignment="1">
      <alignment horizontal="right" wrapText="1"/>
    </xf>
    <xf numFmtId="0" fontId="5" fillId="16" borderId="24" xfId="0" applyFont="1" applyFill="1" applyBorder="1"/>
    <xf numFmtId="0" fontId="5" fillId="18" borderId="30" xfId="0" applyFont="1" applyFill="1" applyBorder="1" applyAlignment="1">
      <alignment vertical="center"/>
    </xf>
    <xf numFmtId="0" fontId="5" fillId="16" borderId="22" xfId="0" applyFont="1" applyFill="1" applyBorder="1"/>
    <xf numFmtId="0" fontId="5" fillId="16" borderId="25" xfId="0" applyFont="1" applyFill="1" applyBorder="1"/>
    <xf numFmtId="0" fontId="25" fillId="16" borderId="0" xfId="0" applyFont="1" applyFill="1"/>
    <xf numFmtId="0" fontId="25" fillId="16" borderId="0" xfId="0" applyFont="1" applyFill="1" applyAlignment="1">
      <alignment vertical="center"/>
    </xf>
    <xf numFmtId="0" fontId="5" fillId="16" borderId="0" xfId="0" quotePrefix="1" applyFont="1" applyFill="1" applyAlignment="1">
      <alignment vertical="center"/>
    </xf>
    <xf numFmtId="0" fontId="5" fillId="16" borderId="25" xfId="0" applyFont="1" applyFill="1" applyBorder="1" applyAlignment="1">
      <alignment horizontal="center"/>
    </xf>
    <xf numFmtId="0" fontId="6" fillId="16" borderId="0" xfId="0" applyFont="1" applyFill="1"/>
    <xf numFmtId="0" fontId="9" fillId="16" borderId="0" xfId="0" applyFont="1" applyFill="1" applyAlignment="1">
      <alignment horizontal="right" vertical="center"/>
    </xf>
    <xf numFmtId="0" fontId="9" fillId="16" borderId="0" xfId="0" applyFont="1" applyFill="1" applyAlignment="1">
      <alignment horizontal="centerContinuous" wrapText="1"/>
    </xf>
    <xf numFmtId="0" fontId="5" fillId="16" borderId="0" xfId="0" applyFont="1" applyFill="1" applyAlignment="1">
      <alignment horizontal="centerContinuous" wrapText="1"/>
    </xf>
    <xf numFmtId="0" fontId="26" fillId="16" borderId="0" xfId="0" applyFont="1" applyFill="1" applyAlignment="1">
      <alignment horizontal="centerContinuous" wrapText="1"/>
    </xf>
    <xf numFmtId="0" fontId="5" fillId="16" borderId="23" xfId="0" applyFont="1" applyFill="1" applyBorder="1"/>
    <xf numFmtId="0" fontId="5" fillId="16" borderId="26" xfId="0" applyFont="1" applyFill="1" applyBorder="1"/>
    <xf numFmtId="0" fontId="0" fillId="0" borderId="19" xfId="0" applyBorder="1"/>
    <xf numFmtId="0" fontId="0" fillId="0" borderId="21" xfId="0" applyBorder="1"/>
    <xf numFmtId="0" fontId="9" fillId="16" borderId="0" xfId="41" applyFont="1" applyFill="1" applyAlignment="1">
      <alignment horizontal="left"/>
    </xf>
    <xf numFmtId="0" fontId="9" fillId="0" borderId="0" xfId="0" applyFont="1" applyAlignment="1" applyProtection="1">
      <alignment horizontal="left"/>
      <protection locked="0"/>
    </xf>
    <xf numFmtId="0" fontId="5" fillId="23" borderId="0" xfId="0" applyFont="1" applyFill="1"/>
    <xf numFmtId="167" fontId="5" fillId="23" borderId="0" xfId="0" applyNumberFormat="1" applyFont="1" applyFill="1"/>
    <xf numFmtId="0" fontId="50" fillId="0" borderId="0" xfId="0" applyFont="1"/>
    <xf numFmtId="0" fontId="51" fillId="25" borderId="34" xfId="0" applyFont="1" applyFill="1" applyBorder="1"/>
    <xf numFmtId="0" fontId="51" fillId="25" borderId="34" xfId="0" applyFont="1" applyFill="1" applyBorder="1" applyAlignment="1">
      <alignment horizontal="left"/>
    </xf>
    <xf numFmtId="0" fontId="51" fillId="25" borderId="35" xfId="0" applyFont="1" applyFill="1" applyBorder="1"/>
    <xf numFmtId="0" fontId="52" fillId="26" borderId="36" xfId="0" applyFont="1" applyFill="1" applyBorder="1" applyAlignment="1">
      <alignment horizontal="left" vertical="center"/>
    </xf>
    <xf numFmtId="167" fontId="52" fillId="26" borderId="36" xfId="0" applyNumberFormat="1" applyFont="1" applyFill="1" applyBorder="1" applyAlignment="1">
      <alignment horizontal="right"/>
    </xf>
    <xf numFmtId="167" fontId="52" fillId="0" borderId="36" xfId="0" applyNumberFormat="1" applyFont="1" applyBorder="1" applyAlignment="1">
      <alignment horizontal="right"/>
    </xf>
    <xf numFmtId="0" fontId="14" fillId="0" borderId="0" xfId="0" applyFont="1" applyAlignment="1">
      <alignment horizontal="left"/>
    </xf>
    <xf numFmtId="167" fontId="14" fillId="0" borderId="0" xfId="0" applyNumberFormat="1" applyFont="1"/>
    <xf numFmtId="170" fontId="14" fillId="0" borderId="0" xfId="0" applyNumberFormat="1" applyFont="1"/>
    <xf numFmtId="0" fontId="53" fillId="0" borderId="0" xfId="0" applyFont="1"/>
    <xf numFmtId="3" fontId="51" fillId="25" borderId="34" xfId="0" applyNumberFormat="1" applyFont="1" applyFill="1" applyBorder="1"/>
    <xf numFmtId="3" fontId="52" fillId="26" borderId="36" xfId="0" applyNumberFormat="1" applyFont="1" applyFill="1" applyBorder="1"/>
    <xf numFmtId="170" fontId="52" fillId="26" borderId="36" xfId="0" applyNumberFormat="1" applyFont="1" applyFill="1" applyBorder="1"/>
    <xf numFmtId="3" fontId="52" fillId="0" borderId="36" xfId="0" applyNumberFormat="1" applyFont="1" applyBorder="1"/>
    <xf numFmtId="170" fontId="52" fillId="0" borderId="36" xfId="0" applyNumberFormat="1" applyFont="1" applyBorder="1"/>
    <xf numFmtId="3" fontId="52" fillId="0" borderId="37" xfId="0" applyNumberFormat="1" applyFont="1" applyBorder="1"/>
    <xf numFmtId="170" fontId="52" fillId="0" borderId="37" xfId="0" applyNumberFormat="1" applyFont="1" applyBorder="1"/>
    <xf numFmtId="3" fontId="14" fillId="0" borderId="0" xfId="0" applyNumberFormat="1" applyFont="1"/>
    <xf numFmtId="0" fontId="14" fillId="0" borderId="0" xfId="0" applyFont="1"/>
    <xf numFmtId="0" fontId="5" fillId="0" borderId="10" xfId="0" applyFont="1" applyBorder="1"/>
    <xf numFmtId="0" fontId="5" fillId="27" borderId="10" xfId="0" applyFont="1" applyFill="1" applyBorder="1"/>
    <xf numFmtId="0" fontId="5" fillId="0" borderId="0" xfId="0" applyFont="1" applyAlignment="1" applyProtection="1">
      <alignment horizontal="center" vertical="center"/>
      <protection locked="0"/>
    </xf>
    <xf numFmtId="0" fontId="5" fillId="24" borderId="10"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pplyProtection="1">
      <alignment horizontal="center"/>
      <protection locked="0"/>
    </xf>
    <xf numFmtId="0" fontId="5" fillId="24" borderId="10" xfId="0" applyFont="1" applyFill="1" applyBorder="1" applyAlignment="1">
      <alignment horizontal="center"/>
    </xf>
    <xf numFmtId="0" fontId="9" fillId="28" borderId="0" xfId="0" applyFont="1" applyFill="1"/>
    <xf numFmtId="0" fontId="9" fillId="0" borderId="18" xfId="0" applyFont="1" applyBorder="1"/>
    <xf numFmtId="0" fontId="9" fillId="0" borderId="18" xfId="0" applyFont="1" applyBorder="1" applyAlignment="1">
      <alignment wrapText="1"/>
    </xf>
    <xf numFmtId="0" fontId="52" fillId="26" borderId="36" xfId="0" applyFont="1" applyFill="1" applyBorder="1" applyAlignment="1">
      <alignment horizontal="right"/>
    </xf>
    <xf numFmtId="0" fontId="47" fillId="16" borderId="0" xfId="0" applyFont="1" applyFill="1" applyAlignment="1">
      <alignment horizontal="left" vertical="center"/>
    </xf>
    <xf numFmtId="0" fontId="5" fillId="16" borderId="15" xfId="40" applyFont="1" applyFill="1" applyBorder="1"/>
    <xf numFmtId="0" fontId="23" fillId="16" borderId="16" xfId="0" applyFont="1" applyFill="1" applyBorder="1" applyAlignment="1">
      <alignment horizontal="left"/>
    </xf>
    <xf numFmtId="0" fontId="23" fillId="16" borderId="32" xfId="0" applyFont="1" applyFill="1" applyBorder="1" applyAlignment="1">
      <alignment horizontal="left"/>
    </xf>
    <xf numFmtId="0" fontId="5" fillId="16" borderId="17" xfId="40" applyFont="1" applyFill="1" applyBorder="1"/>
    <xf numFmtId="0" fontId="9" fillId="16" borderId="18" xfId="0" applyFont="1" applyFill="1" applyBorder="1" applyAlignment="1">
      <alignment horizontal="left"/>
    </xf>
    <xf numFmtId="0" fontId="5" fillId="16" borderId="18" xfId="0" applyFont="1" applyFill="1" applyBorder="1"/>
    <xf numFmtId="0" fontId="5" fillId="16" borderId="28" xfId="0" applyFont="1" applyFill="1" applyBorder="1"/>
    <xf numFmtId="0" fontId="9" fillId="16" borderId="0" xfId="0" applyFont="1" applyFill="1" applyAlignment="1">
      <alignment horizontal="center" vertical="center"/>
    </xf>
    <xf numFmtId="0" fontId="10" fillId="0" borderId="0" xfId="0" applyFont="1" applyAlignment="1" applyProtection="1">
      <alignment horizontal="left" vertical="center"/>
      <protection locked="0"/>
    </xf>
    <xf numFmtId="0" fontId="10" fillId="16" borderId="0" xfId="0" applyFont="1" applyFill="1" applyAlignment="1">
      <alignment horizontal="left" vertical="center"/>
    </xf>
    <xf numFmtId="0" fontId="5" fillId="16" borderId="15" xfId="0" applyFont="1" applyFill="1" applyBorder="1" applyAlignment="1">
      <alignment vertical="center"/>
    </xf>
    <xf numFmtId="0" fontId="5" fillId="0" borderId="0" xfId="0" applyFont="1" applyAlignment="1">
      <alignment horizontal="left" vertical="center"/>
    </xf>
    <xf numFmtId="0" fontId="54" fillId="27" borderId="0" xfId="0" applyFont="1" applyFill="1" applyAlignment="1">
      <alignment horizontal="right"/>
    </xf>
    <xf numFmtId="0" fontId="54" fillId="27" borderId="0" xfId="0" quotePrefix="1" applyFont="1" applyFill="1" applyAlignment="1">
      <alignment horizontal="center"/>
    </xf>
    <xf numFmtId="0" fontId="49" fillId="32" borderId="0" xfId="0" applyFont="1" applyFill="1" applyAlignment="1" applyProtection="1">
      <alignment horizontal="left" vertical="top" wrapText="1"/>
      <protection hidden="1"/>
    </xf>
    <xf numFmtId="0" fontId="49" fillId="32" borderId="0" xfId="0" quotePrefix="1" applyFont="1" applyFill="1" applyAlignment="1" applyProtection="1">
      <alignment horizontal="left" vertical="top" wrapText="1"/>
      <protection hidden="1"/>
    </xf>
    <xf numFmtId="0" fontId="44" fillId="0" borderId="0" xfId="0" applyFont="1" applyProtection="1">
      <protection locked="0"/>
    </xf>
    <xf numFmtId="0" fontId="20" fillId="0" borderId="0" xfId="0" applyFont="1" applyAlignment="1">
      <alignment horizontal="right"/>
    </xf>
    <xf numFmtId="171" fontId="5" fillId="20" borderId="10" xfId="44" applyNumberFormat="1" applyFont="1" applyFill="1" applyBorder="1" applyAlignment="1" applyProtection="1">
      <alignment horizontal="right"/>
    </xf>
    <xf numFmtId="0" fontId="10" fillId="16" borderId="0" xfId="0" applyFont="1" applyFill="1" applyAlignment="1">
      <alignment vertical="top"/>
    </xf>
    <xf numFmtId="0" fontId="2" fillId="16" borderId="0" xfId="35" applyFill="1" applyBorder="1" applyAlignment="1" applyProtection="1">
      <alignment horizontal="center" vertical="center"/>
    </xf>
    <xf numFmtId="0" fontId="14" fillId="0" borderId="0" xfId="0" applyFont="1" applyAlignment="1">
      <alignment horizontal="right"/>
    </xf>
    <xf numFmtId="0" fontId="5" fillId="0" borderId="0" xfId="0" quotePrefix="1" applyFont="1" applyAlignment="1">
      <alignment horizontal="right"/>
    </xf>
    <xf numFmtId="172" fontId="5" fillId="16" borderId="0" xfId="0" applyNumberFormat="1" applyFont="1" applyFill="1" applyAlignment="1">
      <alignment vertical="center"/>
    </xf>
    <xf numFmtId="172" fontId="5" fillId="16" borderId="16" xfId="0" applyNumberFormat="1" applyFont="1" applyFill="1" applyBorder="1" applyAlignment="1">
      <alignment vertical="center"/>
    </xf>
    <xf numFmtId="167" fontId="5" fillId="17" borderId="10" xfId="40" applyNumberFormat="1" applyFont="1" applyFill="1" applyBorder="1" applyAlignment="1" applyProtection="1">
      <alignment horizontal="right"/>
      <protection locked="0"/>
    </xf>
    <xf numFmtId="0" fontId="56" fillId="18" borderId="30" xfId="0" applyFont="1" applyFill="1" applyBorder="1" applyAlignment="1">
      <alignment horizontal="left" vertical="center"/>
    </xf>
    <xf numFmtId="0" fontId="11" fillId="16" borderId="0" xfId="0" applyFont="1" applyFill="1" applyAlignment="1">
      <alignment vertical="center"/>
    </xf>
    <xf numFmtId="0" fontId="57" fillId="33" borderId="12" xfId="48" applyFont="1" applyFill="1" applyBorder="1" applyProtection="1">
      <protection locked="0"/>
    </xf>
    <xf numFmtId="0" fontId="57" fillId="33" borderId="15" xfId="48" applyFont="1" applyFill="1" applyBorder="1" applyProtection="1">
      <protection locked="0"/>
    </xf>
    <xf numFmtId="0" fontId="57" fillId="33" borderId="17" xfId="48" applyFont="1" applyFill="1" applyBorder="1" applyProtection="1">
      <protection locked="0"/>
    </xf>
    <xf numFmtId="0" fontId="57" fillId="16" borderId="0" xfId="0" applyFont="1" applyFill="1" applyAlignment="1">
      <alignment horizontal="right" vertical="center"/>
    </xf>
    <xf numFmtId="0" fontId="57" fillId="16" borderId="0" xfId="0" applyFont="1" applyFill="1" applyAlignment="1">
      <alignment horizontal="right" vertical="top"/>
    </xf>
    <xf numFmtId="0" fontId="5" fillId="33" borderId="14" xfId="0" applyFont="1" applyFill="1" applyBorder="1" applyProtection="1">
      <protection locked="0"/>
    </xf>
    <xf numFmtId="0" fontId="5" fillId="33" borderId="16" xfId="0" applyFont="1" applyFill="1" applyBorder="1" applyProtection="1">
      <protection locked="0"/>
    </xf>
    <xf numFmtId="0" fontId="5" fillId="33" borderId="28" xfId="0" applyFont="1" applyFill="1" applyBorder="1" applyProtection="1">
      <protection locked="0"/>
    </xf>
    <xf numFmtId="0" fontId="5" fillId="16" borderId="0" xfId="0" applyFont="1" applyFill="1" applyProtection="1">
      <protection locked="0"/>
    </xf>
    <xf numFmtId="0" fontId="5" fillId="33" borderId="13" xfId="0" applyFont="1" applyFill="1" applyBorder="1" applyProtection="1">
      <protection locked="0"/>
    </xf>
    <xf numFmtId="0" fontId="5" fillId="33" borderId="0" xfId="0" applyFont="1" applyFill="1" applyProtection="1">
      <protection locked="0"/>
    </xf>
    <xf numFmtId="0" fontId="5" fillId="33" borderId="18" xfId="0" applyFont="1" applyFill="1" applyBorder="1" applyProtection="1">
      <protection locked="0"/>
    </xf>
    <xf numFmtId="0" fontId="57" fillId="16" borderId="0" xfId="0" applyFont="1" applyFill="1"/>
    <xf numFmtId="0" fontId="58" fillId="16" borderId="0" xfId="0" applyFont="1" applyFill="1" applyAlignment="1">
      <alignment horizontal="centerContinuous" wrapText="1"/>
    </xf>
    <xf numFmtId="0" fontId="59" fillId="16" borderId="0" xfId="0" applyFont="1" applyFill="1"/>
    <xf numFmtId="0" fontId="57" fillId="16" borderId="0" xfId="0" applyFont="1" applyFill="1" applyAlignment="1">
      <alignment horizontal="right"/>
    </xf>
    <xf numFmtId="0" fontId="57" fillId="16" borderId="0" xfId="0" applyFont="1" applyFill="1" applyAlignment="1">
      <alignment horizontal="left" vertical="center" wrapText="1"/>
    </xf>
    <xf numFmtId="0" fontId="1" fillId="0" borderId="0" xfId="0" applyFont="1"/>
    <xf numFmtId="0" fontId="60" fillId="16" borderId="0" xfId="0" applyFont="1" applyFill="1"/>
    <xf numFmtId="0" fontId="24" fillId="16" borderId="0" xfId="0" applyFont="1" applyFill="1" applyAlignment="1">
      <alignment horizontal="left"/>
    </xf>
    <xf numFmtId="0" fontId="47" fillId="16" borderId="0" xfId="0" applyFont="1" applyFill="1" applyAlignment="1">
      <alignment horizontal="right" vertical="center"/>
    </xf>
    <xf numFmtId="0" fontId="21" fillId="18" borderId="29" xfId="0" applyFont="1" applyFill="1" applyBorder="1" applyAlignment="1">
      <alignment horizontal="left" vertical="center"/>
    </xf>
    <xf numFmtId="0" fontId="56" fillId="18" borderId="33" xfId="0" applyFont="1" applyFill="1" applyBorder="1" applyAlignment="1">
      <alignment horizontal="left" vertical="center"/>
    </xf>
    <xf numFmtId="0" fontId="22" fillId="18" borderId="33" xfId="0" applyFont="1" applyFill="1" applyBorder="1" applyAlignment="1">
      <alignment horizontal="left" vertical="center"/>
    </xf>
    <xf numFmtId="0" fontId="56" fillId="18" borderId="33" xfId="0" applyFont="1" applyFill="1" applyBorder="1" applyAlignment="1">
      <alignment horizontal="right" vertical="center"/>
    </xf>
    <xf numFmtId="0" fontId="22" fillId="18" borderId="38" xfId="0" applyFont="1" applyFill="1" applyBorder="1" applyAlignment="1">
      <alignment horizontal="right" vertical="center"/>
    </xf>
    <xf numFmtId="0" fontId="7" fillId="16" borderId="0" xfId="40" quotePrefix="1" applyFont="1" applyFill="1" applyAlignment="1">
      <alignment horizontal="center" wrapText="1"/>
    </xf>
    <xf numFmtId="0" fontId="5" fillId="0" borderId="10" xfId="0" applyFont="1" applyBorder="1" applyAlignment="1">
      <alignment horizontal="center"/>
    </xf>
    <xf numFmtId="0" fontId="46" fillId="22" borderId="10" xfId="0" applyFont="1" applyFill="1" applyBorder="1" applyAlignment="1">
      <alignment horizontal="center" vertical="center"/>
    </xf>
    <xf numFmtId="0" fontId="5" fillId="33" borderId="21" xfId="0" applyFont="1" applyFill="1" applyBorder="1"/>
    <xf numFmtId="0" fontId="5" fillId="33" borderId="10" xfId="0" applyFont="1" applyFill="1" applyBorder="1"/>
    <xf numFmtId="167" fontId="5" fillId="33" borderId="21" xfId="0" applyNumberFormat="1" applyFont="1" applyFill="1" applyBorder="1" applyAlignment="1">
      <alignment horizontal="right"/>
    </xf>
    <xf numFmtId="167" fontId="5" fillId="33" borderId="10" xfId="0" applyNumberFormat="1" applyFont="1" applyFill="1" applyBorder="1" applyAlignment="1">
      <alignment horizontal="right"/>
    </xf>
    <xf numFmtId="167" fontId="5" fillId="34" borderId="21" xfId="0" applyNumberFormat="1" applyFont="1" applyFill="1" applyBorder="1" applyAlignment="1">
      <alignment horizontal="right"/>
    </xf>
    <xf numFmtId="167" fontId="5" fillId="34" borderId="10" xfId="0" applyNumberFormat="1" applyFont="1" applyFill="1" applyBorder="1" applyAlignment="1">
      <alignment horizontal="right"/>
    </xf>
    <xf numFmtId="3" fontId="9" fillId="16" borderId="0" xfId="0" applyNumberFormat="1" applyFont="1" applyFill="1" applyAlignment="1">
      <alignment horizontal="left" vertical="center"/>
    </xf>
    <xf numFmtId="164" fontId="9" fillId="16" borderId="0" xfId="0" applyNumberFormat="1" applyFont="1" applyFill="1" applyAlignment="1">
      <alignment horizontal="left" vertical="center"/>
    </xf>
    <xf numFmtId="164" fontId="9" fillId="16" borderId="0" xfId="0" applyNumberFormat="1" applyFont="1" applyFill="1" applyAlignment="1">
      <alignment horizontal="left" vertical="center" wrapText="1"/>
    </xf>
    <xf numFmtId="0" fontId="5" fillId="16" borderId="18" xfId="0" applyFont="1" applyFill="1" applyBorder="1" applyAlignment="1">
      <alignment horizontal="left" vertical="center"/>
    </xf>
    <xf numFmtId="169" fontId="5" fillId="34" borderId="19" xfId="0" applyNumberFormat="1" applyFont="1" applyFill="1" applyBorder="1" applyAlignment="1">
      <alignment horizontal="right"/>
    </xf>
    <xf numFmtId="169" fontId="5" fillId="34" borderId="10" xfId="0" applyNumberFormat="1" applyFont="1" applyFill="1" applyBorder="1" applyAlignment="1">
      <alignment horizontal="right"/>
    </xf>
    <xf numFmtId="169" fontId="5" fillId="33" borderId="10" xfId="0" applyNumberFormat="1" applyFont="1" applyFill="1" applyBorder="1" applyAlignment="1">
      <alignment horizontal="right"/>
    </xf>
    <xf numFmtId="0" fontId="5" fillId="33" borderId="10" xfId="0" applyFont="1" applyFill="1" applyBorder="1" applyAlignment="1">
      <alignment horizontal="center"/>
    </xf>
    <xf numFmtId="0" fontId="5" fillId="33" borderId="21" xfId="0" applyFont="1" applyFill="1" applyBorder="1" applyAlignment="1">
      <alignment horizontal="center"/>
    </xf>
    <xf numFmtId="170" fontId="5" fillId="0" borderId="0" xfId="0" applyNumberFormat="1" applyFont="1"/>
    <xf numFmtId="0" fontId="47" fillId="16" borderId="16" xfId="0" applyFont="1" applyFill="1" applyBorder="1" applyAlignment="1">
      <alignment horizontal="right" vertical="center"/>
    </xf>
    <xf numFmtId="0" fontId="5" fillId="33" borderId="19" xfId="0" applyFont="1" applyFill="1" applyBorder="1" applyAlignment="1">
      <alignment horizontal="center" wrapText="1"/>
    </xf>
    <xf numFmtId="0" fontId="5" fillId="33" borderId="14" xfId="0" applyFont="1" applyFill="1" applyBorder="1" applyAlignment="1">
      <alignment horizontal="center" wrapText="1"/>
    </xf>
    <xf numFmtId="0" fontId="5" fillId="33" borderId="20" xfId="0" applyFont="1" applyFill="1" applyBorder="1" applyAlignment="1">
      <alignment horizontal="center" wrapText="1"/>
    </xf>
    <xf numFmtId="0" fontId="5" fillId="33" borderId="16" xfId="0" applyFont="1" applyFill="1" applyBorder="1" applyAlignment="1">
      <alignment horizontal="center" wrapText="1"/>
    </xf>
    <xf numFmtId="0" fontId="9" fillId="16" borderId="0" xfId="0" applyFont="1" applyFill="1" applyAlignment="1">
      <alignment horizontal="left" vertical="center"/>
    </xf>
    <xf numFmtId="0" fontId="5" fillId="16" borderId="0" xfId="0" applyFont="1" applyFill="1" applyAlignment="1">
      <alignment horizontal="left" vertical="center"/>
    </xf>
    <xf numFmtId="0" fontId="5" fillId="16" borderId="0" xfId="41" applyFont="1" applyFill="1" applyAlignment="1">
      <alignment horizontal="left" vertical="center" wrapText="1"/>
    </xf>
    <xf numFmtId="0" fontId="5" fillId="24" borderId="21" xfId="0" applyFont="1" applyFill="1" applyBorder="1" applyProtection="1">
      <protection locked="0"/>
    </xf>
    <xf numFmtId="0" fontId="5" fillId="24" borderId="21" xfId="0" applyFont="1" applyFill="1" applyBorder="1"/>
    <xf numFmtId="170" fontId="5" fillId="24" borderId="21" xfId="0" applyNumberFormat="1" applyFont="1" applyFill="1" applyBorder="1"/>
    <xf numFmtId="0" fontId="5" fillId="24" borderId="10" xfId="0" applyFont="1" applyFill="1" applyBorder="1" applyProtection="1">
      <protection locked="0"/>
    </xf>
    <xf numFmtId="0" fontId="5" fillId="24" borderId="10" xfId="0" applyFont="1" applyFill="1" applyBorder="1"/>
    <xf numFmtId="170" fontId="5" fillId="24" borderId="10" xfId="0" applyNumberFormat="1" applyFont="1" applyFill="1" applyBorder="1"/>
    <xf numFmtId="0" fontId="10" fillId="0" borderId="10" xfId="0" applyFont="1" applyBorder="1" applyAlignment="1">
      <alignment horizontal="center" wrapText="1"/>
    </xf>
    <xf numFmtId="170" fontId="5" fillId="24" borderId="20" xfId="0" applyNumberFormat="1" applyFont="1" applyFill="1" applyBorder="1"/>
    <xf numFmtId="0" fontId="17" fillId="18" borderId="12" xfId="41" applyFont="1" applyFill="1" applyBorder="1" applyAlignment="1">
      <alignment horizontal="right" vertical="center"/>
    </xf>
    <xf numFmtId="0" fontId="22" fillId="18" borderId="13" xfId="41" applyFont="1" applyFill="1" applyBorder="1" applyAlignment="1">
      <alignment horizontal="left" vertical="center"/>
    </xf>
    <xf numFmtId="0" fontId="17" fillId="18" borderId="13" xfId="41" applyFont="1" applyFill="1" applyBorder="1" applyAlignment="1">
      <alignment horizontal="right" vertical="center"/>
    </xf>
    <xf numFmtId="0" fontId="22" fillId="18" borderId="13" xfId="41" applyFont="1" applyFill="1" applyBorder="1" applyAlignment="1">
      <alignment horizontal="right" vertical="center"/>
    </xf>
    <xf numFmtId="0" fontId="17" fillId="18" borderId="14" xfId="41" applyFont="1" applyFill="1" applyBorder="1" applyAlignment="1">
      <alignment horizontal="right" vertical="center"/>
    </xf>
    <xf numFmtId="0" fontId="5" fillId="16" borderId="15" xfId="41" applyFont="1" applyFill="1" applyBorder="1" applyAlignment="1">
      <alignment horizontal="right" vertical="center"/>
    </xf>
    <xf numFmtId="0" fontId="5" fillId="16" borderId="17" xfId="41" applyFont="1" applyFill="1" applyBorder="1" applyAlignment="1">
      <alignment horizontal="right" vertical="center"/>
    </xf>
    <xf numFmtId="0" fontId="5" fillId="16" borderId="18" xfId="41" applyFont="1" applyFill="1" applyBorder="1" applyAlignment="1">
      <alignment horizontal="right" vertical="center"/>
    </xf>
    <xf numFmtId="0" fontId="1" fillId="16" borderId="18" xfId="41" applyFont="1" applyFill="1" applyBorder="1" applyAlignment="1">
      <alignment horizontal="right" vertical="center"/>
    </xf>
    <xf numFmtId="0" fontId="1" fillId="16" borderId="28" xfId="41" applyFont="1" applyFill="1" applyBorder="1" applyAlignment="1">
      <alignment horizontal="right" vertical="center"/>
    </xf>
    <xf numFmtId="0" fontId="22" fillId="18" borderId="39" xfId="0" applyFont="1" applyFill="1" applyBorder="1" applyAlignment="1">
      <alignment vertical="center"/>
    </xf>
    <xf numFmtId="0" fontId="8" fillId="18" borderId="33" xfId="0" applyFont="1" applyFill="1" applyBorder="1" applyAlignment="1">
      <alignment vertical="center"/>
    </xf>
    <xf numFmtId="0" fontId="17" fillId="18" borderId="14" xfId="0" applyFont="1" applyFill="1" applyBorder="1"/>
    <xf numFmtId="0" fontId="17" fillId="0" borderId="16" xfId="0" applyFont="1" applyBorder="1"/>
    <xf numFmtId="0" fontId="9" fillId="0" borderId="15" xfId="0" applyFont="1" applyBorder="1"/>
    <xf numFmtId="0" fontId="9" fillId="0" borderId="15" xfId="0" applyFont="1" applyBorder="1" applyAlignment="1">
      <alignment horizontal="center"/>
    </xf>
    <xf numFmtId="0" fontId="5" fillId="0" borderId="28" xfId="0" applyFont="1" applyBorder="1"/>
    <xf numFmtId="0" fontId="5" fillId="0" borderId="15" xfId="0" applyFont="1" applyBorder="1" applyProtection="1">
      <protection locked="0"/>
    </xf>
    <xf numFmtId="0" fontId="47" fillId="16" borderId="14" xfId="0" applyFont="1" applyFill="1" applyBorder="1" applyAlignment="1">
      <alignment horizontal="right" vertical="center"/>
    </xf>
    <xf numFmtId="0" fontId="1" fillId="0" borderId="0" xfId="0" applyFont="1" applyAlignment="1">
      <alignment horizontal="right"/>
    </xf>
    <xf numFmtId="0" fontId="61" fillId="0" borderId="0" xfId="0" applyFont="1" applyAlignment="1">
      <alignment horizontal="center"/>
    </xf>
    <xf numFmtId="0" fontId="17" fillId="18" borderId="12" xfId="41" applyFont="1" applyFill="1" applyBorder="1" applyAlignment="1">
      <alignment vertical="center"/>
    </xf>
    <xf numFmtId="0" fontId="17" fillId="18" borderId="13" xfId="41" applyFont="1" applyFill="1" applyBorder="1" applyAlignment="1">
      <alignment vertical="center"/>
    </xf>
    <xf numFmtId="0" fontId="5" fillId="16" borderId="15" xfId="41" applyFont="1" applyFill="1" applyBorder="1" applyAlignment="1">
      <alignment vertical="center"/>
    </xf>
    <xf numFmtId="0" fontId="5" fillId="16" borderId="16" xfId="41" applyFont="1" applyFill="1" applyBorder="1" applyAlignment="1">
      <alignment horizontal="left" vertical="center" wrapText="1"/>
    </xf>
    <xf numFmtId="0" fontId="5" fillId="16" borderId="16" xfId="41" applyFont="1" applyFill="1" applyBorder="1" applyAlignment="1">
      <alignment vertical="center"/>
    </xf>
    <xf numFmtId="0" fontId="45" fillId="16" borderId="16" xfId="41" applyFont="1" applyFill="1" applyBorder="1" applyAlignment="1">
      <alignment horizontal="center" vertical="center"/>
    </xf>
    <xf numFmtId="0" fontId="5" fillId="16" borderId="17" xfId="41" applyFont="1" applyFill="1" applyBorder="1" applyAlignment="1">
      <alignment vertical="center"/>
    </xf>
    <xf numFmtId="0" fontId="5" fillId="16" borderId="18" xfId="41" applyFont="1" applyFill="1" applyBorder="1" applyAlignment="1">
      <alignment vertical="center"/>
    </xf>
    <xf numFmtId="0" fontId="5" fillId="16" borderId="28" xfId="41" applyFont="1" applyFill="1" applyBorder="1" applyAlignment="1">
      <alignment vertical="center"/>
    </xf>
    <xf numFmtId="0" fontId="5" fillId="36" borderId="0" xfId="0" applyFont="1" applyFill="1" applyAlignment="1">
      <alignment horizontal="right"/>
    </xf>
    <xf numFmtId="0" fontId="5" fillId="0" borderId="11" xfId="0" applyFont="1" applyBorder="1" applyAlignment="1">
      <alignment horizontal="left"/>
    </xf>
    <xf numFmtId="0" fontId="5" fillId="24" borderId="21" xfId="0" applyFont="1" applyFill="1" applyBorder="1" applyAlignment="1">
      <alignment horizontal="center"/>
    </xf>
    <xf numFmtId="0" fontId="5" fillId="24" borderId="21" xfId="0" applyFont="1" applyFill="1" applyBorder="1" applyAlignment="1">
      <alignment horizontal="center" vertical="center"/>
    </xf>
    <xf numFmtId="0" fontId="46" fillId="22" borderId="11" xfId="0" applyFont="1" applyFill="1" applyBorder="1" applyAlignment="1">
      <alignment horizontal="center" vertical="center"/>
    </xf>
    <xf numFmtId="173" fontId="52" fillId="26" borderId="36" xfId="0" applyNumberFormat="1" applyFont="1" applyFill="1" applyBorder="1" applyAlignment="1">
      <alignment horizontal="right"/>
    </xf>
    <xf numFmtId="173" fontId="14" fillId="0" borderId="0" xfId="0" applyNumberFormat="1" applyFont="1" applyAlignment="1">
      <alignment horizontal="right"/>
    </xf>
    <xf numFmtId="0" fontId="62" fillId="16" borderId="0" xfId="0" applyFont="1" applyFill="1" applyAlignment="1">
      <alignment horizontal="right" vertical="top"/>
    </xf>
    <xf numFmtId="0" fontId="62" fillId="16" borderId="0" xfId="0" applyFont="1" applyFill="1" applyAlignment="1">
      <alignment horizontal="left" vertical="center"/>
    </xf>
    <xf numFmtId="0" fontId="7" fillId="16" borderId="0" xfId="0" applyFont="1" applyFill="1" applyAlignment="1">
      <alignment horizontal="center"/>
    </xf>
    <xf numFmtId="0" fontId="23" fillId="0" borderId="0" xfId="0" applyFont="1" applyAlignment="1">
      <alignment horizontal="left" vertical="center"/>
    </xf>
    <xf numFmtId="0" fontId="63" fillId="0" borderId="0" xfId="0" applyFont="1" applyAlignment="1">
      <alignment horizontal="right" vertical="top"/>
    </xf>
    <xf numFmtId="0" fontId="63" fillId="0" borderId="0" xfId="0" applyFont="1" applyAlignment="1">
      <alignment horizontal="left" vertical="center"/>
    </xf>
    <xf numFmtId="0" fontId="62" fillId="16" borderId="0" xfId="0" applyFont="1" applyFill="1" applyAlignment="1">
      <alignment vertical="center"/>
    </xf>
    <xf numFmtId="49" fontId="5" fillId="0" borderId="0" xfId="0" applyNumberFormat="1" applyFont="1" applyAlignment="1" applyProtection="1">
      <alignment horizontal="left" vertical="top" wrapText="1"/>
      <protection hidden="1"/>
    </xf>
    <xf numFmtId="0" fontId="12" fillId="35" borderId="10" xfId="0" applyFont="1" applyFill="1" applyBorder="1" applyAlignment="1">
      <alignment horizontal="center"/>
    </xf>
    <xf numFmtId="49" fontId="12" fillId="35" borderId="19" xfId="0" quotePrefix="1" applyNumberFormat="1" applyFont="1" applyFill="1" applyBorder="1" applyAlignment="1">
      <alignment horizontal="center"/>
    </xf>
    <xf numFmtId="15" fontId="12" fillId="35" borderId="21" xfId="0" quotePrefix="1" applyNumberFormat="1" applyFont="1" applyFill="1" applyBorder="1" applyAlignment="1">
      <alignment horizontal="center"/>
    </xf>
    <xf numFmtId="0" fontId="0" fillId="35" borderId="0" xfId="0" applyFill="1" applyAlignment="1">
      <alignment horizontal="center"/>
    </xf>
    <xf numFmtId="0" fontId="20" fillId="32" borderId="0" xfId="0" applyFont="1" applyFill="1"/>
    <xf numFmtId="0" fontId="3" fillId="32" borderId="0" xfId="0" applyFont="1" applyFill="1"/>
    <xf numFmtId="1" fontId="4" fillId="32" borderId="0" xfId="0" applyNumberFormat="1" applyFont="1" applyFill="1" applyAlignment="1">
      <alignment horizontal="right"/>
    </xf>
    <xf numFmtId="0" fontId="54" fillId="0" borderId="0" xfId="0" quotePrefix="1" applyFont="1"/>
    <xf numFmtId="0" fontId="49" fillId="0" borderId="0" xfId="0" applyFont="1"/>
    <xf numFmtId="14" fontId="20" fillId="32" borderId="0" xfId="0" applyNumberFormat="1" applyFont="1" applyFill="1"/>
    <xf numFmtId="14" fontId="0" fillId="32" borderId="0" xfId="0" applyNumberFormat="1" applyFill="1"/>
    <xf numFmtId="14" fontId="4" fillId="0" borderId="0" xfId="0" applyNumberFormat="1" applyFont="1"/>
    <xf numFmtId="168" fontId="55" fillId="18" borderId="31" xfId="0" applyNumberFormat="1" applyFont="1" applyFill="1" applyBorder="1" applyAlignment="1">
      <alignment horizontal="right" vertical="center"/>
    </xf>
    <xf numFmtId="0" fontId="5" fillId="32" borderId="10" xfId="0" applyFont="1" applyFill="1" applyBorder="1" applyAlignment="1">
      <alignment horizontal="center" wrapText="1"/>
    </xf>
    <xf numFmtId="0" fontId="5" fillId="32" borderId="10" xfId="0" applyFont="1" applyFill="1" applyBorder="1" applyAlignment="1">
      <alignment horizontal="center"/>
    </xf>
    <xf numFmtId="167" fontId="5" fillId="20" borderId="10" xfId="0" applyNumberFormat="1" applyFont="1" applyFill="1" applyBorder="1" applyAlignment="1">
      <alignment horizontal="right"/>
    </xf>
    <xf numFmtId="0" fontId="5" fillId="0" borderId="10" xfId="0" applyFont="1" applyBorder="1" applyAlignment="1">
      <alignment horizontal="center" wrapText="1"/>
    </xf>
    <xf numFmtId="0" fontId="0" fillId="0" borderId="0" xfId="0" applyProtection="1">
      <protection locked="0"/>
    </xf>
    <xf numFmtId="0" fontId="9" fillId="0" borderId="40" xfId="0" applyFont="1" applyBorder="1"/>
    <xf numFmtId="0" fontId="20" fillId="32" borderId="0" xfId="0" applyFont="1" applyFill="1" applyAlignment="1">
      <alignment horizontal="right"/>
    </xf>
    <xf numFmtId="165" fontId="9" fillId="16" borderId="0" xfId="0" applyNumberFormat="1" applyFont="1" applyFill="1" applyAlignment="1">
      <alignment horizontal="left" vertical="center"/>
    </xf>
    <xf numFmtId="0" fontId="5" fillId="27" borderId="0" xfId="0" applyFont="1" applyFill="1" applyAlignment="1">
      <alignment vertical="center"/>
    </xf>
    <xf numFmtId="0" fontId="5" fillId="27" borderId="0" xfId="0" applyFont="1" applyFill="1" applyAlignment="1" applyProtection="1">
      <alignment horizontal="left" vertical="top" wrapText="1"/>
      <protection hidden="1"/>
    </xf>
    <xf numFmtId="174" fontId="0" fillId="0" borderId="0" xfId="0" applyNumberFormat="1" applyProtection="1">
      <protection locked="0"/>
    </xf>
    <xf numFmtId="0" fontId="57" fillId="16" borderId="0" xfId="0" applyFont="1" applyFill="1" applyAlignment="1">
      <alignment horizontal="left" vertical="center" wrapText="1"/>
    </xf>
    <xf numFmtId="0" fontId="7" fillId="32" borderId="29" xfId="0" applyFont="1" applyFill="1" applyBorder="1" applyAlignment="1">
      <alignment horizontal="center" vertical="center" wrapText="1"/>
    </xf>
    <xf numFmtId="0" fontId="7" fillId="32" borderId="33" xfId="0" applyFont="1" applyFill="1" applyBorder="1" applyAlignment="1">
      <alignment horizontal="center" vertical="center" wrapText="1"/>
    </xf>
    <xf numFmtId="0" fontId="7" fillId="32" borderId="11" xfId="0" applyFont="1" applyFill="1" applyBorder="1" applyAlignment="1">
      <alignment horizontal="center" vertical="center" wrapText="1"/>
    </xf>
    <xf numFmtId="0" fontId="57" fillId="0" borderId="12" xfId="0" applyFont="1" applyBorder="1" applyAlignment="1" applyProtection="1">
      <alignment horizontal="left" vertical="top" wrapText="1"/>
      <protection locked="0"/>
    </xf>
    <xf numFmtId="0" fontId="57" fillId="0" borderId="13" xfId="0" applyFont="1" applyBorder="1" applyAlignment="1" applyProtection="1">
      <alignment horizontal="left" vertical="top" wrapText="1"/>
      <protection locked="0"/>
    </xf>
    <xf numFmtId="0" fontId="57" fillId="0" borderId="14" xfId="0" applyFont="1" applyBorder="1" applyAlignment="1" applyProtection="1">
      <alignment horizontal="left" vertical="top" wrapText="1"/>
      <protection locked="0"/>
    </xf>
    <xf numFmtId="0" fontId="57" fillId="0" borderId="17" xfId="0" applyFont="1" applyBorder="1" applyAlignment="1" applyProtection="1">
      <alignment horizontal="left" vertical="top" wrapText="1"/>
      <protection locked="0"/>
    </xf>
    <xf numFmtId="0" fontId="57" fillId="0" borderId="18" xfId="0" applyFont="1" applyBorder="1" applyAlignment="1" applyProtection="1">
      <alignment horizontal="left" vertical="top" wrapText="1"/>
      <protection locked="0"/>
    </xf>
    <xf numFmtId="0" fontId="57" fillId="0" borderId="28"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3"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62" fillId="16" borderId="0" xfId="0" applyFont="1" applyFill="1" applyAlignment="1">
      <alignment horizontal="left" vertical="center"/>
    </xf>
    <xf numFmtId="0" fontId="10" fillId="29" borderId="19" xfId="0" applyFont="1" applyFill="1" applyBorder="1" applyAlignment="1">
      <alignment horizontal="center" vertical="center" textRotation="180" wrapText="1"/>
    </xf>
    <xf numFmtId="0" fontId="1" fillId="0" borderId="21" xfId="0" applyFont="1" applyBorder="1" applyAlignment="1">
      <alignment horizontal="center"/>
    </xf>
    <xf numFmtId="0" fontId="10" fillId="0" borderId="11" xfId="0" applyFont="1" applyBorder="1" applyAlignment="1">
      <alignment horizontal="center" vertical="center" textRotation="180" wrapText="1"/>
    </xf>
    <xf numFmtId="0" fontId="1" fillId="0" borderId="11" xfId="0" applyFont="1" applyBorder="1" applyAlignment="1">
      <alignment horizontal="center"/>
    </xf>
    <xf numFmtId="0" fontId="10" fillId="31" borderId="14" xfId="0" applyFont="1" applyFill="1" applyBorder="1" applyAlignment="1">
      <alignment horizontal="center" vertical="center" textRotation="180" wrapText="1"/>
    </xf>
    <xf numFmtId="0" fontId="1" fillId="0" borderId="28"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 fillId="16" borderId="0" xfId="0" applyFont="1" applyFill="1" applyAlignment="1">
      <alignment horizontal="center" vertical="center" wrapText="1"/>
    </xf>
    <xf numFmtId="0" fontId="1" fillId="16" borderId="16" xfId="0" applyFont="1" applyFill="1" applyBorder="1" applyAlignment="1">
      <alignment horizontal="center" vertical="center" wrapText="1"/>
    </xf>
    <xf numFmtId="0" fontId="5" fillId="16" borderId="0" xfId="0" applyFont="1" applyFill="1" applyAlignment="1">
      <alignment horizontal="left" vertical="center" wrapText="1"/>
    </xf>
    <xf numFmtId="0" fontId="5" fillId="16" borderId="16" xfId="0" applyFont="1" applyFill="1" applyBorder="1" applyAlignment="1">
      <alignment horizontal="left" vertical="center" wrapText="1"/>
    </xf>
    <xf numFmtId="0" fontId="10" fillId="0" borderId="12" xfId="0" applyFont="1" applyBorder="1" applyAlignment="1">
      <alignment horizontal="center" wrapText="1"/>
    </xf>
    <xf numFmtId="0" fontId="10" fillId="0" borderId="14" xfId="0" applyFont="1" applyBorder="1" applyAlignment="1">
      <alignment horizontal="center" wrapText="1"/>
    </xf>
    <xf numFmtId="0" fontId="5" fillId="0" borderId="10" xfId="0" applyFont="1" applyBorder="1" applyAlignment="1">
      <alignment horizontal="center" wrapText="1"/>
    </xf>
    <xf numFmtId="0" fontId="10" fillId="30" borderId="10" xfId="0" applyFont="1" applyFill="1" applyBorder="1" applyAlignment="1">
      <alignment horizontal="center" vertical="center" textRotation="180" wrapText="1"/>
    </xf>
    <xf numFmtId="0" fontId="1" fillId="0" borderId="10" xfId="0" applyFont="1" applyBorder="1" applyAlignment="1">
      <alignment horizontal="center"/>
    </xf>
    <xf numFmtId="0" fontId="5" fillId="0" borderId="12" xfId="0" applyFont="1" applyBorder="1" applyAlignment="1">
      <alignment horizont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0" fontId="10" fillId="32" borderId="19" xfId="0" applyFont="1" applyFill="1" applyBorder="1" applyAlignment="1">
      <alignment horizontal="center" vertical="center" textRotation="180"/>
    </xf>
    <xf numFmtId="0" fontId="1" fillId="32" borderId="21" xfId="0" applyFont="1" applyFill="1" applyBorder="1"/>
    <xf numFmtId="0" fontId="10" fillId="32" borderId="13" xfId="0" applyFont="1" applyFill="1" applyBorder="1" applyAlignment="1">
      <alignment horizontal="center" vertical="center" textRotation="180"/>
    </xf>
    <xf numFmtId="0" fontId="1" fillId="32" borderId="18" xfId="0" applyFont="1" applyFill="1" applyBorder="1"/>
    <xf numFmtId="0" fontId="10" fillId="0" borderId="12" xfId="0" applyFont="1" applyBorder="1" applyAlignment="1">
      <alignment horizontal="center" vertical="center" textRotation="180" wrapText="1"/>
    </xf>
    <xf numFmtId="0" fontId="10" fillId="0" borderId="17" xfId="0" applyFont="1" applyBorder="1" applyAlignment="1">
      <alignment horizontal="center" vertical="center" textRotation="180" wrapText="1"/>
    </xf>
    <xf numFmtId="0" fontId="5" fillId="0" borderId="0" xfId="0" applyFont="1" applyAlignment="1">
      <alignment vertical="center" wrapText="1"/>
    </xf>
    <xf numFmtId="0" fontId="9" fillId="16" borderId="0" xfId="0" applyFont="1" applyFill="1" applyAlignment="1">
      <alignment horizontal="left" vertical="center"/>
    </xf>
    <xf numFmtId="0" fontId="5" fillId="16" borderId="0" xfId="0" applyFont="1" applyFill="1" applyAlignment="1">
      <alignment horizontal="left" vertical="center"/>
    </xf>
    <xf numFmtId="0" fontId="5" fillId="16" borderId="16" xfId="0" applyFont="1" applyFill="1" applyBorder="1" applyAlignment="1">
      <alignment horizontal="left" vertical="center"/>
    </xf>
    <xf numFmtId="0" fontId="5" fillId="0" borderId="16" xfId="0" applyFont="1" applyBorder="1" applyAlignment="1">
      <alignment horizontal="left" vertical="center" wrapText="1"/>
    </xf>
    <xf numFmtId="0" fontId="5" fillId="0" borderId="12" xfId="0" quotePrefix="1"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63" fillId="0" borderId="0" xfId="0" applyFont="1" applyAlignment="1">
      <alignment horizontal="left" vertical="center"/>
    </xf>
    <xf numFmtId="0" fontId="5" fillId="0" borderId="19" xfId="0" applyFont="1" applyBorder="1" applyAlignment="1" applyProtection="1">
      <alignment vertical="top" wrapText="1"/>
      <protection locked="0"/>
    </xf>
    <xf numFmtId="0" fontId="5" fillId="0" borderId="20" xfId="0" applyFont="1" applyBorder="1" applyAlignment="1" applyProtection="1">
      <alignment vertical="top" wrapText="1"/>
      <protection locked="0"/>
    </xf>
    <xf numFmtId="0" fontId="5" fillId="0" borderId="21" xfId="0" applyFont="1" applyBorder="1" applyAlignment="1" applyProtection="1">
      <alignment vertical="top" wrapText="1"/>
      <protection locked="0"/>
    </xf>
    <xf numFmtId="0" fontId="9" fillId="0" borderId="18" xfId="0" applyFont="1" applyBorder="1" applyAlignment="1">
      <alignment horizontal="center"/>
    </xf>
    <xf numFmtId="0" fontId="9" fillId="0" borderId="18" xfId="0" applyFont="1" applyBorder="1"/>
    <xf numFmtId="0" fontId="5" fillId="0" borderId="12" xfId="0" applyFont="1"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28" xfId="0" applyBorder="1" applyAlignment="1">
      <alignment vertical="center"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12" xfId="0" quotePrefix="1" applyFont="1"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28" xfId="0" applyBorder="1" applyAlignment="1">
      <alignment horizontal="center" wrapText="1"/>
    </xf>
    <xf numFmtId="0" fontId="9" fillId="0" borderId="0" xfId="0" applyFont="1" applyAlignment="1">
      <alignment horizontal="left"/>
    </xf>
    <xf numFmtId="0" fontId="5" fillId="16" borderId="0" xfId="41" applyFont="1" applyFill="1" applyAlignment="1">
      <alignment horizontal="left" vertical="center" wrapText="1"/>
    </xf>
    <xf numFmtId="0" fontId="5" fillId="17" borderId="29" xfId="41" applyFont="1" applyFill="1" applyBorder="1" applyAlignment="1" applyProtection="1">
      <alignment horizontal="left" vertical="top"/>
      <protection locked="0"/>
    </xf>
    <xf numFmtId="0" fontId="5" fillId="17" borderId="33" xfId="41" applyFont="1" applyFill="1" applyBorder="1" applyAlignment="1" applyProtection="1">
      <alignment horizontal="left" vertical="top"/>
      <protection locked="0"/>
    </xf>
    <xf numFmtId="0" fontId="5" fillId="17" borderId="11" xfId="41" applyFont="1" applyFill="1" applyBorder="1" applyAlignment="1" applyProtection="1">
      <alignment horizontal="left" vertical="top"/>
      <protection locked="0"/>
    </xf>
    <xf numFmtId="0" fontId="11" fillId="19" borderId="29" xfId="0" applyFont="1" applyFill="1" applyBorder="1"/>
    <xf numFmtId="0" fontId="0" fillId="19" borderId="33" xfId="0" applyFill="1" applyBorder="1"/>
    <xf numFmtId="0" fontId="0" fillId="19" borderId="11" xfId="0" applyFill="1" applyBorder="1"/>
    <xf numFmtId="0" fontId="0" fillId="0" borderId="33" xfId="0" applyBorder="1"/>
    <xf numFmtId="0" fontId="0" fillId="0" borderId="11" xfId="0" applyBorder="1"/>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2" xfId="48" xr:uid="{00000000-0005-0000-0000-000027000000}"/>
    <cellStyle name="Normal_BR1Form 201112" xfId="39" xr:uid="{00000000-0005-0000-0000-000028000000}"/>
    <cellStyle name="Normal_In512" xfId="40" xr:uid="{00000000-0005-0000-0000-000029000000}"/>
    <cellStyle name="Normal_STOCK_512_2009_10_001" xfId="41" xr:uid="{00000000-0005-0000-0000-00002A000000}"/>
    <cellStyle name="Note" xfId="42" builtinId="10" customBuiltin="1"/>
    <cellStyle name="Output" xfId="43" builtinId="21" customBuiltin="1"/>
    <cellStyle name="Per cent" xfId="44" builtinId="5"/>
    <cellStyle name="Title" xfId="45" builtinId="15" customBuiltin="1"/>
    <cellStyle name="Total" xfId="46" builtinId="25" customBuiltin="1"/>
    <cellStyle name="Warning Text" xfId="47" builtinId="11" customBuiltin="1"/>
  </cellStyles>
  <dxfs count="44">
    <dxf>
      <fill>
        <patternFill>
          <bgColor indexed="62"/>
        </patternFill>
      </fill>
    </dxf>
    <dxf>
      <font>
        <condense val="0"/>
        <extend val="0"/>
        <color auto="1"/>
      </font>
      <fill>
        <patternFill>
          <bgColor indexed="51"/>
        </patternFill>
      </fill>
    </dxf>
    <dxf>
      <font>
        <condense val="0"/>
        <extend val="0"/>
        <color indexed="9"/>
      </font>
      <fill>
        <patternFill>
          <bgColor indexed="16"/>
        </patternFill>
      </fill>
    </dxf>
    <dxf>
      <font>
        <condense val="0"/>
        <extend val="0"/>
        <color indexed="9"/>
      </font>
      <fill>
        <patternFill>
          <bgColor indexed="17"/>
        </patternFill>
      </fill>
    </dxf>
    <dxf>
      <fill>
        <patternFill>
          <bgColor indexed="9"/>
        </patternFill>
      </fill>
    </dxf>
    <dxf>
      <font>
        <b/>
        <i val="0"/>
        <color rgb="FF7030A0"/>
      </font>
      <fill>
        <patternFill>
          <bgColor rgb="FFFFFFCC"/>
        </patternFill>
      </fill>
      <border>
        <left style="thin">
          <color auto="1"/>
        </left>
        <right style="thin">
          <color auto="1"/>
        </right>
        <top style="thin">
          <color auto="1"/>
        </top>
        <bottom style="thin">
          <color auto="1"/>
        </bottom>
        <vertical/>
        <horizontal/>
      </border>
    </dxf>
    <dxf>
      <font>
        <b/>
        <i val="0"/>
        <color rgb="FFFF0000"/>
      </font>
      <fill>
        <patternFill>
          <bgColor theme="4" tint="0.59996337778862885"/>
        </patternFill>
      </fill>
    </dxf>
    <dxf>
      <font>
        <b/>
        <i val="0"/>
        <color theme="0"/>
      </font>
      <fill>
        <patternFill>
          <bgColor rgb="FFFF0000"/>
        </patternFill>
      </fill>
    </dxf>
    <dxf>
      <font>
        <b/>
        <i val="0"/>
        <color rgb="FF7030A0"/>
      </font>
      <fill>
        <patternFill>
          <bgColor rgb="FFFFFFCC"/>
        </patternFill>
      </fill>
      <border>
        <left style="thin">
          <color auto="1"/>
        </left>
        <right style="thin">
          <color auto="1"/>
        </right>
        <top style="thin">
          <color auto="1"/>
        </top>
        <bottom style="thin">
          <color auto="1"/>
        </bottom>
        <vertical/>
        <horizontal/>
      </border>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dxf>
    <dxf>
      <font>
        <strike val="0"/>
        <outline val="0"/>
        <shadow val="0"/>
        <u val="none"/>
        <vertAlign val="baseline"/>
        <sz val="8"/>
        <name val="Arial"/>
        <scheme val="none"/>
      </font>
      <numFmt numFmtId="3" formatCode="#,##0"/>
    </dxf>
    <dxf>
      <font>
        <strike val="0"/>
        <outline val="0"/>
        <shadow val="0"/>
        <u val="none"/>
        <vertAlign val="baseline"/>
        <sz val="8"/>
        <name val="Arial"/>
        <scheme val="none"/>
      </font>
    </dxf>
    <dxf>
      <font>
        <strike val="0"/>
        <outline val="0"/>
        <shadow val="0"/>
        <u val="none"/>
        <vertAlign val="baseline"/>
        <sz val="8"/>
        <name val="Arial"/>
        <scheme val="none"/>
      </font>
      <numFmt numFmtId="3" formatCode="#,##0"/>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strike val="0"/>
        <outline val="0"/>
        <shadow val="0"/>
        <u val="none"/>
        <vertAlign val="baseline"/>
        <sz val="8"/>
        <name val="Arial"/>
        <scheme val="none"/>
      </font>
    </dxf>
    <dxf>
      <border outline="0">
        <bottom style="thin">
          <color theme="4" tint="0.39997558519241921"/>
        </bottom>
      </border>
    </dxf>
    <dxf>
      <font>
        <b/>
        <i val="0"/>
        <strike val="0"/>
        <condense val="0"/>
        <extend val="0"/>
        <outline val="0"/>
        <shadow val="0"/>
        <u val="none"/>
        <vertAlign val="baseline"/>
        <sz val="8"/>
        <color theme="0"/>
        <name val="Arial"/>
        <scheme val="none"/>
      </font>
      <numFmt numFmtId="3" formatCode="#,##0"/>
      <fill>
        <patternFill patternType="solid">
          <fgColor theme="4"/>
          <bgColor theme="4"/>
        </patternFill>
      </fill>
    </dxf>
    <dxf>
      <font>
        <strike val="0"/>
        <outline val="0"/>
        <shadow val="0"/>
        <u val="none"/>
        <vertAlign val="baseline"/>
        <sz val="8"/>
        <name val="Arial"/>
        <scheme val="none"/>
      </font>
      <numFmt numFmtId="173" formatCode="dd/mm/yy"/>
    </dxf>
    <dxf>
      <font>
        <strike val="0"/>
        <outline val="0"/>
        <shadow val="0"/>
        <u val="none"/>
        <vertAlign val="baseline"/>
        <sz val="8"/>
        <name val="Arial"/>
        <scheme val="none"/>
      </font>
      <numFmt numFmtId="30" formatCode="@"/>
    </dxf>
    <dxf>
      <font>
        <strike val="0"/>
        <outline val="0"/>
        <shadow val="0"/>
        <u val="none"/>
        <vertAlign val="baseline"/>
        <sz val="8"/>
        <name val="Arial"/>
        <scheme val="none"/>
      </font>
      <numFmt numFmtId="30" formatCode="@"/>
    </dxf>
    <dxf>
      <font>
        <strike val="0"/>
        <outline val="0"/>
        <shadow val="0"/>
        <u val="none"/>
        <vertAlign val="baseline"/>
        <sz val="8"/>
        <name val="Arial"/>
        <scheme val="none"/>
      </font>
      <numFmt numFmtId="30" formatCode="@"/>
    </dxf>
    <dxf>
      <font>
        <strike val="0"/>
        <outline val="0"/>
        <shadow val="0"/>
        <u val="none"/>
        <vertAlign val="baseline"/>
        <sz val="8"/>
        <name val="Arial"/>
        <scheme val="none"/>
      </font>
      <numFmt numFmtId="30" formatCode="@"/>
    </dxf>
    <dxf>
      <font>
        <strike val="0"/>
        <outline val="0"/>
        <shadow val="0"/>
        <u val="none"/>
        <vertAlign val="baseline"/>
        <sz val="8"/>
        <name val="Arial"/>
        <scheme val="none"/>
      </font>
      <numFmt numFmtId="0" formatCode="General"/>
    </dxf>
    <dxf>
      <font>
        <strike val="0"/>
        <outline val="0"/>
        <shadow val="0"/>
        <u val="none"/>
        <vertAlign val="baseline"/>
        <sz val="8"/>
        <name val="Arial"/>
        <scheme val="none"/>
      </font>
      <numFmt numFmtId="0" formatCode="General"/>
    </dxf>
    <dxf>
      <font>
        <strike val="0"/>
        <outline val="0"/>
        <shadow val="0"/>
        <u val="none"/>
        <vertAlign val="baseline"/>
        <sz val="8"/>
        <name val="Arial"/>
        <scheme val="none"/>
      </font>
      <numFmt numFmtId="0" formatCode="General"/>
      <alignment horizontal="right" vertical="bottom" textRotation="0" wrapText="0" indent="0" justifyLastLine="0" shrinkToFit="0" readingOrder="0"/>
    </dxf>
    <dxf>
      <font>
        <strike val="0"/>
        <outline val="0"/>
        <shadow val="0"/>
        <u val="none"/>
        <vertAlign val="baseline"/>
        <sz val="8"/>
        <name val="Arial"/>
        <scheme val="none"/>
      </font>
      <numFmt numFmtId="167" formatCode="#,##0_ ;[Red]\-#,##0\ "/>
    </dxf>
    <dxf>
      <font>
        <strike val="0"/>
        <outline val="0"/>
        <shadow val="0"/>
        <u val="none"/>
        <vertAlign val="baseline"/>
        <sz val="8"/>
        <name val="Arial"/>
        <scheme val="none"/>
      </font>
      <numFmt numFmtId="167" formatCode="#,##0_ ;[Red]\-#,##0\ "/>
    </dxf>
    <dxf>
      <font>
        <strike val="0"/>
        <outline val="0"/>
        <shadow val="0"/>
        <u val="none"/>
        <vertAlign val="baseline"/>
        <sz val="8"/>
        <name val="Arial"/>
        <scheme val="none"/>
      </font>
      <numFmt numFmtId="167" formatCode="#,##0_ ;[Red]\-#,##0\ "/>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dxf>
    <dxf>
      <font>
        <strike val="0"/>
        <outline val="0"/>
        <shadow val="0"/>
        <u val="none"/>
        <vertAlign val="baseline"/>
        <sz val="8"/>
        <name val="Arial"/>
        <scheme val="none"/>
      </font>
      <alignment horizontal="left" textRotation="0" wrapText="0" indent="0" justifyLastLine="0" shrinkToFit="0" readingOrder="0"/>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outline="0">
        <left/>
        <right/>
        <top style="thin">
          <color theme="4" tint="0.39997558519241921"/>
        </top>
        <bottom style="thin">
          <color theme="4" tint="0.39997558519241921"/>
        </bottom>
      </border>
    </dxf>
    <dxf>
      <border outline="0">
        <left style="thin">
          <color theme="4" tint="0.39997558519241921"/>
        </left>
        <top style="thin">
          <color theme="4" tint="0.39997558519241921"/>
        </top>
      </border>
    </dxf>
    <dxf>
      <font>
        <strike val="0"/>
        <outline val="0"/>
        <shadow val="0"/>
        <u val="none"/>
        <vertAlign val="baseline"/>
        <sz val="8"/>
        <name val="Arial"/>
        <scheme val="none"/>
      </font>
    </dxf>
    <dxf>
      <border outline="0">
        <bottom style="thin">
          <color theme="4" tint="0.39997558519241921"/>
        </bottom>
      </border>
    </dxf>
    <dxf>
      <font>
        <b/>
        <i val="0"/>
        <strike val="0"/>
        <condense val="0"/>
        <extend val="0"/>
        <outline val="0"/>
        <shadow val="0"/>
        <u val="none"/>
        <vertAlign val="baseline"/>
        <sz val="8"/>
        <color theme="0"/>
        <name val="Arial"/>
        <scheme val="none"/>
      </font>
      <fill>
        <patternFill patternType="solid">
          <fgColor theme="4"/>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7154EA"/>
      <rgbColor rgb="00E5F5FF"/>
      <rgbColor rgb="009999FF"/>
      <rgbColor rgb="00993366"/>
      <rgbColor rgb="0001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2B4F8F"/>
      <rgbColor rgb="003366FF"/>
      <rgbColor rgb="0033CCCC"/>
      <rgbColor rgb="0099CC00"/>
      <rgbColor rgb="00FFCC00"/>
      <rgbColor rgb="00FF9900"/>
      <rgbColor rgb="00FF6600"/>
      <rgbColor rgb="00666699"/>
      <rgbColor rgb="00969696"/>
      <rgbColor rgb="00BFC0C1"/>
      <rgbColor rgb="00339966"/>
      <rgbColor rgb="00C1C4C7"/>
      <rgbColor rgb="00333300"/>
      <rgbColor rgb="00993300"/>
      <rgbColor rgb="00993366"/>
      <rgbColor rgb="00333399"/>
      <rgbColor rgb="00333333"/>
    </indexedColors>
    <mruColors>
      <color rgb="FF66FF66"/>
      <color rgb="FFCCFFCC"/>
      <color rgb="FF0000FF"/>
      <color rgb="FFFFFFCC"/>
      <color rgb="FF99CCFF"/>
      <color rgb="FF0000CC"/>
      <color rgb="FF000080"/>
      <color rgb="FFFFCC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3" dropStyle="combo" dx="16" fmlaLink="$E$11" fmlaRange="Details!$C$36:$C$58" noThreeD="1" sel="1" val="0"/>
</file>

<file path=xl/ctrlProps/ctrlProp2.xml><?xml version="1.0" encoding="utf-8"?>
<formControlPr xmlns="http://schemas.microsoft.com/office/spreadsheetml/2009/9/main" objectType="Drop" dropLines="2" dropStyle="combo" dx="16" fmlaLink="$E$7" fmlaRange="Details!$G$1:$G$2" noThreeD="1" sel="2"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9</xdr:row>
          <xdr:rowOff>95250</xdr:rowOff>
        </xdr:from>
        <xdr:to>
          <xdr:col>7</xdr:col>
          <xdr:colOff>209550</xdr:colOff>
          <xdr:row>11</xdr:row>
          <xdr:rowOff>12700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9</xdr:col>
      <xdr:colOff>38100</xdr:colOff>
      <xdr:row>2</xdr:row>
      <xdr:rowOff>114300</xdr:rowOff>
    </xdr:from>
    <xdr:to>
      <xdr:col>12</xdr:col>
      <xdr:colOff>323850</xdr:colOff>
      <xdr:row>6</xdr:row>
      <xdr:rowOff>133350</xdr:rowOff>
    </xdr:to>
    <xdr:pic>
      <xdr:nvPicPr>
        <xdr:cNvPr id="1406" name="Picture 5" descr="sd-logo transparent1">
          <a:extLst>
            <a:ext uri="{FF2B5EF4-FFF2-40B4-BE49-F238E27FC236}">
              <a16:creationId xmlns:a16="http://schemas.microsoft.com/office/drawing/2014/main" id="{00000000-0008-0000-0000-00007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561975"/>
          <a:ext cx="24669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390525</xdr:colOff>
      <xdr:row>36</xdr:row>
      <xdr:rowOff>104775</xdr:rowOff>
    </xdr:from>
    <xdr:to>
      <xdr:col>12</xdr:col>
      <xdr:colOff>19050</xdr:colOff>
      <xdr:row>43</xdr:row>
      <xdr:rowOff>142875</xdr:rowOff>
    </xdr:to>
    <xdr:pic>
      <xdr:nvPicPr>
        <xdr:cNvPr id="1407" name="Picture 10" descr="wg logo light blue">
          <a:extLst>
            <a:ext uri="{FF2B5EF4-FFF2-40B4-BE49-F238E27FC236}">
              <a16:creationId xmlns:a16="http://schemas.microsoft.com/office/drawing/2014/main" id="{00000000-0008-0000-0000-00007F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29200" y="8096250"/>
          <a:ext cx="18097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342900</xdr:colOff>
          <xdr:row>5</xdr:row>
          <xdr:rowOff>95250</xdr:rowOff>
        </xdr:from>
        <xdr:to>
          <xdr:col>4</xdr:col>
          <xdr:colOff>1714500</xdr:colOff>
          <xdr:row>7</xdr:row>
          <xdr:rowOff>12700</xdr:rowOff>
        </xdr:to>
        <xdr:sp macro="" textlink="">
          <xdr:nvSpPr>
            <xdr:cNvPr id="1089" name="Drop Dow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23</xdr:col>
      <xdr:colOff>123829</xdr:colOff>
      <xdr:row>7</xdr:row>
      <xdr:rowOff>161923</xdr:rowOff>
    </xdr:from>
    <xdr:ext cx="5711821" cy="819152"/>
    <xdr:sp macro="" textlink="ValData!T34">
      <xdr:nvSpPr>
        <xdr:cNvPr id="2" name="TextBox 1">
          <a:extLst>
            <a:ext uri="{FF2B5EF4-FFF2-40B4-BE49-F238E27FC236}">
              <a16:creationId xmlns:a16="http://schemas.microsoft.com/office/drawing/2014/main" id="{00000000-0008-0000-0100-000002000000}"/>
            </a:ext>
          </a:extLst>
        </xdr:cNvPr>
        <xdr:cNvSpPr txBox="1"/>
      </xdr:nvSpPr>
      <xdr:spPr>
        <a:xfrm>
          <a:off x="10372729" y="1755773"/>
          <a:ext cx="5711821" cy="819152"/>
        </a:xfrm>
        <a:prstGeom prst="rect">
          <a:avLst/>
        </a:prstGeom>
        <a:solidFill>
          <a:sysClr val="window" lastClr="FFFFFF"/>
        </a:solidFill>
        <a:ln w="9525" cmpd="sng">
          <a:solidFill>
            <a:sysClr val="windowText" lastClr="000000"/>
          </a:solidFill>
        </a:ln>
        <a:effectLst/>
      </xdr:spPr>
      <xdr:txBody>
        <a:bodyPr vertOverflow="clip" horzOverflow="clip" wrap="square" lIns="36000" tIns="0" rIns="3600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fld id="{4951329B-72C1-496E-89F9-1EFB9F31707B}" type="TxLink">
            <a:rPr kumimoji="0" lang="en-US" sz="1000" b="1" i="0" u="none" strike="noStrike" kern="0" cap="none" spc="0" normalizeH="0" baseline="0" noProof="0">
              <a:ln>
                <a:noFill/>
              </a:ln>
              <a:solidFill>
                <a:sysClr val="windowText" lastClr="000000"/>
              </a:solidFill>
              <a:effectLst/>
              <a:uLnTx/>
              <a:uFillTx/>
              <a:latin typeface="Arial"/>
              <a:ea typeface="+mn-ea"/>
              <a:cs typeface="Arial"/>
            </a:rPr>
            <a:pPr marL="0" marR="0" lvl="0" indent="0" algn="l" defTabSz="914400" eaLnBrk="1" fontAlgn="auto" latinLnBrk="0" hangingPunct="1">
              <a:lnSpc>
                <a:spcPct val="100000"/>
              </a:lnSpc>
              <a:spcBef>
                <a:spcPts val="0"/>
              </a:spcBef>
              <a:spcAft>
                <a:spcPts val="0"/>
              </a:spcAft>
              <a:buClrTx/>
              <a:buSzTx/>
              <a:buFontTx/>
              <a:buNone/>
              <a:tabLst/>
              <a:defRPr/>
            </a:pPr>
            <a:t>Please add information to the 'Your Comments' field for any flagged figures and/or any selected in the 'Check' column</a:t>
          </a:fld>
          <a:endParaRPr kumimoji="0" lang="en-GB" sz="10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19050</xdr:colOff>
      <xdr:row>8</xdr:row>
      <xdr:rowOff>38100</xdr:rowOff>
    </xdr:from>
    <xdr:to>
      <xdr:col>7</xdr:col>
      <xdr:colOff>590550</xdr:colOff>
      <xdr:row>9</xdr:row>
      <xdr:rowOff>0</xdr:rowOff>
    </xdr:to>
    <xdr:sp macro="" textlink="" fLocksText="0">
      <xdr:nvSpPr>
        <xdr:cNvPr id="8193" name="Text Box 1">
          <a:extLst>
            <a:ext uri="{FF2B5EF4-FFF2-40B4-BE49-F238E27FC236}">
              <a16:creationId xmlns:a16="http://schemas.microsoft.com/office/drawing/2014/main" id="{00000000-0008-0000-0300-000001200000}"/>
            </a:ext>
          </a:extLst>
        </xdr:cNvPr>
        <xdr:cNvSpPr txBox="1">
          <a:spLocks noChangeAspect="1" noChangeArrowheads="1"/>
        </xdr:cNvSpPr>
      </xdr:nvSpPr>
      <xdr:spPr bwMode="auto">
        <a:xfrm>
          <a:off x="438150" y="2076450"/>
          <a:ext cx="5295900" cy="1257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a:lstStyle/>
        <a:p>
          <a:endParaRPr lang="en-GB"/>
        </a:p>
      </xdr:txBody>
    </xdr:sp>
    <xdr:clientData/>
  </xdr:twoCellAnchor>
  <xdr:twoCellAnchor>
    <xdr:from>
      <xdr:col>2</xdr:col>
      <xdr:colOff>19050</xdr:colOff>
      <xdr:row>10</xdr:row>
      <xdr:rowOff>38100</xdr:rowOff>
    </xdr:from>
    <xdr:to>
      <xdr:col>7</xdr:col>
      <xdr:colOff>590550</xdr:colOff>
      <xdr:row>11</xdr:row>
      <xdr:rowOff>0</xdr:rowOff>
    </xdr:to>
    <xdr:sp macro="" textlink="" fLocksText="0">
      <xdr:nvSpPr>
        <xdr:cNvPr id="8194" name="Text Box 2">
          <a:extLst>
            <a:ext uri="{FF2B5EF4-FFF2-40B4-BE49-F238E27FC236}">
              <a16:creationId xmlns:a16="http://schemas.microsoft.com/office/drawing/2014/main" id="{00000000-0008-0000-0300-000002200000}"/>
            </a:ext>
          </a:extLst>
        </xdr:cNvPr>
        <xdr:cNvSpPr txBox="1">
          <a:spLocks noChangeArrowheads="1"/>
        </xdr:cNvSpPr>
      </xdr:nvSpPr>
      <xdr:spPr bwMode="auto">
        <a:xfrm>
          <a:off x="438150" y="3676650"/>
          <a:ext cx="529590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a:lstStyle/>
        <a:p>
          <a:endParaRPr lang="en-GB"/>
        </a:p>
      </xdr:txBody>
    </xdr:sp>
    <xdr:clientData/>
  </xdr:twoCellAnchor>
  <xdr:twoCellAnchor>
    <xdr:from>
      <xdr:col>2</xdr:col>
      <xdr:colOff>19050</xdr:colOff>
      <xdr:row>12</xdr:row>
      <xdr:rowOff>38100</xdr:rowOff>
    </xdr:from>
    <xdr:to>
      <xdr:col>7</xdr:col>
      <xdr:colOff>590550</xdr:colOff>
      <xdr:row>13</xdr:row>
      <xdr:rowOff>0</xdr:rowOff>
    </xdr:to>
    <xdr:sp macro="" textlink="" fLocksText="0">
      <xdr:nvSpPr>
        <xdr:cNvPr id="8195" name="Text Box 3">
          <a:extLst>
            <a:ext uri="{FF2B5EF4-FFF2-40B4-BE49-F238E27FC236}">
              <a16:creationId xmlns:a16="http://schemas.microsoft.com/office/drawing/2014/main" id="{00000000-0008-0000-0300-000003200000}"/>
            </a:ext>
          </a:extLst>
        </xdr:cNvPr>
        <xdr:cNvSpPr txBox="1">
          <a:spLocks noChangeArrowheads="1"/>
        </xdr:cNvSpPr>
      </xdr:nvSpPr>
      <xdr:spPr bwMode="auto">
        <a:xfrm>
          <a:off x="438150" y="5276850"/>
          <a:ext cx="5295900" cy="1257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a:lstStyle/>
        <a:p>
          <a:endParaRPr lang="en-GB"/>
        </a:p>
      </xdr:txBody>
    </xdr:sp>
    <xdr:clientData/>
  </xdr:twoCellAnchor>
  <xdr:twoCellAnchor>
    <xdr:from>
      <xdr:col>2</xdr:col>
      <xdr:colOff>28575</xdr:colOff>
      <xdr:row>6</xdr:row>
      <xdr:rowOff>38100</xdr:rowOff>
    </xdr:from>
    <xdr:to>
      <xdr:col>7</xdr:col>
      <xdr:colOff>600075</xdr:colOff>
      <xdr:row>6</xdr:row>
      <xdr:rowOff>590550</xdr:rowOff>
    </xdr:to>
    <xdr:sp macro="" textlink="Text!C101">
      <xdr:nvSpPr>
        <xdr:cNvPr id="8197" name="Text Box 5">
          <a:extLst>
            <a:ext uri="{FF2B5EF4-FFF2-40B4-BE49-F238E27FC236}">
              <a16:creationId xmlns:a16="http://schemas.microsoft.com/office/drawing/2014/main" id="{00000000-0008-0000-0300-000005200000}"/>
            </a:ext>
          </a:extLst>
        </xdr:cNvPr>
        <xdr:cNvSpPr txBox="1">
          <a:spLocks noChangeAspect="1" noChangeArrowheads="1"/>
        </xdr:cNvSpPr>
      </xdr:nvSpPr>
      <xdr:spPr bwMode="auto">
        <a:xfrm>
          <a:off x="447675" y="1066800"/>
          <a:ext cx="5295900" cy="552450"/>
        </a:xfrm>
        <a:prstGeom prst="rect">
          <a:avLst/>
        </a:prstGeom>
        <a:solidFill>
          <a:srgbClr xmlns:mc="http://schemas.openxmlformats.org/markup-compatibility/2006" xmlns:a14="http://schemas.microsoft.com/office/drawing/2010/main" val="E5F5FF"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27432" tIns="22860" rIns="0" bIns="0" anchor="t" upright="1"/>
        <a:lstStyle/>
        <a:p>
          <a:pPr algn="l" rtl="0">
            <a:defRPr sz="1000"/>
          </a:pPr>
          <a:fld id="{FBE2377B-63DC-4039-9456-602CE0FE28BD}" type="TxLink">
            <a:rPr lang="en-GB" sz="1000" b="0" i="0" u="none" strike="noStrike" baseline="0">
              <a:solidFill>
                <a:srgbClr val="010000"/>
              </a:solidFill>
              <a:latin typeface="Arial"/>
              <a:cs typeface="Arial"/>
            </a:rPr>
            <a:pPr algn="l" rtl="0">
              <a:defRPr sz="1000"/>
            </a:pPr>
            <a:t>We are continually striving to improve the form to make it easier to complete, whilst still ensuring data integrity and consistency across all authorities. If you have any comments or suggestions that may be useful,  please note them below:</a:t>
          </a:fld>
          <a:endParaRPr lang="en-GB" sz="1000" b="0" i="0" u="none" strike="noStrike" baseline="0">
            <a:solidFill>
              <a:srgbClr val="010000"/>
            </a:solidFill>
            <a:latin typeface="Arial"/>
            <a:cs typeface="Arial"/>
          </a:endParaRPr>
        </a:p>
      </xdr:txBody>
    </xdr:sp>
    <xdr:clientData/>
  </xdr:twoCellAnchor>
  <xdr:twoCellAnchor>
    <xdr:from>
      <xdr:col>2</xdr:col>
      <xdr:colOff>9525</xdr:colOff>
      <xdr:row>14</xdr:row>
      <xdr:rowOff>19050</xdr:rowOff>
    </xdr:from>
    <xdr:to>
      <xdr:col>7</xdr:col>
      <xdr:colOff>581025</xdr:colOff>
      <xdr:row>14</xdr:row>
      <xdr:rowOff>1276350</xdr:rowOff>
    </xdr:to>
    <xdr:sp macro="" textlink="" fLocksText="0">
      <xdr:nvSpPr>
        <xdr:cNvPr id="7" name="Text Box 3">
          <a:extLst>
            <a:ext uri="{FF2B5EF4-FFF2-40B4-BE49-F238E27FC236}">
              <a16:creationId xmlns:a16="http://schemas.microsoft.com/office/drawing/2014/main" id="{00000000-0008-0000-0300-000007000000}"/>
            </a:ext>
          </a:extLst>
        </xdr:cNvPr>
        <xdr:cNvSpPr txBox="1">
          <a:spLocks noChangeArrowheads="1"/>
        </xdr:cNvSpPr>
      </xdr:nvSpPr>
      <xdr:spPr bwMode="auto">
        <a:xfrm>
          <a:off x="428625" y="6858000"/>
          <a:ext cx="5295900" cy="1257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Local Government Finance_1" connectionId="1" xr16:uid="{00000000-0016-0000-0600-000000000000}" autoFormatId="16" applyNumberFormats="0" applyBorderFormats="0" applyFontFormats="1" applyPatternFormats="1" applyAlignmentFormats="0" applyWidthHeightFormats="0">
  <queryTableRefresh nextId="14">
    <queryTableFields count="5">
      <queryTableField id="1"/>
      <queryTableField id="2" name="Data"/>
      <queryTableField id="11" name="AuthCode"/>
      <queryTableField id="12" name="RowRef"/>
      <queryTableField id="13" name="ColumnRef"/>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Local Government Finance_1" connectionId="2" xr16:uid="{00000000-0016-0000-0700-000001000000}" autoFormatId="16" applyNumberFormats="0" applyBorderFormats="0" applyFontFormats="1" applyPatternFormats="1" applyAlignmentFormats="0" applyWidthHeightFormats="0">
  <queryTableRefresh nextId="11">
    <queryTableFields count="2">
      <queryTableField id="1"/>
      <queryTableField id="2" name="Data"/>
    </queryTableFields>
  </queryTableRefresh>
</queryTable>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OYOut" displayName="YOYOut" ref="A3:P16" totalsRowShown="0" headerRowDxfId="43" dataDxfId="41" headerRowBorderDxfId="42" tableBorderDxfId="40">
  <autoFilter ref="A3:P16" xr:uid="{00000000-0009-0000-0100-000001000000}"/>
  <tableColumns count="16">
    <tableColumn id="1" xr3:uid="{00000000-0010-0000-0000-000001000000}" name="YearCode" dataDxfId="39">
      <calculatedColumnFormula>A3</calculatedColumnFormula>
    </tableColumn>
    <tableColumn id="2" xr3:uid="{00000000-0010-0000-0000-000002000000}" name="FormRef" dataDxfId="38"/>
    <tableColumn id="3" xr3:uid="{00000000-0010-0000-0000-000003000000}" name="RowRef" dataDxfId="37"/>
    <tableColumn id="4" xr3:uid="{00000000-0010-0000-0000-000004000000}" name="ColumnRef" dataDxfId="36"/>
    <tableColumn id="5" xr3:uid="{00000000-0010-0000-0000-000005000000}" name="AuthCode" dataDxfId="35">
      <calculatedColumnFormula>UAnumber</calculatedColumnFormula>
    </tableColumn>
    <tableColumn id="6" xr3:uid="{00000000-0010-0000-0000-000006000000}" name="DataY1" dataDxfId="34">
      <calculatedColumnFormula>IF(VLOOKUP($C4,CTCP1,8,FALSE)="",0,VLOOKUP($C4,CTCP1,8,FALSE))</calculatedColumnFormula>
    </tableColumn>
    <tableColumn id="7" xr3:uid="{00000000-0010-0000-0000-000007000000}" name="DataY2" dataDxfId="33">
      <calculatedColumnFormula>IF(VLOOKUP($C4,CTCP1,9,FALSE)="",0,VLOOKUP($C4,CTCP1,9,FALSE))</calculatedColumnFormula>
    </tableColumn>
    <tableColumn id="8" xr3:uid="{00000000-0010-0000-0000-000008000000}" name="DataY3" dataDxfId="32">
      <calculatedColumnFormula>IF(VLOOKUP($C4,CTCP1,10,FALSE)="",0,VLOOKUP($C4,CTCP1,10,FALSE))</calculatedColumnFormula>
    </tableColumn>
    <tableColumn id="9" xr3:uid="{00000000-0010-0000-0000-000009000000}" name="Auto" dataDxfId="31">
      <calculatedColumnFormula>IF(VLOOKUP($C4,CTCP1,18,FALSE)="","",VLOOKUP($C4,CTCP1,18,FALSE))</calculatedColumnFormula>
    </tableColumn>
    <tableColumn id="10" xr3:uid="{00000000-0010-0000-0000-00000A000000}" name="Mark" dataDxfId="30">
      <calculatedColumnFormula>IF(VLOOKUP($C4,CTCP1,18,FALSE)="","",VLOOKUP($C4,CTCP1,18,FALSE))</calculatedColumnFormula>
    </tableColumn>
    <tableColumn id="11" xr3:uid="{00000000-0010-0000-0000-00000B000000}" name="Check" dataDxfId="29">
      <calculatedColumnFormula>IF(VLOOKUP($C4,CTCP1,18,FALSE)="","",VLOOKUP($C4,CTCP1,18,FALSE))</calculatedColumnFormula>
    </tableColumn>
    <tableColumn id="12" xr3:uid="{00000000-0010-0000-0000-00000C000000}" name="Status" dataDxfId="28">
      <calculatedColumnFormula>IF(VLOOKUP($C4,CTCP1,18,FALSE)="","",VLOOKUP($C4,CTCP1,18,FALSE))</calculatedColumnFormula>
    </tableColumn>
    <tableColumn id="13" xr3:uid="{00000000-0010-0000-0000-00000D000000}" name="Your Comments" dataDxfId="27">
      <calculatedColumnFormula>IF(VLOOKUP($C4,CTCP1,18,FALSE)="","",VLOOKUP($C4,CTCP1,18,FALSE))</calculatedColumnFormula>
    </tableColumn>
    <tableColumn id="14" xr3:uid="{00000000-0010-0000-0000-00000E000000}" name="Our Comments" dataDxfId="26">
      <calculatedColumnFormula>IF(VLOOKUP($C4,CTCP1,18,FALSE)="","",VLOOKUP($C4,CTCP1,18,FALSE))</calculatedColumnFormula>
    </tableColumn>
    <tableColumn id="15" xr3:uid="{00000000-0010-0000-0000-00000F000000}" name="Initials" dataDxfId="25">
      <calculatedColumnFormula>IF(VLOOKUP($C4,CTCP1,18,FALSE)="","",VLOOKUP($C4,CTCP1,18,FALSE))</calculatedColumnFormula>
    </tableColumn>
    <tableColumn id="16" xr3:uid="{00000000-0010-0000-0000-000010000000}" name="Date" dataDxfId="24">
      <calculatedColumnFormula>IF(VLOOKUP($C4,CTCP1,18,FALSE)="","",VLOOKUP($C4,CTCP1,18,FALSE))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YOYIn" displayName="YOYIn" ref="A21:J30" totalsRowShown="0" headerRowDxfId="23" dataDxfId="21" headerRowBorderDxfId="22" tableBorderDxfId="20" totalsRowBorderDxfId="19">
  <autoFilter ref="A21:J30" xr:uid="{00000000-0009-0000-0100-000002000000}"/>
  <tableColumns count="10">
    <tableColumn id="1" xr3:uid="{00000000-0010-0000-0100-000001000000}" name="Lookup" dataDxfId="18">
      <calculatedColumnFormula>D22</calculatedColumnFormula>
    </tableColumn>
    <tableColumn id="2" xr3:uid="{00000000-0010-0000-0100-000002000000}" name="FormRef" dataDxfId="17"/>
    <tableColumn id="3" xr3:uid="{00000000-0010-0000-0100-000003000000}" name="AuthCode" dataDxfId="16">
      <calculatedColumnFormula>UAnumber</calculatedColumnFormula>
    </tableColumn>
    <tableColumn id="4" xr3:uid="{00000000-0010-0000-0100-000004000000}" name="Row" dataDxfId="15"/>
    <tableColumn id="5" xr3:uid="{00000000-0010-0000-0100-000005000000}" name="ColRef" dataDxfId="14"/>
    <tableColumn id="6" xr3:uid="{00000000-0010-0000-0100-000006000000}" name="Mark" dataDxfId="13"/>
    <tableColumn id="7" xr3:uid="{00000000-0010-0000-0100-000007000000}" name="Status" dataDxfId="12"/>
    <tableColumn id="8" xr3:uid="{00000000-0010-0000-0100-000008000000}" name="OurComments" dataDxfId="11"/>
    <tableColumn id="9" xr3:uid="{00000000-0010-0000-0100-000009000000}" name="signed" dataDxfId="10"/>
    <tableColumn id="10" xr3:uid="{00000000-0010-0000-0100-00000A000000}" name="Date" dataDxfId="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ov.wales/statistics-and-research/council-tax-collection-rates/council-tax-collection-data-collection/?lang=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pageSetUpPr fitToPage="1"/>
  </sheetPr>
  <dimension ref="B1:AA45"/>
  <sheetViews>
    <sheetView showZeros="0" tabSelected="1" zoomScaleNormal="100" workbookViewId="0"/>
  </sheetViews>
  <sheetFormatPr defaultRowHeight="15" customHeight="1"/>
  <cols>
    <col min="1" max="2" width="1.765625" customWidth="1"/>
    <col min="3" max="3" width="3.3046875" customWidth="1"/>
    <col min="4" max="4" width="4.07421875" customWidth="1"/>
    <col min="5" max="5" width="22" customWidth="1"/>
    <col min="6" max="7" width="6.765625" customWidth="1"/>
    <col min="8" max="8" width="2.765625" customWidth="1"/>
    <col min="9" max="9" width="4.765625" customWidth="1"/>
    <col min="10" max="11" width="9.3046875" customWidth="1"/>
    <col min="12" max="12" width="6.765625" customWidth="1"/>
    <col min="13" max="13" width="4.4609375" bestFit="1" customWidth="1"/>
  </cols>
  <sheetData>
    <row r="1" spans="2:13" ht="13.5" customHeight="1">
      <c r="B1" s="14"/>
      <c r="C1" s="14"/>
      <c r="D1" s="14"/>
      <c r="E1" s="14"/>
      <c r="F1" s="14"/>
      <c r="G1" s="14"/>
      <c r="H1" s="14"/>
      <c r="I1" s="14"/>
      <c r="J1" s="14"/>
      <c r="K1" s="14"/>
      <c r="L1" s="14"/>
      <c r="M1" s="14"/>
    </row>
    <row r="2" spans="2:13" ht="21.75" customHeight="1">
      <c r="B2" s="93"/>
      <c r="C2" s="174" t="str">
        <f>Text!C8</f>
        <v>Council tax collection return for 2023-24</v>
      </c>
      <c r="D2" s="96"/>
      <c r="E2" s="96"/>
      <c r="F2" s="96"/>
      <c r="G2" s="96"/>
      <c r="H2" s="96"/>
      <c r="I2" s="96"/>
      <c r="J2" s="96"/>
      <c r="K2" s="96"/>
      <c r="L2" s="174" t="str">
        <f>Text!C9</f>
        <v>CTC</v>
      </c>
      <c r="M2" s="294">
        <v>1</v>
      </c>
    </row>
    <row r="3" spans="2:13" ht="15" customHeight="1">
      <c r="B3" s="97"/>
      <c r="C3" s="83"/>
      <c r="D3" s="83"/>
      <c r="E3" s="83"/>
      <c r="F3" s="83"/>
      <c r="G3" s="83"/>
      <c r="H3" s="83"/>
      <c r="I3" s="83"/>
      <c r="J3" s="83"/>
      <c r="K3" s="83"/>
      <c r="L3" s="83"/>
      <c r="M3" s="98"/>
    </row>
    <row r="4" spans="2:13" ht="18">
      <c r="B4" s="97"/>
      <c r="C4" s="175" t="str">
        <f>Text!C10</f>
        <v>County and County borough councils only</v>
      </c>
      <c r="D4" s="83"/>
      <c r="E4" s="83"/>
      <c r="F4" s="83"/>
      <c r="G4" s="83"/>
      <c r="H4" s="83"/>
      <c r="I4" s="83"/>
      <c r="J4" s="83"/>
      <c r="K4" s="83"/>
      <c r="L4" s="83"/>
      <c r="M4" s="98"/>
    </row>
    <row r="5" spans="2:13" ht="15" customHeight="1">
      <c r="B5" s="97"/>
      <c r="C5" s="83"/>
      <c r="D5" s="83"/>
      <c r="E5" s="83"/>
      <c r="F5" s="83"/>
      <c r="G5" s="85"/>
      <c r="H5" s="83"/>
      <c r="I5" s="83"/>
      <c r="J5" s="83"/>
      <c r="K5" s="83"/>
      <c r="L5" s="83"/>
      <c r="M5" s="98"/>
    </row>
    <row r="6" spans="2:13" ht="15" customHeight="1">
      <c r="B6" s="97"/>
      <c r="C6" s="83"/>
      <c r="D6" s="83"/>
      <c r="E6" s="83"/>
      <c r="F6" s="83"/>
      <c r="G6" s="85"/>
      <c r="H6" s="83"/>
      <c r="I6" s="83"/>
      <c r="J6" s="83"/>
      <c r="K6" s="83"/>
      <c r="L6" s="85"/>
      <c r="M6" s="98"/>
    </row>
    <row r="7" spans="2:13" ht="15" customHeight="1">
      <c r="B7" s="97"/>
      <c r="C7" s="83"/>
      <c r="D7" s="85"/>
      <c r="E7" s="27">
        <v>2</v>
      </c>
      <c r="F7" s="83"/>
      <c r="G7" s="85"/>
      <c r="H7" s="85"/>
      <c r="I7" s="85"/>
      <c r="J7" s="85"/>
      <c r="K7" s="85"/>
      <c r="L7" s="85"/>
      <c r="M7" s="98"/>
    </row>
    <row r="8" spans="2:13" ht="15" customHeight="1">
      <c r="B8" s="97"/>
      <c r="C8" s="99"/>
      <c r="D8" s="100"/>
      <c r="E8" s="100"/>
      <c r="F8" s="100"/>
      <c r="G8" s="83"/>
      <c r="H8" s="83"/>
      <c r="I8" s="83"/>
      <c r="J8" s="83"/>
      <c r="K8" s="83"/>
      <c r="L8" s="85"/>
      <c r="M8" s="98"/>
    </row>
    <row r="9" spans="2:13" ht="15" customHeight="1">
      <c r="B9" s="97"/>
      <c r="C9" s="194" t="str">
        <f>Text!C11</f>
        <v>Please select your authority and if necessary, amend any incorrect details</v>
      </c>
      <c r="D9" s="85"/>
      <c r="E9" s="85"/>
      <c r="F9" s="85"/>
      <c r="G9" s="83"/>
      <c r="H9" s="83"/>
      <c r="I9" s="83"/>
      <c r="J9" s="83"/>
      <c r="K9" s="83"/>
      <c r="L9" s="85"/>
      <c r="M9" s="98"/>
    </row>
    <row r="10" spans="2:13" ht="15" customHeight="1">
      <c r="B10" s="97"/>
      <c r="C10" s="85"/>
      <c r="D10" s="85"/>
      <c r="E10" s="85"/>
      <c r="F10" s="85"/>
      <c r="G10" s="83"/>
      <c r="H10" s="83"/>
      <c r="I10" s="83"/>
      <c r="J10" s="83"/>
      <c r="K10" s="83"/>
      <c r="L10" s="83"/>
      <c r="M10" s="98"/>
    </row>
    <row r="11" spans="2:13" ht="15" customHeight="1">
      <c r="B11" s="97"/>
      <c r="C11" s="85"/>
      <c r="D11" s="85"/>
      <c r="E11" s="23">
        <v>1</v>
      </c>
      <c r="F11" s="85"/>
      <c r="G11" s="83"/>
      <c r="H11" s="83"/>
      <c r="I11" s="83"/>
      <c r="J11" s="83"/>
      <c r="K11" s="83"/>
      <c r="L11" s="83"/>
      <c r="M11" s="98"/>
    </row>
    <row r="12" spans="2:13" ht="7.5" customHeight="1">
      <c r="B12" s="97"/>
      <c r="C12" s="85"/>
      <c r="D12" s="101"/>
      <c r="E12" s="101"/>
      <c r="F12" s="85"/>
      <c r="G12" s="83"/>
      <c r="H12" s="83"/>
      <c r="I12" s="83"/>
      <c r="J12" s="83"/>
      <c r="K12" s="83"/>
      <c r="L12" s="82"/>
      <c r="M12" s="102"/>
    </row>
    <row r="13" spans="2:13" ht="12.75" customHeight="1">
      <c r="B13" s="97"/>
      <c r="C13" s="83"/>
      <c r="D13" s="184"/>
      <c r="E13" s="176" t="str">
        <f>IF(UAnumber=0,"",VLOOKUP(UAnumber,Addresses,3,FALSE))</f>
        <v/>
      </c>
      <c r="F13" s="185"/>
      <c r="G13" s="181"/>
      <c r="H13" s="83"/>
      <c r="I13" s="83"/>
      <c r="J13" s="83"/>
      <c r="K13" s="83"/>
      <c r="L13" s="83"/>
      <c r="M13" s="98"/>
    </row>
    <row r="14" spans="2:13" ht="12.75" customHeight="1">
      <c r="B14" s="97"/>
      <c r="C14" s="83"/>
      <c r="D14" s="184"/>
      <c r="E14" s="177" t="str">
        <f>IF(UAnumber=0,"",VLOOKUP(UAnumber,Addresses,5,FALSE))</f>
        <v/>
      </c>
      <c r="F14" s="186"/>
      <c r="G14" s="182"/>
      <c r="H14" s="83"/>
      <c r="I14" s="83"/>
      <c r="J14" s="83"/>
      <c r="K14" s="83"/>
      <c r="L14" s="83"/>
      <c r="M14" s="98"/>
    </row>
    <row r="15" spans="2:13" ht="15" customHeight="1">
      <c r="B15" s="97"/>
      <c r="C15" s="83"/>
      <c r="D15" s="184"/>
      <c r="E15" s="177" t="str">
        <f>IF(UAnumber=0,"",VLOOKUP(UAnumber,Addresses,6,FALSE))</f>
        <v/>
      </c>
      <c r="F15" s="186"/>
      <c r="G15" s="182"/>
      <c r="H15" s="83"/>
      <c r="I15" s="83"/>
      <c r="J15" s="83"/>
      <c r="K15" s="83"/>
      <c r="L15" s="83"/>
      <c r="M15" s="98"/>
    </row>
    <row r="16" spans="2:13" ht="15" customHeight="1">
      <c r="B16" s="97"/>
      <c r="C16" s="103"/>
      <c r="D16" s="184"/>
      <c r="E16" s="177" t="str">
        <f>IF(UAnumber=0,"",VLOOKUP(UAnumber,Addresses,7,FALSE))</f>
        <v/>
      </c>
      <c r="F16" s="186"/>
      <c r="G16" s="182"/>
      <c r="H16" s="83"/>
      <c r="I16" s="83"/>
      <c r="J16" s="103"/>
      <c r="K16" s="103"/>
      <c r="L16" s="83"/>
      <c r="M16" s="98"/>
    </row>
    <row r="17" spans="2:13" ht="15" customHeight="1">
      <c r="B17" s="97"/>
      <c r="C17" s="103"/>
      <c r="D17" s="184"/>
      <c r="E17" s="177" t="str">
        <f>IF(UAnumber=0,"",VLOOKUP(UAnumber,Addresses,8,FALSE))</f>
        <v/>
      </c>
      <c r="F17" s="186"/>
      <c r="G17" s="182"/>
      <c r="H17" s="83"/>
      <c r="I17" s="83"/>
      <c r="J17" s="103"/>
      <c r="K17" s="103"/>
      <c r="L17" s="83"/>
      <c r="M17" s="98"/>
    </row>
    <row r="18" spans="2:13" ht="15" customHeight="1">
      <c r="B18" s="97"/>
      <c r="C18" s="103"/>
      <c r="D18" s="184"/>
      <c r="E18" s="178" t="str">
        <f>IF(UAnumber=0,"",VLOOKUP(UAnumber,Addresses,9,FALSE))</f>
        <v/>
      </c>
      <c r="F18" s="187"/>
      <c r="G18" s="183"/>
      <c r="H18" s="83"/>
      <c r="I18" s="83"/>
      <c r="J18" s="103"/>
      <c r="K18" s="103"/>
      <c r="L18" s="83"/>
      <c r="M18" s="98"/>
    </row>
    <row r="19" spans="2:13" ht="7.5" customHeight="1">
      <c r="B19" s="97"/>
      <c r="C19" s="103"/>
      <c r="D19" s="103"/>
      <c r="E19" s="103"/>
      <c r="F19" s="103"/>
      <c r="G19" s="103"/>
      <c r="H19" s="103"/>
      <c r="I19" s="103"/>
      <c r="J19" s="103"/>
      <c r="K19" s="103"/>
      <c r="L19" s="83"/>
      <c r="M19" s="98"/>
    </row>
    <row r="20" spans="2:13" ht="20.25" customHeight="1">
      <c r="B20" s="97"/>
      <c r="C20" s="83"/>
      <c r="D20" s="83"/>
      <c r="E20" s="180" t="str">
        <f>Text!C12&amp;" "</f>
        <v xml:space="preserve">Contact name: </v>
      </c>
      <c r="F20" s="310" t="str">
        <f>IF(UAnumber=0,"",VLOOKUP(UAnumber,Addresses,10,FALSE))</f>
        <v/>
      </c>
      <c r="G20" s="311"/>
      <c r="H20" s="311"/>
      <c r="I20" s="311"/>
      <c r="J20" s="311"/>
      <c r="K20" s="311"/>
      <c r="L20" s="312"/>
      <c r="M20" s="98"/>
    </row>
    <row r="21" spans="2:13" ht="20.25" customHeight="1">
      <c r="B21" s="97"/>
      <c r="C21" s="83"/>
      <c r="D21" s="83"/>
      <c r="E21" s="180"/>
      <c r="F21" s="313"/>
      <c r="G21" s="314"/>
      <c r="H21" s="314"/>
      <c r="I21" s="314"/>
      <c r="J21" s="314"/>
      <c r="K21" s="314"/>
      <c r="L21" s="315"/>
      <c r="M21" s="98"/>
    </row>
    <row r="22" spans="2:13" ht="7.5" customHeight="1">
      <c r="B22" s="97"/>
      <c r="C22" s="83"/>
      <c r="D22" s="83"/>
      <c r="E22" s="104"/>
      <c r="F22" s="83"/>
      <c r="G22" s="104"/>
      <c r="H22" s="104"/>
      <c r="I22" s="104"/>
      <c r="J22" s="104"/>
      <c r="K22" s="104"/>
      <c r="L22" s="83"/>
      <c r="M22" s="98"/>
    </row>
    <row r="23" spans="2:13" ht="40" customHeight="1">
      <c r="B23" s="97"/>
      <c r="C23" s="83"/>
      <c r="D23" s="83"/>
      <c r="E23" s="180" t="str">
        <f>Text!C13&amp;" "</f>
        <v xml:space="preserve">Contact E-mail: </v>
      </c>
      <c r="F23" s="316" t="str">
        <f>IF(UAnumber=0,"",VLOOKUP(UAnumber,Addresses,13,FALSE))</f>
        <v/>
      </c>
      <c r="G23" s="317"/>
      <c r="H23" s="317"/>
      <c r="I23" s="317"/>
      <c r="J23" s="317"/>
      <c r="K23" s="317"/>
      <c r="L23" s="318"/>
      <c r="M23" s="98"/>
    </row>
    <row r="24" spans="2:13" ht="7.5" customHeight="1">
      <c r="B24" s="97"/>
      <c r="C24" s="83"/>
      <c r="D24" s="83"/>
      <c r="E24" s="104"/>
      <c r="F24" s="83"/>
      <c r="G24" s="104"/>
      <c r="H24" s="104"/>
      <c r="I24" s="104"/>
      <c r="J24" s="104"/>
      <c r="K24" s="104"/>
      <c r="L24" s="83"/>
      <c r="M24" s="98"/>
    </row>
    <row r="25" spans="2:13" ht="20.149999999999999" customHeight="1">
      <c r="B25" s="97"/>
      <c r="C25" s="83"/>
      <c r="D25" s="83"/>
      <c r="E25" s="180" t="str">
        <f>Text!C14&amp;" "</f>
        <v xml:space="preserve">Telephone: </v>
      </c>
      <c r="F25" s="310" t="str">
        <f>IF(UAnumber=0,"",VLOOKUP(UAnumber,Addresses,11,FALSE)&amp;" "&amp;VLOOKUP(UAnumber,Addresses,12,FALSE))</f>
        <v/>
      </c>
      <c r="G25" s="311"/>
      <c r="H25" s="311"/>
      <c r="I25" s="311"/>
      <c r="J25" s="311"/>
      <c r="K25" s="311"/>
      <c r="L25" s="312"/>
      <c r="M25" s="98"/>
    </row>
    <row r="26" spans="2:13" ht="20.149999999999999" customHeight="1">
      <c r="B26" s="97"/>
      <c r="C26" s="83"/>
      <c r="D26" s="83"/>
      <c r="E26" s="179"/>
      <c r="F26" s="313"/>
      <c r="G26" s="314"/>
      <c r="H26" s="314"/>
      <c r="I26" s="314"/>
      <c r="J26" s="314"/>
      <c r="K26" s="314"/>
      <c r="L26" s="315"/>
      <c r="M26" s="98"/>
    </row>
    <row r="27" spans="2:13" ht="7.5" customHeight="1">
      <c r="B27" s="97"/>
      <c r="C27" s="83"/>
      <c r="D27" s="83"/>
      <c r="E27" s="179"/>
      <c r="F27" s="83"/>
      <c r="G27" s="83"/>
      <c r="H27" s="83"/>
      <c r="I27" s="83"/>
      <c r="J27" s="83"/>
      <c r="K27" s="83"/>
      <c r="L27" s="83"/>
      <c r="M27" s="98"/>
    </row>
    <row r="28" spans="2:13" ht="15" customHeight="1">
      <c r="B28" s="97"/>
      <c r="C28" s="83"/>
      <c r="D28" s="83"/>
      <c r="E28" s="83"/>
      <c r="F28" s="83"/>
      <c r="G28" s="83"/>
      <c r="H28" s="83"/>
      <c r="I28" s="83"/>
      <c r="J28" s="83"/>
      <c r="K28" s="83"/>
      <c r="L28" s="83"/>
      <c r="M28" s="98"/>
    </row>
    <row r="29" spans="2:13" ht="32.25" customHeight="1">
      <c r="B29" s="97"/>
      <c r="C29" s="306" t="str">
        <f>Text!C15</f>
        <v>The information on this form must be submitted to the Welsh Government under section 65 of the Local Government and Housing Act 1989.</v>
      </c>
      <c r="D29" s="306"/>
      <c r="E29" s="306"/>
      <c r="F29" s="306"/>
      <c r="G29" s="306"/>
      <c r="H29" s="306"/>
      <c r="I29" s="306"/>
      <c r="J29" s="306"/>
      <c r="K29" s="306"/>
      <c r="L29" s="306"/>
      <c r="M29" s="98"/>
    </row>
    <row r="30" spans="2:13" ht="15" customHeight="1">
      <c r="B30" s="97"/>
      <c r="C30" s="192"/>
      <c r="D30" s="192"/>
      <c r="E30" s="192"/>
      <c r="F30" s="192"/>
      <c r="G30" s="192"/>
      <c r="H30" s="192"/>
      <c r="I30" s="192"/>
      <c r="J30" s="192"/>
      <c r="K30" s="192"/>
      <c r="L30" s="192"/>
      <c r="M30" s="98"/>
    </row>
    <row r="31" spans="2:13" ht="31.5" customHeight="1">
      <c r="B31" s="97"/>
      <c r="C31" s="307" t="str">
        <f>Text!C16</f>
        <v>Please complete and return this form by 7 May 2024</v>
      </c>
      <c r="D31" s="308"/>
      <c r="E31" s="308"/>
      <c r="F31" s="308"/>
      <c r="G31" s="308"/>
      <c r="H31" s="308"/>
      <c r="I31" s="308"/>
      <c r="J31" s="308"/>
      <c r="K31" s="308"/>
      <c r="L31" s="309"/>
      <c r="M31" s="98"/>
    </row>
    <row r="32" spans="2:13" ht="15" customHeight="1">
      <c r="B32" s="97"/>
      <c r="C32" s="83"/>
      <c r="D32" s="105"/>
      <c r="E32" s="83"/>
      <c r="F32" s="83"/>
      <c r="G32" s="83"/>
      <c r="H32" s="83"/>
      <c r="I32" s="83"/>
      <c r="J32" s="83"/>
      <c r="K32" s="105"/>
      <c r="L32" s="105"/>
      <c r="M32" s="98"/>
    </row>
    <row r="33" spans="2:27" ht="30" customHeight="1">
      <c r="B33" s="97"/>
      <c r="C33" s="306" t="str">
        <f>Text!C17</f>
        <v>Please email the spreadsheet to the address below, please note that we no longer require a signed hard-copy of this return.</v>
      </c>
      <c r="D33" s="306"/>
      <c r="E33" s="306"/>
      <c r="F33" s="306"/>
      <c r="G33" s="306"/>
      <c r="H33" s="306"/>
      <c r="I33" s="306"/>
      <c r="J33" s="306"/>
      <c r="K33" s="306"/>
      <c r="L33" s="306"/>
      <c r="M33" s="98"/>
    </row>
    <row r="34" spans="2:27" ht="30" customHeight="1">
      <c r="B34" s="97"/>
      <c r="C34" s="306" t="str">
        <f>Text!C18</f>
        <v>Any queries on completion of the form or spreadsheet should be directed to Bruce Anderson or Frank Kelly, via telephone, e-mail as directed below.</v>
      </c>
      <c r="D34" s="306"/>
      <c r="E34" s="306"/>
      <c r="F34" s="306"/>
      <c r="G34" s="306"/>
      <c r="H34" s="306"/>
      <c r="I34" s="306"/>
      <c r="J34" s="306"/>
      <c r="K34" s="306"/>
      <c r="L34" s="306"/>
      <c r="M34" s="98"/>
      <c r="AA34" s="193"/>
    </row>
    <row r="35" spans="2:27" ht="30" customHeight="1">
      <c r="B35" s="97"/>
      <c r="C35" s="306" t="str">
        <f>Text!C19</f>
        <v>It is a Welsh Government audit requirement that all cells are completed.  Please ensure that all blank cells are populated with zeros, those that are not will be assumed to be zero.</v>
      </c>
      <c r="D35" s="306"/>
      <c r="E35" s="306"/>
      <c r="F35" s="306"/>
      <c r="G35" s="306"/>
      <c r="H35" s="306"/>
      <c r="I35" s="306"/>
      <c r="J35" s="306"/>
      <c r="K35" s="306"/>
      <c r="L35" s="306"/>
      <c r="M35" s="98"/>
    </row>
    <row r="36" spans="2:27" ht="15" customHeight="1">
      <c r="B36" s="97"/>
      <c r="C36" s="106"/>
      <c r="D36" s="107"/>
      <c r="E36" s="106"/>
      <c r="F36" s="106"/>
      <c r="G36" s="106"/>
      <c r="H36" s="106"/>
      <c r="I36" s="106"/>
      <c r="J36" s="106"/>
      <c r="K36" s="106"/>
      <c r="L36" s="106"/>
      <c r="M36" s="98"/>
    </row>
    <row r="37" spans="2:27" ht="15" customHeight="1">
      <c r="B37" s="97"/>
      <c r="C37" s="188" t="str">
        <f>Text!C20</f>
        <v>Local Government Finance Statistics,</v>
      </c>
      <c r="D37" s="189"/>
      <c r="E37" s="106"/>
      <c r="F37" s="106"/>
      <c r="G37" s="106"/>
      <c r="H37" s="106"/>
      <c r="I37" s="106"/>
      <c r="J37" s="106"/>
      <c r="K37" s="106"/>
      <c r="L37" s="106"/>
      <c r="M37" s="98"/>
    </row>
    <row r="38" spans="2:27" ht="15" customHeight="1">
      <c r="B38" s="97"/>
      <c r="C38" s="188" t="str">
        <f>Text!C21</f>
        <v>Knowledge and Analytical Services,</v>
      </c>
      <c r="D38" s="190"/>
      <c r="E38" s="83"/>
      <c r="F38" s="83"/>
      <c r="G38" s="83"/>
      <c r="H38" s="83"/>
      <c r="I38" s="83"/>
      <c r="J38" s="83"/>
      <c r="K38" s="83"/>
      <c r="L38" s="83"/>
      <c r="M38" s="98"/>
    </row>
    <row r="39" spans="2:27" ht="15" customHeight="1">
      <c r="B39" s="97"/>
      <c r="C39" s="188" t="str">
        <f>Text!C22</f>
        <v>Welsh Government,</v>
      </c>
      <c r="D39" s="190"/>
      <c r="E39" s="83"/>
      <c r="F39" s="83"/>
      <c r="G39" s="83"/>
      <c r="H39" s="83"/>
      <c r="I39" s="83"/>
      <c r="J39" s="83"/>
      <c r="K39" s="83"/>
      <c r="L39" s="83"/>
      <c r="M39" s="98"/>
    </row>
    <row r="40" spans="2:27" ht="15" customHeight="1">
      <c r="B40" s="97"/>
      <c r="C40" s="188" t="str">
        <f>Text!C23</f>
        <v>Cathays Park,</v>
      </c>
      <c r="D40" s="190"/>
      <c r="E40" s="83"/>
      <c r="F40" s="83"/>
      <c r="G40" s="83"/>
      <c r="H40" s="83"/>
      <c r="I40" s="83"/>
      <c r="J40" s="83"/>
      <c r="K40" s="83"/>
      <c r="L40" s="83"/>
      <c r="M40" s="98"/>
    </row>
    <row r="41" spans="2:27" ht="15" customHeight="1">
      <c r="B41" s="97"/>
      <c r="C41" s="188" t="str">
        <f>Text!C24</f>
        <v>CARDIFF,</v>
      </c>
      <c r="D41" s="190"/>
      <c r="E41" s="83"/>
      <c r="F41" s="83"/>
      <c r="G41" s="83"/>
      <c r="H41" s="83"/>
      <c r="I41" s="83"/>
      <c r="J41" s="83"/>
      <c r="K41" s="83"/>
      <c r="L41" s="83"/>
      <c r="M41" s="98"/>
    </row>
    <row r="42" spans="2:27" ht="15" customHeight="1">
      <c r="B42" s="97"/>
      <c r="C42" s="188" t="str">
        <f>Text!C25</f>
        <v>CF10 3NQ.</v>
      </c>
      <c r="D42" s="190"/>
      <c r="E42" s="83"/>
      <c r="F42" s="83"/>
      <c r="G42" s="83"/>
      <c r="H42" s="83"/>
      <c r="I42" s="83"/>
      <c r="J42" s="83"/>
      <c r="K42" s="83"/>
      <c r="L42" s="83"/>
      <c r="M42" s="98"/>
    </row>
    <row r="43" spans="2:27" ht="15" customHeight="1">
      <c r="B43" s="97"/>
      <c r="C43" s="188"/>
      <c r="D43" s="191" t="str">
        <f>Text!C26</f>
        <v>E-mail:</v>
      </c>
      <c r="E43" s="188" t="str">
        <f>Text!C27</f>
        <v>LGFS.Transfer@gov.wales</v>
      </c>
      <c r="F43" s="83"/>
      <c r="G43" s="83"/>
      <c r="H43" s="83"/>
      <c r="I43" s="83"/>
      <c r="J43" s="83"/>
      <c r="K43" s="83"/>
      <c r="L43" s="83"/>
      <c r="M43" s="98"/>
    </row>
    <row r="44" spans="2:27" ht="15" customHeight="1">
      <c r="B44" s="97"/>
      <c r="C44" s="188"/>
      <c r="D44" s="191" t="str">
        <f>Text!C14</f>
        <v>Telephone:</v>
      </c>
      <c r="E44" s="188" t="s">
        <v>366</v>
      </c>
      <c r="F44" s="83"/>
      <c r="G44" s="83"/>
      <c r="H44" s="83"/>
      <c r="I44" s="83"/>
      <c r="J44" s="83"/>
      <c r="K44" s="83"/>
      <c r="L44" s="83"/>
      <c r="M44" s="98"/>
    </row>
    <row r="45" spans="2:27" ht="15" customHeight="1">
      <c r="B45" s="108"/>
      <c r="C45" s="95"/>
      <c r="D45" s="95"/>
      <c r="E45" s="95"/>
      <c r="F45" s="95"/>
      <c r="G45" s="95"/>
      <c r="H45" s="95"/>
      <c r="I45" s="95"/>
      <c r="J45" s="95"/>
      <c r="K45" s="95"/>
      <c r="L45" s="95"/>
      <c r="M45" s="109"/>
    </row>
  </sheetData>
  <sheetProtection sheet="1" formatColumns="0"/>
  <mergeCells count="8">
    <mergeCell ref="C35:L35"/>
    <mergeCell ref="C34:L34"/>
    <mergeCell ref="C31:L31"/>
    <mergeCell ref="F20:L21"/>
    <mergeCell ref="F23:L23"/>
    <mergeCell ref="F25:L26"/>
    <mergeCell ref="C29:L29"/>
    <mergeCell ref="C33:L33"/>
  </mergeCells>
  <phoneticPr fontId="14" type="noConversion"/>
  <printOptions horizontalCentered="1"/>
  <pageMargins left="0.19685039370078741" right="0.39370078740157483" top="0.39370078740157483" bottom="0.39370078740157483" header="0.39370078740157483" footer="0.39370078740157483"/>
  <pageSetup paperSize="9" orientation="portrait" cellComments="atEn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3</xdr:col>
                    <xdr:colOff>342900</xdr:colOff>
                    <xdr:row>9</xdr:row>
                    <xdr:rowOff>95250</xdr:rowOff>
                  </from>
                  <to>
                    <xdr:col>7</xdr:col>
                    <xdr:colOff>209550</xdr:colOff>
                    <xdr:row>11</xdr:row>
                    <xdr:rowOff>12700</xdr:rowOff>
                  </to>
                </anchor>
              </controlPr>
            </control>
          </mc:Choice>
        </mc:AlternateContent>
        <mc:AlternateContent xmlns:mc="http://schemas.openxmlformats.org/markup-compatibility/2006">
          <mc:Choice Requires="x14">
            <control shapeId="1089" r:id="rId5" name="Drop Down 65">
              <controlPr locked="0" defaultSize="0" autoLine="0" autoPict="0">
                <anchor moveWithCells="1">
                  <from>
                    <xdr:col>3</xdr:col>
                    <xdr:colOff>342900</xdr:colOff>
                    <xdr:row>5</xdr:row>
                    <xdr:rowOff>95250</xdr:rowOff>
                  </from>
                  <to>
                    <xdr:col>4</xdr:col>
                    <xdr:colOff>1714500</xdr:colOff>
                    <xdr:row>7</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9" tint="0.59999389629810485"/>
    <pageSetUpPr fitToPage="1"/>
  </sheetPr>
  <dimension ref="A1:R61"/>
  <sheetViews>
    <sheetView topLeftCell="A48" zoomScale="75" zoomScaleNormal="75" workbookViewId="0">
      <selection activeCell="F62" sqref="F62"/>
    </sheetView>
  </sheetViews>
  <sheetFormatPr defaultColWidth="8.84375" defaultRowHeight="15.5"/>
  <cols>
    <col min="1" max="1" width="4.3046875" customWidth="1"/>
    <col min="2" max="2" width="5.84375" customWidth="1"/>
    <col min="3" max="3" width="36.07421875" bestFit="1" customWidth="1"/>
    <col min="4" max="4" width="42" bestFit="1" customWidth="1"/>
    <col min="5" max="5" width="5.23046875" customWidth="1"/>
    <col min="6" max="6" width="35.765625" customWidth="1"/>
    <col min="7" max="7" width="18.84375" bestFit="1" customWidth="1"/>
    <col min="8" max="8" width="21" bestFit="1" customWidth="1"/>
    <col min="9" max="9" width="18.3046875" bestFit="1" customWidth="1"/>
    <col min="10" max="10" width="16.4609375" bestFit="1" customWidth="1"/>
    <col min="11" max="11" width="15.07421875" bestFit="1" customWidth="1"/>
    <col min="12" max="12" width="12.07421875" bestFit="1" customWidth="1"/>
    <col min="13" max="13" width="9.765625" customWidth="1"/>
    <col min="14" max="14" width="23.53515625" bestFit="1" customWidth="1"/>
    <col min="15" max="15" width="9.4609375" customWidth="1"/>
    <col min="16" max="16" width="10.53515625" customWidth="1"/>
    <col min="17" max="17" width="50.3046875" bestFit="1" customWidth="1"/>
    <col min="18" max="18" width="36.765625" customWidth="1"/>
  </cols>
  <sheetData>
    <row r="1" spans="1:18">
      <c r="E1" s="165" t="s">
        <v>506</v>
      </c>
      <c r="F1" s="286" t="s">
        <v>964</v>
      </c>
      <c r="G1" s="110" t="s">
        <v>482</v>
      </c>
      <c r="H1" s="1" t="s">
        <v>483</v>
      </c>
    </row>
    <row r="2" spans="1:18">
      <c r="E2" s="165" t="s">
        <v>507</v>
      </c>
      <c r="F2" s="292">
        <v>44236</v>
      </c>
      <c r="G2" s="111" t="s">
        <v>249</v>
      </c>
    </row>
    <row r="4" spans="1:18" ht="18">
      <c r="A4" s="386" t="s">
        <v>26</v>
      </c>
      <c r="B4" s="387"/>
      <c r="C4" s="388"/>
      <c r="E4" s="386" t="s">
        <v>27</v>
      </c>
      <c r="F4" s="389"/>
      <c r="G4" s="389"/>
      <c r="H4" s="389"/>
      <c r="I4" s="389"/>
      <c r="J4" s="389"/>
      <c r="K4" s="389"/>
      <c r="L4" s="389"/>
      <c r="M4" s="389"/>
      <c r="N4" s="389"/>
      <c r="O4" s="389"/>
      <c r="P4" s="389"/>
      <c r="Q4" s="389"/>
      <c r="R4" s="390"/>
    </row>
    <row r="5" spans="1:18">
      <c r="A5" s="1"/>
      <c r="D5" s="67"/>
      <c r="E5" s="24" t="s">
        <v>28</v>
      </c>
      <c r="F5" s="193" t="s">
        <v>29</v>
      </c>
      <c r="I5" s="3"/>
      <c r="R5" s="1"/>
    </row>
    <row r="6" spans="1:18">
      <c r="A6" s="1"/>
      <c r="E6" s="35"/>
      <c r="F6" s="3"/>
      <c r="I6" s="3"/>
      <c r="R6" s="1"/>
    </row>
    <row r="7" spans="1:18">
      <c r="A7" s="7" t="s">
        <v>30</v>
      </c>
      <c r="B7" s="8" t="s">
        <v>31</v>
      </c>
      <c r="C7" s="9" t="s">
        <v>32</v>
      </c>
      <c r="E7" t="s">
        <v>976</v>
      </c>
    </row>
    <row r="8" spans="1:18">
      <c r="A8" s="10">
        <v>1</v>
      </c>
      <c r="B8">
        <v>0</v>
      </c>
      <c r="C8" s="11" t="s">
        <v>141</v>
      </c>
      <c r="D8" t="s">
        <v>344</v>
      </c>
      <c r="E8" t="s">
        <v>31</v>
      </c>
      <c r="F8" t="s">
        <v>150</v>
      </c>
      <c r="G8" t="s">
        <v>151</v>
      </c>
      <c r="H8" t="s">
        <v>152</v>
      </c>
      <c r="I8" t="s">
        <v>33</v>
      </c>
      <c r="J8" t="s">
        <v>34</v>
      </c>
      <c r="K8" t="s">
        <v>35</v>
      </c>
      <c r="L8" t="s">
        <v>36</v>
      </c>
      <c r="M8" t="s">
        <v>37</v>
      </c>
      <c r="N8" t="s">
        <v>153</v>
      </c>
      <c r="O8" t="s">
        <v>154</v>
      </c>
      <c r="P8" t="s">
        <v>155</v>
      </c>
      <c r="Q8" t="s">
        <v>156</v>
      </c>
      <c r="R8" t="s">
        <v>381</v>
      </c>
    </row>
    <row r="9" spans="1:18">
      <c r="A9" s="10">
        <v>2</v>
      </c>
      <c r="B9">
        <v>512</v>
      </c>
      <c r="C9" s="11" t="s">
        <v>38</v>
      </c>
      <c r="D9" t="s">
        <v>38</v>
      </c>
      <c r="E9">
        <v>512</v>
      </c>
      <c r="F9" t="s">
        <v>38</v>
      </c>
      <c r="G9" t="s">
        <v>334</v>
      </c>
      <c r="H9" t="s">
        <v>335</v>
      </c>
      <c r="I9" t="s">
        <v>157</v>
      </c>
      <c r="J9" t="s">
        <v>39</v>
      </c>
      <c r="K9" t="s">
        <v>40</v>
      </c>
      <c r="M9" t="s">
        <v>42</v>
      </c>
      <c r="N9" t="s">
        <v>43</v>
      </c>
      <c r="O9">
        <v>1248</v>
      </c>
      <c r="P9">
        <v>752651</v>
      </c>
      <c r="Q9" t="s">
        <v>44</v>
      </c>
      <c r="R9" t="s">
        <v>376</v>
      </c>
    </row>
    <row r="10" spans="1:18">
      <c r="A10" s="10">
        <v>3</v>
      </c>
      <c r="B10">
        <v>514</v>
      </c>
      <c r="C10" s="11" t="s">
        <v>45</v>
      </c>
      <c r="D10" t="s">
        <v>45</v>
      </c>
      <c r="E10">
        <v>514</v>
      </c>
      <c r="F10" t="s">
        <v>45</v>
      </c>
      <c r="G10" t="s">
        <v>958</v>
      </c>
      <c r="H10" t="s">
        <v>959</v>
      </c>
      <c r="I10" t="s">
        <v>46</v>
      </c>
      <c r="J10" t="s">
        <v>158</v>
      </c>
      <c r="K10" t="s">
        <v>47</v>
      </c>
      <c r="L10" t="s">
        <v>48</v>
      </c>
      <c r="M10" t="s">
        <v>49</v>
      </c>
      <c r="N10" t="s">
        <v>509</v>
      </c>
      <c r="O10">
        <v>1286</v>
      </c>
      <c r="P10">
        <v>682702</v>
      </c>
      <c r="Q10" t="s">
        <v>510</v>
      </c>
      <c r="R10" t="s">
        <v>511</v>
      </c>
    </row>
    <row r="11" spans="1:18">
      <c r="A11" s="10">
        <v>4</v>
      </c>
      <c r="B11">
        <v>516</v>
      </c>
      <c r="C11" s="11" t="s">
        <v>50</v>
      </c>
      <c r="D11" t="s">
        <v>345</v>
      </c>
      <c r="E11">
        <v>516</v>
      </c>
      <c r="F11" t="s">
        <v>50</v>
      </c>
      <c r="G11" t="s">
        <v>536</v>
      </c>
      <c r="H11" t="s">
        <v>537</v>
      </c>
      <c r="I11" t="s">
        <v>51</v>
      </c>
      <c r="J11" t="s">
        <v>52</v>
      </c>
      <c r="K11" t="s">
        <v>53</v>
      </c>
      <c r="M11" t="s">
        <v>54</v>
      </c>
      <c r="N11" t="s">
        <v>524</v>
      </c>
      <c r="O11">
        <v>1492</v>
      </c>
      <c r="P11" t="s">
        <v>525</v>
      </c>
      <c r="Q11" t="s">
        <v>526</v>
      </c>
      <c r="R11" t="s">
        <v>977</v>
      </c>
    </row>
    <row r="12" spans="1:18">
      <c r="A12" s="10">
        <v>5</v>
      </c>
      <c r="B12">
        <v>518</v>
      </c>
      <c r="C12" s="11" t="s">
        <v>55</v>
      </c>
      <c r="D12" t="s">
        <v>346</v>
      </c>
      <c r="R12" t="s">
        <v>978</v>
      </c>
    </row>
    <row r="13" spans="1:18">
      <c r="A13" s="10">
        <v>6</v>
      </c>
      <c r="B13">
        <v>520</v>
      </c>
      <c r="C13" s="11" t="s">
        <v>59</v>
      </c>
      <c r="D13" t="s">
        <v>347</v>
      </c>
      <c r="R13" t="s">
        <v>979</v>
      </c>
    </row>
    <row r="14" spans="1:18">
      <c r="A14" s="10">
        <v>7</v>
      </c>
      <c r="B14">
        <v>522</v>
      </c>
      <c r="C14" s="11" t="s">
        <v>64</v>
      </c>
      <c r="D14" t="s">
        <v>348</v>
      </c>
      <c r="E14">
        <v>518</v>
      </c>
      <c r="F14" t="s">
        <v>55</v>
      </c>
      <c r="G14" t="s">
        <v>512</v>
      </c>
      <c r="H14" t="s">
        <v>513</v>
      </c>
      <c r="I14" t="s">
        <v>60</v>
      </c>
      <c r="J14" t="s">
        <v>56</v>
      </c>
      <c r="K14" t="s">
        <v>57</v>
      </c>
      <c r="L14" t="s">
        <v>58</v>
      </c>
      <c r="M14" t="s">
        <v>159</v>
      </c>
      <c r="N14" t="s">
        <v>465</v>
      </c>
      <c r="O14">
        <v>1824</v>
      </c>
      <c r="P14">
        <v>706459</v>
      </c>
      <c r="Q14" t="s">
        <v>466</v>
      </c>
      <c r="R14" t="s">
        <v>980</v>
      </c>
    </row>
    <row r="15" spans="1:18">
      <c r="A15" s="10">
        <v>8</v>
      </c>
      <c r="B15">
        <v>524</v>
      </c>
      <c r="C15" s="11" t="s">
        <v>68</v>
      </c>
      <c r="D15" t="s">
        <v>349</v>
      </c>
      <c r="R15" t="s">
        <v>981</v>
      </c>
    </row>
    <row r="16" spans="1:18">
      <c r="A16" s="10">
        <v>9</v>
      </c>
      <c r="B16">
        <v>526</v>
      </c>
      <c r="C16" s="11" t="s">
        <v>72</v>
      </c>
      <c r="D16" t="s">
        <v>350</v>
      </c>
      <c r="E16">
        <v>520</v>
      </c>
      <c r="F16" t="s">
        <v>59</v>
      </c>
      <c r="G16" t="s">
        <v>242</v>
      </c>
      <c r="H16" t="s">
        <v>246</v>
      </c>
      <c r="I16" t="s">
        <v>60</v>
      </c>
      <c r="J16" t="s">
        <v>61</v>
      </c>
      <c r="K16" t="s">
        <v>62</v>
      </c>
      <c r="M16" t="s">
        <v>63</v>
      </c>
      <c r="N16" t="s">
        <v>527</v>
      </c>
      <c r="O16">
        <v>1352</v>
      </c>
      <c r="P16">
        <v>702916</v>
      </c>
      <c r="Q16" t="s">
        <v>528</v>
      </c>
      <c r="R16" t="s">
        <v>982</v>
      </c>
    </row>
    <row r="17" spans="1:18">
      <c r="A17" s="10">
        <v>10</v>
      </c>
      <c r="B17">
        <v>528</v>
      </c>
      <c r="C17" s="11" t="s">
        <v>77</v>
      </c>
      <c r="D17" t="s">
        <v>351</v>
      </c>
      <c r="E17">
        <v>522</v>
      </c>
      <c r="F17" t="s">
        <v>64</v>
      </c>
      <c r="G17" t="s">
        <v>538</v>
      </c>
      <c r="H17" t="s">
        <v>539</v>
      </c>
      <c r="I17" t="s">
        <v>234</v>
      </c>
      <c r="J17" t="s">
        <v>65</v>
      </c>
      <c r="L17" t="s">
        <v>66</v>
      </c>
      <c r="M17" t="s">
        <v>67</v>
      </c>
      <c r="N17" t="s">
        <v>235</v>
      </c>
      <c r="O17">
        <v>1978</v>
      </c>
      <c r="P17">
        <v>292803</v>
      </c>
      <c r="Q17" t="s">
        <v>236</v>
      </c>
      <c r="R17" t="s">
        <v>983</v>
      </c>
    </row>
    <row r="18" spans="1:18">
      <c r="A18" s="10">
        <v>11</v>
      </c>
      <c r="B18">
        <v>530</v>
      </c>
      <c r="C18" s="11" t="s">
        <v>81</v>
      </c>
      <c r="D18" t="s">
        <v>352</v>
      </c>
      <c r="R18" t="s">
        <v>984</v>
      </c>
    </row>
    <row r="19" spans="1:18">
      <c r="A19" s="10">
        <v>12</v>
      </c>
      <c r="B19">
        <v>532</v>
      </c>
      <c r="C19" s="11" t="s">
        <v>85</v>
      </c>
      <c r="D19" t="s">
        <v>353</v>
      </c>
      <c r="R19" t="s">
        <v>985</v>
      </c>
    </row>
    <row r="20" spans="1:18">
      <c r="A20" s="10">
        <v>13</v>
      </c>
      <c r="B20">
        <v>534</v>
      </c>
      <c r="C20" s="11" t="s">
        <v>89</v>
      </c>
      <c r="D20" t="s">
        <v>354</v>
      </c>
      <c r="E20">
        <v>524</v>
      </c>
      <c r="F20" t="s">
        <v>68</v>
      </c>
      <c r="G20" t="s">
        <v>467</v>
      </c>
      <c r="H20" t="s">
        <v>468</v>
      </c>
      <c r="I20" t="s">
        <v>60</v>
      </c>
      <c r="J20" t="s">
        <v>69</v>
      </c>
      <c r="K20" t="s">
        <v>70</v>
      </c>
      <c r="M20" t="s">
        <v>71</v>
      </c>
      <c r="N20" t="s">
        <v>204</v>
      </c>
      <c r="O20">
        <v>1874</v>
      </c>
      <c r="P20">
        <v>623309</v>
      </c>
      <c r="Q20" t="s">
        <v>205</v>
      </c>
      <c r="R20" t="s">
        <v>986</v>
      </c>
    </row>
    <row r="21" spans="1:18">
      <c r="A21" s="10">
        <v>14</v>
      </c>
      <c r="B21">
        <v>536</v>
      </c>
      <c r="C21" s="11" t="s">
        <v>93</v>
      </c>
      <c r="D21" t="s">
        <v>355</v>
      </c>
    </row>
    <row r="22" spans="1:18">
      <c r="A22" s="10">
        <v>15</v>
      </c>
      <c r="B22">
        <v>538</v>
      </c>
      <c r="C22" s="11" t="s">
        <v>98</v>
      </c>
      <c r="D22" t="s">
        <v>356</v>
      </c>
      <c r="R22" t="s">
        <v>987</v>
      </c>
    </row>
    <row r="23" spans="1:18">
      <c r="A23" s="10">
        <v>16</v>
      </c>
      <c r="B23">
        <v>540</v>
      </c>
      <c r="C23" s="11" t="s">
        <v>102</v>
      </c>
      <c r="D23" t="s">
        <v>357</v>
      </c>
      <c r="E23">
        <v>526</v>
      </c>
      <c r="F23" t="s">
        <v>72</v>
      </c>
      <c r="G23" t="s">
        <v>960</v>
      </c>
      <c r="H23" t="s">
        <v>961</v>
      </c>
      <c r="I23" t="s">
        <v>0</v>
      </c>
      <c r="J23" t="s">
        <v>1</v>
      </c>
      <c r="K23" t="s">
        <v>73</v>
      </c>
      <c r="L23" t="s">
        <v>74</v>
      </c>
      <c r="M23" t="s">
        <v>2</v>
      </c>
      <c r="N23" t="s">
        <v>75</v>
      </c>
      <c r="O23">
        <v>1970</v>
      </c>
      <c r="P23">
        <v>633160</v>
      </c>
      <c r="Q23" t="s">
        <v>76</v>
      </c>
      <c r="R23" t="s">
        <v>377</v>
      </c>
    </row>
    <row r="24" spans="1:18">
      <c r="A24" s="10">
        <v>17</v>
      </c>
      <c r="B24">
        <v>542</v>
      </c>
      <c r="C24" s="11" t="s">
        <v>107</v>
      </c>
      <c r="D24" t="s">
        <v>358</v>
      </c>
      <c r="E24">
        <v>528</v>
      </c>
      <c r="F24" t="s">
        <v>77</v>
      </c>
      <c r="G24" t="s">
        <v>243</v>
      </c>
      <c r="H24" t="s">
        <v>247</v>
      </c>
      <c r="I24" t="s">
        <v>60</v>
      </c>
      <c r="J24" t="s">
        <v>78</v>
      </c>
      <c r="K24" t="s">
        <v>79</v>
      </c>
      <c r="M24" t="s">
        <v>80</v>
      </c>
      <c r="N24" t="s">
        <v>3</v>
      </c>
      <c r="O24">
        <v>1437</v>
      </c>
      <c r="P24">
        <v>776218</v>
      </c>
      <c r="Q24" t="s">
        <v>4</v>
      </c>
      <c r="R24" t="s">
        <v>378</v>
      </c>
    </row>
    <row r="25" spans="1:18">
      <c r="A25" s="10">
        <v>18</v>
      </c>
      <c r="B25">
        <v>544</v>
      </c>
      <c r="C25" s="11" t="s">
        <v>111</v>
      </c>
      <c r="D25" t="s">
        <v>359</v>
      </c>
      <c r="E25">
        <v>530</v>
      </c>
      <c r="F25" t="s">
        <v>81</v>
      </c>
      <c r="G25" t="s">
        <v>244</v>
      </c>
      <c r="H25" t="s">
        <v>248</v>
      </c>
      <c r="I25" t="s">
        <v>60</v>
      </c>
      <c r="J25" t="s">
        <v>82</v>
      </c>
      <c r="K25" t="s">
        <v>83</v>
      </c>
      <c r="M25" t="s">
        <v>84</v>
      </c>
      <c r="N25" t="s">
        <v>988</v>
      </c>
      <c r="O25">
        <v>1267</v>
      </c>
      <c r="P25">
        <v>228740</v>
      </c>
      <c r="Q25" t="s">
        <v>989</v>
      </c>
      <c r="R25" t="s">
        <v>990</v>
      </c>
    </row>
    <row r="26" spans="1:18">
      <c r="A26" s="10">
        <v>19</v>
      </c>
      <c r="B26">
        <v>545</v>
      </c>
      <c r="C26" s="11" t="s">
        <v>113</v>
      </c>
      <c r="D26" t="s">
        <v>360</v>
      </c>
      <c r="E26">
        <v>532</v>
      </c>
      <c r="F26" t="s">
        <v>85</v>
      </c>
      <c r="G26" t="s">
        <v>371</v>
      </c>
      <c r="H26" t="s">
        <v>372</v>
      </c>
      <c r="I26" t="s">
        <v>90</v>
      </c>
      <c r="J26" t="s">
        <v>86</v>
      </c>
      <c r="K26" t="s">
        <v>87</v>
      </c>
      <c r="M26" t="s">
        <v>88</v>
      </c>
      <c r="N26" t="s">
        <v>373</v>
      </c>
      <c r="O26">
        <v>1792</v>
      </c>
      <c r="P26">
        <v>635890</v>
      </c>
      <c r="Q26" t="s">
        <v>374</v>
      </c>
      <c r="R26" t="s">
        <v>991</v>
      </c>
    </row>
    <row r="27" spans="1:18">
      <c r="A27" s="10">
        <v>20</v>
      </c>
      <c r="B27">
        <v>546</v>
      </c>
      <c r="C27" s="11" t="s">
        <v>119</v>
      </c>
      <c r="D27" t="s">
        <v>361</v>
      </c>
      <c r="R27" t="s">
        <v>992</v>
      </c>
    </row>
    <row r="28" spans="1:18">
      <c r="A28" s="10">
        <v>21</v>
      </c>
      <c r="B28">
        <v>548</v>
      </c>
      <c r="C28" s="11" t="s">
        <v>126</v>
      </c>
      <c r="D28" t="s">
        <v>362</v>
      </c>
      <c r="E28">
        <v>534</v>
      </c>
      <c r="F28" t="s">
        <v>89</v>
      </c>
      <c r="G28" t="s">
        <v>540</v>
      </c>
      <c r="H28" t="s">
        <v>541</v>
      </c>
      <c r="I28" t="s">
        <v>90</v>
      </c>
      <c r="J28" t="s">
        <v>91</v>
      </c>
      <c r="M28" t="s">
        <v>92</v>
      </c>
      <c r="N28" t="s">
        <v>529</v>
      </c>
      <c r="O28">
        <v>1639</v>
      </c>
      <c r="P28">
        <v>763908</v>
      </c>
      <c r="Q28" t="s">
        <v>530</v>
      </c>
      <c r="R28" t="s">
        <v>993</v>
      </c>
    </row>
    <row r="29" spans="1:18">
      <c r="A29" s="10">
        <v>22</v>
      </c>
      <c r="B29">
        <v>550</v>
      </c>
      <c r="C29" s="11" t="s">
        <v>127</v>
      </c>
      <c r="D29" t="s">
        <v>363</v>
      </c>
      <c r="R29" t="s">
        <v>994</v>
      </c>
    </row>
    <row r="30" spans="1:18">
      <c r="A30" s="12">
        <v>23</v>
      </c>
      <c r="B30" s="13">
        <v>552</v>
      </c>
      <c r="C30" s="74" t="s">
        <v>130</v>
      </c>
      <c r="D30" t="s">
        <v>364</v>
      </c>
      <c r="R30" t="s">
        <v>995</v>
      </c>
    </row>
    <row r="31" spans="1:18">
      <c r="A31" s="10"/>
      <c r="R31" t="s">
        <v>996</v>
      </c>
    </row>
    <row r="32" spans="1:18">
      <c r="A32" s="10"/>
      <c r="B32" s="87">
        <f>VLOOKUP(FrontPage!$E$11,Authority,2,FALSE)</f>
        <v>0</v>
      </c>
      <c r="C32" s="6" t="str">
        <f>IF(UAnumber=0,"",VLOOKUP(UAnumber,B36:C58,2,FALSE))</f>
        <v/>
      </c>
      <c r="E32">
        <v>536</v>
      </c>
      <c r="F32" t="s">
        <v>93</v>
      </c>
      <c r="G32" t="s">
        <v>336</v>
      </c>
      <c r="H32" t="s">
        <v>375</v>
      </c>
      <c r="I32" t="s">
        <v>94</v>
      </c>
      <c r="J32" t="s">
        <v>95</v>
      </c>
      <c r="K32" t="s">
        <v>96</v>
      </c>
      <c r="L32" t="s">
        <v>97</v>
      </c>
      <c r="M32" t="s">
        <v>469</v>
      </c>
      <c r="N32" t="s">
        <v>470</v>
      </c>
      <c r="O32">
        <v>1656</v>
      </c>
      <c r="P32">
        <v>643194</v>
      </c>
      <c r="Q32" t="s">
        <v>471</v>
      </c>
      <c r="R32" t="s">
        <v>472</v>
      </c>
    </row>
    <row r="33" spans="1:18">
      <c r="B33" s="87">
        <f>FrontPage!E7</f>
        <v>2</v>
      </c>
      <c r="C33" s="86" t="s">
        <v>365</v>
      </c>
      <c r="E33">
        <v>538</v>
      </c>
      <c r="F33" t="s">
        <v>160</v>
      </c>
      <c r="G33" t="s">
        <v>962</v>
      </c>
      <c r="H33" t="s">
        <v>997</v>
      </c>
      <c r="I33" t="s">
        <v>95</v>
      </c>
      <c r="J33" t="s">
        <v>99</v>
      </c>
      <c r="K33" t="s">
        <v>100</v>
      </c>
      <c r="M33" t="s">
        <v>101</v>
      </c>
      <c r="N33" t="s">
        <v>531</v>
      </c>
      <c r="O33">
        <v>1446</v>
      </c>
      <c r="P33">
        <v>709294</v>
      </c>
      <c r="Q33" t="s">
        <v>532</v>
      </c>
      <c r="R33" t="s">
        <v>998</v>
      </c>
    </row>
    <row r="34" spans="1:18">
      <c r="R34" t="s">
        <v>999</v>
      </c>
    </row>
    <row r="35" spans="1:18">
      <c r="E35">
        <v>540</v>
      </c>
      <c r="F35" t="s">
        <v>963</v>
      </c>
      <c r="G35" t="s">
        <v>473</v>
      </c>
      <c r="H35" t="s">
        <v>337</v>
      </c>
      <c r="I35" t="s">
        <v>103</v>
      </c>
      <c r="J35" t="s">
        <v>104</v>
      </c>
      <c r="K35" t="s">
        <v>105</v>
      </c>
      <c r="M35" t="s">
        <v>106</v>
      </c>
      <c r="N35" t="s">
        <v>138</v>
      </c>
      <c r="O35">
        <v>1443</v>
      </c>
      <c r="P35">
        <v>680539</v>
      </c>
      <c r="Q35" t="s">
        <v>139</v>
      </c>
      <c r="R35" t="s">
        <v>1000</v>
      </c>
    </row>
    <row r="36" spans="1:18">
      <c r="A36">
        <f t="shared" ref="A36:B58" si="0">A8</f>
        <v>1</v>
      </c>
      <c r="B36">
        <f t="shared" si="0"/>
        <v>0</v>
      </c>
      <c r="C36" t="str">
        <f>IF($B$33=1,D8,C8)</f>
        <v>Please select your authority</v>
      </c>
      <c r="E36">
        <v>542</v>
      </c>
      <c r="F36" t="s">
        <v>107</v>
      </c>
      <c r="G36" t="s">
        <v>1001</v>
      </c>
      <c r="H36" t="s">
        <v>1002</v>
      </c>
      <c r="I36" t="s">
        <v>90</v>
      </c>
      <c r="J36" t="s">
        <v>108</v>
      </c>
      <c r="K36" t="s">
        <v>109</v>
      </c>
      <c r="M36" t="s">
        <v>110</v>
      </c>
      <c r="N36" t="s">
        <v>237</v>
      </c>
      <c r="O36">
        <v>1685</v>
      </c>
      <c r="P36">
        <v>725096</v>
      </c>
      <c r="Q36" t="s">
        <v>474</v>
      </c>
      <c r="R36" t="s">
        <v>1003</v>
      </c>
    </row>
    <row r="37" spans="1:18">
      <c r="A37">
        <f t="shared" si="0"/>
        <v>2</v>
      </c>
      <c r="B37">
        <f t="shared" si="0"/>
        <v>512</v>
      </c>
      <c r="C37" t="str">
        <f t="shared" ref="C37:C58" si="1">IF($B$33=1,D9,C9)</f>
        <v>Cyngor Sir Ynys Môn</v>
      </c>
      <c r="R37" t="s">
        <v>1004</v>
      </c>
    </row>
    <row r="38" spans="1:18">
      <c r="A38">
        <f t="shared" si="0"/>
        <v>3</v>
      </c>
      <c r="B38">
        <f t="shared" si="0"/>
        <v>514</v>
      </c>
      <c r="C38" t="str">
        <f t="shared" si="1"/>
        <v>Cyngor Gwynedd</v>
      </c>
      <c r="R38" t="s">
        <v>1005</v>
      </c>
    </row>
    <row r="39" spans="1:18">
      <c r="A39">
        <f t="shared" si="0"/>
        <v>4</v>
      </c>
      <c r="B39">
        <f t="shared" si="0"/>
        <v>516</v>
      </c>
      <c r="C39" t="str">
        <f t="shared" si="1"/>
        <v>Conwy County Borough Council</v>
      </c>
      <c r="D39" t="str">
        <f>VLOOKUP(FrontPage!E7,Authority,3,FALSE)</f>
        <v>Cyngor Sir Ynys Môn</v>
      </c>
      <c r="R39" t="s">
        <v>1006</v>
      </c>
    </row>
    <row r="40" spans="1:18">
      <c r="A40">
        <f t="shared" si="0"/>
        <v>5</v>
      </c>
      <c r="B40">
        <f t="shared" si="0"/>
        <v>518</v>
      </c>
      <c r="C40" t="str">
        <f t="shared" si="1"/>
        <v>Denbighshire County Council</v>
      </c>
      <c r="E40">
        <v>544</v>
      </c>
      <c r="F40" t="s">
        <v>111</v>
      </c>
      <c r="G40" t="s">
        <v>514</v>
      </c>
      <c r="H40" t="s">
        <v>515</v>
      </c>
      <c r="I40" t="s">
        <v>161</v>
      </c>
      <c r="J40" t="s">
        <v>162</v>
      </c>
      <c r="K40" t="s">
        <v>112</v>
      </c>
      <c r="M40" t="s">
        <v>163</v>
      </c>
      <c r="N40" t="s">
        <v>475</v>
      </c>
      <c r="O40">
        <v>1443</v>
      </c>
      <c r="P40" t="s">
        <v>476</v>
      </c>
      <c r="Q40" t="s">
        <v>477</v>
      </c>
      <c r="R40" t="s">
        <v>1007</v>
      </c>
    </row>
    <row r="41" spans="1:18">
      <c r="A41">
        <f t="shared" si="0"/>
        <v>6</v>
      </c>
      <c r="B41">
        <f t="shared" si="0"/>
        <v>520</v>
      </c>
      <c r="C41" t="str">
        <f t="shared" si="1"/>
        <v>Flintshire County Council</v>
      </c>
      <c r="R41" t="s">
        <v>1008</v>
      </c>
    </row>
    <row r="42" spans="1:18">
      <c r="A42">
        <f t="shared" si="0"/>
        <v>7</v>
      </c>
      <c r="B42">
        <f t="shared" si="0"/>
        <v>522</v>
      </c>
      <c r="C42" t="str">
        <f t="shared" si="1"/>
        <v>Wrexham County Borough Council</v>
      </c>
      <c r="E42">
        <v>545</v>
      </c>
      <c r="F42" t="s">
        <v>113</v>
      </c>
      <c r="G42" t="s">
        <v>478</v>
      </c>
      <c r="H42" t="s">
        <v>479</v>
      </c>
      <c r="I42" t="s">
        <v>114</v>
      </c>
      <c r="J42" t="s">
        <v>90</v>
      </c>
      <c r="K42" t="s">
        <v>115</v>
      </c>
      <c r="M42" t="s">
        <v>116</v>
      </c>
      <c r="N42" t="s">
        <v>117</v>
      </c>
      <c r="O42">
        <v>1495</v>
      </c>
      <c r="P42">
        <v>355208</v>
      </c>
      <c r="Q42" t="s">
        <v>118</v>
      </c>
    </row>
    <row r="43" spans="1:18">
      <c r="A43">
        <f t="shared" si="0"/>
        <v>8</v>
      </c>
      <c r="B43">
        <f t="shared" si="0"/>
        <v>524</v>
      </c>
      <c r="C43" t="str">
        <f t="shared" si="1"/>
        <v>Powys County Council</v>
      </c>
      <c r="E43">
        <v>546</v>
      </c>
      <c r="F43" t="s">
        <v>119</v>
      </c>
      <c r="G43" t="s">
        <v>120</v>
      </c>
      <c r="H43" t="s">
        <v>164</v>
      </c>
      <c r="I43" t="s">
        <v>90</v>
      </c>
      <c r="J43" t="s">
        <v>121</v>
      </c>
      <c r="K43" t="s">
        <v>122</v>
      </c>
      <c r="M43" t="s">
        <v>123</v>
      </c>
      <c r="N43" t="s">
        <v>124</v>
      </c>
      <c r="O43">
        <v>1495</v>
      </c>
      <c r="P43">
        <v>766333</v>
      </c>
      <c r="Q43" t="s">
        <v>125</v>
      </c>
    </row>
    <row r="44" spans="1:18">
      <c r="A44">
        <f t="shared" si="0"/>
        <v>9</v>
      </c>
      <c r="B44">
        <f t="shared" si="0"/>
        <v>526</v>
      </c>
      <c r="C44" t="str">
        <f t="shared" si="1"/>
        <v>Ceredigion County Council</v>
      </c>
      <c r="E44">
        <v>548</v>
      </c>
      <c r="F44" t="s">
        <v>126</v>
      </c>
      <c r="G44" t="s">
        <v>480</v>
      </c>
      <c r="H44" t="s">
        <v>481</v>
      </c>
      <c r="I44" t="s">
        <v>60</v>
      </c>
      <c r="J44" t="s">
        <v>238</v>
      </c>
      <c r="K44" t="s">
        <v>239</v>
      </c>
      <c r="L44" t="s">
        <v>143</v>
      </c>
      <c r="M44" t="s">
        <v>240</v>
      </c>
      <c r="N44" t="s">
        <v>533</v>
      </c>
      <c r="O44">
        <v>1495</v>
      </c>
      <c r="P44" t="s">
        <v>534</v>
      </c>
      <c r="Q44" t="s">
        <v>535</v>
      </c>
      <c r="R44" t="s">
        <v>1009</v>
      </c>
    </row>
    <row r="45" spans="1:18">
      <c r="A45">
        <f t="shared" si="0"/>
        <v>10</v>
      </c>
      <c r="B45">
        <f t="shared" si="0"/>
        <v>528</v>
      </c>
      <c r="C45" t="str">
        <f t="shared" si="1"/>
        <v>Pembrokeshire County Council</v>
      </c>
      <c r="R45" t="s">
        <v>1010</v>
      </c>
    </row>
    <row r="46" spans="1:18">
      <c r="A46">
        <f t="shared" si="0"/>
        <v>11</v>
      </c>
      <c r="B46">
        <f t="shared" si="0"/>
        <v>530</v>
      </c>
      <c r="C46" t="str">
        <f t="shared" si="1"/>
        <v>Carmarthenshire County Council</v>
      </c>
      <c r="R46" t="s">
        <v>1011</v>
      </c>
    </row>
    <row r="47" spans="1:18">
      <c r="A47">
        <f t="shared" si="0"/>
        <v>12</v>
      </c>
      <c r="B47">
        <f t="shared" si="0"/>
        <v>532</v>
      </c>
      <c r="C47" t="str">
        <f t="shared" si="1"/>
        <v>City and County of Swansea</v>
      </c>
      <c r="E47">
        <v>550</v>
      </c>
      <c r="F47" t="s">
        <v>127</v>
      </c>
      <c r="G47" t="s">
        <v>245</v>
      </c>
      <c r="H47" t="s">
        <v>241</v>
      </c>
      <c r="I47" t="s">
        <v>90</v>
      </c>
      <c r="J47" t="s">
        <v>128</v>
      </c>
      <c r="M47" t="s">
        <v>129</v>
      </c>
      <c r="N47" t="s">
        <v>516</v>
      </c>
      <c r="O47">
        <v>1633</v>
      </c>
      <c r="P47">
        <v>851338</v>
      </c>
      <c r="Q47" t="s">
        <v>517</v>
      </c>
      <c r="R47" t="s">
        <v>1012</v>
      </c>
    </row>
    <row r="48" spans="1:18">
      <c r="A48">
        <f t="shared" si="0"/>
        <v>13</v>
      </c>
      <c r="B48">
        <f t="shared" si="0"/>
        <v>534</v>
      </c>
      <c r="C48" t="str">
        <f t="shared" si="1"/>
        <v>Neath Port Talbot County Borough Council</v>
      </c>
      <c r="E48">
        <v>552</v>
      </c>
      <c r="F48" t="s">
        <v>370</v>
      </c>
      <c r="G48" t="s">
        <v>518</v>
      </c>
      <c r="H48" t="s">
        <v>519</v>
      </c>
      <c r="I48" t="s">
        <v>60</v>
      </c>
      <c r="J48" t="s">
        <v>131</v>
      </c>
      <c r="K48" t="s">
        <v>132</v>
      </c>
      <c r="M48" t="s">
        <v>133</v>
      </c>
      <c r="N48" t="s">
        <v>520</v>
      </c>
      <c r="O48">
        <v>2920</v>
      </c>
      <c r="P48" t="s">
        <v>521</v>
      </c>
      <c r="Q48" t="s">
        <v>522</v>
      </c>
      <c r="R48" t="s">
        <v>1013</v>
      </c>
    </row>
    <row r="49" spans="1:18">
      <c r="A49">
        <f t="shared" si="0"/>
        <v>14</v>
      </c>
      <c r="B49">
        <f t="shared" si="0"/>
        <v>536</v>
      </c>
      <c r="C49" t="str">
        <f t="shared" si="1"/>
        <v>Bridgend County Borough Council</v>
      </c>
    </row>
    <row r="50" spans="1:18">
      <c r="A50">
        <f t="shared" si="0"/>
        <v>15</v>
      </c>
      <c r="B50">
        <f t="shared" si="0"/>
        <v>538</v>
      </c>
      <c r="C50" t="str">
        <f t="shared" si="1"/>
        <v>The Vale of Glamorgan Council</v>
      </c>
      <c r="R50" t="s">
        <v>1014</v>
      </c>
    </row>
    <row r="51" spans="1:18">
      <c r="A51">
        <f t="shared" si="0"/>
        <v>16</v>
      </c>
      <c r="B51">
        <f t="shared" si="0"/>
        <v>540</v>
      </c>
      <c r="C51" t="str">
        <f t="shared" si="1"/>
        <v>Rhondda, Cynon, Taff C.B.C.</v>
      </c>
    </row>
    <row r="52" spans="1:18">
      <c r="A52">
        <f t="shared" si="0"/>
        <v>17</v>
      </c>
      <c r="B52">
        <f t="shared" si="0"/>
        <v>542</v>
      </c>
      <c r="C52" t="str">
        <f t="shared" si="1"/>
        <v>Merthyr Tydfil County Borough Council</v>
      </c>
      <c r="R52" t="s">
        <v>1015</v>
      </c>
    </row>
    <row r="53" spans="1:18">
      <c r="A53">
        <f t="shared" si="0"/>
        <v>18</v>
      </c>
      <c r="B53">
        <f t="shared" si="0"/>
        <v>544</v>
      </c>
      <c r="C53" t="str">
        <f t="shared" si="1"/>
        <v>Caerphilly County Borough Council</v>
      </c>
    </row>
    <row r="54" spans="1:18">
      <c r="A54">
        <f t="shared" si="0"/>
        <v>19</v>
      </c>
      <c r="B54">
        <f t="shared" si="0"/>
        <v>545</v>
      </c>
      <c r="C54" t="str">
        <f t="shared" si="1"/>
        <v>Blaenau Gwent County Borough Council</v>
      </c>
    </row>
    <row r="55" spans="1:18">
      <c r="A55">
        <f t="shared" si="0"/>
        <v>20</v>
      </c>
      <c r="B55">
        <f t="shared" si="0"/>
        <v>546</v>
      </c>
      <c r="C55" t="str">
        <f t="shared" si="1"/>
        <v>Torfaen County Borough Council</v>
      </c>
      <c r="F55" s="25" t="str">
        <f>LEFT(Year,4)+1&amp;"-"&amp;RIGHT(Year,2)+1</f>
        <v>2024-25</v>
      </c>
      <c r="G55" s="25">
        <f>LEFT(Year,4)+1</f>
        <v>2024</v>
      </c>
    </row>
    <row r="56" spans="1:18">
      <c r="A56">
        <f t="shared" si="0"/>
        <v>21</v>
      </c>
      <c r="B56">
        <f t="shared" si="0"/>
        <v>548</v>
      </c>
      <c r="C56" t="str">
        <f t="shared" si="1"/>
        <v>Monmouthshire County Council</v>
      </c>
    </row>
    <row r="57" spans="1:18">
      <c r="A57">
        <f t="shared" si="0"/>
        <v>22</v>
      </c>
      <c r="B57">
        <f t="shared" si="0"/>
        <v>550</v>
      </c>
      <c r="C57" t="str">
        <f t="shared" si="1"/>
        <v>Newport City Council</v>
      </c>
      <c r="D57" s="160" t="s">
        <v>165</v>
      </c>
      <c r="E57" s="161" t="s">
        <v>463</v>
      </c>
      <c r="F57" s="282" t="s">
        <v>975</v>
      </c>
      <c r="G57" s="25" t="str">
        <f>LEFT(Year,4)</f>
        <v>2023</v>
      </c>
      <c r="H57" s="285" t="str">
        <f>LEFT(Year,4)&amp;RIGHT(Year,2)</f>
        <v>202324</v>
      </c>
    </row>
    <row r="58" spans="1:18">
      <c r="A58">
        <f t="shared" si="0"/>
        <v>23</v>
      </c>
      <c r="B58">
        <f t="shared" si="0"/>
        <v>552</v>
      </c>
      <c r="C58" t="str">
        <f t="shared" si="1"/>
        <v>The City and County of Cardiff</v>
      </c>
      <c r="F58" s="25" t="str">
        <f>LEFT(Year,4)-1&amp;"-"&amp;RIGHT(Year,2)-1</f>
        <v>2022-23</v>
      </c>
      <c r="G58" s="25"/>
      <c r="H58" s="285" t="str">
        <f>LEFT(Year,4)-1&amp;RIGHT(Year,2)-1</f>
        <v>202223</v>
      </c>
    </row>
    <row r="59" spans="1:18">
      <c r="H59" s="285" t="str">
        <f>LEFT(Year,4)-2&amp;RIGHT(Year,2)-2</f>
        <v>202122</v>
      </c>
    </row>
    <row r="60" spans="1:18">
      <c r="D60" s="160" t="s">
        <v>464</v>
      </c>
      <c r="E60" s="161" t="s">
        <v>463</v>
      </c>
      <c r="F60" s="283" t="s">
        <v>1591</v>
      </c>
    </row>
    <row r="61" spans="1:18">
      <c r="F61" s="284" t="s">
        <v>1592</v>
      </c>
    </row>
  </sheetData>
  <sheetProtection sheet="1" objects="1" scenarios="1"/>
  <mergeCells count="2">
    <mergeCell ref="A4:C4"/>
    <mergeCell ref="E4:R4"/>
  </mergeCells>
  <phoneticPr fontId="14" type="noConversion"/>
  <pageMargins left="0" right="0" top="0" bottom="0" header="0" footer="0"/>
  <pageSetup paperSize="9" scale="49" fitToWidth="2"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sheetPr>
  <dimension ref="A1:T34"/>
  <sheetViews>
    <sheetView workbookViewId="0">
      <selection activeCell="C4" sqref="C4"/>
    </sheetView>
  </sheetViews>
  <sheetFormatPr defaultRowHeight="15.5"/>
  <cols>
    <col min="1" max="1" width="6.07421875" customWidth="1"/>
    <col min="2" max="2" width="4.84375" customWidth="1"/>
    <col min="3" max="3" width="4.69140625" customWidth="1"/>
    <col min="4" max="4" width="4.23046875" customWidth="1"/>
    <col min="5" max="5" width="5.07421875" customWidth="1"/>
    <col min="6" max="6" width="7.07421875" customWidth="1"/>
    <col min="18" max="18" width="33.69140625" customWidth="1"/>
    <col min="19" max="19" width="29.69140625" customWidth="1"/>
    <col min="20" max="20" width="8.84375" style="14"/>
  </cols>
  <sheetData>
    <row r="1" spans="1:20">
      <c r="R1" s="51" t="s">
        <v>407</v>
      </c>
      <c r="S1" s="14"/>
    </row>
    <row r="2" spans="1:20">
      <c r="A2" s="126" t="s">
        <v>401</v>
      </c>
      <c r="R2" s="51" t="s">
        <v>408</v>
      </c>
      <c r="S2" s="51" t="s">
        <v>409</v>
      </c>
      <c r="T2" s="51" t="s">
        <v>460</v>
      </c>
    </row>
    <row r="3" spans="1:20">
      <c r="A3" s="117" t="s">
        <v>19</v>
      </c>
      <c r="B3" s="117" t="s">
        <v>20</v>
      </c>
      <c r="C3" s="117" t="s">
        <v>21</v>
      </c>
      <c r="D3" s="117" t="s">
        <v>22</v>
      </c>
      <c r="E3" s="117" t="s">
        <v>23</v>
      </c>
      <c r="F3" s="118" t="s">
        <v>393</v>
      </c>
      <c r="G3" s="117" t="s">
        <v>394</v>
      </c>
      <c r="H3" s="117" t="s">
        <v>395</v>
      </c>
      <c r="I3" s="118" t="s">
        <v>383</v>
      </c>
      <c r="J3" s="117" t="s">
        <v>396</v>
      </c>
      <c r="K3" s="117" t="s">
        <v>384</v>
      </c>
      <c r="L3" s="117" t="s">
        <v>385</v>
      </c>
      <c r="M3" s="117" t="s">
        <v>397</v>
      </c>
      <c r="N3" s="117" t="s">
        <v>398</v>
      </c>
      <c r="O3" s="117" t="s">
        <v>399</v>
      </c>
      <c r="P3" s="119" t="s">
        <v>400</v>
      </c>
      <c r="R3" s="136" t="s">
        <v>410</v>
      </c>
      <c r="S3" s="136" t="s">
        <v>411</v>
      </c>
      <c r="T3" s="14" t="str">
        <f>IF(Details!$B$33=2,R3,S3)</f>
        <v>select</v>
      </c>
    </row>
    <row r="4" spans="1:20">
      <c r="A4" s="120" t="str">
        <f t="shared" ref="A4:A16" si="0">LEFT(Year,4)&amp;RIGHT(Year,2)</f>
        <v>202324</v>
      </c>
      <c r="B4" s="120" t="s">
        <v>25</v>
      </c>
      <c r="C4" s="120">
        <v>1</v>
      </c>
      <c r="D4" s="120">
        <v>2</v>
      </c>
      <c r="E4" s="120">
        <f t="shared" ref="E4:E16" si="1">UAnumber</f>
        <v>0</v>
      </c>
      <c r="F4" s="121" t="e">
        <f t="shared" ref="F4:F16" si="2">IF(VLOOKUP($C4,CTCP1,8,FALSE)="",0,VLOOKUP($C4,CTCP1,8,FALSE))</f>
        <v>#N/A</v>
      </c>
      <c r="G4" s="121" t="e">
        <f t="shared" ref="G4:G16" si="3">IF(VLOOKUP($C4,CTCP1,9,FALSE)="",0,VLOOKUP($C4,CTCP1,9,FALSE))</f>
        <v>#N/A</v>
      </c>
      <c r="H4" s="121">
        <f t="shared" ref="H4:H16" si="4">IF(VLOOKUP($C4,CTCP1,10,FALSE)="",0,VLOOKUP($C4,CTCP1,10,FALSE))</f>
        <v>0</v>
      </c>
      <c r="I4" s="146" t="e">
        <f t="shared" ref="I4:P16" si="5">IF(VLOOKUP($C4,CTCP1,18,FALSE)="","",VLOOKUP($C4,CTCP1,18,FALSE))</f>
        <v>#N/A</v>
      </c>
      <c r="J4" s="146" t="e">
        <f t="shared" si="5"/>
        <v>#N/A</v>
      </c>
      <c r="K4" s="146" t="e">
        <f t="shared" si="5"/>
        <v>#N/A</v>
      </c>
      <c r="L4" s="146" t="e">
        <f t="shared" si="5"/>
        <v>#N/A</v>
      </c>
      <c r="M4" s="146" t="e">
        <f t="shared" si="5"/>
        <v>#N/A</v>
      </c>
      <c r="N4" s="146" t="e">
        <f t="shared" si="5"/>
        <v>#N/A</v>
      </c>
      <c r="O4" s="146" t="e">
        <f t="shared" si="5"/>
        <v>#N/A</v>
      </c>
      <c r="P4" s="272" t="e">
        <f t="shared" si="5"/>
        <v>#N/A</v>
      </c>
      <c r="R4" s="136" t="s">
        <v>412</v>
      </c>
      <c r="S4" s="136" t="s">
        <v>413</v>
      </c>
      <c r="T4" s="14" t="str">
        <f>IF(Details!$B$33=2,R4,S4)</f>
        <v>row</v>
      </c>
    </row>
    <row r="5" spans="1:20">
      <c r="A5" s="120" t="str">
        <f t="shared" si="0"/>
        <v>202324</v>
      </c>
      <c r="B5" s="120" t="s">
        <v>25</v>
      </c>
      <c r="C5" s="120">
        <v>2</v>
      </c>
      <c r="D5" s="120">
        <v>3</v>
      </c>
      <c r="E5" s="120">
        <f t="shared" si="1"/>
        <v>0</v>
      </c>
      <c r="F5" s="121" t="e">
        <f t="shared" si="2"/>
        <v>#N/A</v>
      </c>
      <c r="G5" s="122" t="e">
        <f t="shared" si="3"/>
        <v>#N/A</v>
      </c>
      <c r="H5" s="122">
        <f t="shared" si="4"/>
        <v>0</v>
      </c>
      <c r="I5" s="146" t="e">
        <f t="shared" si="5"/>
        <v>#N/A</v>
      </c>
      <c r="J5" s="146" t="e">
        <f t="shared" si="5"/>
        <v>#N/A</v>
      </c>
      <c r="K5" s="146" t="e">
        <f t="shared" si="5"/>
        <v>#N/A</v>
      </c>
      <c r="L5" s="146" t="e">
        <f t="shared" si="5"/>
        <v>#N/A</v>
      </c>
      <c r="M5" s="146" t="e">
        <f t="shared" si="5"/>
        <v>#N/A</v>
      </c>
      <c r="N5" s="146" t="e">
        <f t="shared" si="5"/>
        <v>#N/A</v>
      </c>
      <c r="O5" s="146" t="e">
        <f t="shared" si="5"/>
        <v>#N/A</v>
      </c>
      <c r="P5" s="272" t="e">
        <f t="shared" si="5"/>
        <v>#N/A</v>
      </c>
      <c r="R5" s="136" t="s">
        <v>414</v>
      </c>
      <c r="S5" s="136" t="s">
        <v>415</v>
      </c>
      <c r="T5" s="14" t="str">
        <f>IF(Details!$B$33=2,R5,S5)</f>
        <v>column</v>
      </c>
    </row>
    <row r="6" spans="1:20">
      <c r="A6" s="120" t="str">
        <f t="shared" si="0"/>
        <v>202324</v>
      </c>
      <c r="B6" s="120" t="s">
        <v>25</v>
      </c>
      <c r="C6" s="120">
        <v>3</v>
      </c>
      <c r="D6" s="120">
        <v>3</v>
      </c>
      <c r="E6" s="120">
        <f t="shared" si="1"/>
        <v>0</v>
      </c>
      <c r="F6" s="121" t="e">
        <f t="shared" si="2"/>
        <v>#N/A</v>
      </c>
      <c r="G6" s="121" t="e">
        <f t="shared" si="3"/>
        <v>#N/A</v>
      </c>
      <c r="H6" s="121">
        <f t="shared" si="4"/>
        <v>0</v>
      </c>
      <c r="I6" s="146" t="e">
        <f t="shared" si="5"/>
        <v>#N/A</v>
      </c>
      <c r="J6" s="146" t="e">
        <f t="shared" si="5"/>
        <v>#N/A</v>
      </c>
      <c r="K6" s="146" t="e">
        <f t="shared" si="5"/>
        <v>#N/A</v>
      </c>
      <c r="L6" s="146" t="e">
        <f t="shared" si="5"/>
        <v>#N/A</v>
      </c>
      <c r="M6" s="146" t="e">
        <f t="shared" si="5"/>
        <v>#N/A</v>
      </c>
      <c r="N6" s="146" t="e">
        <f t="shared" si="5"/>
        <v>#N/A</v>
      </c>
      <c r="O6" s="146" t="e">
        <f t="shared" si="5"/>
        <v>#N/A</v>
      </c>
      <c r="P6" s="272" t="e">
        <f t="shared" si="5"/>
        <v>#N/A</v>
      </c>
      <c r="R6" s="136" t="s">
        <v>416</v>
      </c>
      <c r="S6" s="136" t="s">
        <v>417</v>
      </c>
      <c r="T6" s="14" t="str">
        <f>IF(Details!$B$33=2,R6,S6)</f>
        <v>row description (sum lines shown in bold)</v>
      </c>
    </row>
    <row r="7" spans="1:20">
      <c r="A7" s="120" t="str">
        <f t="shared" si="0"/>
        <v>202324</v>
      </c>
      <c r="B7" s="120" t="s">
        <v>25</v>
      </c>
      <c r="C7" s="120">
        <v>4</v>
      </c>
      <c r="D7" s="120">
        <v>3</v>
      </c>
      <c r="E7" s="120">
        <f t="shared" si="1"/>
        <v>0</v>
      </c>
      <c r="F7" s="121" t="e">
        <f t="shared" si="2"/>
        <v>#N/A</v>
      </c>
      <c r="G7" s="122" t="e">
        <f t="shared" si="3"/>
        <v>#N/A</v>
      </c>
      <c r="H7" s="122">
        <f t="shared" si="4"/>
        <v>0</v>
      </c>
      <c r="I7" s="146" t="e">
        <f t="shared" si="5"/>
        <v>#N/A</v>
      </c>
      <c r="J7" s="146" t="e">
        <f t="shared" si="5"/>
        <v>#N/A</v>
      </c>
      <c r="K7" s="146" t="e">
        <f t="shared" si="5"/>
        <v>#N/A</v>
      </c>
      <c r="L7" s="146" t="e">
        <f t="shared" si="5"/>
        <v>#N/A</v>
      </c>
      <c r="M7" s="146" t="e">
        <f t="shared" si="5"/>
        <v>#N/A</v>
      </c>
      <c r="N7" s="146" t="e">
        <f t="shared" si="5"/>
        <v>#N/A</v>
      </c>
      <c r="O7" s="146" t="e">
        <f t="shared" si="5"/>
        <v>#N/A</v>
      </c>
      <c r="P7" s="272" t="e">
        <f t="shared" si="5"/>
        <v>#N/A</v>
      </c>
      <c r="R7" s="136" t="s">
        <v>387</v>
      </c>
      <c r="S7" s="136" t="s">
        <v>418</v>
      </c>
      <c r="T7" s="14" t="str">
        <f>IF(Details!$B$33=2,R7,S7)</f>
        <v>value</v>
      </c>
    </row>
    <row r="8" spans="1:20">
      <c r="A8" s="120" t="str">
        <f t="shared" si="0"/>
        <v>202324</v>
      </c>
      <c r="B8" s="120" t="s">
        <v>25</v>
      </c>
      <c r="C8" s="120">
        <v>5</v>
      </c>
      <c r="D8" s="120">
        <v>3</v>
      </c>
      <c r="E8" s="120">
        <f t="shared" si="1"/>
        <v>0</v>
      </c>
      <c r="F8" s="121" t="e">
        <f t="shared" si="2"/>
        <v>#N/A</v>
      </c>
      <c r="G8" s="121" t="e">
        <f t="shared" si="3"/>
        <v>#N/A</v>
      </c>
      <c r="H8" s="121">
        <f t="shared" si="4"/>
        <v>0</v>
      </c>
      <c r="I8" s="146" t="e">
        <f t="shared" si="5"/>
        <v>#N/A</v>
      </c>
      <c r="J8" s="146" t="e">
        <f t="shared" si="5"/>
        <v>#N/A</v>
      </c>
      <c r="K8" s="146" t="e">
        <f t="shared" si="5"/>
        <v>#N/A</v>
      </c>
      <c r="L8" s="146" t="e">
        <f t="shared" si="5"/>
        <v>#N/A</v>
      </c>
      <c r="M8" s="146" t="e">
        <f t="shared" si="5"/>
        <v>#N/A</v>
      </c>
      <c r="N8" s="146" t="e">
        <f t="shared" si="5"/>
        <v>#N/A</v>
      </c>
      <c r="O8" s="146" t="e">
        <f t="shared" si="5"/>
        <v>#N/A</v>
      </c>
      <c r="P8" s="272" t="e">
        <f t="shared" si="5"/>
        <v>#N/A</v>
      </c>
      <c r="R8" s="136" t="s">
        <v>419</v>
      </c>
      <c r="S8" s="136" t="s">
        <v>420</v>
      </c>
      <c r="T8" s="14" t="str">
        <f>IF(Details!$B$33=2,R8,S8)</f>
        <v>type</v>
      </c>
    </row>
    <row r="9" spans="1:20">
      <c r="A9" s="120" t="str">
        <f t="shared" si="0"/>
        <v>202324</v>
      </c>
      <c r="B9" s="120" t="s">
        <v>25</v>
      </c>
      <c r="C9" s="123">
        <v>6</v>
      </c>
      <c r="D9" s="120">
        <v>3</v>
      </c>
      <c r="E9" s="120">
        <f t="shared" si="1"/>
        <v>0</v>
      </c>
      <c r="F9" s="121" t="e">
        <f t="shared" si="2"/>
        <v>#N/A</v>
      </c>
      <c r="G9" s="124" t="e">
        <f t="shared" si="3"/>
        <v>#N/A</v>
      </c>
      <c r="H9" s="124">
        <f t="shared" si="4"/>
        <v>0</v>
      </c>
      <c r="I9" s="169" t="e">
        <f t="shared" si="5"/>
        <v>#N/A</v>
      </c>
      <c r="J9" s="169" t="e">
        <f t="shared" si="5"/>
        <v>#N/A</v>
      </c>
      <c r="K9" s="169" t="e">
        <f t="shared" si="5"/>
        <v>#N/A</v>
      </c>
      <c r="L9" s="169" t="e">
        <f t="shared" si="5"/>
        <v>#N/A</v>
      </c>
      <c r="M9" s="169" t="e">
        <f t="shared" si="5"/>
        <v>#N/A</v>
      </c>
      <c r="N9" s="169" t="e">
        <f t="shared" si="5"/>
        <v>#N/A</v>
      </c>
      <c r="O9" s="169" t="e">
        <f t="shared" si="5"/>
        <v>#N/A</v>
      </c>
      <c r="P9" s="273" t="e">
        <f t="shared" si="5"/>
        <v>#N/A</v>
      </c>
      <c r="R9" s="136" t="s">
        <v>421</v>
      </c>
      <c r="S9" s="136" t="s">
        <v>422</v>
      </c>
      <c r="T9" s="14" t="str">
        <f>IF(Details!$B$33=2,R9,S9)</f>
        <v>auto</v>
      </c>
    </row>
    <row r="10" spans="1:20">
      <c r="A10" s="120" t="str">
        <f t="shared" si="0"/>
        <v>202324</v>
      </c>
      <c r="B10" s="120" t="s">
        <v>25</v>
      </c>
      <c r="C10" s="123">
        <v>7</v>
      </c>
      <c r="D10" s="120">
        <v>3</v>
      </c>
      <c r="E10" s="120">
        <f t="shared" si="1"/>
        <v>0</v>
      </c>
      <c r="F10" s="121" t="e">
        <f t="shared" si="2"/>
        <v>#N/A</v>
      </c>
      <c r="G10" s="124" t="e">
        <f t="shared" si="3"/>
        <v>#N/A</v>
      </c>
      <c r="H10" s="124">
        <f t="shared" si="4"/>
        <v>0</v>
      </c>
      <c r="I10" s="169" t="e">
        <f t="shared" si="5"/>
        <v>#N/A</v>
      </c>
      <c r="J10" s="169" t="e">
        <f t="shared" si="5"/>
        <v>#N/A</v>
      </c>
      <c r="K10" s="169" t="e">
        <f t="shared" si="5"/>
        <v>#N/A</v>
      </c>
      <c r="L10" s="169" t="e">
        <f t="shared" si="5"/>
        <v>#N/A</v>
      </c>
      <c r="M10" s="169" t="e">
        <f t="shared" si="5"/>
        <v>#N/A</v>
      </c>
      <c r="N10" s="169" t="e">
        <f t="shared" si="5"/>
        <v>#N/A</v>
      </c>
      <c r="O10" s="169" t="e">
        <f t="shared" si="5"/>
        <v>#N/A</v>
      </c>
      <c r="P10" s="273" t="e">
        <f t="shared" si="5"/>
        <v>#N/A</v>
      </c>
      <c r="R10" s="136" t="s">
        <v>386</v>
      </c>
      <c r="S10" s="136" t="s">
        <v>423</v>
      </c>
      <c r="T10" s="14" t="str">
        <f>IF(Details!$B$33=2,R10,S10)</f>
        <v>mark</v>
      </c>
    </row>
    <row r="11" spans="1:20">
      <c r="A11" s="120" t="str">
        <f t="shared" si="0"/>
        <v>202324</v>
      </c>
      <c r="B11" s="120" t="s">
        <v>25</v>
      </c>
      <c r="C11" s="123">
        <v>8</v>
      </c>
      <c r="D11" s="120">
        <v>3</v>
      </c>
      <c r="E11" s="120">
        <f t="shared" si="1"/>
        <v>0</v>
      </c>
      <c r="F11" s="121" t="e">
        <f t="shared" si="2"/>
        <v>#N/A</v>
      </c>
      <c r="G11" s="124" t="e">
        <f t="shared" si="3"/>
        <v>#N/A</v>
      </c>
      <c r="H11" s="124">
        <f t="shared" si="4"/>
        <v>0</v>
      </c>
      <c r="I11" s="169" t="str">
        <f t="shared" si="5"/>
        <v/>
      </c>
      <c r="J11" s="169" t="str">
        <f t="shared" si="5"/>
        <v/>
      </c>
      <c r="K11" s="169" t="str">
        <f t="shared" si="5"/>
        <v/>
      </c>
      <c r="L11" s="169" t="str">
        <f t="shared" si="5"/>
        <v/>
      </c>
      <c r="M11" s="169" t="str">
        <f t="shared" si="5"/>
        <v/>
      </c>
      <c r="N11" s="169" t="str">
        <f t="shared" si="5"/>
        <v/>
      </c>
      <c r="O11" s="169" t="str">
        <f t="shared" si="5"/>
        <v/>
      </c>
      <c r="P11" s="273" t="str">
        <f t="shared" si="5"/>
        <v/>
      </c>
      <c r="R11" s="136" t="s">
        <v>424</v>
      </c>
      <c r="S11" s="136" t="s">
        <v>425</v>
      </c>
      <c r="T11" s="14" t="str">
        <f>IF(Details!$B$33=2,R11,S11)</f>
        <v>check</v>
      </c>
    </row>
    <row r="12" spans="1:20">
      <c r="A12" s="120" t="str">
        <f t="shared" si="0"/>
        <v>202324</v>
      </c>
      <c r="B12" s="120" t="s">
        <v>25</v>
      </c>
      <c r="C12" s="123">
        <v>9</v>
      </c>
      <c r="D12" s="120">
        <v>3</v>
      </c>
      <c r="E12" s="120">
        <f t="shared" si="1"/>
        <v>0</v>
      </c>
      <c r="F12" s="121" t="e">
        <f t="shared" si="2"/>
        <v>#N/A</v>
      </c>
      <c r="G12" s="124" t="e">
        <f t="shared" si="3"/>
        <v>#N/A</v>
      </c>
      <c r="H12" s="124">
        <f t="shared" si="4"/>
        <v>0</v>
      </c>
      <c r="I12" s="169" t="str">
        <f t="shared" si="5"/>
        <v/>
      </c>
      <c r="J12" s="169" t="str">
        <f t="shared" si="5"/>
        <v/>
      </c>
      <c r="K12" s="169" t="str">
        <f t="shared" si="5"/>
        <v/>
      </c>
      <c r="L12" s="169" t="str">
        <f t="shared" si="5"/>
        <v/>
      </c>
      <c r="M12" s="169" t="str">
        <f t="shared" si="5"/>
        <v/>
      </c>
      <c r="N12" s="169" t="str">
        <f t="shared" si="5"/>
        <v/>
      </c>
      <c r="O12" s="169" t="str">
        <f t="shared" si="5"/>
        <v/>
      </c>
      <c r="P12" s="273" t="str">
        <f t="shared" si="5"/>
        <v/>
      </c>
      <c r="R12" s="136" t="s">
        <v>426</v>
      </c>
      <c r="S12" s="136" t="s">
        <v>427</v>
      </c>
      <c r="T12" s="14" t="str">
        <f>IF(Details!$B$33=2,R12,S12)</f>
        <v>status</v>
      </c>
    </row>
    <row r="13" spans="1:20">
      <c r="A13" s="120" t="str">
        <f t="shared" si="0"/>
        <v>202324</v>
      </c>
      <c r="B13" s="120" t="s">
        <v>25</v>
      </c>
      <c r="C13" s="123">
        <v>10.5</v>
      </c>
      <c r="D13" s="120">
        <v>4</v>
      </c>
      <c r="E13" s="120">
        <f t="shared" si="1"/>
        <v>0</v>
      </c>
      <c r="F13" s="121" t="e">
        <f t="shared" si="2"/>
        <v>#N/A</v>
      </c>
      <c r="G13" s="124" t="e">
        <f t="shared" si="3"/>
        <v>#N/A</v>
      </c>
      <c r="H13" s="124">
        <f t="shared" si="4"/>
        <v>0</v>
      </c>
      <c r="I13" s="169" t="e">
        <f t="shared" si="5"/>
        <v>#N/A</v>
      </c>
      <c r="J13" s="169" t="e">
        <f t="shared" si="5"/>
        <v>#N/A</v>
      </c>
      <c r="K13" s="169" t="e">
        <f t="shared" si="5"/>
        <v>#N/A</v>
      </c>
      <c r="L13" s="169" t="e">
        <f t="shared" si="5"/>
        <v>#N/A</v>
      </c>
      <c r="M13" s="169" t="e">
        <f t="shared" si="5"/>
        <v>#N/A</v>
      </c>
      <c r="N13" s="169" t="e">
        <f t="shared" si="5"/>
        <v>#N/A</v>
      </c>
      <c r="O13" s="169" t="e">
        <f t="shared" si="5"/>
        <v>#N/A</v>
      </c>
      <c r="P13" s="273" t="e">
        <f t="shared" si="5"/>
        <v>#N/A</v>
      </c>
      <c r="R13" s="136" t="s">
        <v>389</v>
      </c>
      <c r="S13" s="136" t="s">
        <v>428</v>
      </c>
      <c r="T13" s="14" t="str">
        <f>IF(Details!$B$33=2,R13,S13)</f>
        <v>Your comments</v>
      </c>
    </row>
    <row r="14" spans="1:20">
      <c r="A14" s="120" t="str">
        <f t="shared" si="0"/>
        <v>202324</v>
      </c>
      <c r="B14" s="120" t="s">
        <v>25</v>
      </c>
      <c r="C14" s="123">
        <v>11</v>
      </c>
      <c r="D14" s="120">
        <v>4</v>
      </c>
      <c r="E14" s="120">
        <f t="shared" si="1"/>
        <v>0</v>
      </c>
      <c r="F14" s="121" t="e">
        <f t="shared" si="2"/>
        <v>#N/A</v>
      </c>
      <c r="G14" s="124" t="e">
        <f t="shared" si="3"/>
        <v>#N/A</v>
      </c>
      <c r="H14" s="124">
        <f t="shared" si="4"/>
        <v>0</v>
      </c>
      <c r="I14" s="169" t="e">
        <f t="shared" si="5"/>
        <v>#N/A</v>
      </c>
      <c r="J14" s="169" t="e">
        <f t="shared" si="5"/>
        <v>#N/A</v>
      </c>
      <c r="K14" s="169" t="e">
        <f t="shared" si="5"/>
        <v>#N/A</v>
      </c>
      <c r="L14" s="169" t="e">
        <f t="shared" si="5"/>
        <v>#N/A</v>
      </c>
      <c r="M14" s="169" t="e">
        <f t="shared" si="5"/>
        <v>#N/A</v>
      </c>
      <c r="N14" s="169" t="e">
        <f t="shared" si="5"/>
        <v>#N/A</v>
      </c>
      <c r="O14" s="169" t="e">
        <f t="shared" si="5"/>
        <v>#N/A</v>
      </c>
      <c r="P14" s="273" t="e">
        <f t="shared" si="5"/>
        <v>#N/A</v>
      </c>
      <c r="R14" s="136" t="s">
        <v>390</v>
      </c>
      <c r="S14" s="136" t="s">
        <v>429</v>
      </c>
      <c r="T14" s="14" t="str">
        <f>IF(Details!$B$33=2,R14,S14)</f>
        <v>Our comments</v>
      </c>
    </row>
    <row r="15" spans="1:20">
      <c r="A15" s="120" t="str">
        <f t="shared" si="0"/>
        <v>202324</v>
      </c>
      <c r="B15" s="120" t="s">
        <v>25</v>
      </c>
      <c r="C15" s="123">
        <v>12</v>
      </c>
      <c r="D15" s="120">
        <v>4</v>
      </c>
      <c r="E15" s="120">
        <f t="shared" si="1"/>
        <v>0</v>
      </c>
      <c r="F15" s="121" t="e">
        <f t="shared" si="2"/>
        <v>#N/A</v>
      </c>
      <c r="G15" s="124" t="e">
        <f t="shared" si="3"/>
        <v>#N/A</v>
      </c>
      <c r="H15" s="124">
        <f t="shared" si="4"/>
        <v>0</v>
      </c>
      <c r="I15" s="169" t="e">
        <f t="shared" si="5"/>
        <v>#N/A</v>
      </c>
      <c r="J15" s="169" t="e">
        <f t="shared" si="5"/>
        <v>#N/A</v>
      </c>
      <c r="K15" s="169" t="e">
        <f t="shared" si="5"/>
        <v>#N/A</v>
      </c>
      <c r="L15" s="169" t="e">
        <f t="shared" si="5"/>
        <v>#N/A</v>
      </c>
      <c r="M15" s="169" t="e">
        <f t="shared" si="5"/>
        <v>#N/A</v>
      </c>
      <c r="N15" s="169" t="e">
        <f t="shared" si="5"/>
        <v>#N/A</v>
      </c>
      <c r="O15" s="169" t="e">
        <f t="shared" si="5"/>
        <v>#N/A</v>
      </c>
      <c r="P15" s="273" t="e">
        <f t="shared" si="5"/>
        <v>#N/A</v>
      </c>
      <c r="R15" s="136" t="s">
        <v>391</v>
      </c>
      <c r="S15" s="136" t="s">
        <v>430</v>
      </c>
      <c r="T15" s="14" t="str">
        <f>IF(Details!$B$33=2,R15,S15)</f>
        <v>signed by</v>
      </c>
    </row>
    <row r="16" spans="1:20">
      <c r="A16" s="120" t="str">
        <f t="shared" si="0"/>
        <v>202324</v>
      </c>
      <c r="B16" s="120" t="s">
        <v>25</v>
      </c>
      <c r="C16" s="123">
        <v>12.5</v>
      </c>
      <c r="D16" s="120">
        <v>4</v>
      </c>
      <c r="E16" s="120">
        <f t="shared" si="1"/>
        <v>0</v>
      </c>
      <c r="F16" s="121" t="e">
        <f t="shared" si="2"/>
        <v>#N/A</v>
      </c>
      <c r="G16" s="124" t="e">
        <f t="shared" si="3"/>
        <v>#N/A</v>
      </c>
      <c r="H16" s="124">
        <f t="shared" si="4"/>
        <v>0</v>
      </c>
      <c r="I16" s="169" t="str">
        <f t="shared" si="5"/>
        <v/>
      </c>
      <c r="J16" s="169" t="str">
        <f t="shared" si="5"/>
        <v/>
      </c>
      <c r="K16" s="169" t="str">
        <f t="shared" si="5"/>
        <v/>
      </c>
      <c r="L16" s="169" t="str">
        <f t="shared" si="5"/>
        <v/>
      </c>
      <c r="M16" s="169" t="str">
        <f t="shared" si="5"/>
        <v/>
      </c>
      <c r="N16" s="169" t="str">
        <f t="shared" si="5"/>
        <v/>
      </c>
      <c r="O16" s="169" t="str">
        <f t="shared" si="5"/>
        <v/>
      </c>
      <c r="P16" s="273" t="str">
        <f t="shared" si="5"/>
        <v/>
      </c>
      <c r="R16" s="136" t="s">
        <v>392</v>
      </c>
      <c r="S16" s="136" t="s">
        <v>431</v>
      </c>
      <c r="T16" s="14" t="str">
        <f>IF(Details!$B$33=2,R16,S16)</f>
        <v>date</v>
      </c>
    </row>
    <row r="17" spans="1:20">
      <c r="R17" s="136" t="s">
        <v>432</v>
      </c>
      <c r="S17" s="136" t="s">
        <v>433</v>
      </c>
      <c r="T17" s="14" t="str">
        <f>IF(Details!$B$33=2,R17,S17)</f>
        <v>difference</v>
      </c>
    </row>
    <row r="18" spans="1:20">
      <c r="R18" s="136" t="s">
        <v>434</v>
      </c>
      <c r="S18" s="136" t="s">
        <v>435</v>
      </c>
      <c r="T18" s="14" t="str">
        <f>IF(Details!$B$33=2,R18,S18)</f>
        <v>tolerance:</v>
      </c>
    </row>
    <row r="19" spans="1:20">
      <c r="R19" s="136" t="s">
        <v>436</v>
      </c>
      <c r="S19" s="136" t="s">
        <v>437</v>
      </c>
      <c r="T19" s="14" t="str">
        <f>IF(Details!$B$33=2,R19,S19)</f>
        <v>zero?</v>
      </c>
    </row>
    <row r="20" spans="1:20">
      <c r="A20" s="126" t="s">
        <v>406</v>
      </c>
      <c r="R20" s="136" t="s">
        <v>190</v>
      </c>
      <c r="S20" s="136" t="s">
        <v>438</v>
      </c>
      <c r="T20" s="14" t="str">
        <f>IF(Details!$B$33=2,R20,S20)</f>
        <v>Totals</v>
      </c>
    </row>
    <row r="21" spans="1:20">
      <c r="A21" s="127" t="s">
        <v>402</v>
      </c>
      <c r="B21" s="127" t="s">
        <v>20</v>
      </c>
      <c r="C21" s="127" t="s">
        <v>23</v>
      </c>
      <c r="D21" s="127" t="s">
        <v>167</v>
      </c>
      <c r="E21" s="127" t="s">
        <v>403</v>
      </c>
      <c r="F21" s="127" t="s">
        <v>396</v>
      </c>
      <c r="G21" s="127" t="s">
        <v>385</v>
      </c>
      <c r="H21" s="127" t="s">
        <v>404</v>
      </c>
      <c r="I21" s="127" t="s">
        <v>405</v>
      </c>
      <c r="J21" s="127" t="s">
        <v>400</v>
      </c>
      <c r="R21" s="137" t="s">
        <v>439</v>
      </c>
      <c r="S21" s="136" t="s">
        <v>440</v>
      </c>
      <c r="T21" s="14" t="str">
        <f>IF(Details!$B$33=2,R21,S21)</f>
        <v>Any totals not = zero in column "V" will be flagged in 'auto' column and highlighted in red.</v>
      </c>
    </row>
    <row r="22" spans="1:20">
      <c r="A22" s="128">
        <f t="shared" ref="A22:A30" si="6">D22</f>
        <v>0</v>
      </c>
      <c r="B22" s="128" t="s">
        <v>25</v>
      </c>
      <c r="C22" s="128">
        <f t="shared" ref="C22:C30" si="7">UAnumber</f>
        <v>0</v>
      </c>
      <c r="D22" s="128"/>
      <c r="E22" s="128"/>
      <c r="F22" s="128"/>
      <c r="G22" s="128"/>
      <c r="H22" s="128"/>
      <c r="I22" s="128"/>
      <c r="J22" s="129"/>
      <c r="R22" s="137" t="s">
        <v>441</v>
      </c>
      <c r="S22" s="136" t="s">
        <v>442</v>
      </c>
      <c r="T22" s="14" t="str">
        <f>IF(Details!$B$33=2,R22,S22)</f>
        <v>Arithmetic Checks</v>
      </c>
    </row>
    <row r="23" spans="1:20">
      <c r="A23" s="128">
        <f t="shared" si="6"/>
        <v>0</v>
      </c>
      <c r="B23" s="128" t="s">
        <v>25</v>
      </c>
      <c r="C23" s="130">
        <f t="shared" si="7"/>
        <v>0</v>
      </c>
      <c r="D23" s="130"/>
      <c r="E23" s="130"/>
      <c r="F23" s="130"/>
      <c r="G23" s="130"/>
      <c r="H23" s="130"/>
      <c r="I23" s="130"/>
      <c r="J23" s="131"/>
      <c r="R23" s="137" t="s">
        <v>382</v>
      </c>
      <c r="S23" s="136" t="s">
        <v>443</v>
      </c>
      <c r="T23" s="14" t="str">
        <f>IF(Details!$B$33=2,R23,S23)</f>
        <v>YOY Figures</v>
      </c>
    </row>
    <row r="24" spans="1:20">
      <c r="A24" s="128">
        <f t="shared" si="6"/>
        <v>0</v>
      </c>
      <c r="B24" s="128" t="s">
        <v>25</v>
      </c>
      <c r="C24" s="128">
        <f t="shared" si="7"/>
        <v>0</v>
      </c>
      <c r="D24" s="128"/>
      <c r="E24" s="128"/>
      <c r="F24" s="128"/>
      <c r="G24" s="128"/>
      <c r="H24" s="128"/>
      <c r="I24" s="128"/>
      <c r="J24" s="129"/>
      <c r="R24" s="14" t="s">
        <v>444</v>
      </c>
      <c r="S24" s="14" t="s">
        <v>445</v>
      </c>
      <c r="T24" s="14" t="str">
        <f>IF(Details!$B$33=2,R24,S24)</f>
        <v>Please follow the instructions below when completing this page:</v>
      </c>
    </row>
    <row r="25" spans="1:20">
      <c r="A25" s="128">
        <f t="shared" si="6"/>
        <v>0</v>
      </c>
      <c r="B25" s="128" t="s">
        <v>25</v>
      </c>
      <c r="C25" s="132">
        <f t="shared" si="7"/>
        <v>0</v>
      </c>
      <c r="D25" s="132"/>
      <c r="E25" s="132"/>
      <c r="F25" s="132"/>
      <c r="G25" s="132"/>
      <c r="H25" s="132"/>
      <c r="I25" s="132"/>
      <c r="J25" s="133"/>
      <c r="R25" s="14"/>
      <c r="S25" s="14"/>
    </row>
    <row r="26" spans="1:20">
      <c r="A26" s="128">
        <f t="shared" si="6"/>
        <v>0</v>
      </c>
      <c r="B26" s="128" t="s">
        <v>25</v>
      </c>
      <c r="C26" s="134">
        <f t="shared" si="7"/>
        <v>0</v>
      </c>
      <c r="D26" s="134"/>
      <c r="E26" s="134"/>
      <c r="F26" s="134"/>
      <c r="G26" s="134"/>
      <c r="H26" s="134"/>
      <c r="I26" s="134"/>
      <c r="J26" s="125"/>
      <c r="R26" s="51" t="s">
        <v>408</v>
      </c>
      <c r="S26" s="51" t="s">
        <v>409</v>
      </c>
      <c r="T26" s="14" t="str">
        <f>IF(Details!$B$33=2,R26,S26)</f>
        <v>English</v>
      </c>
    </row>
    <row r="27" spans="1:20">
      <c r="A27" s="128">
        <f t="shared" si="6"/>
        <v>0</v>
      </c>
      <c r="B27" s="128" t="s">
        <v>25</v>
      </c>
      <c r="C27" s="134">
        <f t="shared" si="7"/>
        <v>0</v>
      </c>
      <c r="D27" s="134"/>
      <c r="E27" s="134"/>
      <c r="F27" s="134"/>
      <c r="G27" s="134"/>
      <c r="H27" s="134"/>
      <c r="I27" s="134"/>
      <c r="J27" s="125"/>
      <c r="R27" s="14" t="s">
        <v>446</v>
      </c>
      <c r="S27" s="14" t="s">
        <v>447</v>
      </c>
      <c r="T27" s="14" t="str">
        <f>IF(Details!$B$33=2,R27,S27)</f>
        <v>Val No</v>
      </c>
    </row>
    <row r="28" spans="1:20">
      <c r="A28" s="128">
        <f t="shared" si="6"/>
        <v>0</v>
      </c>
      <c r="B28" s="128" t="s">
        <v>25</v>
      </c>
      <c r="C28" s="134">
        <f t="shared" si="7"/>
        <v>0</v>
      </c>
      <c r="D28" s="135"/>
      <c r="E28" s="135"/>
      <c r="F28" s="135"/>
      <c r="G28" s="135"/>
      <c r="H28" s="135"/>
      <c r="I28" s="135"/>
      <c r="J28" s="135"/>
      <c r="R28" s="14" t="s">
        <v>448</v>
      </c>
      <c r="S28" s="14" t="s">
        <v>449</v>
      </c>
      <c r="T28" s="14" t="str">
        <f>IF(Details!$B$33=2,R28,S28)</f>
        <v>Tolerance Levels</v>
      </c>
    </row>
    <row r="29" spans="1:20">
      <c r="A29" s="128">
        <f t="shared" si="6"/>
        <v>0</v>
      </c>
      <c r="B29" s="128" t="s">
        <v>25</v>
      </c>
      <c r="C29" s="134">
        <f t="shared" si="7"/>
        <v>0</v>
      </c>
      <c r="D29" s="135"/>
      <c r="E29" s="135"/>
      <c r="F29" s="135"/>
      <c r="G29" s="135"/>
      <c r="H29" s="135"/>
      <c r="I29" s="135"/>
      <c r="J29" s="135"/>
      <c r="R29" s="14" t="s">
        <v>450</v>
      </c>
      <c r="S29" s="14" t="s">
        <v>451</v>
      </c>
      <c r="T29" s="14" t="str">
        <f>IF(Details!$B$33=2,R29,S29)</f>
        <v>Value</v>
      </c>
    </row>
    <row r="30" spans="1:20">
      <c r="A30" s="128">
        <f t="shared" si="6"/>
        <v>0</v>
      </c>
      <c r="B30" s="128" t="s">
        <v>25</v>
      </c>
      <c r="C30" s="134">
        <f t="shared" si="7"/>
        <v>0</v>
      </c>
      <c r="D30" s="135"/>
      <c r="E30" s="135"/>
      <c r="F30" s="135"/>
      <c r="G30" s="135"/>
      <c r="H30" s="135"/>
      <c r="I30" s="135"/>
      <c r="J30" s="135"/>
      <c r="R30" s="14" t="s">
        <v>452</v>
      </c>
      <c r="S30" s="14" t="s">
        <v>453</v>
      </c>
      <c r="T30" s="14" t="str">
        <f>IF(Details!$B$33=2,R30,S30)</f>
        <v>Validation Key</v>
      </c>
    </row>
    <row r="31" spans="1:20">
      <c r="R31" s="14" t="s">
        <v>454</v>
      </c>
      <c r="S31" s="14" t="s">
        <v>455</v>
      </c>
      <c r="T31" s="14" t="str">
        <f>IF(Details!$B$33=2,R31,S31)</f>
        <v>Figure</v>
      </c>
    </row>
    <row r="32" spans="1:20">
      <c r="R32" s="14" t="s">
        <v>456</v>
      </c>
      <c r="S32" s="14" t="s">
        <v>457</v>
      </c>
      <c r="T32" s="14" t="str">
        <f>IF(Details!$B$33=2,R32,S32)</f>
        <v>Result</v>
      </c>
    </row>
    <row r="34" spans="18:20">
      <c r="R34" s="14" t="s">
        <v>458</v>
      </c>
      <c r="S34" s="14" t="s">
        <v>459</v>
      </c>
      <c r="T34" s="14" t="str">
        <f>IF(Details!$B$33=2,R34,S34)</f>
        <v>Please add information to the 'Your Comments' field for any flagged figures and/or any selected in the 'Check' column</v>
      </c>
    </row>
  </sheetData>
  <sheetProtection sheet="1" objects="1" scenarios="1"/>
  <pageMargins left="0.7" right="0.7" top="0.75" bottom="0.75" header="0.3" footer="0.3"/>
  <pageSetup paperSize="9" orientation="portrait" horizontalDpi="300" verticalDpi="300" r:id="rId1"/>
  <ignoredErrors>
    <ignoredError sqref="A4:A16" calculatedColumn="1"/>
  </ignoredError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A39"/>
  <sheetViews>
    <sheetView topLeftCell="B2" zoomScaleNormal="100" workbookViewId="0">
      <selection activeCell="F12" sqref="F12"/>
    </sheetView>
  </sheetViews>
  <sheetFormatPr defaultColWidth="9.23046875" defaultRowHeight="15" customHeight="1"/>
  <cols>
    <col min="1" max="1" width="1.765625" style="299" hidden="1" customWidth="1"/>
    <col min="2" max="2" width="1.765625" style="299" customWidth="1"/>
    <col min="3" max="4" width="3.765625" style="299" customWidth="1"/>
    <col min="5" max="5" width="37.23046875" style="299" customWidth="1"/>
    <col min="6" max="6" width="9.07421875" style="299" customWidth="1"/>
    <col min="7" max="7" width="12.07421875" style="299" bestFit="1" customWidth="1"/>
    <col min="8" max="8" width="1.765625" style="299" customWidth="1"/>
    <col min="9" max="9" width="1.69140625" style="299" customWidth="1"/>
    <col min="10" max="12" width="7.84375" style="299" customWidth="1"/>
    <col min="13" max="13" width="5" style="299" customWidth="1"/>
    <col min="14" max="14" width="4.07421875" style="299" customWidth="1"/>
    <col min="15" max="15" width="5.84375" style="299" bestFit="1" customWidth="1"/>
    <col min="16" max="16" width="3.3046875" style="299" bestFit="1" customWidth="1"/>
    <col min="17" max="17" width="2" style="299" customWidth="1"/>
    <col min="18" max="18" width="2.3046875" style="299" customWidth="1"/>
    <col min="19" max="19" width="1.84375" style="299" customWidth="1"/>
    <col min="20" max="20" width="2.3046875" style="299" bestFit="1" customWidth="1"/>
    <col min="21" max="21" width="2.07421875" style="299" hidden="1" customWidth="1"/>
    <col min="22" max="22" width="2" style="299" hidden="1" customWidth="1"/>
    <col min="23" max="23" width="3" style="299" hidden="1" customWidth="1"/>
    <col min="24" max="24" width="11.3046875" style="299" bestFit="1" customWidth="1"/>
    <col min="25" max="25" width="8.23046875" style="299" customWidth="1"/>
    <col min="26" max="26" width="5.07421875" style="299" customWidth="1"/>
    <col min="27" max="27" width="3.69140625" style="299" bestFit="1" customWidth="1"/>
    <col min="28" max="28" width="8.84375" style="299" customWidth="1"/>
    <col min="29" max="16384" width="9.23046875" style="299"/>
  </cols>
  <sheetData>
    <row r="1" spans="1:27" s="92" customFormat="1" ht="12.75" hidden="1" customHeight="1">
      <c r="C1" s="156"/>
      <c r="D1" s="113"/>
      <c r="J1" s="14"/>
      <c r="K1" s="14"/>
      <c r="L1" s="14"/>
      <c r="M1" s="14"/>
      <c r="N1" s="14"/>
      <c r="O1" s="14"/>
      <c r="P1" s="14"/>
      <c r="Q1" s="14"/>
      <c r="R1" s="14"/>
      <c r="S1" s="49"/>
      <c r="T1" s="49"/>
      <c r="U1" s="49"/>
      <c r="V1" s="49"/>
      <c r="W1" s="140"/>
    </row>
    <row r="2" spans="1:27" s="92" customFormat="1" ht="18.75" customHeight="1">
      <c r="A2" s="14"/>
      <c r="B2" s="197"/>
      <c r="C2" s="198" t="str">
        <f>FrontPage!C2</f>
        <v>Council tax collection return for 2023-24</v>
      </c>
      <c r="D2" s="199"/>
      <c r="E2" s="198"/>
      <c r="F2" s="199"/>
      <c r="G2" s="200" t="str">
        <f>FrontPage!L2</f>
        <v>CTC</v>
      </c>
      <c r="H2" s="201"/>
      <c r="J2" s="14"/>
      <c r="K2" s="14"/>
      <c r="L2" s="14"/>
      <c r="M2" s="14"/>
      <c r="N2" s="14"/>
      <c r="O2" s="14"/>
      <c r="P2" s="14"/>
      <c r="Q2" s="14"/>
      <c r="R2" s="14"/>
      <c r="S2" s="14"/>
      <c r="T2" s="14"/>
      <c r="U2" s="49"/>
      <c r="V2" s="49"/>
      <c r="W2" s="140"/>
    </row>
    <row r="3" spans="1:27" s="92" customFormat="1" ht="15" customHeight="1">
      <c r="A3" s="14"/>
      <c r="B3" s="148"/>
      <c r="C3" s="147"/>
      <c r="D3" s="196"/>
      <c r="E3" s="196"/>
      <c r="F3" s="196"/>
      <c r="G3" s="196"/>
      <c r="H3" s="255"/>
      <c r="I3" s="254"/>
      <c r="J3" s="14"/>
      <c r="K3" s="14"/>
      <c r="L3" s="14"/>
      <c r="M3" s="14"/>
      <c r="N3" s="14"/>
      <c r="O3" s="14"/>
      <c r="P3" s="14"/>
      <c r="Q3" s="14"/>
      <c r="R3" s="14"/>
      <c r="S3" s="14"/>
      <c r="T3" s="14"/>
      <c r="U3" s="49"/>
      <c r="V3" s="49"/>
      <c r="W3" s="140"/>
    </row>
    <row r="4" spans="1:27" s="92" customFormat="1" ht="15" customHeight="1">
      <c r="A4" s="14"/>
      <c r="B4" s="148"/>
      <c r="C4" s="167"/>
      <c r="D4" s="274" t="str">
        <f>IF(UAnumber=0,"",Text!C29)</f>
        <v/>
      </c>
      <c r="E4" s="319" t="str">
        <f>IF(UAnumber=0,Text!C31,UAnumber)</f>
        <v>Please select your authority on the front page</v>
      </c>
      <c r="F4" s="319"/>
      <c r="G4" s="196"/>
      <c r="H4" s="221"/>
      <c r="I4" s="254"/>
      <c r="J4" s="14"/>
      <c r="K4" s="14"/>
      <c r="L4" s="14"/>
      <c r="M4" s="14"/>
      <c r="N4" s="14"/>
      <c r="O4" s="14"/>
      <c r="P4" s="14"/>
      <c r="Q4" s="14"/>
      <c r="R4" s="14"/>
      <c r="S4" s="14"/>
      <c r="T4" s="14"/>
      <c r="U4" s="49"/>
      <c r="V4" s="49"/>
      <c r="W4" s="140"/>
    </row>
    <row r="5" spans="1:27" s="92" customFormat="1" ht="15" customHeight="1">
      <c r="A5" s="14"/>
      <c r="B5" s="148"/>
      <c r="C5" s="167"/>
      <c r="D5" s="274" t="str">
        <f>IF(UAnumber=0,"",Text!C30)</f>
        <v/>
      </c>
      <c r="E5" s="275" t="str">
        <f>IF(UAnumber=0,"",VLOOKUP(FrontPage!$E$11,Authority,3,FALSE))</f>
        <v/>
      </c>
      <c r="F5" s="147"/>
      <c r="G5" s="147"/>
      <c r="H5" s="221"/>
      <c r="I5" s="254"/>
      <c r="J5" s="14"/>
      <c r="K5" s="14"/>
      <c r="L5" s="14"/>
      <c r="M5" s="14"/>
      <c r="N5" s="14"/>
      <c r="O5" s="14"/>
      <c r="P5" s="14"/>
      <c r="Q5" s="14"/>
      <c r="R5" s="14"/>
      <c r="S5" s="14"/>
      <c r="T5" s="14"/>
      <c r="U5" s="49"/>
      <c r="V5" s="49"/>
      <c r="W5" s="140"/>
    </row>
    <row r="6" spans="1:27" s="92" customFormat="1" ht="30" customHeight="1">
      <c r="A6" s="14"/>
      <c r="B6" s="148"/>
      <c r="C6" s="147"/>
      <c r="D6" s="147"/>
      <c r="E6" s="276" t="str">
        <f>Text!C34</f>
        <v>Notes for guidance hyperlink:</v>
      </c>
      <c r="F6" s="195"/>
      <c r="G6" s="202" t="str">
        <f>Text!C36</f>
        <v>£ thousand</v>
      </c>
      <c r="H6" s="149"/>
      <c r="I6" s="254"/>
      <c r="J6" s="14"/>
      <c r="K6" s="14"/>
      <c r="L6" s="14"/>
      <c r="M6" s="14"/>
      <c r="N6" s="14"/>
      <c r="O6" s="14"/>
      <c r="P6" s="14"/>
      <c r="Q6" s="14"/>
      <c r="R6" s="14"/>
      <c r="S6" s="14"/>
      <c r="T6" s="14"/>
      <c r="U6" s="49"/>
      <c r="V6" s="49"/>
      <c r="W6" s="140"/>
    </row>
    <row r="7" spans="1:27" s="92" customFormat="1" ht="15.75" customHeight="1">
      <c r="A7" s="14"/>
      <c r="B7" s="148"/>
      <c r="C7" s="147"/>
      <c r="D7" s="147"/>
      <c r="E7" s="168" t="str">
        <f>Text!C32</f>
        <v>Link</v>
      </c>
      <c r="F7" s="222" t="s">
        <v>9</v>
      </c>
      <c r="G7" s="223" t="s">
        <v>10</v>
      </c>
      <c r="H7" s="149"/>
      <c r="I7" s="254"/>
      <c r="J7" s="159"/>
      <c r="K7" s="140"/>
      <c r="L7" s="14"/>
      <c r="M7" s="14"/>
      <c r="N7" s="14"/>
      <c r="O7" s="14"/>
      <c r="P7" s="14"/>
      <c r="S7" s="49"/>
      <c r="T7" s="49"/>
      <c r="U7" s="49"/>
      <c r="V7" s="49"/>
      <c r="W7" s="140"/>
    </row>
    <row r="8" spans="1:27" s="92" customFormat="1" ht="39" customHeight="1">
      <c r="A8" s="14"/>
      <c r="B8" s="148"/>
      <c r="C8" s="328" t="str">
        <f>Text!C39</f>
        <v>All amounts are to be net of council tax benefits (see notes)</v>
      </c>
      <c r="D8" s="328"/>
      <c r="E8" s="329"/>
      <c r="F8" s="224" t="str">
        <f>Text!C37</f>
        <v>Council tax arrears</v>
      </c>
      <c r="G8" s="225" t="str">
        <f>Text!C38</f>
        <v>In-year council tax</v>
      </c>
      <c r="H8" s="149"/>
      <c r="I8" s="254"/>
      <c r="J8" s="14"/>
      <c r="K8" s="14"/>
      <c r="L8" s="14"/>
      <c r="M8" s="14"/>
      <c r="N8" s="14"/>
      <c r="O8" s="14"/>
      <c r="P8" s="14"/>
      <c r="S8" s="49"/>
      <c r="T8" s="141"/>
      <c r="U8" s="141"/>
      <c r="V8" s="141"/>
      <c r="W8" s="140"/>
    </row>
    <row r="9" spans="1:27" s="92" customFormat="1" ht="38.5">
      <c r="A9" s="14"/>
      <c r="B9" s="148"/>
      <c r="C9" s="328"/>
      <c r="D9" s="328"/>
      <c r="E9" s="329"/>
      <c r="F9" s="295" t="str">
        <f>Text!C40</f>
        <v>1 April 1993 to 31 March 2023</v>
      </c>
      <c r="G9" s="295" t="str">
        <f>Year</f>
        <v>2023-24</v>
      </c>
      <c r="H9" s="149"/>
      <c r="J9" s="14"/>
      <c r="K9" s="14"/>
      <c r="L9" s="14"/>
      <c r="M9" s="14"/>
      <c r="N9" s="14"/>
      <c r="O9"/>
      <c r="P9"/>
      <c r="Q9" s="326" t="str">
        <f>ValData!T19</f>
        <v>zero?</v>
      </c>
      <c r="R9" s="327"/>
      <c r="S9" s="141"/>
      <c r="T9" s="204" t="e">
        <f>SUM(T12:T35)</f>
        <v>#N/A</v>
      </c>
      <c r="U9" s="204">
        <f>SUM(U12:U35)</f>
        <v>0</v>
      </c>
      <c r="V9" s="271">
        <f>SUM(V12:V35)</f>
        <v>0</v>
      </c>
      <c r="W9" s="138"/>
    </row>
    <row r="10" spans="1:27" s="92" customFormat="1" ht="24" customHeight="1">
      <c r="A10" s="14"/>
      <c r="B10" s="148"/>
      <c r="C10" s="157"/>
      <c r="D10" s="167"/>
      <c r="E10" s="167"/>
      <c r="F10" s="167"/>
      <c r="G10" s="94"/>
      <c r="H10" s="149"/>
      <c r="J10" s="337" t="str">
        <f>ValData!T23</f>
        <v>YOY Figures</v>
      </c>
      <c r="K10" s="338"/>
      <c r="L10" s="339"/>
      <c r="M10" s="332" t="str">
        <f>ValData!T18</f>
        <v>tolerance:</v>
      </c>
      <c r="N10" s="333"/>
      <c r="O10" s="334" t="str">
        <f>ValData!T17</f>
        <v>difference</v>
      </c>
      <c r="P10" s="334"/>
      <c r="Q10" s="340" t="str">
        <f>K11</f>
        <v>202223</v>
      </c>
      <c r="R10" s="342" t="str">
        <f>L11</f>
        <v>202324</v>
      </c>
      <c r="S10" s="320" t="str">
        <f>ValData!T8</f>
        <v>type</v>
      </c>
      <c r="T10" s="322" t="str">
        <f>ValData!T9</f>
        <v>auto</v>
      </c>
      <c r="U10" s="344" t="str">
        <f>ValData!T10</f>
        <v>mark</v>
      </c>
      <c r="V10" s="335" t="str">
        <f>ValData!T11</f>
        <v>check</v>
      </c>
      <c r="W10" s="324" t="str">
        <f>ValData!T12</f>
        <v>status</v>
      </c>
    </row>
    <row r="11" spans="1:27" s="92" customFormat="1" ht="25.5">
      <c r="A11" s="14"/>
      <c r="B11" s="148"/>
      <c r="C11" s="226" t="str">
        <f>Text!C35</f>
        <v>SECTION A - Council tax</v>
      </c>
      <c r="D11" s="81"/>
      <c r="E11" s="83"/>
      <c r="F11" s="83"/>
      <c r="G11" s="83"/>
      <c r="H11" s="149"/>
      <c r="J11" s="296" t="str">
        <f>Details!H59</f>
        <v>202122</v>
      </c>
      <c r="K11" s="296" t="str">
        <f>Details!H58</f>
        <v>202223</v>
      </c>
      <c r="L11" s="296" t="str">
        <f>Details!H57</f>
        <v>202324</v>
      </c>
      <c r="M11" s="203" t="str">
        <f>ValData!T29</f>
        <v>Value</v>
      </c>
      <c r="N11" s="203" t="s">
        <v>142</v>
      </c>
      <c r="O11" s="203" t="str">
        <f>ValData!T7</f>
        <v>value</v>
      </c>
      <c r="P11" s="203" t="s">
        <v>142</v>
      </c>
      <c r="Q11" s="341"/>
      <c r="R11" s="343"/>
      <c r="S11" s="321"/>
      <c r="T11" s="323"/>
      <c r="U11" s="345"/>
      <c r="V11" s="336"/>
      <c r="W11" s="325"/>
      <c r="X11" s="268" t="str">
        <f>ValData!T13</f>
        <v>Your comments</v>
      </c>
      <c r="Y11" s="298" t="str">
        <f>ValData!T14</f>
        <v>Our comments</v>
      </c>
      <c r="Z11" s="235" t="str">
        <f>ValData!T15</f>
        <v>signed by</v>
      </c>
      <c r="AA11" s="203" t="str">
        <f>ValData!T16</f>
        <v>date</v>
      </c>
    </row>
    <row r="12" spans="1:27" s="92" customFormat="1" ht="13">
      <c r="A12" s="14"/>
      <c r="B12" s="148"/>
      <c r="C12" s="211">
        <v>1</v>
      </c>
      <c r="D12" s="330" t="str">
        <f>Text!C41</f>
        <v>Total arrears brought forward at the start of the year</v>
      </c>
      <c r="E12" s="331"/>
      <c r="F12" s="173">
        <v>0</v>
      </c>
      <c r="G12" s="171"/>
      <c r="H12" s="149"/>
      <c r="J12" s="209" t="e">
        <f>VLOOKUP(J$11&amp;"_"&amp;UAnumber&amp;"_"&amp;$C12&amp;"_"&amp;2,CTCPrev,2,FALSE)</f>
        <v>#N/A</v>
      </c>
      <c r="K12" s="209" t="e">
        <f>VLOOKUP(K$11&amp;"_"&amp;UAnumber&amp;"_"&amp;$C12&amp;"_"&amp;2,CTCPrev,2,FALSE)</f>
        <v>#N/A</v>
      </c>
      <c r="L12" s="207">
        <f>F12</f>
        <v>0</v>
      </c>
      <c r="M12" s="207">
        <v>500</v>
      </c>
      <c r="N12" s="207">
        <v>10</v>
      </c>
      <c r="O12" s="207" t="e">
        <f>L12-K12</f>
        <v>#N/A</v>
      </c>
      <c r="P12" s="207" t="e">
        <f>IF(OR(K12=0,L12=0),0,O12/K12*100)</f>
        <v>#N/A</v>
      </c>
      <c r="Q12" s="205" t="e">
        <f t="shared" ref="Q12:R14" si="0">IF(K12=0,1,"")</f>
        <v>#N/A</v>
      </c>
      <c r="R12" s="205">
        <f t="shared" si="0"/>
        <v>1</v>
      </c>
      <c r="S12" s="219" t="e">
        <f>IF(SUM(Q12:R12)=2,"",IF(SUM(Q12:R12)=1,9,IF(AND(ABS(ROUND(O12,2))&gt;M12,ABS(ROUND(P12,2))&gt;N12),3,IF(ABS(ROUND(P12,2))&gt;N12,2,IF(ABS(ROUND(O12,2))&gt;M12,1,"")))))</f>
        <v>#N/A</v>
      </c>
      <c r="T12" s="219" t="e">
        <f>IF(M12="","",IF(OR(S12=3,S12=9),1,""))</f>
        <v>#N/A</v>
      </c>
      <c r="U12" s="269"/>
      <c r="V12" s="269" t="str">
        <f>IF(W12="C","",IF(U12=1,1,""))</f>
        <v/>
      </c>
      <c r="W12" s="270"/>
      <c r="X12" s="229"/>
      <c r="Y12" s="230"/>
      <c r="Z12" s="230"/>
      <c r="AA12" s="231"/>
    </row>
    <row r="13" spans="1:27" s="92" customFormat="1" ht="13">
      <c r="A13" s="14"/>
      <c r="B13" s="148"/>
      <c r="C13" s="211">
        <v>2</v>
      </c>
      <c r="D13" s="330" t="str">
        <f>Text!C42</f>
        <v>In-year debit for the year</v>
      </c>
      <c r="E13" s="331"/>
      <c r="F13" s="173">
        <v>0</v>
      </c>
      <c r="G13" s="173">
        <v>0</v>
      </c>
      <c r="H13" s="150"/>
      <c r="J13" s="210" t="e">
        <f>VLOOKUP(J$11&amp;"_"&amp;UAnumber&amp;"_"&amp;$C13&amp;"_"&amp;3,CTCPrev,2,FALSE)</f>
        <v>#N/A</v>
      </c>
      <c r="K13" s="210" t="e">
        <f>VLOOKUP(K$11&amp;"_"&amp;UAnumber&amp;"_"&amp;$C13&amp;"_"&amp;3,CTCPrev,2,FALSE)</f>
        <v>#N/A</v>
      </c>
      <c r="L13" s="208">
        <f>G13</f>
        <v>0</v>
      </c>
      <c r="M13" s="208">
        <v>2000</v>
      </c>
      <c r="N13" s="208">
        <v>5</v>
      </c>
      <c r="O13" s="208" t="e">
        <f>L13-K13</f>
        <v>#N/A</v>
      </c>
      <c r="P13" s="208" t="e">
        <f>IF(OR(K13=0,L13=0),0,O13/K13*100)</f>
        <v>#N/A</v>
      </c>
      <c r="Q13" s="206" t="e">
        <f t="shared" si="0"/>
        <v>#N/A</v>
      </c>
      <c r="R13" s="206">
        <f t="shared" si="0"/>
        <v>1</v>
      </c>
      <c r="S13" s="218" t="e">
        <f>IF(SUM(Q13:R13)=2,"",IF(SUM(Q13:R13)=1,9,IF(AND(ABS(ROUND(O13,2))&gt;M13,ABS(ROUND(P13,2))&gt;N13),3,IF(ABS(ROUND(P13,2))&gt;N13,2,IF(ABS(ROUND(O13,2))&gt;M13,1,"")))))</f>
        <v>#N/A</v>
      </c>
      <c r="T13" s="218" t="e">
        <f>IF(M13="","",IF(OR(S13=3,S13=9),1,""))</f>
        <v>#N/A</v>
      </c>
      <c r="U13" s="142"/>
      <c r="V13" s="142" t="str">
        <f>IF(W13="C","",IF(U13=1,1,""))</f>
        <v/>
      </c>
      <c r="W13" s="139"/>
      <c r="X13" s="232"/>
      <c r="Y13" s="233"/>
      <c r="Z13" s="233"/>
      <c r="AA13" s="234"/>
    </row>
    <row r="14" spans="1:27" s="92" customFormat="1" ht="13">
      <c r="A14" s="14"/>
      <c r="B14" s="148"/>
      <c r="C14" s="211">
        <v>3</v>
      </c>
      <c r="D14" s="330" t="str">
        <f>Text!C43</f>
        <v>Total amount due in year (line 1 + line 2):</v>
      </c>
      <c r="E14" s="331"/>
      <c r="F14" s="297">
        <f>SUM(F12:F13)</f>
        <v>0</v>
      </c>
      <c r="G14" s="297">
        <f>G13</f>
        <v>0</v>
      </c>
      <c r="H14" s="150"/>
      <c r="J14" s="210" t="e">
        <f>VLOOKUP(J$11&amp;"_"&amp;UAnumber&amp;"_"&amp;$C14&amp;"_"&amp;3,CTCPrev,2,FALSE)</f>
        <v>#N/A</v>
      </c>
      <c r="K14" s="210" t="e">
        <f>VLOOKUP(K$11&amp;"_"&amp;UAnumber&amp;"_"&amp;$C14&amp;"_"&amp;3,CTCPrev,2,FALSE)</f>
        <v>#N/A</v>
      </c>
      <c r="L14" s="208">
        <f>G14</f>
        <v>0</v>
      </c>
      <c r="M14" s="208">
        <v>3000</v>
      </c>
      <c r="N14" s="208">
        <v>5</v>
      </c>
      <c r="O14" s="208" t="e">
        <f>L14-K14</f>
        <v>#N/A</v>
      </c>
      <c r="P14" s="208" t="e">
        <f>IF(OR(K14=0,L14=0),0,O14/K14*100)</f>
        <v>#N/A</v>
      </c>
      <c r="Q14" s="206" t="e">
        <f t="shared" si="0"/>
        <v>#N/A</v>
      </c>
      <c r="R14" s="206">
        <f t="shared" si="0"/>
        <v>1</v>
      </c>
      <c r="S14" s="218" t="e">
        <f>IF(SUM(Q14:R14)=2,"",IF(SUM(Q14:R14)=1,9,IF(AND(ABS(ROUND(O14,2))&gt;M14,ABS(ROUND(P14,2))&gt;N14),3,IF(ABS(ROUND(P14,2))&gt;N14,2,IF(ABS(ROUND(O14,2))&gt;M14,1,"")))))</f>
        <v>#N/A</v>
      </c>
      <c r="T14" s="218" t="e">
        <f>IF(M14="","",IF(OR(S14=3,S14=9),1,""))</f>
        <v>#N/A</v>
      </c>
      <c r="U14" s="142"/>
      <c r="V14" s="142" t="str">
        <f>IF(W14="C","",IF(U14=1,1,""))</f>
        <v/>
      </c>
      <c r="W14" s="139"/>
      <c r="X14" s="232"/>
      <c r="Y14" s="233"/>
      <c r="Z14" s="233"/>
      <c r="AA14" s="234"/>
    </row>
    <row r="15" spans="1:27" s="92" customFormat="1" ht="25" customHeight="1">
      <c r="A15" s="14"/>
      <c r="B15" s="148"/>
      <c r="C15" s="226"/>
      <c r="D15" s="347" t="str">
        <f>Text!C44</f>
        <v>of which:</v>
      </c>
      <c r="E15" s="347"/>
      <c r="F15" s="171"/>
      <c r="G15" s="171"/>
      <c r="H15" s="149"/>
      <c r="J15"/>
      <c r="K15" s="15"/>
      <c r="L15" s="15"/>
      <c r="M15" s="14"/>
      <c r="N15" s="14"/>
      <c r="O15" s="15"/>
      <c r="P15" s="15"/>
      <c r="Q15" s="14"/>
      <c r="R15" s="14"/>
      <c r="S15" s="49"/>
      <c r="T15" s="49"/>
      <c r="U15" s="49"/>
      <c r="V15" s="49"/>
      <c r="W15" s="140"/>
      <c r="X15" s="14"/>
      <c r="Y15" s="14"/>
      <c r="Z15" s="14"/>
      <c r="AA15" s="220"/>
    </row>
    <row r="16" spans="1:27" s="92" customFormat="1" ht="15" customHeight="1">
      <c r="A16" s="14"/>
      <c r="B16" s="148"/>
      <c r="C16" s="211">
        <v>4</v>
      </c>
      <c r="D16" s="348" t="str">
        <f>Text!C45</f>
        <v xml:space="preserve">   Received in-year</v>
      </c>
      <c r="E16" s="349"/>
      <c r="F16" s="173">
        <v>0</v>
      </c>
      <c r="G16" s="173">
        <v>0</v>
      </c>
      <c r="H16" s="150"/>
      <c r="J16" s="210" t="e">
        <f t="shared" ref="J16:K18" si="1">VLOOKUP(J$11&amp;"_"&amp;UAnumber&amp;"_"&amp;$C16&amp;"_"&amp;3,CTCPrev,2,FALSE)</f>
        <v>#N/A</v>
      </c>
      <c r="K16" s="210" t="e">
        <f t="shared" si="1"/>
        <v>#N/A</v>
      </c>
      <c r="L16" s="208">
        <f>G16</f>
        <v>0</v>
      </c>
      <c r="M16" s="208">
        <v>2000</v>
      </c>
      <c r="N16" s="208">
        <v>5</v>
      </c>
      <c r="O16" s="208" t="e">
        <f>L16-K16</f>
        <v>#N/A</v>
      </c>
      <c r="P16" s="208" t="e">
        <f>IF(OR(K16=0,L16=0),0,O16/K16*100)</f>
        <v>#N/A</v>
      </c>
      <c r="Q16" s="206" t="e">
        <f t="shared" ref="Q16:R18" si="2">IF(K16=0,1,"")</f>
        <v>#N/A</v>
      </c>
      <c r="R16" s="206">
        <f t="shared" si="2"/>
        <v>1</v>
      </c>
      <c r="S16" s="218" t="e">
        <f>IF(SUM(Q16:R16)=2,"",IF(SUM(Q16:R16)=1,9,IF(AND(ABS(ROUND(O16,2))&gt;M16,ABS(ROUND(P16,2))&gt;N16),3,IF(ABS(ROUND(P16,2))&gt;N16,2,IF(ABS(ROUND(O16,2))&gt;M16,1,"")))))</f>
        <v>#N/A</v>
      </c>
      <c r="T16" s="218" t="e">
        <f>IF(M16="","",IF(OR(S16=3,S16=9),1,""))</f>
        <v>#N/A</v>
      </c>
      <c r="U16" s="142"/>
      <c r="V16" s="142" t="str">
        <f>IF(W16="C","",IF(U16=1,1,""))</f>
        <v/>
      </c>
      <c r="W16" s="139"/>
      <c r="X16" s="232"/>
      <c r="Y16" s="233"/>
      <c r="Z16" s="233"/>
      <c r="AA16" s="234"/>
    </row>
    <row r="17" spans="1:27" s="92" customFormat="1" ht="13">
      <c r="A17" s="14"/>
      <c r="B17" s="148"/>
      <c r="C17" s="211">
        <v>5</v>
      </c>
      <c r="D17" s="330" t="str">
        <f>Text!C46</f>
        <v xml:space="preserve">   Written off as bad debts in-year</v>
      </c>
      <c r="E17" s="331"/>
      <c r="F17" s="173">
        <v>0</v>
      </c>
      <c r="G17" s="173">
        <v>0</v>
      </c>
      <c r="H17" s="150"/>
      <c r="J17" s="210" t="e">
        <f t="shared" si="1"/>
        <v>#N/A</v>
      </c>
      <c r="K17" s="210" t="e">
        <f t="shared" si="1"/>
        <v>#N/A</v>
      </c>
      <c r="L17" s="208">
        <f>G17</f>
        <v>0</v>
      </c>
      <c r="M17" s="208">
        <v>1000</v>
      </c>
      <c r="N17" s="208">
        <v>30</v>
      </c>
      <c r="O17" s="208" t="e">
        <f>L17-K17</f>
        <v>#N/A</v>
      </c>
      <c r="P17" s="208" t="e">
        <f>IF(OR(K17=0,L17=0),0,O17/K17*100)</f>
        <v>#N/A</v>
      </c>
      <c r="Q17" s="206" t="e">
        <f t="shared" si="2"/>
        <v>#N/A</v>
      </c>
      <c r="R17" s="206">
        <f t="shared" si="2"/>
        <v>1</v>
      </c>
      <c r="S17" s="218" t="e">
        <f>IF(SUM(Q17:R17)=2,"",IF(SUM(Q17:R17)=1,9,IF(AND(ABS(ROUND(O17,2))&gt;M17,ABS(ROUND(P17,2))&gt;N17),3,IF(ABS(ROUND(P17,2))&gt;N17,2,IF(ABS(ROUND(O17,2))&gt;M17,1,"")))))</f>
        <v>#N/A</v>
      </c>
      <c r="T17" s="218" t="e">
        <f>IF(M17="","",IF(OR(S17=3,S17=9),1,""))</f>
        <v>#N/A</v>
      </c>
      <c r="U17" s="142"/>
      <c r="V17" s="142" t="str">
        <f>IF(W17="C","",IF(U17=1,1,""))</f>
        <v/>
      </c>
      <c r="W17" s="139"/>
      <c r="X17" s="232"/>
      <c r="Y17" s="233"/>
      <c r="Z17" s="233"/>
      <c r="AA17" s="236"/>
    </row>
    <row r="18" spans="1:27" s="92" customFormat="1" ht="30" customHeight="1">
      <c r="A18" s="14"/>
      <c r="B18" s="148"/>
      <c r="C18" s="211">
        <v>6</v>
      </c>
      <c r="D18" s="330" t="str">
        <f>Text!C47</f>
        <v xml:space="preserve">   Arrears outstanding at the end of the year (line 3 - line 4 - line 5)</v>
      </c>
      <c r="E18" s="350"/>
      <c r="F18" s="297">
        <f>F14-F16-F17</f>
        <v>0</v>
      </c>
      <c r="G18" s="297">
        <f>G14-G16-G17</f>
        <v>0</v>
      </c>
      <c r="H18" s="150"/>
      <c r="J18" s="210" t="e">
        <f t="shared" si="1"/>
        <v>#N/A</v>
      </c>
      <c r="K18" s="210" t="e">
        <f t="shared" si="1"/>
        <v>#N/A</v>
      </c>
      <c r="L18" s="208">
        <f>G18</f>
        <v>0</v>
      </c>
      <c r="M18" s="208">
        <v>500</v>
      </c>
      <c r="N18" s="208">
        <v>5</v>
      </c>
      <c r="O18" s="208" t="e">
        <f>L18-K18</f>
        <v>#N/A</v>
      </c>
      <c r="P18" s="208" t="e">
        <f>IF(OR(K18=0,L18=0),0,O18/K18*100)</f>
        <v>#N/A</v>
      </c>
      <c r="Q18" s="206" t="e">
        <f t="shared" si="2"/>
        <v>#N/A</v>
      </c>
      <c r="R18" s="206">
        <f t="shared" si="2"/>
        <v>1</v>
      </c>
      <c r="S18" s="218" t="e">
        <f>IF(SUM(Q18:R18)=2,"",IF(SUM(Q18:R18)=1,9,IF(AND(ABS(ROUND(O18,2))&gt;M18,ABS(ROUND(P18,2))&gt;N18),3,IF(ABS(ROUND(P18,2))&gt;N18,2,IF(ABS(ROUND(O18,2))&gt;M18,1,"")))))</f>
        <v>#N/A</v>
      </c>
      <c r="T18" s="218" t="e">
        <f>IF(M18="","",IF(OR(S18=3,S18=9),1,""))</f>
        <v>#N/A</v>
      </c>
      <c r="U18" s="142"/>
      <c r="V18" s="142" t="str">
        <f>IF(W18="C","",IF(U18=1,1,""))</f>
        <v/>
      </c>
      <c r="W18" s="139"/>
      <c r="X18" s="232"/>
      <c r="Y18" s="233"/>
      <c r="Z18" s="233"/>
      <c r="AA18" s="234"/>
    </row>
    <row r="19" spans="1:27" s="92" customFormat="1" ht="12.75" customHeight="1">
      <c r="A19" s="14"/>
      <c r="B19" s="148"/>
      <c r="C19" s="226"/>
      <c r="D19" s="227"/>
      <c r="E19" s="85"/>
      <c r="F19" s="171"/>
      <c r="G19" s="171"/>
      <c r="H19" s="149"/>
      <c r="J19"/>
      <c r="K19" s="15"/>
      <c r="L19" s="15"/>
      <c r="M19" s="14"/>
      <c r="N19" s="14"/>
      <c r="O19" s="15"/>
      <c r="P19" s="15"/>
      <c r="Q19" s="14"/>
      <c r="R19" s="14"/>
      <c r="S19" s="49"/>
      <c r="T19" s="49"/>
      <c r="U19" s="49"/>
      <c r="V19" s="49"/>
      <c r="W19" s="140"/>
      <c r="X19" s="14"/>
      <c r="Y19" s="14"/>
      <c r="Z19" s="14"/>
      <c r="AA19" s="220"/>
    </row>
    <row r="20" spans="1:27" s="92" customFormat="1" ht="30" customHeight="1">
      <c r="A20" s="14"/>
      <c r="B20" s="148"/>
      <c r="C20" s="211">
        <v>7</v>
      </c>
      <c r="D20" s="330" t="str">
        <f>Text!C48</f>
        <v>Amount originally budgeted to be collected for the year when the council tax was set</v>
      </c>
      <c r="E20" s="346"/>
      <c r="F20" s="172"/>
      <c r="G20" s="173">
        <v>0</v>
      </c>
      <c r="H20" s="150"/>
      <c r="J20" s="210" t="e">
        <f>VLOOKUP(J$11&amp;"_"&amp;UAnumber&amp;"_"&amp;$C20&amp;"_"&amp;3,CTCPrev,2,FALSE)</f>
        <v>#N/A</v>
      </c>
      <c r="K20" s="210" t="e">
        <f>VLOOKUP(K$11&amp;"_"&amp;UAnumber&amp;"_"&amp;$C20&amp;"_"&amp;3,CTCPrev,2,FALSE)</f>
        <v>#N/A</v>
      </c>
      <c r="L20" s="208">
        <f>G20</f>
        <v>0</v>
      </c>
      <c r="M20" s="208">
        <v>3000</v>
      </c>
      <c r="N20" s="208">
        <v>5</v>
      </c>
      <c r="O20" s="208" t="e">
        <f>L20-K20</f>
        <v>#N/A</v>
      </c>
      <c r="P20" s="208" t="e">
        <f>IF(OR(K20=0,L20=0),0,O20/K20*100)</f>
        <v>#N/A</v>
      </c>
      <c r="Q20" s="206" t="e">
        <f>IF(K20=0,1,"")</f>
        <v>#N/A</v>
      </c>
      <c r="R20" s="206">
        <f>IF(L20=0,1,"")</f>
        <v>1</v>
      </c>
      <c r="S20" s="218" t="e">
        <f>IF(SUM(Q20:R20)=2,"",IF(SUM(Q20:R20)=1,9,IF(AND(ABS(ROUND(O20,2))&gt;M20,ABS(ROUND(P20,2))&gt;N20),3,IF(ABS(ROUND(P20,2))&gt;N20,2,IF(ABS(ROUND(O20,2))&gt;M20,1,"")))))</f>
        <v>#N/A</v>
      </c>
      <c r="T20" s="218" t="e">
        <f>IF(M20="","",IF(OR(S20=3,S20=9),1,""))</f>
        <v>#N/A</v>
      </c>
      <c r="U20" s="142"/>
      <c r="V20" s="142" t="str">
        <f>IF(W20="C","",IF(U20=1,1,""))</f>
        <v/>
      </c>
      <c r="W20" s="139"/>
      <c r="X20" s="232"/>
      <c r="Y20" s="233"/>
      <c r="Z20" s="233"/>
      <c r="AA20" s="234"/>
    </row>
    <row r="21" spans="1:27" s="92" customFormat="1" ht="13">
      <c r="A21" s="14"/>
      <c r="B21" s="148"/>
      <c r="C21" s="211"/>
      <c r="D21" s="227"/>
      <c r="E21" s="85"/>
      <c r="F21" s="79"/>
      <c r="G21" s="79"/>
      <c r="H21" s="149"/>
      <c r="J21" s="14"/>
      <c r="K21" s="14"/>
      <c r="L21" s="14"/>
      <c r="M21" s="14"/>
      <c r="N21" s="14"/>
      <c r="O21" s="15"/>
      <c r="P21" s="15"/>
      <c r="Q21" s="14"/>
      <c r="R21" s="14"/>
      <c r="S21" s="49"/>
      <c r="T21" s="49"/>
      <c r="U21" s="49"/>
      <c r="V21" s="49"/>
      <c r="W21" s="140"/>
      <c r="X21" s="14"/>
      <c r="Y21" s="14"/>
      <c r="Z21" s="14"/>
      <c r="AA21" s="220"/>
    </row>
    <row r="22" spans="1:27" s="92" customFormat="1" ht="25" customHeight="1">
      <c r="A22" s="14"/>
      <c r="B22" s="148"/>
      <c r="C22" s="226" t="str">
        <f>Text!C49</f>
        <v>Collection rates for 2023-24:</v>
      </c>
      <c r="D22" s="85"/>
      <c r="E22" s="85"/>
      <c r="F22" s="85"/>
      <c r="G22" s="80" t="s">
        <v>142</v>
      </c>
      <c r="H22" s="149"/>
      <c r="J22" s="14"/>
      <c r="K22" s="14"/>
      <c r="L22" s="14"/>
      <c r="M22" s="14"/>
      <c r="N22" s="14"/>
      <c r="O22" s="15"/>
      <c r="P22" s="15"/>
      <c r="Q22" s="14"/>
      <c r="R22" s="14"/>
      <c r="S22" s="49"/>
      <c r="T22" s="49"/>
      <c r="U22" s="49"/>
      <c r="V22" s="49"/>
      <c r="W22" s="140"/>
      <c r="X22" s="14"/>
      <c r="Y22" s="14"/>
      <c r="Z22" s="14"/>
      <c r="AA22" s="220"/>
    </row>
    <row r="23" spans="1:27" s="92" customFormat="1" ht="13">
      <c r="A23" s="14"/>
      <c r="B23" s="148"/>
      <c r="C23" s="211">
        <v>8</v>
      </c>
      <c r="D23" s="85" t="str">
        <f>Text!C50</f>
        <v>Line 4 as a % of total amount due: (line 4 / line 3 x 100)</v>
      </c>
      <c r="E23" s="85"/>
      <c r="F23" s="85"/>
      <c r="G23" s="166">
        <f>IF(ISERROR(G16/G14*100),0,(G16/G14)*100)</f>
        <v>0</v>
      </c>
      <c r="H23" s="150"/>
      <c r="J23" s="215" t="e">
        <f>VLOOKUP(J$11&amp;"_"&amp;UAnumber&amp;"_"&amp;$C23&amp;"_"&amp;3,CTCPrev,2,FALSE)</f>
        <v>#N/A</v>
      </c>
      <c r="K23" s="216" t="e">
        <f>VLOOKUP(K$11&amp;"_"&amp;UAnumber&amp;"_"&amp;$C23&amp;"_"&amp;3,CTCPrev,2,FALSE)</f>
        <v>#N/A</v>
      </c>
      <c r="L23" s="217">
        <f>G23</f>
        <v>0</v>
      </c>
      <c r="M23" s="14"/>
      <c r="N23" s="14"/>
      <c r="O23" s="15"/>
      <c r="P23" s="15"/>
      <c r="Q23" s="14"/>
      <c r="R23" s="14"/>
      <c r="S23" s="49"/>
      <c r="T23" s="49"/>
      <c r="U23" s="49"/>
      <c r="V23" s="49"/>
      <c r="W23" s="140"/>
      <c r="X23" s="14"/>
      <c r="Y23" s="14"/>
      <c r="Z23" s="14"/>
      <c r="AA23" s="220"/>
    </row>
    <row r="24" spans="1:27" s="92" customFormat="1" ht="13">
      <c r="A24" s="14"/>
      <c r="B24" s="148"/>
      <c r="C24" s="211">
        <v>9</v>
      </c>
      <c r="D24" s="85" t="str">
        <f>Text!C51</f>
        <v>Line 4 as a % of budgeted amount: (line 4 / line 7 x 100)</v>
      </c>
      <c r="E24" s="85"/>
      <c r="F24" s="85"/>
      <c r="G24" s="166">
        <f>IF(ISERROR(G16/G20*100),0,(G16/G20)*100)</f>
        <v>0</v>
      </c>
      <c r="H24" s="150"/>
      <c r="J24" s="216" t="e">
        <f>VLOOKUP(J$11&amp;"_"&amp;UAnumber&amp;"_"&amp;$C24&amp;"_"&amp;3,CTCPrev,2,FALSE)</f>
        <v>#N/A</v>
      </c>
      <c r="K24" s="216" t="e">
        <f>VLOOKUP(K$11&amp;"_"&amp;UAnumber&amp;"_"&amp;$C24&amp;"_"&amp;3,CTCPrev,2,FALSE)</f>
        <v>#N/A</v>
      </c>
      <c r="L24" s="217">
        <f>G24</f>
        <v>0</v>
      </c>
      <c r="M24" s="14"/>
      <c r="N24" s="14"/>
      <c r="O24" s="15"/>
      <c r="P24" s="15"/>
      <c r="Q24" s="14"/>
      <c r="R24" s="14"/>
      <c r="S24" s="49"/>
      <c r="T24" s="49"/>
      <c r="U24" s="49"/>
      <c r="V24" s="49"/>
      <c r="W24" s="140"/>
      <c r="X24" s="14"/>
      <c r="Y24" s="14"/>
      <c r="Z24" s="14"/>
      <c r="AA24" s="220"/>
    </row>
    <row r="25" spans="1:27" s="92" customFormat="1" ht="13">
      <c r="A25" s="14"/>
      <c r="B25" s="148"/>
      <c r="C25" s="211"/>
      <c r="D25" s="85"/>
      <c r="E25" s="85"/>
      <c r="F25" s="85"/>
      <c r="G25" s="85"/>
      <c r="H25" s="149"/>
      <c r="J25" s="14"/>
      <c r="K25" s="14"/>
      <c r="L25" s="14"/>
      <c r="M25" s="14"/>
      <c r="N25" s="14"/>
      <c r="O25" s="15"/>
      <c r="P25" s="15"/>
      <c r="Q25" s="14"/>
      <c r="R25" s="14"/>
      <c r="S25" s="49"/>
      <c r="T25" s="49"/>
      <c r="U25" s="49"/>
      <c r="V25" s="49"/>
      <c r="W25" s="140"/>
      <c r="X25" s="14"/>
      <c r="Y25" s="14"/>
      <c r="Z25" s="14"/>
      <c r="AA25" s="220"/>
    </row>
    <row r="26" spans="1:27" s="92" customFormat="1" ht="13">
      <c r="A26" s="14"/>
      <c r="B26" s="148"/>
      <c r="C26" s="84" t="str">
        <f>Text!C52</f>
        <v>Memorandum</v>
      </c>
      <c r="D26" s="85"/>
      <c r="E26" s="85"/>
      <c r="F26" s="85"/>
      <c r="G26" s="85"/>
      <c r="H26" s="149"/>
      <c r="J26" s="14"/>
      <c r="K26" s="14"/>
      <c r="L26" s="14"/>
      <c r="M26" s="14"/>
      <c r="N26" s="14"/>
      <c r="O26" s="15"/>
      <c r="P26" s="15"/>
      <c r="Q26" s="14"/>
      <c r="R26" s="14"/>
      <c r="S26" s="49"/>
      <c r="T26" s="49"/>
      <c r="U26" s="49"/>
      <c r="V26" s="49"/>
      <c r="W26" s="140"/>
      <c r="X26" s="14"/>
      <c r="Y26" s="14"/>
      <c r="Z26" s="14"/>
      <c r="AA26" s="220"/>
    </row>
    <row r="27" spans="1:27" s="92" customFormat="1" ht="13">
      <c r="A27" s="14"/>
      <c r="B27" s="148"/>
      <c r="C27" s="302">
        <v>10.1</v>
      </c>
      <c r="D27" s="85" t="str">
        <f>Text!C53</f>
        <v>Number of properties liable for long term empty property premium</v>
      </c>
      <c r="E27" s="85"/>
      <c r="F27" s="85"/>
      <c r="G27" s="173">
        <v>0</v>
      </c>
      <c r="H27" s="149"/>
      <c r="J27" s="14"/>
      <c r="K27" s="14"/>
      <c r="L27" s="14"/>
      <c r="M27" s="14"/>
      <c r="N27" s="14"/>
      <c r="O27" s="15"/>
      <c r="P27" s="15"/>
      <c r="Q27" s="14"/>
      <c r="R27" s="14"/>
      <c r="S27" s="49"/>
      <c r="T27" s="49"/>
      <c r="U27" s="49"/>
      <c r="V27" s="49"/>
      <c r="W27" s="140"/>
      <c r="X27" s="14"/>
      <c r="Y27" s="14"/>
      <c r="Z27" s="14"/>
      <c r="AA27" s="220"/>
    </row>
    <row r="28" spans="1:27" s="92" customFormat="1" ht="13">
      <c r="A28" s="14"/>
      <c r="B28" s="148"/>
      <c r="C28" s="302">
        <v>10.199999999999999</v>
      </c>
      <c r="D28" s="85" t="str">
        <f>Text!C54</f>
        <v>Number of properties liable for second home premium</v>
      </c>
      <c r="E28" s="85"/>
      <c r="F28" s="85"/>
      <c r="G28" s="173">
        <v>0</v>
      </c>
      <c r="H28" s="149"/>
      <c r="J28" s="14"/>
      <c r="K28" s="14"/>
      <c r="L28" s="14"/>
      <c r="M28" s="14"/>
      <c r="N28" s="14"/>
      <c r="O28" s="15"/>
      <c r="P28" s="15"/>
      <c r="Q28" s="14"/>
      <c r="R28" s="14"/>
      <c r="S28" s="49"/>
      <c r="T28" s="49"/>
      <c r="U28" s="49"/>
      <c r="V28" s="49"/>
      <c r="W28" s="140"/>
      <c r="X28" s="14"/>
      <c r="Y28" s="14"/>
      <c r="Z28" s="14"/>
      <c r="AA28" s="220"/>
    </row>
    <row r="29" spans="1:27" s="92" customFormat="1" ht="13">
      <c r="A29" s="14"/>
      <c r="B29" s="148"/>
      <c r="C29" s="302">
        <v>10.3</v>
      </c>
      <c r="D29" s="85" t="str">
        <f>Text!C55</f>
        <v>Income received from charging a premium on long term empty properties</v>
      </c>
      <c r="E29" s="85"/>
      <c r="F29" s="85"/>
      <c r="G29" s="173">
        <v>0</v>
      </c>
      <c r="H29" s="149"/>
      <c r="J29" s="14"/>
      <c r="K29" s="14"/>
      <c r="L29" s="14"/>
      <c r="M29" s="14"/>
      <c r="N29" s="14"/>
      <c r="O29" s="15"/>
      <c r="P29" s="15"/>
      <c r="Q29" s="14"/>
      <c r="R29" s="14"/>
      <c r="S29" s="49"/>
      <c r="T29" s="49"/>
      <c r="U29" s="49"/>
      <c r="V29" s="49"/>
      <c r="W29" s="140"/>
      <c r="X29" s="14"/>
      <c r="Y29" s="14"/>
      <c r="Z29" s="14"/>
      <c r="AA29" s="220"/>
    </row>
    <row r="30" spans="1:27" s="92" customFormat="1" ht="13">
      <c r="A30" s="14"/>
      <c r="B30" s="148"/>
      <c r="C30" s="302">
        <v>10.4</v>
      </c>
      <c r="D30" s="85" t="str">
        <f>Text!C56</f>
        <v>Income received from charging a premium on second homes</v>
      </c>
      <c r="E30" s="85"/>
      <c r="F30" s="85"/>
      <c r="G30" s="173">
        <v>0</v>
      </c>
      <c r="H30" s="149"/>
      <c r="J30" s="16"/>
      <c r="K30" s="16"/>
      <c r="L30" s="14"/>
      <c r="M30" s="14"/>
      <c r="N30" s="14"/>
      <c r="O30" s="15"/>
      <c r="P30" s="15"/>
      <c r="Q30" s="14"/>
      <c r="R30" s="14"/>
      <c r="S30" s="49"/>
      <c r="T30" s="49"/>
      <c r="U30" s="49"/>
      <c r="V30" s="49"/>
      <c r="W30" s="140"/>
      <c r="X30" s="14"/>
      <c r="Y30" s="14"/>
      <c r="Z30" s="14"/>
      <c r="AA30" s="220"/>
    </row>
    <row r="31" spans="1:27" s="92" customFormat="1" ht="25" customHeight="1">
      <c r="A31" s="14"/>
      <c r="B31" s="148"/>
      <c r="C31" s="226" t="str">
        <f>Text!C57</f>
        <v>SECTION B - Non-domestic rates</v>
      </c>
      <c r="D31" s="85"/>
      <c r="E31" s="158"/>
      <c r="F31" s="155"/>
      <c r="G31" s="83"/>
      <c r="H31" s="149"/>
      <c r="J31" s="14"/>
      <c r="K31" s="14"/>
      <c r="L31" s="14"/>
      <c r="M31" s="14"/>
      <c r="N31" s="14"/>
      <c r="O31" s="15"/>
      <c r="P31" s="15"/>
      <c r="Q31" s="14"/>
      <c r="R31" s="14"/>
      <c r="S31" s="49"/>
      <c r="T31" s="49"/>
      <c r="U31" s="49"/>
      <c r="V31" s="49"/>
      <c r="W31" s="140"/>
      <c r="X31" s="14"/>
      <c r="Y31" s="14"/>
      <c r="Z31" s="14"/>
      <c r="AA31" s="220"/>
    </row>
    <row r="32" spans="1:27" s="92" customFormat="1" ht="15" customHeight="1">
      <c r="A32" s="14"/>
      <c r="B32" s="148"/>
      <c r="C32" s="212">
        <v>10.5</v>
      </c>
      <c r="D32" s="85" t="str">
        <f>Text!C58</f>
        <v>Estimated in-year net collectable debit</v>
      </c>
      <c r="E32" s="85"/>
      <c r="F32" s="84"/>
      <c r="G32" s="173">
        <v>0</v>
      </c>
      <c r="H32" s="150"/>
      <c r="J32" s="210" t="e">
        <f t="shared" ref="J32:K35" si="3">VLOOKUP(J$11&amp;"_"&amp;UAnumber&amp;"_"&amp;$C32&amp;"_"&amp;4,CTCPrev,2,FALSE)</f>
        <v>#N/A</v>
      </c>
      <c r="K32" s="210" t="e">
        <f t="shared" si="3"/>
        <v>#N/A</v>
      </c>
      <c r="L32" s="208">
        <f>G32</f>
        <v>0</v>
      </c>
      <c r="M32" s="208">
        <f>$K$6</f>
        <v>0</v>
      </c>
      <c r="N32" s="208">
        <v>5</v>
      </c>
      <c r="O32" s="208" t="e">
        <f>L32-K32</f>
        <v>#N/A</v>
      </c>
      <c r="P32" s="208" t="e">
        <f>IF(OR(K32=0,L32=0),0,O32/K32*100)</f>
        <v>#N/A</v>
      </c>
      <c r="Q32" s="206" t="e">
        <f t="shared" ref="Q32:R34" si="4">IF(K32=0,1,"")</f>
        <v>#N/A</v>
      </c>
      <c r="R32" s="206">
        <f t="shared" si="4"/>
        <v>1</v>
      </c>
      <c r="S32" s="218" t="e">
        <f>IF(SUM(Q32:R32)=2,"",IF(SUM(Q32:R32)=1,9,IF(AND(ABS(ROUND(O32,2))&gt;M32,ABS(ROUND(P32,2))&gt;N32),3,IF(ABS(ROUND(P32,2))&gt;N32,2,IF(ABS(ROUND(O32,2))&gt;M32,1,"")))))</f>
        <v>#N/A</v>
      </c>
      <c r="T32" s="218" t="e">
        <f>IF(M32="","",IF(OR(S32=3,S32=9),1,""))</f>
        <v>#N/A</v>
      </c>
      <c r="U32" s="142"/>
      <c r="V32" s="142" t="str">
        <f>IF(W32="C","",IF(U32=1,1,""))</f>
        <v/>
      </c>
      <c r="W32" s="139"/>
      <c r="X32" s="232"/>
      <c r="Y32" s="233"/>
      <c r="Z32" s="233"/>
      <c r="AA32" s="234"/>
    </row>
    <row r="33" spans="1:27" s="92" customFormat="1" ht="13">
      <c r="A33" s="14"/>
      <c r="B33" s="148"/>
      <c r="C33" s="211">
        <v>11</v>
      </c>
      <c r="D33" s="330" t="str">
        <f>Text!C59</f>
        <v>Receipts of in-year non-domestic rates (net of refunds)</v>
      </c>
      <c r="E33" s="330"/>
      <c r="F33" s="331"/>
      <c r="G33" s="173">
        <v>0</v>
      </c>
      <c r="H33" s="150"/>
      <c r="J33" s="209" t="e">
        <f t="shared" si="3"/>
        <v>#N/A</v>
      </c>
      <c r="K33" s="210" t="e">
        <f t="shared" si="3"/>
        <v>#N/A</v>
      </c>
      <c r="L33" s="208">
        <f>G33</f>
        <v>0</v>
      </c>
      <c r="M33" s="208">
        <v>3000</v>
      </c>
      <c r="N33" s="208">
        <v>5</v>
      </c>
      <c r="O33" s="208" t="e">
        <f>L33-K33</f>
        <v>#N/A</v>
      </c>
      <c r="P33" s="208" t="e">
        <f>IF(OR(K33=0,L33=0),0,O33/K33*100)</f>
        <v>#N/A</v>
      </c>
      <c r="Q33" s="206" t="e">
        <f t="shared" si="4"/>
        <v>#N/A</v>
      </c>
      <c r="R33" s="206">
        <f t="shared" si="4"/>
        <v>1</v>
      </c>
      <c r="S33" s="218" t="e">
        <f>IF(SUM(Q33:R33)=2,"",IF(SUM(Q33:R33)=1,9,IF(AND(ABS(ROUND(O33,2))&gt;M33,ABS(ROUND(P33,2))&gt;N33),3,IF(ABS(ROUND(P33,2))&gt;N33,2,IF(ABS(ROUND(O33,2))&gt;M33,1,"")))))</f>
        <v>#N/A</v>
      </c>
      <c r="T33" s="218" t="e">
        <f>IF(M33="","",IF(OR(S33=3,S33=9),1,""))</f>
        <v>#N/A</v>
      </c>
      <c r="U33" s="142"/>
      <c r="V33" s="142" t="str">
        <f>IF(W33="C","",IF(U33=1,1,""))</f>
        <v/>
      </c>
      <c r="W33" s="139"/>
      <c r="X33" s="232"/>
      <c r="Y33" s="233"/>
      <c r="Z33" s="233"/>
      <c r="AA33" s="231"/>
    </row>
    <row r="34" spans="1:27" s="92" customFormat="1" ht="13">
      <c r="A34" s="14"/>
      <c r="B34" s="148"/>
      <c r="C34" s="211">
        <v>12</v>
      </c>
      <c r="D34" s="330" t="str">
        <f>Text!C60</f>
        <v>Receipts of non-domestic rates for earlier years (net of refunds)</v>
      </c>
      <c r="E34" s="330"/>
      <c r="F34" s="331"/>
      <c r="G34" s="173">
        <v>0</v>
      </c>
      <c r="H34" s="150"/>
      <c r="J34" s="210" t="e">
        <f t="shared" si="3"/>
        <v>#N/A</v>
      </c>
      <c r="K34" s="210" t="e">
        <f t="shared" si="3"/>
        <v>#N/A</v>
      </c>
      <c r="L34" s="208">
        <f>G34</f>
        <v>0</v>
      </c>
      <c r="M34" s="208">
        <v>1000</v>
      </c>
      <c r="N34" s="208">
        <v>100</v>
      </c>
      <c r="O34" s="208" t="e">
        <f>L34-K34</f>
        <v>#N/A</v>
      </c>
      <c r="P34" s="208" t="e">
        <f>IF(OR(K34=0,L34=0),0,O34/K34*100)</f>
        <v>#N/A</v>
      </c>
      <c r="Q34" s="206" t="e">
        <f t="shared" si="4"/>
        <v>#N/A</v>
      </c>
      <c r="R34" s="206">
        <f t="shared" si="4"/>
        <v>1</v>
      </c>
      <c r="S34" s="218" t="e">
        <f>IF(SUM(Q34:R34)=2,"",IF(SUM(Q34:R34)=1,9,IF(AND(ABS(ROUND(O34,2))&gt;M34,ABS(ROUND(P34,2))&gt;N34),3,IF(ABS(ROUND(P34,2))&gt;N34,2,IF(ABS(ROUND(O34,2))&gt;M34,1,"")))))</f>
        <v>#N/A</v>
      </c>
      <c r="T34" s="218" t="e">
        <f>IF(M34="","",IF(OR(S34=3,S34=9),1,""))</f>
        <v>#N/A</v>
      </c>
      <c r="U34" s="142"/>
      <c r="V34" s="142" t="str">
        <f>IF(W34="C","",IF(U34=1,1,""))</f>
        <v/>
      </c>
      <c r="W34" s="139"/>
      <c r="X34" s="232"/>
      <c r="Y34" s="233"/>
      <c r="Z34" s="233"/>
      <c r="AA34" s="234"/>
    </row>
    <row r="35" spans="1:27" s="92" customFormat="1" ht="15" customHeight="1">
      <c r="A35" s="14"/>
      <c r="B35" s="148"/>
      <c r="C35" s="213">
        <v>12.5</v>
      </c>
      <c r="D35" s="330" t="str">
        <f>Text!C61</f>
        <v>NDR collection rate  (%) (line 11 / line 10.5 x 100)</v>
      </c>
      <c r="E35" s="330"/>
      <c r="F35" s="331"/>
      <c r="G35" s="166">
        <f>IF(ISERROR((G33/G32)*100),0, (G33/G32)*100)</f>
        <v>0</v>
      </c>
      <c r="H35" s="150"/>
      <c r="J35" s="216" t="e">
        <f t="shared" si="3"/>
        <v>#N/A</v>
      </c>
      <c r="K35" s="216" t="e">
        <f t="shared" si="3"/>
        <v>#N/A</v>
      </c>
      <c r="L35" s="217">
        <f>G35</f>
        <v>0</v>
      </c>
      <c r="M35" s="14"/>
      <c r="N35" s="14"/>
      <c r="O35" s="14"/>
      <c r="P35" s="14"/>
      <c r="Q35" s="14"/>
      <c r="R35" s="14"/>
      <c r="S35" s="49"/>
      <c r="T35" s="49"/>
      <c r="U35" s="49"/>
      <c r="V35" s="49"/>
      <c r="W35" s="140"/>
      <c r="X35" s="14"/>
      <c r="Y35" s="14"/>
      <c r="Z35" s="14"/>
      <c r="AA35" s="14"/>
    </row>
    <row r="36" spans="1:27" s="92" customFormat="1" ht="15" customHeight="1">
      <c r="A36" s="14"/>
      <c r="B36" s="151"/>
      <c r="C36" s="214"/>
      <c r="D36" s="152"/>
      <c r="E36" s="153"/>
      <c r="F36" s="153"/>
      <c r="G36" s="153"/>
      <c r="H36" s="154"/>
      <c r="J36" s="14"/>
      <c r="K36" s="14"/>
      <c r="L36" s="14"/>
      <c r="M36" s="14"/>
      <c r="N36" s="14"/>
      <c r="O36" s="14"/>
      <c r="P36" s="14"/>
      <c r="Q36" s="14"/>
      <c r="R36" s="14"/>
      <c r="S36" s="49"/>
      <c r="T36" s="49"/>
      <c r="U36" s="49"/>
      <c r="V36" s="49"/>
      <c r="W36" s="140"/>
      <c r="X36" s="14"/>
      <c r="Y36" s="14"/>
      <c r="Z36" s="14"/>
      <c r="AA36" s="14"/>
    </row>
    <row r="37" spans="1:27" s="92" customFormat="1" ht="15" customHeight="1">
      <c r="C37" s="156"/>
      <c r="S37" s="141"/>
      <c r="T37" s="141"/>
      <c r="U37" s="141"/>
      <c r="V37" s="141"/>
      <c r="W37" s="138"/>
    </row>
    <row r="38" spans="1:27" ht="15" customHeight="1">
      <c r="G38" s="305"/>
    </row>
    <row r="39" spans="1:27" ht="15" customHeight="1">
      <c r="G39" s="305"/>
    </row>
  </sheetData>
  <sheetProtection sheet="1" formatCells="0" formatColumns="0" formatRows="0"/>
  <mergeCells count="24">
    <mergeCell ref="D33:F33"/>
    <mergeCell ref="D34:F34"/>
    <mergeCell ref="D35:F35"/>
    <mergeCell ref="D20:E20"/>
    <mergeCell ref="D13:E13"/>
    <mergeCell ref="D14:E14"/>
    <mergeCell ref="D15:E15"/>
    <mergeCell ref="D16:E16"/>
    <mergeCell ref="D17:E17"/>
    <mergeCell ref="D18:E18"/>
    <mergeCell ref="D12:E12"/>
    <mergeCell ref="M10:N10"/>
    <mergeCell ref="O10:P10"/>
    <mergeCell ref="V10:V11"/>
    <mergeCell ref="J10:L10"/>
    <mergeCell ref="Q10:Q11"/>
    <mergeCell ref="R10:R11"/>
    <mergeCell ref="U10:U11"/>
    <mergeCell ref="E4:F4"/>
    <mergeCell ref="S10:S11"/>
    <mergeCell ref="T10:T11"/>
    <mergeCell ref="W10:W11"/>
    <mergeCell ref="Q9:R9"/>
    <mergeCell ref="C8:E9"/>
  </mergeCells>
  <phoneticPr fontId="14" type="noConversion"/>
  <conditionalFormatting sqref="T12:T14 T16:T18 T20 T23:T30 T32:T34">
    <cfRule type="cellIs" dxfId="7" priority="5" stopIfTrue="1" operator="equal">
      <formula>1</formula>
    </cfRule>
  </conditionalFormatting>
  <conditionalFormatting sqref="V12:V34">
    <cfRule type="cellIs" dxfId="6" priority="4" stopIfTrue="1" operator="equal">
      <formula>1</formula>
    </cfRule>
  </conditionalFormatting>
  <hyperlinks>
    <hyperlink ref="E7" r:id="rId1" display="https://gov.wales/statistics-and-research/council-tax-collection-rates/council-tax-collection-data-collection/?lang=en" xr:uid="{00000000-0004-0000-0100-000000000000}"/>
  </hyperlinks>
  <printOptions horizontalCentered="1"/>
  <pageMargins left="0.23622047244094491" right="0.23622047244094491" top="0.39370078740157483" bottom="0.39370078740157483" header="0" footer="0"/>
  <pageSetup paperSize="9" scale="125" orientation="portrait" r:id="rId2"/>
  <headerFooter alignWithMargins="0"/>
  <ignoredErrors>
    <ignoredError sqref="F7:G7" numberStoredAsText="1"/>
  </ignoredErrors>
  <drawing r:id="rId3"/>
  <extLst>
    <ext xmlns:x14="http://schemas.microsoft.com/office/spreadsheetml/2009/9/main" uri="{78C0D931-6437-407d-A8EE-F0AAD7539E65}">
      <x14:conditionalFormattings>
        <x14:conditionalFormatting xmlns:xm="http://schemas.microsoft.com/office/excel/2006/main">
          <x14:cfRule type="expression" priority="2" id="{BB03DC00-082C-425B-A5A2-3E7301601131}">
            <xm:f>Details!$B$32=0</xm:f>
            <x14:dxf>
              <font>
                <b/>
                <i val="0"/>
                <color rgb="FF7030A0"/>
              </font>
              <fill>
                <patternFill>
                  <bgColor rgb="FFFFFFCC"/>
                </patternFill>
              </fill>
              <border>
                <left style="thin">
                  <color auto="1"/>
                </left>
                <right style="thin">
                  <color auto="1"/>
                </right>
                <top style="thin">
                  <color auto="1"/>
                </top>
                <bottom style="thin">
                  <color auto="1"/>
                </bottom>
                <vertical/>
                <horizontal/>
              </border>
            </x14:dxf>
          </x14:cfRule>
          <xm:sqref>E4:F4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AH67"/>
  <sheetViews>
    <sheetView zoomScaleNormal="100" zoomScaleSheetLayoutView="100" workbookViewId="0">
      <selection activeCell="P11" sqref="P11:P13"/>
    </sheetView>
  </sheetViews>
  <sheetFormatPr defaultColWidth="8.84375" defaultRowHeight="12.5"/>
  <cols>
    <col min="1" max="1" width="1.765625" style="92" customWidth="1"/>
    <col min="2" max="2" width="2.3046875" style="92" bestFit="1" customWidth="1"/>
    <col min="3" max="3" width="8.84375" style="92"/>
    <col min="4" max="4" width="7.765625" style="92" customWidth="1"/>
    <col min="5" max="5" width="5.3046875" style="92" customWidth="1"/>
    <col min="6" max="6" width="1.765625" style="92" customWidth="1"/>
    <col min="7" max="7" width="16.4609375" style="92" customWidth="1"/>
    <col min="8" max="8" width="7.765625" style="92" customWidth="1"/>
    <col min="9" max="9" width="2.07421875" style="92" customWidth="1"/>
    <col min="10" max="15" width="2.4609375" style="92" customWidth="1"/>
    <col min="16" max="16" width="38.4609375" style="92" customWidth="1"/>
    <col min="17" max="17" width="1.765625" style="92" customWidth="1"/>
    <col min="18" max="29" width="8.84375" style="92" customWidth="1"/>
    <col min="30" max="30" width="8.84375" style="92" hidden="1" customWidth="1"/>
    <col min="31" max="31" width="22.07421875" style="92" bestFit="1" customWidth="1"/>
    <col min="32" max="33" width="5.765625" style="92" bestFit="1" customWidth="1"/>
    <col min="34" max="34" width="8.84375" style="92" hidden="1" customWidth="1"/>
    <col min="35" max="36" width="8.84375" style="92" customWidth="1"/>
    <col min="37" max="16384" width="8.84375" style="92"/>
  </cols>
  <sheetData>
    <row r="1" spans="2:33" s="14" customFormat="1" ht="15" customHeight="1">
      <c r="R1" s="92"/>
      <c r="S1" s="92"/>
      <c r="T1" s="92"/>
      <c r="U1" s="92"/>
      <c r="V1" s="92"/>
      <c r="W1" s="92"/>
      <c r="X1" s="92"/>
      <c r="Y1" s="92"/>
      <c r="Z1" s="92"/>
      <c r="AA1" s="92"/>
      <c r="AB1" s="92"/>
      <c r="AC1" s="92"/>
      <c r="AD1" s="92"/>
      <c r="AE1" s="14" t="s">
        <v>343</v>
      </c>
    </row>
    <row r="2" spans="2:33" s="14" customFormat="1" ht="15" customHeight="1">
      <c r="B2" s="247"/>
      <c r="C2" s="238" t="str">
        <f>Text!C8</f>
        <v>Council tax collection return for 2023-24</v>
      </c>
      <c r="D2" s="248"/>
      <c r="E2" s="248"/>
      <c r="F2" s="248"/>
      <c r="G2" s="238"/>
      <c r="H2" s="248"/>
      <c r="I2" s="248"/>
      <c r="J2" s="248"/>
      <c r="K2" s="248"/>
      <c r="L2" s="248"/>
      <c r="M2" s="248"/>
      <c r="N2" s="248"/>
      <c r="O2" s="248"/>
      <c r="P2" s="240" t="str">
        <f>"CTC"</f>
        <v>CTC</v>
      </c>
      <c r="Q2" s="249"/>
      <c r="R2" s="92"/>
      <c r="S2" s="92"/>
      <c r="T2" s="92"/>
      <c r="U2" s="92"/>
      <c r="V2" s="92"/>
      <c r="W2" s="92"/>
      <c r="X2" s="92"/>
      <c r="Y2" s="92"/>
      <c r="Z2" s="92"/>
      <c r="AA2" s="92"/>
      <c r="AB2" s="92"/>
      <c r="AC2" s="92"/>
      <c r="AD2" s="92"/>
      <c r="AE2" s="68" t="s">
        <v>206</v>
      </c>
      <c r="AF2" s="69"/>
      <c r="AG2" s="70"/>
    </row>
    <row r="3" spans="2:33" s="14" customFormat="1" ht="15" customHeight="1">
      <c r="B3" s="71"/>
      <c r="Q3" s="250"/>
      <c r="R3" s="92"/>
      <c r="S3" s="92"/>
      <c r="T3" s="92"/>
      <c r="U3" s="92"/>
      <c r="V3" s="92"/>
      <c r="W3" s="92"/>
      <c r="X3" s="92"/>
      <c r="Y3" s="92"/>
      <c r="Z3" s="92"/>
      <c r="AA3" s="92"/>
      <c r="AB3" s="92"/>
      <c r="AC3" s="92"/>
      <c r="AD3" s="92"/>
      <c r="AE3" s="71" t="s">
        <v>165</v>
      </c>
      <c r="AF3" s="14" t="str">
        <f>Details!H58</f>
        <v>202223</v>
      </c>
      <c r="AG3" s="72" t="str">
        <f>Details!H57</f>
        <v>202324</v>
      </c>
    </row>
    <row r="4" spans="2:33" s="14" customFormat="1" ht="15" customHeight="1">
      <c r="B4" s="71"/>
      <c r="C4" s="278" t="str">
        <f>IF(UAnumber=0,"",Text!C29)</f>
        <v/>
      </c>
      <c r="D4" s="357" t="str">
        <f>IF(UAnumber=0,Text!C31,UAnumber)</f>
        <v>Please select your authority on the front page</v>
      </c>
      <c r="E4" s="357"/>
      <c r="F4" s="357"/>
      <c r="G4" s="357"/>
      <c r="H4" s="357"/>
      <c r="N4" s="47"/>
      <c r="O4" s="47"/>
      <c r="Q4" s="250"/>
      <c r="R4" s="92"/>
      <c r="S4" s="92"/>
      <c r="T4" s="92"/>
      <c r="U4" s="92"/>
      <c r="V4" s="92"/>
      <c r="W4" s="92"/>
      <c r="X4" s="92"/>
      <c r="Y4" s="92"/>
      <c r="Z4" s="92"/>
      <c r="AA4" s="92"/>
      <c r="AB4" s="92"/>
      <c r="AC4" s="92"/>
      <c r="AD4" s="92"/>
      <c r="AE4" s="71" t="s">
        <v>166</v>
      </c>
      <c r="AF4" s="14">
        <f>UAnumber</f>
        <v>0</v>
      </c>
      <c r="AG4" s="72"/>
    </row>
    <row r="5" spans="2:33" s="14" customFormat="1" ht="15" customHeight="1">
      <c r="B5" s="71"/>
      <c r="C5" s="278" t="str">
        <f>IF(UAnumber=0,"",Text!C30)</f>
        <v/>
      </c>
      <c r="D5" s="279" t="str">
        <f>IF(UAnumber=0,"",VLOOKUP(FrontPage!$E$11,Authority,3,FALSE))</f>
        <v/>
      </c>
      <c r="E5" s="277"/>
      <c r="F5" s="47"/>
      <c r="G5" s="47"/>
      <c r="H5" s="47"/>
      <c r="I5" s="47"/>
      <c r="J5" s="47"/>
      <c r="K5" s="47"/>
      <c r="L5" s="47"/>
      <c r="M5" s="47"/>
      <c r="N5" s="47"/>
      <c r="O5" s="47"/>
      <c r="Q5" s="250"/>
      <c r="R5" s="92"/>
      <c r="S5" s="92"/>
      <c r="T5" s="92"/>
      <c r="U5" s="92"/>
      <c r="V5" s="92"/>
      <c r="W5" s="92"/>
      <c r="X5" s="92"/>
      <c r="Y5" s="92"/>
      <c r="Z5" s="92"/>
      <c r="AA5" s="92"/>
      <c r="AB5" s="92"/>
      <c r="AC5" s="92"/>
      <c r="AD5" s="92"/>
      <c r="AE5" s="71"/>
      <c r="AG5" s="72"/>
    </row>
    <row r="6" spans="2:33" s="14" customFormat="1" ht="15" customHeight="1">
      <c r="B6" s="73"/>
      <c r="C6" s="144" t="str">
        <f>Text!C63</f>
        <v>Validation checks</v>
      </c>
      <c r="D6" s="48"/>
      <c r="E6" s="48"/>
      <c r="F6" s="48"/>
      <c r="G6" s="48"/>
      <c r="H6" s="48"/>
      <c r="I6" s="48"/>
      <c r="J6" s="48"/>
      <c r="K6" s="361" t="str">
        <f>Text!C64</f>
        <v>Tolerance</v>
      </c>
      <c r="L6" s="362"/>
      <c r="M6" s="362"/>
      <c r="N6" s="362"/>
      <c r="O6" s="48"/>
      <c r="P6" s="145" t="str">
        <f>Text!C65</f>
        <v>Please comment below if necessary</v>
      </c>
      <c r="Q6" s="250"/>
      <c r="R6" s="92"/>
      <c r="S6" s="92"/>
      <c r="T6" s="92"/>
      <c r="U6" s="92"/>
      <c r="V6" s="92"/>
      <c r="W6" s="92"/>
      <c r="X6" s="92"/>
      <c r="Y6" s="92"/>
      <c r="Z6" s="92"/>
      <c r="AA6" s="92"/>
      <c r="AB6" s="92"/>
      <c r="AC6" s="92"/>
      <c r="AD6" s="92"/>
      <c r="AE6" s="71" t="s">
        <v>169</v>
      </c>
      <c r="AF6" s="49" t="s">
        <v>167</v>
      </c>
      <c r="AG6" s="78" t="s">
        <v>168</v>
      </c>
    </row>
    <row r="7" spans="2:33" s="14" customFormat="1" ht="15" customHeight="1">
      <c r="B7" s="71"/>
      <c r="P7" s="49"/>
      <c r="Q7" s="250"/>
      <c r="R7" s="92"/>
      <c r="S7" s="92"/>
      <c r="T7" s="92"/>
      <c r="U7" s="92"/>
      <c r="V7" s="92"/>
      <c r="W7" s="92"/>
      <c r="X7" s="92"/>
      <c r="Y7" s="92"/>
      <c r="Z7" s="92"/>
      <c r="AA7" s="92"/>
      <c r="AB7" s="92"/>
      <c r="AC7" s="92"/>
      <c r="AD7" s="92"/>
      <c r="AE7" s="71"/>
      <c r="AG7" s="72"/>
    </row>
    <row r="8" spans="2:33" s="14" customFormat="1" ht="15" customHeight="1">
      <c r="B8" s="251"/>
      <c r="C8" s="50" t="str">
        <f>Text!C66</f>
        <v>ARREARS OF COUNCIL TAX</v>
      </c>
      <c r="P8" s="49"/>
      <c r="Q8" s="250"/>
      <c r="R8" s="92"/>
      <c r="S8" s="92"/>
      <c r="T8" s="92"/>
      <c r="U8" s="92"/>
      <c r="V8" s="92"/>
      <c r="W8" s="92"/>
      <c r="X8" s="92"/>
      <c r="Y8" s="92"/>
      <c r="Z8" s="92"/>
      <c r="AA8" s="92"/>
      <c r="AB8" s="92"/>
      <c r="AC8" s="92"/>
      <c r="AD8" s="92"/>
      <c r="AE8" s="71"/>
      <c r="AG8" s="72"/>
    </row>
    <row r="9" spans="2:33" s="14" customFormat="1" ht="15" customHeight="1">
      <c r="B9" s="71"/>
      <c r="P9" s="49"/>
      <c r="Q9" s="250"/>
      <c r="R9" s="92"/>
      <c r="S9" s="92"/>
      <c r="T9" s="92"/>
      <c r="U9" s="92"/>
      <c r="V9" s="92"/>
      <c r="W9" s="92"/>
      <c r="X9" s="92"/>
      <c r="Y9" s="92"/>
      <c r="Z9" s="92"/>
      <c r="AA9" s="92"/>
      <c r="AB9" s="92"/>
      <c r="AC9" s="92"/>
      <c r="AD9" s="92"/>
      <c r="AE9" s="71"/>
      <c r="AG9" s="72"/>
    </row>
    <row r="10" spans="2:33" s="14" customFormat="1" ht="15" customHeight="1">
      <c r="B10" s="252">
        <v>1</v>
      </c>
      <c r="C10" s="51" t="str">
        <f>Text!C67</f>
        <v>Arrears brought forward</v>
      </c>
      <c r="E10" s="52"/>
      <c r="F10" s="52"/>
      <c r="G10" s="52"/>
      <c r="H10" s="52"/>
      <c r="I10" s="52"/>
      <c r="J10" s="52"/>
      <c r="P10" s="53" t="e">
        <f>IF(ABS(H13)&gt;99,Text!C71,Text!C72)</f>
        <v>#N/A</v>
      </c>
      <c r="Q10" s="250"/>
      <c r="R10" s="92"/>
      <c r="S10" s="92"/>
      <c r="T10" s="92"/>
      <c r="U10" s="92"/>
      <c r="V10" s="92"/>
      <c r="W10" s="92"/>
      <c r="X10" s="92"/>
      <c r="Y10" s="92"/>
      <c r="Z10" s="92"/>
      <c r="AA10" s="92"/>
      <c r="AB10" s="92"/>
      <c r="AC10" s="92"/>
      <c r="AD10" s="92"/>
      <c r="AE10" s="71"/>
      <c r="AG10" s="72"/>
    </row>
    <row r="11" spans="2:33" s="14" customFormat="1" ht="15" customHeight="1">
      <c r="B11" s="71"/>
      <c r="G11" s="55" t="str">
        <f>Text!C68&amp;"  "</f>
        <v xml:space="preserve">Arrears O/S, 2022-23 (row 6, cols. 1 and 2)  </v>
      </c>
      <c r="H11" s="54" t="e">
        <f>VLOOKUP($AF$3&amp;$AE$11&amp;$AF$4&amp;AF11&amp;AG11,CTC_LY_Data,2,FALSE)+VLOOKUP($AF$3&amp;$AE$11&amp;$AF$4&amp;AF12&amp;AG12,CTC_LY_Data,2,FALSE)</f>
        <v>#N/A</v>
      </c>
      <c r="I11" s="15"/>
      <c r="P11" s="358"/>
      <c r="Q11" s="250"/>
      <c r="R11" s="92"/>
      <c r="S11" s="92"/>
      <c r="T11" s="92"/>
      <c r="U11" s="92"/>
      <c r="V11" s="92"/>
      <c r="W11" s="92"/>
      <c r="X11" s="92"/>
      <c r="Y11" s="92"/>
      <c r="Z11" s="92"/>
      <c r="AA11" s="92"/>
      <c r="AB11" s="92"/>
      <c r="AC11" s="92"/>
      <c r="AD11" s="92"/>
      <c r="AE11" s="71" t="s">
        <v>25</v>
      </c>
      <c r="AF11" s="55" t="s">
        <v>174</v>
      </c>
      <c r="AG11" s="75" t="s">
        <v>199</v>
      </c>
    </row>
    <row r="12" spans="2:33" s="14" customFormat="1" ht="15" customHeight="1">
      <c r="B12" s="71"/>
      <c r="G12" s="55" t="str">
        <f>Text!C69&amp;"  "</f>
        <v xml:space="preserve">Arrears B/F at 2023-24 (row 1, col. 2)  </v>
      </c>
      <c r="H12" s="56">
        <f>VLOOKUP($AG$3&amp;$AF$4&amp;AF13&amp;AG13,CTCData,8,FALSE)</f>
        <v>0</v>
      </c>
      <c r="I12" s="15"/>
      <c r="K12" s="351" t="s">
        <v>200</v>
      </c>
      <c r="L12" s="352"/>
      <c r="M12" s="352"/>
      <c r="N12" s="353"/>
      <c r="O12" s="57"/>
      <c r="P12" s="359"/>
      <c r="Q12" s="250"/>
      <c r="R12" s="92"/>
      <c r="S12" s="92"/>
      <c r="T12" s="92"/>
      <c r="U12" s="92"/>
      <c r="V12" s="92"/>
      <c r="W12" s="92"/>
      <c r="X12" s="92"/>
      <c r="Y12" s="92"/>
      <c r="Z12" s="92"/>
      <c r="AA12" s="92"/>
      <c r="AB12" s="92"/>
      <c r="AC12" s="92"/>
      <c r="AD12" s="92"/>
      <c r="AE12" s="71"/>
      <c r="AF12" s="55" t="s">
        <v>174</v>
      </c>
      <c r="AG12" s="75" t="s">
        <v>188</v>
      </c>
    </row>
    <row r="13" spans="2:33" s="14" customFormat="1" ht="15" customHeight="1">
      <c r="B13" s="71"/>
      <c r="F13" s="58"/>
      <c r="G13" s="55" t="str">
        <f>Text!C70&amp;"  "</f>
        <v xml:space="preserve">Difference  </v>
      </c>
      <c r="H13" s="54" t="e">
        <f>H11-H12</f>
        <v>#N/A</v>
      </c>
      <c r="I13" s="15"/>
      <c r="J13" s="58"/>
      <c r="K13" s="354"/>
      <c r="L13" s="355"/>
      <c r="M13" s="355"/>
      <c r="N13" s="356"/>
      <c r="O13" s="57"/>
      <c r="P13" s="360"/>
      <c r="Q13" s="250"/>
      <c r="R13" s="92"/>
      <c r="S13" s="92"/>
      <c r="T13" s="92"/>
      <c r="U13" s="92"/>
      <c r="V13" s="92"/>
      <c r="W13" s="92"/>
      <c r="X13" s="92"/>
      <c r="Y13" s="92"/>
      <c r="Z13" s="92"/>
      <c r="AA13" s="92"/>
      <c r="AB13" s="92"/>
      <c r="AC13" s="92"/>
      <c r="AD13" s="92"/>
      <c r="AE13" s="71"/>
      <c r="AF13" s="55" t="s">
        <v>191</v>
      </c>
      <c r="AG13" s="75" t="s">
        <v>177</v>
      </c>
    </row>
    <row r="14" spans="2:33" s="14" customFormat="1" ht="15" customHeight="1">
      <c r="B14" s="71"/>
      <c r="F14" s="58"/>
      <c r="H14" s="15"/>
      <c r="I14" s="15"/>
      <c r="J14" s="58"/>
      <c r="P14" s="59"/>
      <c r="Q14" s="250"/>
      <c r="R14" s="92"/>
      <c r="S14" s="92"/>
      <c r="T14" s="92"/>
      <c r="U14" s="92"/>
      <c r="V14" s="92"/>
      <c r="W14" s="92"/>
      <c r="X14" s="92"/>
      <c r="Y14" s="92"/>
      <c r="Z14" s="92"/>
      <c r="AA14" s="92"/>
      <c r="AB14" s="92"/>
      <c r="AC14" s="92"/>
      <c r="AD14" s="92"/>
      <c r="AE14" s="71"/>
      <c r="AG14" s="72"/>
    </row>
    <row r="15" spans="2:33" s="14" customFormat="1" ht="15" customHeight="1">
      <c r="B15" s="71"/>
      <c r="C15" s="50" t="str">
        <f>Text!C73</f>
        <v>YEAR ON YEAR COMPARISON</v>
      </c>
      <c r="F15" s="58"/>
      <c r="H15" s="15"/>
      <c r="I15" s="15"/>
      <c r="J15" s="58"/>
      <c r="K15" s="60"/>
      <c r="L15" s="60"/>
      <c r="M15" s="60"/>
      <c r="N15" s="15"/>
      <c r="O15" s="15"/>
      <c r="P15" s="59"/>
      <c r="Q15" s="250"/>
      <c r="R15" s="92"/>
      <c r="S15" s="92"/>
      <c r="T15" s="92"/>
      <c r="U15" s="92"/>
      <c r="V15" s="92"/>
      <c r="W15" s="92"/>
      <c r="X15" s="92"/>
      <c r="Y15" s="92"/>
      <c r="Z15" s="92"/>
      <c r="AA15" s="92"/>
      <c r="AB15" s="92"/>
      <c r="AC15" s="92"/>
      <c r="AD15" s="92"/>
      <c r="AE15" s="71"/>
      <c r="AG15" s="72"/>
    </row>
    <row r="16" spans="2:33" s="14" customFormat="1" ht="15" customHeight="1">
      <c r="B16" s="71"/>
      <c r="F16" s="58"/>
      <c r="H16" s="15"/>
      <c r="I16" s="15"/>
      <c r="J16" s="58"/>
      <c r="K16" s="60"/>
      <c r="L16" s="60"/>
      <c r="M16" s="60"/>
      <c r="N16" s="15"/>
      <c r="O16" s="15"/>
      <c r="P16" s="59"/>
      <c r="Q16" s="250"/>
      <c r="R16" s="92"/>
      <c r="S16" s="92"/>
      <c r="T16" s="92"/>
      <c r="U16" s="92"/>
      <c r="V16" s="92"/>
      <c r="W16" s="92"/>
      <c r="X16" s="92"/>
      <c r="Y16" s="92"/>
      <c r="Z16" s="92"/>
      <c r="AA16" s="92"/>
      <c r="AB16" s="92"/>
      <c r="AC16" s="92"/>
      <c r="AD16" s="92"/>
      <c r="AE16" s="71"/>
      <c r="AG16" s="72"/>
    </row>
    <row r="17" spans="2:33" s="14" customFormat="1" ht="15" customHeight="1">
      <c r="B17" s="252">
        <v>2</v>
      </c>
      <c r="C17" s="51" t="str">
        <f>Text!C74</f>
        <v>Amount received as a % of amount due, 2022-23 and 2023-24</v>
      </c>
      <c r="D17" s="51"/>
      <c r="E17" s="51"/>
      <c r="F17" s="51"/>
      <c r="G17" s="51"/>
      <c r="H17" s="51"/>
      <c r="I17" s="15"/>
      <c r="J17" s="58"/>
      <c r="K17" s="60"/>
      <c r="L17" s="60"/>
      <c r="M17" s="60"/>
      <c r="N17" s="15"/>
      <c r="P17" s="53" t="e">
        <f>IF(OR(H20&lt;-2.4,H20&gt;3),Text!C71,Text!C72)</f>
        <v>#N/A</v>
      </c>
      <c r="Q17" s="250"/>
      <c r="R17" s="92"/>
      <c r="S17" s="92"/>
      <c r="T17" s="92"/>
      <c r="U17" s="92"/>
      <c r="V17" s="92"/>
      <c r="W17" s="92"/>
      <c r="X17" s="92"/>
      <c r="Y17" s="92"/>
      <c r="Z17" s="92"/>
      <c r="AA17" s="92"/>
      <c r="AB17" s="92"/>
      <c r="AC17" s="92"/>
      <c r="AD17" s="92"/>
      <c r="AE17" s="71"/>
      <c r="AG17" s="72"/>
    </row>
    <row r="18" spans="2:33" s="14" customFormat="1" ht="15" customHeight="1">
      <c r="B18" s="71"/>
      <c r="G18" s="55" t="str">
        <f>Text!C75&amp;"  "</f>
        <v xml:space="preserve">CTC (row 8), 2022-23  </v>
      </c>
      <c r="H18" s="61" t="e">
        <f>VLOOKUP($AF$3&amp;$AE$11&amp;$AF$4&amp;AF18&amp;AG18,CTC_LY_Data,2,FALSE)</f>
        <v>#N/A</v>
      </c>
      <c r="I18" s="62" t="s">
        <v>142</v>
      </c>
      <c r="P18" s="358"/>
      <c r="Q18" s="250"/>
      <c r="R18" s="92"/>
      <c r="S18" s="92"/>
      <c r="T18" s="92"/>
      <c r="U18" s="92"/>
      <c r="V18" s="92"/>
      <c r="W18" s="92"/>
      <c r="X18" s="92"/>
      <c r="Y18" s="92"/>
      <c r="Z18" s="92"/>
      <c r="AA18" s="92"/>
      <c r="AB18" s="92"/>
      <c r="AC18" s="92"/>
      <c r="AD18" s="92"/>
      <c r="AE18" s="71"/>
      <c r="AF18" s="55" t="s">
        <v>187</v>
      </c>
      <c r="AG18" s="75" t="s">
        <v>188</v>
      </c>
    </row>
    <row r="19" spans="2:33" s="14" customFormat="1" ht="15" customHeight="1">
      <c r="B19" s="71"/>
      <c r="G19" s="55" t="str">
        <f>Text!C76&amp;"  "</f>
        <v xml:space="preserve">CTC (row 8), 2023-24  </v>
      </c>
      <c r="H19" s="61">
        <f>VLOOKUP($AG$3&amp;$AF$4&amp;AF19&amp;AG19,CTCData,8,FALSE)</f>
        <v>0</v>
      </c>
      <c r="I19" s="62" t="s">
        <v>142</v>
      </c>
      <c r="K19" s="351" t="str">
        <f>"3% "&amp;Text!C99&amp;" -2.4%"</f>
        <v>3% to -2.4%</v>
      </c>
      <c r="L19" s="352"/>
      <c r="M19" s="352"/>
      <c r="N19" s="353"/>
      <c r="O19" s="57"/>
      <c r="P19" s="359"/>
      <c r="Q19" s="250"/>
      <c r="R19" s="92"/>
      <c r="S19" s="92"/>
      <c r="T19" s="92"/>
      <c r="U19" s="92"/>
      <c r="V19" s="92"/>
      <c r="W19" s="92"/>
      <c r="X19" s="92"/>
      <c r="Y19" s="92"/>
      <c r="Z19" s="92"/>
      <c r="AA19" s="92"/>
      <c r="AB19" s="92"/>
      <c r="AC19" s="92"/>
      <c r="AD19" s="92"/>
      <c r="AE19" s="71"/>
      <c r="AF19" s="55" t="s">
        <v>185</v>
      </c>
      <c r="AG19" s="75" t="s">
        <v>176</v>
      </c>
    </row>
    <row r="20" spans="2:33" s="14" customFormat="1" ht="15" customHeight="1">
      <c r="B20" s="71"/>
      <c r="G20" s="55" t="str">
        <f>Text!C70&amp;"  "</f>
        <v xml:space="preserve">Difference  </v>
      </c>
      <c r="H20" s="61" t="e">
        <f>H18-H19</f>
        <v>#N/A</v>
      </c>
      <c r="I20" s="62" t="s">
        <v>142</v>
      </c>
      <c r="K20" s="354"/>
      <c r="L20" s="355"/>
      <c r="M20" s="355"/>
      <c r="N20" s="356"/>
      <c r="O20" s="57"/>
      <c r="P20" s="360"/>
      <c r="Q20" s="250"/>
      <c r="R20" s="92"/>
      <c r="S20" s="92"/>
      <c r="T20" s="92"/>
      <c r="U20" s="92"/>
      <c r="V20" s="92"/>
      <c r="W20" s="92"/>
      <c r="X20" s="92"/>
      <c r="Y20" s="92"/>
      <c r="Z20" s="92"/>
      <c r="AA20" s="92"/>
      <c r="AB20" s="92"/>
      <c r="AC20" s="92"/>
      <c r="AD20" s="92"/>
      <c r="AE20" s="71"/>
      <c r="AG20" s="72"/>
    </row>
    <row r="21" spans="2:33" s="14" customFormat="1" ht="15" customHeight="1">
      <c r="B21" s="71"/>
      <c r="F21" s="58"/>
      <c r="H21" s="15"/>
      <c r="I21" s="15"/>
      <c r="J21" s="58"/>
      <c r="P21" s="59"/>
      <c r="Q21" s="250"/>
      <c r="R21" s="92"/>
      <c r="S21" s="92"/>
      <c r="T21" s="92"/>
      <c r="U21" s="92"/>
      <c r="V21" s="92"/>
      <c r="W21" s="92"/>
      <c r="X21" s="92"/>
      <c r="Y21" s="92"/>
      <c r="Z21" s="92"/>
      <c r="AA21" s="92"/>
      <c r="AB21" s="92"/>
      <c r="AC21" s="92"/>
      <c r="AD21" s="92"/>
      <c r="AE21" s="71"/>
      <c r="AG21" s="72"/>
    </row>
    <row r="22" spans="2:33" s="14" customFormat="1" ht="15" customHeight="1">
      <c r="B22" s="71"/>
      <c r="C22" s="50" t="str">
        <f>Text!C77</f>
        <v>IN-YEAR COUNCIL TAX</v>
      </c>
      <c r="F22" s="58"/>
      <c r="G22" s="55"/>
      <c r="H22" s="54"/>
      <c r="I22" s="15"/>
      <c r="J22" s="58"/>
      <c r="K22" s="60"/>
      <c r="L22" s="60"/>
      <c r="M22" s="60"/>
      <c r="N22" s="15"/>
      <c r="O22" s="15"/>
      <c r="P22" s="59"/>
      <c r="Q22" s="250"/>
      <c r="R22" s="92"/>
      <c r="S22" s="92"/>
      <c r="T22" s="92"/>
      <c r="U22" s="92"/>
      <c r="V22" s="92"/>
      <c r="W22" s="92"/>
      <c r="X22" s="92"/>
      <c r="Y22" s="92"/>
      <c r="Z22" s="92"/>
      <c r="AA22" s="92"/>
      <c r="AB22" s="92"/>
      <c r="AC22" s="92"/>
      <c r="AD22" s="92"/>
      <c r="AE22" s="71"/>
      <c r="AG22" s="72"/>
    </row>
    <row r="23" spans="2:33" s="14" customFormat="1" ht="15" customHeight="1">
      <c r="B23" s="71"/>
      <c r="F23" s="58"/>
      <c r="H23" s="15"/>
      <c r="I23" s="15"/>
      <c r="J23" s="58"/>
      <c r="P23" s="59"/>
      <c r="Q23" s="250"/>
      <c r="R23" s="92"/>
      <c r="S23" s="92"/>
      <c r="T23" s="92"/>
      <c r="U23" s="92"/>
      <c r="V23" s="92"/>
      <c r="W23" s="92"/>
      <c r="X23" s="92"/>
      <c r="Y23" s="92"/>
      <c r="Z23" s="92"/>
      <c r="AA23" s="92"/>
      <c r="AB23" s="92"/>
      <c r="AC23" s="92"/>
      <c r="AD23" s="92"/>
      <c r="AE23" s="71"/>
      <c r="AG23" s="72"/>
    </row>
    <row r="24" spans="2:33" s="14" customFormat="1" ht="15" customHeight="1">
      <c r="B24" s="252">
        <v>3</v>
      </c>
      <c r="C24" s="51" t="str">
        <f>Text!C74</f>
        <v>Amount received as a % of amount due, 2022-23 and 2023-24</v>
      </c>
      <c r="D24" s="51"/>
      <c r="E24" s="51"/>
      <c r="F24" s="51"/>
      <c r="G24" s="51"/>
      <c r="H24" s="51"/>
      <c r="I24" s="15"/>
      <c r="J24" s="58"/>
      <c r="P24" s="53" t="e">
        <f>IF(H27&lt;30,Text!C71,Text!C72)</f>
        <v>#DIV/0!</v>
      </c>
      <c r="Q24" s="250"/>
      <c r="R24" s="92"/>
      <c r="S24" s="92"/>
      <c r="T24" s="92"/>
      <c r="U24" s="92"/>
      <c r="V24" s="92"/>
      <c r="W24" s="92"/>
      <c r="X24" s="92"/>
      <c r="Y24" s="92"/>
      <c r="Z24" s="92"/>
      <c r="AA24" s="92"/>
      <c r="AB24" s="92"/>
      <c r="AC24" s="92"/>
      <c r="AD24" s="92"/>
      <c r="AE24" s="71"/>
      <c r="AG24" s="72"/>
    </row>
    <row r="25" spans="2:33" s="14" customFormat="1" ht="17.5" customHeight="1">
      <c r="B25" s="71"/>
      <c r="G25" s="55" t="str">
        <f>Text!C78&amp;"  "</f>
        <v xml:space="preserve">Received (row 4, col. 2)  </v>
      </c>
      <c r="H25" s="54">
        <f>VLOOKUP($AG$3&amp;$AF$4&amp;AF25&amp;AG25,CTCData,8,FALSE)</f>
        <v>0</v>
      </c>
      <c r="I25" s="15"/>
      <c r="P25" s="358"/>
      <c r="Q25" s="250"/>
      <c r="R25" s="92"/>
      <c r="S25" s="92"/>
      <c r="T25" s="92"/>
      <c r="U25" s="92"/>
      <c r="V25" s="92"/>
      <c r="W25" s="92"/>
      <c r="X25" s="92"/>
      <c r="Y25" s="92"/>
      <c r="Z25" s="92"/>
      <c r="AA25" s="92"/>
      <c r="AB25" s="92"/>
      <c r="AC25" s="92"/>
      <c r="AD25" s="92"/>
      <c r="AE25" s="71"/>
      <c r="AF25" s="55">
        <v>4</v>
      </c>
      <c r="AG25" s="75" t="s">
        <v>177</v>
      </c>
    </row>
    <row r="26" spans="2:33" s="14" customFormat="1" ht="17.5" customHeight="1">
      <c r="B26" s="71"/>
      <c r="G26" s="55" t="str">
        <f>Text!C79&amp;"  "</f>
        <v xml:space="preserve">Total amount due (row 3, col. 2)  </v>
      </c>
      <c r="H26" s="54">
        <f>VLOOKUP($AG$3&amp;$AF$4&amp;AF26&amp;AG26,CTCData,8,FALSE)</f>
        <v>0</v>
      </c>
      <c r="I26" s="15"/>
      <c r="K26" s="351" t="s">
        <v>201</v>
      </c>
      <c r="L26" s="352"/>
      <c r="M26" s="352"/>
      <c r="N26" s="353"/>
      <c r="O26" s="57"/>
      <c r="P26" s="359"/>
      <c r="Q26" s="250"/>
      <c r="R26" s="92"/>
      <c r="S26" s="92"/>
      <c r="T26" s="92"/>
      <c r="U26" s="92"/>
      <c r="V26" s="92"/>
      <c r="W26" s="92"/>
      <c r="X26" s="92"/>
      <c r="Y26" s="92"/>
      <c r="Z26" s="92"/>
      <c r="AA26" s="92"/>
      <c r="AB26" s="92"/>
      <c r="AC26" s="92"/>
      <c r="AD26" s="92"/>
      <c r="AE26" s="71"/>
      <c r="AF26" s="55">
        <v>3</v>
      </c>
      <c r="AG26" s="75" t="s">
        <v>177</v>
      </c>
    </row>
    <row r="27" spans="2:33" s="14" customFormat="1" ht="17.5" customHeight="1">
      <c r="B27" s="71"/>
      <c r="G27" s="55" t="str">
        <f>Text!C80&amp;"  "</f>
        <v xml:space="preserve">Percentage  </v>
      </c>
      <c r="H27" s="63" t="e">
        <f>(H25/H26)*100</f>
        <v>#DIV/0!</v>
      </c>
      <c r="I27" s="14" t="s">
        <v>142</v>
      </c>
      <c r="K27" s="354"/>
      <c r="L27" s="355"/>
      <c r="M27" s="355"/>
      <c r="N27" s="356"/>
      <c r="O27" s="57"/>
      <c r="P27" s="360"/>
      <c r="Q27" s="250"/>
      <c r="R27" s="92"/>
      <c r="S27" s="92"/>
      <c r="T27" s="92"/>
      <c r="U27" s="92"/>
      <c r="V27" s="92"/>
      <c r="W27" s="92"/>
      <c r="X27" s="92"/>
      <c r="Y27" s="92"/>
      <c r="Z27" s="92"/>
      <c r="AA27" s="92"/>
      <c r="AB27" s="92"/>
      <c r="AC27" s="92"/>
      <c r="AD27" s="92"/>
      <c r="AE27" s="71"/>
      <c r="AG27" s="72"/>
    </row>
    <row r="28" spans="2:33" s="14" customFormat="1" ht="15" customHeight="1">
      <c r="B28" s="71"/>
      <c r="M28" s="49"/>
      <c r="P28" s="59"/>
      <c r="Q28" s="250"/>
      <c r="R28" s="92"/>
      <c r="S28" s="92"/>
      <c r="T28" s="92"/>
      <c r="U28" s="92"/>
      <c r="V28" s="92"/>
      <c r="W28" s="92"/>
      <c r="X28" s="92"/>
      <c r="Y28" s="92"/>
      <c r="Z28" s="92"/>
      <c r="AA28" s="92"/>
      <c r="AB28" s="92"/>
      <c r="AC28" s="92"/>
      <c r="AD28" s="92"/>
      <c r="AE28" s="71"/>
      <c r="AG28" s="72"/>
    </row>
    <row r="29" spans="2:33" s="14" customFormat="1" ht="15" customHeight="1">
      <c r="B29" s="252">
        <v>4</v>
      </c>
      <c r="C29" s="51" t="str">
        <f>Text!C81</f>
        <v>In-year debit compared to amount originally budgeted to be collected</v>
      </c>
      <c r="D29" s="51"/>
      <c r="E29" s="51"/>
      <c r="F29" s="51"/>
      <c r="G29" s="51"/>
      <c r="H29" s="51"/>
      <c r="I29" s="51"/>
      <c r="J29" s="51"/>
      <c r="K29" s="51"/>
      <c r="L29" s="51"/>
      <c r="M29" s="51"/>
      <c r="N29" s="51"/>
      <c r="P29" s="53" t="str">
        <f>IF(H30&lt;H31,Text!C71,Text!C72)</f>
        <v>Clear</v>
      </c>
      <c r="Q29" s="250"/>
      <c r="R29" s="92"/>
      <c r="S29" s="92"/>
      <c r="T29" s="92"/>
      <c r="U29" s="92"/>
      <c r="V29" s="92"/>
      <c r="W29" s="92"/>
      <c r="X29" s="92"/>
      <c r="Y29" s="92"/>
      <c r="Z29" s="92"/>
      <c r="AA29" s="92"/>
      <c r="AB29" s="92"/>
      <c r="AC29" s="92"/>
      <c r="AD29" s="92"/>
      <c r="AE29" s="71"/>
      <c r="AG29" s="72"/>
    </row>
    <row r="30" spans="2:33" s="14" customFormat="1" ht="15" customHeight="1">
      <c r="B30" s="71"/>
      <c r="G30" s="55" t="str">
        <f>Text!C82&amp;"  "</f>
        <v xml:space="preserve">Debit for the year (row 2, col. 2)  </v>
      </c>
      <c r="H30" s="54">
        <f>VLOOKUP($AG$3&amp;$AF$4&amp;AF30&amp;AG30,CTCData,8,FALSE)</f>
        <v>0</v>
      </c>
      <c r="K30" s="363" t="str">
        <f>Text!C84</f>
        <v>row 2 &gt;= row 7</v>
      </c>
      <c r="L30" s="364"/>
      <c r="M30" s="364"/>
      <c r="N30" s="365"/>
      <c r="P30" s="358"/>
      <c r="Q30" s="250"/>
      <c r="R30" s="92"/>
      <c r="S30" s="92"/>
      <c r="T30" s="92"/>
      <c r="U30" s="92"/>
      <c r="V30" s="92"/>
      <c r="W30" s="92"/>
      <c r="X30" s="92"/>
      <c r="Y30" s="92"/>
      <c r="Z30" s="92"/>
      <c r="AA30" s="92"/>
      <c r="AB30" s="92"/>
      <c r="AC30" s="92"/>
      <c r="AD30" s="92"/>
      <c r="AE30" s="71"/>
      <c r="AF30" s="55" t="s">
        <v>177</v>
      </c>
      <c r="AG30" s="75" t="s">
        <v>176</v>
      </c>
    </row>
    <row r="31" spans="2:33" s="14" customFormat="1" ht="15" customHeight="1">
      <c r="B31" s="71"/>
      <c r="G31" s="55" t="str">
        <f>Text!C83&amp;"  "</f>
        <v xml:space="preserve">Amount originally budgeted (row 7)  </v>
      </c>
      <c r="H31" s="54">
        <f>VLOOKUP($AG$3&amp;$AF$4&amp;AF31&amp;AG31,CTCData,8,FALSE)</f>
        <v>0</v>
      </c>
      <c r="K31" s="366"/>
      <c r="L31" s="367"/>
      <c r="M31" s="367"/>
      <c r="N31" s="368"/>
      <c r="O31" s="57"/>
      <c r="P31" s="359"/>
      <c r="Q31" s="250"/>
      <c r="R31" s="92"/>
      <c r="S31" s="92"/>
      <c r="T31" s="92"/>
      <c r="U31" s="92"/>
      <c r="V31" s="92"/>
      <c r="W31" s="92"/>
      <c r="X31" s="92"/>
      <c r="Y31" s="92"/>
      <c r="Z31" s="92"/>
      <c r="AA31" s="92"/>
      <c r="AB31" s="92"/>
      <c r="AC31" s="92"/>
      <c r="AD31" s="92"/>
      <c r="AE31" s="71"/>
      <c r="AF31" s="55" t="s">
        <v>179</v>
      </c>
      <c r="AG31" s="75" t="s">
        <v>176</v>
      </c>
    </row>
    <row r="32" spans="2:33" s="14" customFormat="1" ht="15" customHeight="1">
      <c r="B32" s="71"/>
      <c r="G32" s="55" t="str">
        <f>Text!C70&amp;"  "</f>
        <v xml:space="preserve">Difference  </v>
      </c>
      <c r="H32" s="54">
        <f>H30-H31</f>
        <v>0</v>
      </c>
      <c r="K32" s="369"/>
      <c r="L32" s="370"/>
      <c r="M32" s="370"/>
      <c r="N32" s="371"/>
      <c r="O32" s="57"/>
      <c r="P32" s="360"/>
      <c r="Q32" s="250"/>
      <c r="R32" s="92"/>
      <c r="S32" s="92"/>
      <c r="T32" s="92"/>
      <c r="U32" s="92"/>
      <c r="V32" s="92"/>
      <c r="W32" s="92"/>
      <c r="X32" s="92"/>
      <c r="Y32" s="92"/>
      <c r="Z32" s="92"/>
      <c r="AA32" s="92"/>
      <c r="AB32" s="92"/>
      <c r="AC32" s="92"/>
      <c r="AD32" s="92"/>
      <c r="AE32" s="71"/>
      <c r="AG32" s="72"/>
    </row>
    <row r="33" spans="2:33" s="14" customFormat="1" ht="15" customHeight="1">
      <c r="B33" s="71"/>
      <c r="C33" s="51"/>
      <c r="D33" s="51"/>
      <c r="G33" s="51"/>
      <c r="H33" s="51"/>
      <c r="P33" s="64"/>
      <c r="Q33" s="250"/>
      <c r="R33" s="92"/>
      <c r="S33" s="92"/>
      <c r="T33" s="92"/>
      <c r="U33" s="92"/>
      <c r="V33" s="92"/>
      <c r="W33" s="92"/>
      <c r="X33" s="92"/>
      <c r="Y33" s="92"/>
      <c r="Z33" s="92"/>
      <c r="AA33" s="92"/>
      <c r="AB33" s="92"/>
      <c r="AC33" s="92"/>
      <c r="AD33" s="92"/>
      <c r="AE33" s="71"/>
      <c r="AG33" s="72"/>
    </row>
    <row r="34" spans="2:33" s="14" customFormat="1" ht="15" customHeight="1">
      <c r="B34" s="252">
        <v>5</v>
      </c>
      <c r="C34" s="51" t="str">
        <f>Text!C85</f>
        <v>Amount received as a percentage of amount due</v>
      </c>
      <c r="D34" s="51"/>
      <c r="E34" s="51"/>
      <c r="F34" s="51"/>
      <c r="G34" s="51"/>
      <c r="H34" s="51"/>
      <c r="I34" s="51"/>
      <c r="J34" s="51"/>
      <c r="K34" s="51"/>
      <c r="L34" s="51"/>
      <c r="M34" s="51"/>
      <c r="N34" s="51"/>
      <c r="P34" s="53" t="e">
        <f>IF(OR(H37&lt;90,H37&gt;100),Text!C71,Text!C72)</f>
        <v>#DIV/0!</v>
      </c>
      <c r="Q34" s="250"/>
      <c r="R34" s="92"/>
      <c r="S34" s="92"/>
      <c r="T34" s="92"/>
      <c r="U34" s="92"/>
      <c r="V34" s="92"/>
      <c r="W34" s="92"/>
      <c r="X34" s="92"/>
      <c r="Y34" s="92"/>
      <c r="Z34" s="92"/>
      <c r="AA34" s="92"/>
      <c r="AB34" s="92"/>
      <c r="AC34" s="92"/>
      <c r="AD34" s="92"/>
      <c r="AE34" s="71"/>
      <c r="AG34" s="72"/>
    </row>
    <row r="35" spans="2:33" s="14" customFormat="1" ht="15" customHeight="1">
      <c r="B35" s="71"/>
      <c r="G35" s="14" t="str">
        <f>Text!C86&amp;"  "</f>
        <v xml:space="preserve">Received (row 4, col. 3)  </v>
      </c>
      <c r="H35" s="54">
        <f>VLOOKUP($AG$3&amp;$AF$4&amp;AF35&amp;AG35,CTCData,8,FALSE)</f>
        <v>0</v>
      </c>
      <c r="I35" s="54"/>
      <c r="P35" s="358"/>
      <c r="Q35" s="250"/>
      <c r="R35" s="92"/>
      <c r="S35" s="92"/>
      <c r="T35" s="92"/>
      <c r="U35" s="92"/>
      <c r="V35" s="92"/>
      <c r="W35" s="92"/>
      <c r="X35" s="92"/>
      <c r="Y35" s="92"/>
      <c r="Z35" s="92"/>
      <c r="AA35" s="92"/>
      <c r="AB35" s="92"/>
      <c r="AC35" s="92"/>
      <c r="AD35" s="92"/>
      <c r="AE35" s="71"/>
      <c r="AF35" s="55" t="s">
        <v>178</v>
      </c>
      <c r="AG35" s="75" t="s">
        <v>176</v>
      </c>
    </row>
    <row r="36" spans="2:33" s="14" customFormat="1" ht="15" customHeight="1">
      <c r="B36" s="71"/>
      <c r="G36" s="55" t="str">
        <f>Text!C87&amp;"  "</f>
        <v xml:space="preserve">Total amount due (row 3, col. 3)  </v>
      </c>
      <c r="H36" s="54">
        <f>VLOOKUP($AG$3&amp;$AF$4&amp;AF36&amp;AG36,CTCData,8,FALSE)</f>
        <v>0</v>
      </c>
      <c r="I36" s="54"/>
      <c r="K36" s="351" t="str">
        <f>"90% "&amp;Text!C99&amp;" 100%"</f>
        <v>90% to 100%</v>
      </c>
      <c r="L36" s="352"/>
      <c r="M36" s="352"/>
      <c r="N36" s="353"/>
      <c r="O36" s="57"/>
      <c r="P36" s="359"/>
      <c r="Q36" s="250"/>
      <c r="R36" s="92"/>
      <c r="S36" s="92"/>
      <c r="T36" s="92"/>
      <c r="U36" s="92"/>
      <c r="V36" s="92"/>
      <c r="W36" s="92"/>
      <c r="X36" s="92"/>
      <c r="Y36" s="92"/>
      <c r="Z36" s="92"/>
      <c r="AA36" s="92"/>
      <c r="AB36" s="92"/>
      <c r="AC36" s="92"/>
      <c r="AD36" s="92"/>
      <c r="AE36" s="71"/>
      <c r="AF36" s="55" t="s">
        <v>176</v>
      </c>
      <c r="AG36" s="75" t="s">
        <v>176</v>
      </c>
    </row>
    <row r="37" spans="2:33" s="14" customFormat="1" ht="15" customHeight="1">
      <c r="B37" s="71"/>
      <c r="G37" s="55" t="str">
        <f>Text!C80&amp;"  "</f>
        <v xml:space="preserve">Percentage  </v>
      </c>
      <c r="H37" s="63" t="e">
        <f>(H35/H36)*100</f>
        <v>#DIV/0!</v>
      </c>
      <c r="I37" s="65" t="s">
        <v>142</v>
      </c>
      <c r="J37" s="58"/>
      <c r="K37" s="354"/>
      <c r="L37" s="355"/>
      <c r="M37" s="355"/>
      <c r="N37" s="356"/>
      <c r="O37" s="57"/>
      <c r="P37" s="360"/>
      <c r="Q37" s="250"/>
      <c r="R37" s="92"/>
      <c r="S37" s="92"/>
      <c r="T37" s="92"/>
      <c r="U37" s="92"/>
      <c r="V37" s="92"/>
      <c r="W37" s="92"/>
      <c r="X37" s="92"/>
      <c r="Y37" s="92"/>
      <c r="Z37" s="92"/>
      <c r="AA37" s="92"/>
      <c r="AB37" s="92"/>
      <c r="AC37" s="92"/>
      <c r="AD37" s="92"/>
      <c r="AE37" s="71"/>
      <c r="AG37" s="72"/>
    </row>
    <row r="38" spans="2:33" s="14" customFormat="1" ht="15" customHeight="1">
      <c r="B38" s="71"/>
      <c r="C38" s="65"/>
      <c r="D38" s="65"/>
      <c r="F38" s="58"/>
      <c r="G38" s="63"/>
      <c r="H38" s="63"/>
      <c r="I38" s="63"/>
      <c r="J38" s="58"/>
      <c r="K38" s="63"/>
      <c r="M38" s="49"/>
      <c r="N38" s="65"/>
      <c r="P38" s="59"/>
      <c r="Q38" s="250"/>
      <c r="R38" s="92"/>
      <c r="S38" s="92"/>
      <c r="T38" s="92"/>
      <c r="U38" s="92"/>
      <c r="V38" s="92"/>
      <c r="W38" s="92"/>
      <c r="X38" s="92"/>
      <c r="Y38" s="92"/>
      <c r="Z38" s="92"/>
      <c r="AA38" s="92"/>
      <c r="AB38" s="92"/>
      <c r="AC38" s="92"/>
      <c r="AD38" s="92"/>
      <c r="AE38" s="71"/>
      <c r="AG38" s="72"/>
    </row>
    <row r="39" spans="2:33" s="14" customFormat="1" ht="15" customHeight="1">
      <c r="B39" s="252">
        <v>6</v>
      </c>
      <c r="C39" s="51" t="str">
        <f>Text!C88</f>
        <v>Amount received compared to amount originally budgeted to be collected</v>
      </c>
      <c r="D39" s="51"/>
      <c r="E39" s="51"/>
      <c r="F39" s="51"/>
      <c r="G39" s="51"/>
      <c r="H39" s="51"/>
      <c r="I39" s="51"/>
      <c r="J39" s="51"/>
      <c r="K39" s="51"/>
      <c r="L39" s="51"/>
      <c r="M39" s="51"/>
      <c r="N39" s="51"/>
      <c r="P39" s="53" t="e">
        <f>IF(OR(H42&lt;97,H42&gt;103),Text!C71,Text!C72)</f>
        <v>#DIV/0!</v>
      </c>
      <c r="Q39" s="250"/>
      <c r="R39" s="92"/>
      <c r="S39" s="92"/>
      <c r="T39" s="92"/>
      <c r="U39" s="92"/>
      <c r="V39" s="92"/>
      <c r="W39" s="92"/>
      <c r="X39" s="92"/>
      <c r="Y39" s="92"/>
      <c r="Z39" s="92"/>
      <c r="AA39" s="92"/>
      <c r="AB39" s="92"/>
      <c r="AC39" s="92"/>
      <c r="AD39" s="92"/>
      <c r="AE39" s="71"/>
      <c r="AG39" s="72"/>
    </row>
    <row r="40" spans="2:33" s="14" customFormat="1" ht="15" customHeight="1">
      <c r="B40" s="71"/>
      <c r="G40" s="55" t="str">
        <f>Text!C86&amp;"  "</f>
        <v xml:space="preserve">Received (row 4, col. 3)  </v>
      </c>
      <c r="H40" s="54">
        <f>VLOOKUP($AG$3&amp;$AF$4&amp;AF40&amp;AG40,CTCData,8,FALSE)</f>
        <v>0</v>
      </c>
      <c r="I40" s="54"/>
      <c r="P40" s="358"/>
      <c r="Q40" s="250"/>
      <c r="R40" s="92"/>
      <c r="S40" s="92"/>
      <c r="T40" s="92"/>
      <c r="U40" s="92"/>
      <c r="V40" s="92"/>
      <c r="W40" s="92"/>
      <c r="X40" s="92"/>
      <c r="Y40" s="92"/>
      <c r="Z40" s="92"/>
      <c r="AA40" s="92"/>
      <c r="AB40" s="92"/>
      <c r="AC40" s="92"/>
      <c r="AD40" s="92"/>
      <c r="AE40" s="71"/>
      <c r="AF40" s="55" t="s">
        <v>178</v>
      </c>
      <c r="AG40" s="75" t="s">
        <v>176</v>
      </c>
    </row>
    <row r="41" spans="2:33" s="14" customFormat="1" ht="15" customHeight="1">
      <c r="B41" s="71"/>
      <c r="D41" s="60"/>
      <c r="E41" s="60"/>
      <c r="F41" s="60"/>
      <c r="G41" s="55" t="str">
        <f>Text!C83&amp;"  "</f>
        <v xml:space="preserve">Amount originally budgeted (row 7)  </v>
      </c>
      <c r="H41" s="54">
        <f>VLOOKUP($AG$3&amp;$AF$4&amp;AF41&amp;AG41,CTCData,8,FALSE)</f>
        <v>0</v>
      </c>
      <c r="I41" s="54"/>
      <c r="K41" s="351" t="str">
        <f>"97% "&amp;Text!C99&amp;" 103%"</f>
        <v>97% to 103%</v>
      </c>
      <c r="L41" s="352"/>
      <c r="M41" s="352"/>
      <c r="N41" s="353"/>
      <c r="O41" s="57"/>
      <c r="P41" s="359"/>
      <c r="Q41" s="250"/>
      <c r="R41" s="92"/>
      <c r="S41" s="92"/>
      <c r="T41" s="92"/>
      <c r="U41" s="92"/>
      <c r="V41" s="92"/>
      <c r="W41" s="92"/>
      <c r="X41" s="92"/>
      <c r="Y41" s="92"/>
      <c r="Z41" s="92"/>
      <c r="AA41" s="92"/>
      <c r="AB41" s="92"/>
      <c r="AC41" s="92"/>
      <c r="AD41" s="92"/>
      <c r="AE41" s="71"/>
      <c r="AF41" s="55" t="s">
        <v>179</v>
      </c>
      <c r="AG41" s="75" t="s">
        <v>176</v>
      </c>
    </row>
    <row r="42" spans="2:33" s="14" customFormat="1" ht="15" customHeight="1">
      <c r="B42" s="71"/>
      <c r="G42" s="55" t="str">
        <f>Text!C80&amp;"  "</f>
        <v xml:space="preserve">Percentage  </v>
      </c>
      <c r="H42" s="63" t="e">
        <f>(H40/H41)*100</f>
        <v>#DIV/0!</v>
      </c>
      <c r="I42" s="65" t="s">
        <v>142</v>
      </c>
      <c r="K42" s="354"/>
      <c r="L42" s="355"/>
      <c r="M42" s="355"/>
      <c r="N42" s="356"/>
      <c r="O42" s="57"/>
      <c r="P42" s="360"/>
      <c r="Q42" s="250"/>
      <c r="R42" s="92"/>
      <c r="S42" s="92"/>
      <c r="T42" s="92"/>
      <c r="U42" s="92"/>
      <c r="V42" s="92"/>
      <c r="W42" s="92"/>
      <c r="X42" s="92"/>
      <c r="Y42" s="92"/>
      <c r="Z42" s="92"/>
      <c r="AA42" s="92"/>
      <c r="AB42" s="92"/>
      <c r="AC42" s="92"/>
      <c r="AD42" s="92"/>
      <c r="AE42" s="71"/>
      <c r="AG42" s="72"/>
    </row>
    <row r="43" spans="2:33" s="14" customFormat="1" ht="15" customHeight="1">
      <c r="B43" s="71"/>
      <c r="Q43" s="250"/>
      <c r="R43" s="92"/>
      <c r="S43" s="92"/>
      <c r="T43" s="92"/>
      <c r="U43" s="92"/>
      <c r="V43" s="92"/>
      <c r="W43" s="92"/>
      <c r="X43" s="92"/>
      <c r="Y43" s="92"/>
      <c r="Z43" s="92"/>
      <c r="AA43" s="92"/>
      <c r="AB43" s="92"/>
      <c r="AC43" s="92"/>
      <c r="AD43" s="92"/>
      <c r="AE43" s="71"/>
      <c r="AG43" s="72"/>
    </row>
    <row r="44" spans="2:33" s="14" customFormat="1" ht="15" customHeight="1">
      <c r="B44" s="252">
        <v>7</v>
      </c>
      <c r="C44" s="51" t="str">
        <f>Text!C115</f>
        <v>Amount received in relation to the total amount due</v>
      </c>
      <c r="D44" s="51"/>
      <c r="E44" s="51"/>
      <c r="F44" s="51"/>
      <c r="G44" s="51"/>
      <c r="H44" s="51"/>
      <c r="I44" s="51"/>
      <c r="J44" s="51"/>
      <c r="K44" s="51"/>
      <c r="L44" s="51"/>
      <c r="M44" s="51"/>
      <c r="N44" s="51"/>
      <c r="P44" s="53" t="e">
        <f>IF(OR(H47&lt;90,H47&gt;100),Text!C71,Text!C72)</f>
        <v>#DIV/0!</v>
      </c>
      <c r="Q44" s="250"/>
      <c r="R44" s="92"/>
      <c r="S44" s="92"/>
      <c r="T44" s="92"/>
      <c r="U44" s="92"/>
      <c r="V44" s="92"/>
      <c r="W44" s="92"/>
      <c r="X44" s="92"/>
      <c r="Y44" s="92"/>
      <c r="Z44" s="92"/>
      <c r="AA44" s="92"/>
      <c r="AB44" s="92"/>
      <c r="AC44" s="92"/>
      <c r="AD44" s="92"/>
      <c r="AE44" s="71"/>
      <c r="AG44" s="72"/>
    </row>
    <row r="45" spans="2:33" s="14" customFormat="1" ht="15" customHeight="1">
      <c r="B45" s="71"/>
      <c r="G45" s="55" t="str">
        <f>Text!C83&amp;"  "</f>
        <v xml:space="preserve">Amount originally budgeted (row 7)  </v>
      </c>
      <c r="H45" s="54">
        <f>VLOOKUP($AG$3&amp;$AF$4&amp;AF45&amp;AG45,CTCData,8,FALSE)</f>
        <v>0</v>
      </c>
      <c r="I45" s="15"/>
      <c r="P45" s="358"/>
      <c r="Q45" s="250"/>
      <c r="R45" s="92"/>
      <c r="S45" s="92"/>
      <c r="T45" s="92"/>
      <c r="U45" s="92"/>
      <c r="V45" s="92"/>
      <c r="W45" s="92"/>
      <c r="X45" s="92"/>
      <c r="Y45" s="92"/>
      <c r="Z45" s="92"/>
      <c r="AA45" s="92"/>
      <c r="AB45" s="92"/>
      <c r="AC45" s="92"/>
      <c r="AD45" s="92"/>
      <c r="AE45" s="71"/>
      <c r="AF45" s="55" t="s">
        <v>179</v>
      </c>
      <c r="AG45" s="75" t="s">
        <v>176</v>
      </c>
    </row>
    <row r="46" spans="2:33" s="14" customFormat="1" ht="15" customHeight="1">
      <c r="B46" s="71"/>
      <c r="G46" s="55" t="str">
        <f>Text!C87&amp;"  "</f>
        <v xml:space="preserve">Total amount due (row 3, col. 3)  </v>
      </c>
      <c r="H46" s="54">
        <f>VLOOKUP($AG$3&amp;$AF$4&amp;AF46&amp;AG46,CTCData,8,FALSE)</f>
        <v>0</v>
      </c>
      <c r="I46" s="15"/>
      <c r="K46" s="351" t="str">
        <f>"90% "&amp;Text!C99&amp;" 100%"</f>
        <v>90% to 100%</v>
      </c>
      <c r="L46" s="352"/>
      <c r="M46" s="352"/>
      <c r="N46" s="353"/>
      <c r="O46" s="57"/>
      <c r="P46" s="359"/>
      <c r="Q46" s="250"/>
      <c r="R46" s="92"/>
      <c r="S46" s="92"/>
      <c r="T46" s="92"/>
      <c r="U46" s="92"/>
      <c r="V46" s="92"/>
      <c r="W46" s="92"/>
      <c r="X46" s="92"/>
      <c r="Y46" s="92"/>
      <c r="Z46" s="92"/>
      <c r="AA46" s="92"/>
      <c r="AB46" s="92"/>
      <c r="AC46" s="92"/>
      <c r="AD46" s="92"/>
      <c r="AE46" s="71"/>
      <c r="AF46" s="55" t="s">
        <v>176</v>
      </c>
      <c r="AG46" s="75" t="s">
        <v>176</v>
      </c>
    </row>
    <row r="47" spans="2:33" s="14" customFormat="1" ht="15" customHeight="1">
      <c r="B47" s="71"/>
      <c r="G47" s="55" t="str">
        <f>Text!C80&amp;"  "</f>
        <v xml:space="preserve">Percentage  </v>
      </c>
      <c r="H47" s="63" t="e">
        <f>(H45/H46)*100</f>
        <v>#DIV/0!</v>
      </c>
      <c r="I47" s="62" t="s">
        <v>142</v>
      </c>
      <c r="K47" s="354"/>
      <c r="L47" s="355"/>
      <c r="M47" s="355"/>
      <c r="N47" s="356"/>
      <c r="O47" s="57"/>
      <c r="P47" s="360"/>
      <c r="Q47" s="250"/>
      <c r="R47" s="92"/>
      <c r="S47" s="92"/>
      <c r="T47" s="92"/>
      <c r="U47" s="92"/>
      <c r="V47" s="92"/>
      <c r="W47" s="92"/>
      <c r="X47" s="92"/>
      <c r="Y47" s="92"/>
      <c r="Z47" s="92"/>
      <c r="AA47" s="92"/>
      <c r="AB47" s="92"/>
      <c r="AC47" s="92"/>
      <c r="AD47" s="92"/>
      <c r="AE47" s="71"/>
      <c r="AG47" s="72"/>
    </row>
    <row r="48" spans="2:33" s="14" customFormat="1" ht="15" customHeight="1">
      <c r="B48" s="71"/>
      <c r="Q48" s="250"/>
      <c r="R48" s="92"/>
      <c r="S48" s="92"/>
      <c r="T48" s="92"/>
      <c r="U48" s="92"/>
      <c r="V48" s="92"/>
      <c r="W48" s="92"/>
      <c r="X48" s="92"/>
      <c r="Y48" s="92"/>
      <c r="Z48" s="92"/>
      <c r="AA48" s="92"/>
      <c r="AB48" s="92"/>
      <c r="AC48" s="92"/>
      <c r="AD48" s="92"/>
      <c r="AE48" s="71"/>
      <c r="AG48" s="72"/>
    </row>
    <row r="49" spans="2:33" s="14" customFormat="1" ht="15" customHeight="1">
      <c r="B49" s="252">
        <v>8</v>
      </c>
      <c r="C49" s="51" t="str">
        <f>Text!C85</f>
        <v>Amount received as a percentage of amount due</v>
      </c>
      <c r="D49" s="51"/>
      <c r="E49" s="51"/>
      <c r="F49" s="51"/>
      <c r="G49" s="51"/>
      <c r="H49" s="51"/>
      <c r="I49" s="51"/>
      <c r="J49" s="51"/>
      <c r="K49" s="51"/>
      <c r="L49" s="51"/>
      <c r="M49" s="51"/>
      <c r="N49" s="51"/>
      <c r="P49" s="53" t="str">
        <f>IF(OR(H50&lt;93,H50&gt;98),Text!C71,Text!C72)</f>
        <v>Please Comment</v>
      </c>
      <c r="Q49" s="250"/>
      <c r="R49" s="92"/>
      <c r="S49" s="92"/>
      <c r="T49" s="92"/>
      <c r="U49" s="92"/>
      <c r="V49" s="92"/>
      <c r="W49" s="92"/>
      <c r="X49" s="92"/>
      <c r="Y49" s="92"/>
      <c r="Z49" s="92"/>
      <c r="AA49" s="92"/>
      <c r="AB49" s="92"/>
      <c r="AC49" s="92"/>
      <c r="AD49" s="92"/>
      <c r="AE49" s="71"/>
      <c r="AG49" s="72"/>
    </row>
    <row r="50" spans="2:33" s="14" customFormat="1" ht="15" customHeight="1">
      <c r="B50" s="71"/>
      <c r="G50" s="55" t="str">
        <f>Text!C89&amp;"  "</f>
        <v xml:space="preserve">CTC, row 8  </v>
      </c>
      <c r="H50" s="61">
        <f>VLOOKUP($AG$3&amp;$AF$4&amp;AF50&amp;AG50,CTCData,8,FALSE)</f>
        <v>0</v>
      </c>
      <c r="I50" s="62" t="s">
        <v>142</v>
      </c>
      <c r="K50" s="351" t="str">
        <f>"93% "&amp;Text!C99&amp;" 98%"</f>
        <v>93% to 98%</v>
      </c>
      <c r="L50" s="352"/>
      <c r="M50" s="352"/>
      <c r="N50" s="353"/>
      <c r="O50" s="57"/>
      <c r="P50" s="358"/>
      <c r="Q50" s="250"/>
      <c r="R50" s="92"/>
      <c r="S50" s="92"/>
      <c r="T50" s="92"/>
      <c r="U50" s="92"/>
      <c r="V50" s="92"/>
      <c r="W50" s="92"/>
      <c r="X50" s="92"/>
      <c r="Y50" s="92"/>
      <c r="Z50" s="92"/>
      <c r="AA50" s="92"/>
      <c r="AB50" s="92"/>
      <c r="AC50" s="92"/>
      <c r="AD50" s="92"/>
      <c r="AE50" s="71"/>
      <c r="AF50" s="55" t="s">
        <v>185</v>
      </c>
      <c r="AG50" s="75" t="s">
        <v>176</v>
      </c>
    </row>
    <row r="51" spans="2:33" s="14" customFormat="1" ht="15" customHeight="1">
      <c r="B51" s="71"/>
      <c r="K51" s="354"/>
      <c r="L51" s="355"/>
      <c r="M51" s="355"/>
      <c r="N51" s="356"/>
      <c r="O51" s="57"/>
      <c r="P51" s="359"/>
      <c r="Q51" s="250"/>
      <c r="R51" s="92"/>
      <c r="S51" s="92"/>
      <c r="T51" s="92"/>
      <c r="U51" s="92"/>
      <c r="V51" s="92"/>
      <c r="W51" s="92"/>
      <c r="X51" s="92"/>
      <c r="Y51" s="92"/>
      <c r="Z51" s="92"/>
      <c r="AA51" s="92"/>
      <c r="AB51" s="92"/>
      <c r="AC51" s="92"/>
      <c r="AD51" s="92"/>
      <c r="AE51" s="71"/>
      <c r="AG51" s="72"/>
    </row>
    <row r="52" spans="2:33" s="14" customFormat="1" ht="15" customHeight="1">
      <c r="B52" s="71"/>
      <c r="P52" s="360"/>
      <c r="Q52" s="250"/>
      <c r="R52" s="92"/>
      <c r="S52" s="92"/>
      <c r="T52" s="92"/>
      <c r="U52" s="92"/>
      <c r="V52" s="92"/>
      <c r="W52" s="92"/>
      <c r="X52" s="92"/>
      <c r="Y52" s="92"/>
      <c r="Z52" s="92"/>
      <c r="AA52" s="92"/>
      <c r="AB52" s="92"/>
      <c r="AC52" s="92"/>
      <c r="AD52" s="92"/>
      <c r="AE52" s="71"/>
      <c r="AG52" s="72"/>
    </row>
    <row r="53" spans="2:33" s="14" customFormat="1" ht="15" customHeight="1">
      <c r="B53" s="71"/>
      <c r="Q53" s="250"/>
      <c r="R53" s="92"/>
      <c r="S53" s="92"/>
      <c r="T53" s="92"/>
      <c r="U53" s="92"/>
      <c r="V53" s="92"/>
      <c r="W53" s="92"/>
      <c r="X53" s="92"/>
      <c r="Y53" s="92"/>
      <c r="Z53" s="92"/>
      <c r="AA53" s="92"/>
      <c r="AB53" s="92"/>
      <c r="AC53" s="92"/>
      <c r="AD53" s="92"/>
      <c r="AE53" s="71"/>
      <c r="AG53" s="72"/>
    </row>
    <row r="54" spans="2:33" s="14" customFormat="1" ht="15" customHeight="1">
      <c r="B54" s="71"/>
      <c r="C54" s="50" t="str">
        <f>Text!C90</f>
        <v>COMPARISONS WITH THE BUDGET REQUIREMENT RETURN (BR1), 2023-24</v>
      </c>
      <c r="D54" s="50"/>
      <c r="E54" s="50"/>
      <c r="F54" s="50"/>
      <c r="G54" s="50"/>
      <c r="H54" s="50"/>
      <c r="I54" s="50"/>
      <c r="J54" s="50"/>
      <c r="Q54" s="250"/>
      <c r="R54" s="92"/>
      <c r="S54" s="92"/>
      <c r="T54" s="92"/>
      <c r="U54" s="92"/>
      <c r="V54" s="92"/>
      <c r="W54" s="92"/>
      <c r="X54" s="92"/>
      <c r="Y54" s="92"/>
      <c r="Z54" s="92"/>
      <c r="AA54" s="92"/>
      <c r="AB54" s="92"/>
      <c r="AC54" s="92"/>
      <c r="AD54" s="92"/>
      <c r="AE54" s="71"/>
      <c r="AG54" s="72"/>
    </row>
    <row r="55" spans="2:33" s="14" customFormat="1" ht="15" customHeight="1">
      <c r="B55" s="71"/>
      <c r="Q55" s="250"/>
      <c r="R55" s="92"/>
      <c r="S55" s="92"/>
      <c r="T55" s="92"/>
      <c r="U55" s="92"/>
      <c r="V55" s="92"/>
      <c r="W55" s="92"/>
      <c r="X55" s="92"/>
      <c r="Y55" s="92"/>
      <c r="Z55" s="92"/>
      <c r="AA55" s="92"/>
      <c r="AB55" s="92"/>
      <c r="AC55" s="92"/>
      <c r="AD55" s="92"/>
      <c r="AE55" s="71"/>
      <c r="AG55" s="72"/>
    </row>
    <row r="56" spans="2:33" s="14" customFormat="1" ht="15" customHeight="1">
      <c r="B56" s="252">
        <v>9</v>
      </c>
      <c r="C56" s="381" t="str">
        <f>Text!C91</f>
        <v>CTC, line 7 minus BR1 lines 5 + 16 (in thousands)</v>
      </c>
      <c r="D56" s="381"/>
      <c r="E56" s="381"/>
      <c r="F56" s="381"/>
      <c r="G56" s="381"/>
      <c r="H56" s="381"/>
      <c r="I56" s="381"/>
      <c r="J56" s="381"/>
      <c r="K56" s="381"/>
      <c r="L56" s="381"/>
      <c r="M56" s="381"/>
      <c r="N56" s="381"/>
      <c r="P56" s="53" t="e">
        <f>IF(ABS(H60)&gt;1,Text!C71,Text!C72)</f>
        <v>#N/A</v>
      </c>
      <c r="Q56" s="250"/>
      <c r="R56" s="92"/>
      <c r="S56" s="92"/>
      <c r="T56" s="92"/>
      <c r="U56" s="92"/>
      <c r="V56" s="92"/>
      <c r="W56" s="92"/>
      <c r="X56" s="92"/>
      <c r="Y56" s="92"/>
      <c r="Z56" s="92"/>
      <c r="AA56" s="92"/>
      <c r="AB56" s="92"/>
      <c r="AC56" s="92"/>
      <c r="AD56" s="92"/>
      <c r="AE56" s="71"/>
      <c r="AG56" s="72"/>
    </row>
    <row r="57" spans="2:33" s="14" customFormat="1" ht="15" customHeight="1">
      <c r="B57" s="71"/>
      <c r="C57" s="55" t="str">
        <f>Text!C92&amp;"  "</f>
        <v xml:space="preserve">CTC, row 7  </v>
      </c>
      <c r="D57" s="54">
        <f>VLOOKUP($AG$3&amp;$AF$4&amp;AF57&amp;AG57,CTCData,8,FALSE)</f>
        <v>0</v>
      </c>
      <c r="F57" s="15"/>
      <c r="G57" s="267" t="str">
        <f>Text!C95&amp;"  "</f>
        <v xml:space="preserve">BR1, line 5 (£K)  </v>
      </c>
      <c r="H57" s="54" t="e">
        <f>VLOOKUP($AG$3&amp;$AE59&amp;$AF$4&amp;AF59&amp;AG59,BRData,2,FALSE)/1000</f>
        <v>#N/A</v>
      </c>
      <c r="P57" s="372"/>
      <c r="Q57" s="250"/>
      <c r="R57" s="92"/>
      <c r="S57" s="92"/>
      <c r="T57" s="92"/>
      <c r="U57" s="92"/>
      <c r="V57" s="92"/>
      <c r="W57" s="92"/>
      <c r="X57" s="92"/>
      <c r="Y57" s="92"/>
      <c r="Z57" s="92"/>
      <c r="AA57" s="92"/>
      <c r="AB57" s="92"/>
      <c r="AC57" s="92"/>
      <c r="AD57" s="92"/>
      <c r="AE57" s="71"/>
      <c r="AF57" s="55">
        <v>7</v>
      </c>
      <c r="AG57" s="75">
        <v>3</v>
      </c>
    </row>
    <row r="58" spans="2:33" s="14" customFormat="1" ht="15" customHeight="1">
      <c r="B58" s="71"/>
      <c r="C58" s="170"/>
      <c r="D58" s="54"/>
      <c r="F58" s="15"/>
      <c r="G58" s="267" t="str">
        <f>Text!C96&amp;"  "</f>
        <v xml:space="preserve">+ Line 16 (£K)  </v>
      </c>
      <c r="H58" s="56" t="e">
        <f>VLOOKUP($AG$3&amp;$AE59&amp;$AF$4&amp;AF60&amp;AG60,BRData,2,FALSE)/1000</f>
        <v>#N/A</v>
      </c>
      <c r="J58" s="66"/>
      <c r="K58" s="67"/>
      <c r="L58" s="67"/>
      <c r="M58" s="67"/>
      <c r="N58" s="67"/>
      <c r="O58" s="3"/>
      <c r="P58" s="373"/>
      <c r="Q58" s="250"/>
      <c r="R58" s="92"/>
      <c r="S58" s="92"/>
      <c r="T58" s="92"/>
      <c r="U58" s="92"/>
      <c r="V58" s="92"/>
      <c r="W58" s="92"/>
      <c r="X58" s="92"/>
      <c r="Y58" s="92"/>
      <c r="Z58" s="92"/>
      <c r="AA58" s="92"/>
      <c r="AB58" s="92"/>
      <c r="AC58" s="92"/>
      <c r="AD58" s="92"/>
      <c r="AE58" s="71"/>
      <c r="AF58" s="55">
        <v>10</v>
      </c>
      <c r="AG58" s="75">
        <v>3</v>
      </c>
    </row>
    <row r="59" spans="2:33" s="14" customFormat="1" ht="15" customHeight="1">
      <c r="B59" s="71"/>
      <c r="C59" s="55"/>
      <c r="D59" s="54"/>
      <c r="F59" s="15"/>
      <c r="G59" s="15"/>
      <c r="H59" s="54" t="e">
        <f>SUM(H57:H58)</f>
        <v>#N/A</v>
      </c>
      <c r="J59" s="15"/>
      <c r="K59" s="375" t="s">
        <v>202</v>
      </c>
      <c r="L59" s="376"/>
      <c r="M59" s="376"/>
      <c r="N59" s="377"/>
      <c r="P59" s="373"/>
      <c r="Q59" s="250"/>
      <c r="R59" s="92"/>
      <c r="S59" s="92"/>
      <c r="T59" s="92"/>
      <c r="U59" s="92"/>
      <c r="V59" s="92"/>
      <c r="W59" s="92"/>
      <c r="X59" s="92"/>
      <c r="Y59" s="92"/>
      <c r="Z59" s="92"/>
      <c r="AA59" s="92"/>
      <c r="AB59" s="92"/>
      <c r="AC59" s="92"/>
      <c r="AD59" s="92"/>
      <c r="AE59" s="71" t="s">
        <v>144</v>
      </c>
      <c r="AF59" s="55" t="s">
        <v>170</v>
      </c>
      <c r="AG59" s="75" t="s">
        <v>148</v>
      </c>
    </row>
    <row r="60" spans="2:33" s="14" customFormat="1" ht="15" customHeight="1">
      <c r="B60" s="71"/>
      <c r="G60" s="55" t="str">
        <f>Text!C70&amp;"  "</f>
        <v xml:space="preserve">Difference  </v>
      </c>
      <c r="H60" s="54" t="e">
        <f>D57-H59</f>
        <v>#N/A</v>
      </c>
      <c r="K60" s="378"/>
      <c r="L60" s="379"/>
      <c r="M60" s="379"/>
      <c r="N60" s="380"/>
      <c r="O60" s="57"/>
      <c r="P60" s="374"/>
      <c r="Q60" s="250"/>
      <c r="R60" s="92"/>
      <c r="S60" s="92"/>
      <c r="T60" s="92"/>
      <c r="U60" s="92"/>
      <c r="V60" s="92"/>
      <c r="W60" s="92"/>
      <c r="X60" s="92"/>
      <c r="Y60" s="92"/>
      <c r="Z60" s="92"/>
      <c r="AA60" s="92"/>
      <c r="AB60" s="92"/>
      <c r="AC60" s="92"/>
      <c r="AD60" s="92"/>
      <c r="AE60" s="71"/>
      <c r="AF60" s="55" t="s">
        <v>171</v>
      </c>
      <c r="AG60" s="75" t="s">
        <v>148</v>
      </c>
    </row>
    <row r="61" spans="2:33" s="14" customFormat="1" ht="15" customHeight="1">
      <c r="B61" s="71"/>
      <c r="P61" s="59"/>
      <c r="Q61" s="250"/>
      <c r="R61" s="92"/>
      <c r="S61" s="92"/>
      <c r="T61" s="92"/>
      <c r="U61" s="92"/>
      <c r="V61" s="92"/>
      <c r="W61" s="92"/>
      <c r="X61" s="92"/>
      <c r="Y61" s="92"/>
      <c r="Z61" s="92"/>
      <c r="AA61" s="92"/>
      <c r="AB61" s="92"/>
      <c r="AC61" s="92"/>
      <c r="AD61" s="92"/>
      <c r="AE61" s="71"/>
      <c r="AG61" s="72"/>
    </row>
    <row r="62" spans="2:33" s="14" customFormat="1" ht="15" customHeight="1">
      <c r="B62" s="252">
        <v>10</v>
      </c>
      <c r="C62" s="51" t="str">
        <f>Text!C97</f>
        <v>Amount received as a % of amount due with BR1 equivalent</v>
      </c>
      <c r="D62" s="51"/>
      <c r="E62" s="51"/>
      <c r="F62" s="51"/>
      <c r="G62" s="51"/>
      <c r="H62" s="51"/>
      <c r="I62" s="51"/>
      <c r="J62" s="51"/>
      <c r="K62" s="51"/>
      <c r="L62" s="51"/>
      <c r="M62" s="51"/>
      <c r="N62" s="51"/>
      <c r="P62" s="53" t="e">
        <f>IF(OR(H65&lt;-2.4,H65&gt;2),Text!C71,Text!C72)</f>
        <v>#N/A</v>
      </c>
      <c r="Q62" s="250"/>
      <c r="R62" s="92"/>
      <c r="S62" s="92"/>
      <c r="T62" s="92"/>
      <c r="U62" s="92"/>
      <c r="V62" s="92"/>
      <c r="W62" s="92"/>
      <c r="X62" s="92"/>
      <c r="Y62" s="92"/>
      <c r="Z62" s="92"/>
      <c r="AA62" s="92"/>
      <c r="AB62" s="92"/>
      <c r="AC62" s="92"/>
      <c r="AD62" s="92"/>
      <c r="AE62" s="71"/>
      <c r="AG62" s="72"/>
    </row>
    <row r="63" spans="2:33" s="14" customFormat="1" ht="15" customHeight="1">
      <c r="B63" s="71"/>
      <c r="G63" s="55" t="str">
        <f>Text!C89&amp;"  "</f>
        <v xml:space="preserve">CTC, row 8  </v>
      </c>
      <c r="H63" s="61">
        <f>VLOOKUP($AG$3&amp;$AF$4&amp;AF63&amp;AG63,CTCData,8,FALSE)</f>
        <v>0</v>
      </c>
      <c r="I63" s="66" t="s">
        <v>142</v>
      </c>
      <c r="J63" s="66"/>
      <c r="P63" s="358"/>
      <c r="Q63" s="250"/>
      <c r="R63" s="92"/>
      <c r="S63" s="92"/>
      <c r="T63" s="92"/>
      <c r="U63" s="92"/>
      <c r="V63" s="92"/>
      <c r="W63" s="92"/>
      <c r="X63" s="92"/>
      <c r="Y63" s="92"/>
      <c r="Z63" s="92"/>
      <c r="AA63" s="92"/>
      <c r="AB63" s="92"/>
      <c r="AC63" s="92"/>
      <c r="AD63" s="92"/>
      <c r="AE63" s="71"/>
      <c r="AF63" s="55" t="s">
        <v>185</v>
      </c>
      <c r="AG63" s="75" t="s">
        <v>176</v>
      </c>
    </row>
    <row r="64" spans="2:33" s="14" customFormat="1" ht="15" customHeight="1">
      <c r="B64" s="71"/>
      <c r="G64" s="55" t="str">
        <f>Text!C98&amp;"  "</f>
        <v xml:space="preserve">BR1, line 7  </v>
      </c>
      <c r="H64" s="61" t="e">
        <f>VLOOKUP($AG$3&amp;$AE64&amp;$AF$4&amp;AF64&amp;AG64,BRData,2,FALSE)*100</f>
        <v>#N/A</v>
      </c>
      <c r="I64" s="66" t="s">
        <v>142</v>
      </c>
      <c r="J64" s="66"/>
      <c r="K64" s="375" t="str">
        <f>"2% "&amp;Text!C99&amp;" -2.4%"</f>
        <v>2% to -2.4%</v>
      </c>
      <c r="L64" s="376"/>
      <c r="M64" s="376"/>
      <c r="N64" s="377"/>
      <c r="P64" s="359"/>
      <c r="Q64" s="250"/>
      <c r="R64" s="92"/>
      <c r="S64" s="92"/>
      <c r="T64" s="92"/>
      <c r="U64" s="92"/>
      <c r="V64" s="92"/>
      <c r="W64" s="92"/>
      <c r="X64" s="92"/>
      <c r="Y64" s="92"/>
      <c r="Z64" s="92"/>
      <c r="AA64" s="92"/>
      <c r="AB64" s="92"/>
      <c r="AC64" s="92"/>
      <c r="AD64" s="92"/>
      <c r="AE64" s="73" t="s">
        <v>144</v>
      </c>
      <c r="AF64" s="76" t="s">
        <v>149</v>
      </c>
      <c r="AG64" s="77" t="s">
        <v>148</v>
      </c>
    </row>
    <row r="65" spans="2:30" s="14" customFormat="1" ht="15" customHeight="1">
      <c r="B65" s="71"/>
      <c r="G65" s="55" t="str">
        <f>Text!C70&amp;"  "</f>
        <v xml:space="preserve">Difference  </v>
      </c>
      <c r="H65" s="61" t="e">
        <f>H63-H64</f>
        <v>#N/A</v>
      </c>
      <c r="I65" s="66" t="s">
        <v>142</v>
      </c>
      <c r="J65" s="66"/>
      <c r="K65" s="378"/>
      <c r="L65" s="379"/>
      <c r="M65" s="379"/>
      <c r="N65" s="380"/>
      <c r="P65" s="360"/>
      <c r="Q65" s="72"/>
      <c r="R65" s="92"/>
      <c r="S65" s="92"/>
      <c r="T65" s="92"/>
      <c r="U65" s="92"/>
      <c r="V65" s="92"/>
      <c r="W65" s="92"/>
      <c r="X65" s="92"/>
      <c r="Y65" s="92"/>
      <c r="Z65" s="92"/>
      <c r="AA65" s="92"/>
      <c r="AB65" s="92"/>
      <c r="AC65" s="92"/>
      <c r="AD65" s="92"/>
    </row>
    <row r="66" spans="2:30" s="14" customFormat="1" ht="15" customHeight="1">
      <c r="B66" s="73"/>
      <c r="C66" s="48"/>
      <c r="D66" s="48"/>
      <c r="E66" s="48"/>
      <c r="F66" s="48"/>
      <c r="G66" s="48"/>
      <c r="H66" s="48"/>
      <c r="I66" s="48"/>
      <c r="J66" s="48"/>
      <c r="K66" s="48"/>
      <c r="L66" s="48"/>
      <c r="M66" s="48"/>
      <c r="N66" s="48"/>
      <c r="O66" s="48"/>
      <c r="P66" s="48"/>
      <c r="Q66" s="253"/>
      <c r="R66" s="92"/>
      <c r="S66" s="92"/>
      <c r="T66" s="92"/>
      <c r="U66" s="92"/>
      <c r="V66" s="92"/>
      <c r="W66" s="92"/>
      <c r="X66" s="92"/>
      <c r="Y66" s="92"/>
      <c r="Z66" s="92"/>
      <c r="AA66" s="92"/>
      <c r="AB66" s="92"/>
      <c r="AC66" s="92"/>
      <c r="AD66" s="92"/>
    </row>
    <row r="67" spans="2:30" s="14" customFormat="1">
      <c r="R67" s="92"/>
      <c r="S67" s="92"/>
      <c r="T67" s="92"/>
      <c r="U67" s="92"/>
      <c r="V67" s="92"/>
      <c r="W67" s="92"/>
      <c r="X67" s="92"/>
      <c r="Y67" s="92"/>
      <c r="Z67" s="92"/>
      <c r="AA67" s="92"/>
      <c r="AB67" s="92"/>
      <c r="AC67" s="92"/>
      <c r="AD67" s="92"/>
    </row>
  </sheetData>
  <sheetProtection sheet="1" formatCells="0" formatColumns="0" formatRows="0"/>
  <mergeCells count="23">
    <mergeCell ref="P63:P65"/>
    <mergeCell ref="P57:P60"/>
    <mergeCell ref="K50:N51"/>
    <mergeCell ref="K46:N47"/>
    <mergeCell ref="K64:N65"/>
    <mergeCell ref="P50:P52"/>
    <mergeCell ref="P45:P47"/>
    <mergeCell ref="K59:N60"/>
    <mergeCell ref="C56:N56"/>
    <mergeCell ref="K36:N37"/>
    <mergeCell ref="P35:P37"/>
    <mergeCell ref="K30:N32"/>
    <mergeCell ref="P40:P42"/>
    <mergeCell ref="P25:P27"/>
    <mergeCell ref="P30:P32"/>
    <mergeCell ref="K41:N42"/>
    <mergeCell ref="K26:N27"/>
    <mergeCell ref="K19:N20"/>
    <mergeCell ref="K12:N13"/>
    <mergeCell ref="D4:H4"/>
    <mergeCell ref="P11:P13"/>
    <mergeCell ref="K6:N6"/>
    <mergeCell ref="P18:P20"/>
  </mergeCells>
  <phoneticPr fontId="0" type="noConversion"/>
  <conditionalFormatting sqref="P10 P17 P24 P29 P34 P39 P44 P49 P56 P62">
    <cfRule type="cellIs" dxfId="4" priority="4" stopIfTrue="1" operator="equal">
      <formula>"Clear"</formula>
    </cfRule>
  </conditionalFormatting>
  <pageMargins left="0.19685039370078741" right="0.19685039370078741" top="0.19685039370078741" bottom="0.19685039370078741" header="0" footer="0"/>
  <pageSetup paperSize="9" scale="83" fitToWidth="2" fitToHeight="0"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4109C251-0465-48B4-9138-E1A97CBB5A5B}">
            <xm:f>Details!$B$32=0</xm:f>
            <x14:dxf>
              <font>
                <b/>
                <i val="0"/>
                <color rgb="FF7030A0"/>
              </font>
              <fill>
                <patternFill>
                  <bgColor rgb="FFFFFFCC"/>
                </patternFill>
              </fill>
              <border>
                <left style="thin">
                  <color auto="1"/>
                </left>
                <right style="thin">
                  <color auto="1"/>
                </right>
                <top style="thin">
                  <color auto="1"/>
                </top>
                <bottom style="thin">
                  <color auto="1"/>
                </bottom>
                <vertical/>
                <horizontal/>
              </border>
            </x14:dxf>
          </x14:cfRule>
          <xm:sqref>D4:H4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indexed="8"/>
  </sheetPr>
  <dimension ref="A1:I17"/>
  <sheetViews>
    <sheetView workbookViewId="0">
      <selection activeCell="D14" sqref="D14"/>
    </sheetView>
  </sheetViews>
  <sheetFormatPr defaultColWidth="8.84375" defaultRowHeight="15" customHeight="1"/>
  <cols>
    <col min="1" max="1" width="1.765625" style="91" customWidth="1"/>
    <col min="2" max="2" width="3.07421875" style="91" customWidth="1"/>
    <col min="3" max="3" width="17.4609375" style="91" customWidth="1"/>
    <col min="4" max="4" width="13.84375" style="91" bestFit="1" customWidth="1"/>
    <col min="5" max="5" width="8.84375" style="91" customWidth="1"/>
    <col min="6" max="6" width="6" style="91" bestFit="1" customWidth="1"/>
    <col min="7" max="8" width="8.84375" style="91" customWidth="1"/>
    <col min="9" max="9" width="2.4609375" style="91" customWidth="1"/>
    <col min="10" max="24" width="8.84375" style="91" customWidth="1"/>
    <col min="25" max="16384" width="8.84375" style="91"/>
  </cols>
  <sheetData>
    <row r="1" spans="1:9" ht="13.5" customHeight="1">
      <c r="A1" s="164"/>
      <c r="B1" s="164"/>
      <c r="C1" s="164"/>
      <c r="D1" s="164"/>
      <c r="E1" s="164"/>
      <c r="F1" s="164"/>
      <c r="G1" s="164"/>
      <c r="H1" s="164"/>
      <c r="I1" s="164"/>
    </row>
    <row r="2" spans="1:9" ht="22.5" customHeight="1">
      <c r="A2" s="164"/>
      <c r="B2" s="237"/>
      <c r="C2" s="238" t="str">
        <f>Text!C8</f>
        <v>Council tax collection return for 2023-24</v>
      </c>
      <c r="D2" s="238"/>
      <c r="E2" s="239"/>
      <c r="F2" s="239"/>
      <c r="G2" s="239"/>
      <c r="H2" s="240" t="str">
        <f>Text!C9</f>
        <v>CTC</v>
      </c>
      <c r="I2" s="241"/>
    </row>
    <row r="3" spans="1:9" ht="15" customHeight="1">
      <c r="A3" s="164"/>
      <c r="B3" s="242"/>
      <c r="C3" s="36"/>
      <c r="D3" s="37"/>
      <c r="E3" s="38"/>
      <c r="F3" s="38"/>
      <c r="G3" s="38"/>
      <c r="H3" s="39"/>
      <c r="I3" s="40"/>
    </row>
    <row r="4" spans="1:9" ht="15" customHeight="1">
      <c r="A4" s="164"/>
      <c r="B4" s="242"/>
      <c r="C4" s="274" t="str">
        <f>IF(UAnumber=0,"",Text!C29)</f>
        <v/>
      </c>
      <c r="D4" s="275" t="str">
        <f>IF(UAnumber=0,"",UAnumber)</f>
        <v/>
      </c>
      <c r="E4" s="280"/>
      <c r="F4" s="38"/>
      <c r="G4" s="38"/>
      <c r="H4" s="38"/>
      <c r="I4" s="40"/>
    </row>
    <row r="5" spans="1:9" ht="15" customHeight="1">
      <c r="A5" s="164"/>
      <c r="B5" s="242"/>
      <c r="C5" s="274" t="str">
        <f>IF(UAnumber=0,"",Text!C30)</f>
        <v/>
      </c>
      <c r="D5" s="275" t="str">
        <f>IF(UAnumber=0,"",VLOOKUP(FrontPage!$E$11,Authority,3,FALSE))</f>
        <v/>
      </c>
      <c r="E5" s="147"/>
      <c r="F5" s="38"/>
      <c r="G5" s="38"/>
      <c r="H5" s="39"/>
      <c r="I5" s="40"/>
    </row>
    <row r="6" spans="1:9" ht="15" customHeight="1">
      <c r="A6" s="164"/>
      <c r="B6" s="242"/>
      <c r="C6" s="274"/>
      <c r="D6" s="275"/>
      <c r="E6" s="147"/>
      <c r="F6" s="38"/>
      <c r="G6" s="38"/>
      <c r="H6" s="39"/>
      <c r="I6" s="40"/>
    </row>
    <row r="7" spans="1:9" ht="55.5" customHeight="1">
      <c r="A7" s="164"/>
      <c r="B7" s="242"/>
      <c r="C7" s="38"/>
      <c r="D7" s="38"/>
      <c r="E7" s="38"/>
      <c r="F7" s="38"/>
      <c r="G7" s="38"/>
      <c r="H7" s="39"/>
      <c r="I7" s="40"/>
    </row>
    <row r="8" spans="1:9" ht="24" customHeight="1">
      <c r="A8" s="164"/>
      <c r="B8" s="242"/>
      <c r="C8" s="112" t="str">
        <f>Text!C102</f>
        <v>Form Design</v>
      </c>
      <c r="D8" s="38"/>
      <c r="E8" s="38"/>
      <c r="F8" s="38"/>
      <c r="G8" s="38"/>
      <c r="H8" s="39"/>
      <c r="I8" s="40"/>
    </row>
    <row r="9" spans="1:9" ht="102" customHeight="1">
      <c r="A9" s="164"/>
      <c r="B9" s="242"/>
      <c r="C9" s="38"/>
      <c r="D9" s="38"/>
      <c r="E9" s="38"/>
      <c r="F9" s="38"/>
      <c r="G9" s="38"/>
      <c r="H9" s="39"/>
      <c r="I9" s="40"/>
    </row>
    <row r="10" spans="1:9" ht="24" customHeight="1">
      <c r="A10" s="164"/>
      <c r="B10" s="242"/>
      <c r="C10" s="112" t="str">
        <f>Text!C103</f>
        <v>Validation</v>
      </c>
      <c r="D10" s="38"/>
      <c r="E10" s="38"/>
      <c r="F10" s="38"/>
      <c r="G10" s="38"/>
      <c r="H10" s="39"/>
      <c r="I10" s="40"/>
    </row>
    <row r="11" spans="1:9" ht="102" customHeight="1">
      <c r="A11" s="164"/>
      <c r="B11" s="242"/>
      <c r="C11" s="38"/>
      <c r="D11" s="38"/>
      <c r="E11" s="38"/>
      <c r="F11" s="38"/>
      <c r="G11" s="38"/>
      <c r="H11" s="39"/>
      <c r="I11" s="40"/>
    </row>
    <row r="12" spans="1:9" ht="24" customHeight="1">
      <c r="A12" s="164"/>
      <c r="B12" s="242"/>
      <c r="C12" s="112" t="str">
        <f>Text!C104</f>
        <v>Documentation</v>
      </c>
      <c r="D12" s="38"/>
      <c r="E12" s="38"/>
      <c r="F12" s="38"/>
      <c r="G12" s="38"/>
      <c r="H12" s="39"/>
      <c r="I12" s="40"/>
    </row>
    <row r="13" spans="1:9" ht="102" customHeight="1">
      <c r="A13" s="164"/>
      <c r="B13" s="242"/>
      <c r="C13" s="38"/>
      <c r="D13" s="38"/>
      <c r="E13" s="38"/>
      <c r="F13" s="38"/>
      <c r="G13" s="38"/>
      <c r="H13" s="39"/>
      <c r="I13" s="40"/>
    </row>
    <row r="14" spans="1:9" ht="24" customHeight="1">
      <c r="A14" s="164"/>
      <c r="B14" s="242"/>
      <c r="C14" s="112" t="str">
        <f>Text!C105</f>
        <v>General Comments</v>
      </c>
      <c r="D14" s="38"/>
      <c r="E14" s="38"/>
      <c r="F14" s="38"/>
      <c r="G14" s="38"/>
      <c r="H14" s="39"/>
      <c r="I14" s="40"/>
    </row>
    <row r="15" spans="1:9" ht="102" customHeight="1">
      <c r="A15" s="164"/>
      <c r="B15" s="242"/>
      <c r="C15" s="38"/>
      <c r="D15" s="38"/>
      <c r="E15" s="38"/>
      <c r="F15" s="38"/>
      <c r="G15" s="38"/>
      <c r="H15" s="39"/>
      <c r="I15" s="40"/>
    </row>
    <row r="16" spans="1:9" ht="15.5">
      <c r="A16" s="164"/>
      <c r="B16" s="243"/>
      <c r="C16" s="244"/>
      <c r="D16" s="244"/>
      <c r="E16" s="244"/>
      <c r="F16" s="244"/>
      <c r="G16" s="244"/>
      <c r="H16" s="245"/>
      <c r="I16" s="246"/>
    </row>
    <row r="17" spans="1:9" ht="15" customHeight="1">
      <c r="A17" s="164"/>
      <c r="B17" s="164"/>
      <c r="C17" s="164"/>
      <c r="D17" s="164"/>
      <c r="E17" s="164"/>
      <c r="F17" s="164"/>
      <c r="G17" s="164"/>
      <c r="H17" s="164"/>
      <c r="I17" s="164"/>
    </row>
  </sheetData>
  <sheetProtection sheet="1" objects="1" formatColumns="0"/>
  <phoneticPr fontId="14" type="noConversion"/>
  <printOptions horizontalCentered="1"/>
  <pageMargins left="0.39370078740157483" right="0.39370078740157483" top="0.39370078740157483" bottom="0.39370078740157483" header="0.39370078740157483" footer="0.39370078740157483"/>
  <pageSetup paperSize="9" scale="10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indexed="8"/>
  </sheetPr>
  <dimension ref="A1:V34"/>
  <sheetViews>
    <sheetView zoomScaleNormal="100" workbookViewId="0">
      <selection activeCell="C19" sqref="C19:I19"/>
    </sheetView>
  </sheetViews>
  <sheetFormatPr defaultColWidth="8.84375" defaultRowHeight="15" customHeight="1"/>
  <cols>
    <col min="1" max="1" width="1.765625" style="90" customWidth="1"/>
    <col min="2" max="2" width="3.23046875" style="90" customWidth="1"/>
    <col min="3" max="3" width="13.23046875" style="90" customWidth="1"/>
    <col min="4" max="7" width="8.84375" style="90" customWidth="1"/>
    <col min="8" max="8" width="3.3046875" style="90" customWidth="1"/>
    <col min="9" max="9" width="23.765625" style="90" customWidth="1"/>
    <col min="10" max="10" width="2.765625" style="90" customWidth="1"/>
    <col min="11" max="23" width="8.84375" style="90" customWidth="1"/>
    <col min="24" max="16384" width="8.84375" style="90"/>
  </cols>
  <sheetData>
    <row r="1" spans="1:22" ht="13.5" customHeight="1">
      <c r="A1" s="88"/>
      <c r="B1" s="88"/>
      <c r="C1" s="88"/>
      <c r="D1" s="88"/>
      <c r="E1" s="88"/>
      <c r="F1" s="88"/>
      <c r="G1" s="88"/>
      <c r="H1" s="88"/>
      <c r="I1" s="88"/>
      <c r="J1" s="88"/>
      <c r="K1" s="88"/>
      <c r="L1" s="88"/>
      <c r="M1" s="88"/>
      <c r="N1" s="88"/>
      <c r="O1" s="88"/>
      <c r="P1" s="88"/>
      <c r="Q1" s="88"/>
      <c r="R1" s="88"/>
      <c r="S1" s="88"/>
      <c r="T1" s="88"/>
      <c r="U1" s="88"/>
      <c r="V1" s="88"/>
    </row>
    <row r="2" spans="1:22" ht="22.5" customHeight="1">
      <c r="A2" s="88"/>
      <c r="B2" s="258"/>
      <c r="C2" s="238" t="str">
        <f>Text!C8</f>
        <v>Council tax collection return for 2023-24</v>
      </c>
      <c r="D2" s="259"/>
      <c r="E2" s="259"/>
      <c r="F2" s="259"/>
      <c r="G2" s="259"/>
      <c r="H2" s="259"/>
      <c r="I2" s="240" t="str">
        <f>Text!C9</f>
        <v>CTC</v>
      </c>
      <c r="J2" s="241"/>
      <c r="K2" s="88"/>
      <c r="L2" s="88"/>
      <c r="M2" s="88"/>
      <c r="N2" s="88"/>
      <c r="O2" s="88"/>
      <c r="P2" s="88"/>
      <c r="Q2" s="88"/>
      <c r="R2" s="88"/>
      <c r="S2" s="88"/>
      <c r="T2" s="88"/>
      <c r="U2" s="88"/>
      <c r="V2" s="88"/>
    </row>
    <row r="3" spans="1:22" ht="15" customHeight="1">
      <c r="A3" s="88"/>
      <c r="B3" s="260"/>
      <c r="C3" s="41"/>
      <c r="D3" s="228"/>
      <c r="E3" s="228"/>
      <c r="F3" s="228"/>
      <c r="G3" s="228"/>
      <c r="H3" s="228"/>
      <c r="I3" s="228"/>
      <c r="J3" s="261"/>
      <c r="K3" s="88"/>
      <c r="L3" s="88"/>
      <c r="M3" s="88"/>
      <c r="N3" s="88"/>
      <c r="O3" s="88"/>
      <c r="P3" s="88"/>
      <c r="Q3" s="88"/>
      <c r="R3" s="88"/>
      <c r="S3" s="88"/>
      <c r="T3" s="88"/>
      <c r="U3" s="88"/>
      <c r="V3" s="88"/>
    </row>
    <row r="4" spans="1:22" ht="15" customHeight="1">
      <c r="A4" s="88"/>
      <c r="B4" s="260"/>
      <c r="C4" s="274" t="str">
        <f>IF(UAnumber=0,"",Text!C29)</f>
        <v/>
      </c>
      <c r="D4" s="275" t="str">
        <f>IF(UAnumber=0,"",UAnumber)</f>
        <v/>
      </c>
      <c r="E4" s="280"/>
      <c r="F4" s="41"/>
      <c r="G4" s="41"/>
      <c r="H4" s="41"/>
      <c r="I4" s="41"/>
      <c r="J4" s="262"/>
      <c r="K4" s="88"/>
      <c r="L4" s="88"/>
      <c r="M4" s="88"/>
      <c r="N4" s="88"/>
      <c r="O4" s="88"/>
      <c r="P4" s="88"/>
      <c r="Q4" s="88"/>
      <c r="R4" s="88"/>
      <c r="S4" s="88"/>
      <c r="T4" s="88"/>
      <c r="U4" s="88"/>
      <c r="V4" s="88"/>
    </row>
    <row r="5" spans="1:22" ht="15" customHeight="1">
      <c r="A5" s="88"/>
      <c r="B5" s="260"/>
      <c r="C5" s="274" t="str">
        <f>IF(UAnumber=0,"",Text!C30)</f>
        <v/>
      </c>
      <c r="D5" s="275" t="str">
        <f>IF(UAnumber=0,"",VLOOKUP(FrontPage!$E$11,Authority,3,FALSE))</f>
        <v/>
      </c>
      <c r="E5" s="147"/>
      <c r="F5" s="41"/>
      <c r="G5" s="41"/>
      <c r="H5" s="41"/>
      <c r="I5" s="41"/>
      <c r="J5" s="262"/>
      <c r="K5" s="88"/>
      <c r="L5" s="88"/>
      <c r="M5" s="88"/>
      <c r="N5" s="88"/>
      <c r="O5" s="88"/>
      <c r="P5" s="88"/>
      <c r="Q5" s="88"/>
      <c r="R5" s="88"/>
      <c r="S5" s="88"/>
      <c r="T5" s="88"/>
      <c r="U5" s="88"/>
      <c r="V5" s="88"/>
    </row>
    <row r="6" spans="1:22" ht="15" customHeight="1">
      <c r="A6" s="88"/>
      <c r="B6" s="260"/>
      <c r="C6" s="41"/>
      <c r="D6" s="41"/>
      <c r="E6" s="41"/>
      <c r="F6" s="41"/>
      <c r="G6" s="41"/>
      <c r="H6" s="42"/>
      <c r="I6" s="42"/>
      <c r="J6" s="262"/>
      <c r="K6" s="88"/>
      <c r="L6" s="88"/>
      <c r="M6" s="88"/>
      <c r="N6" s="88"/>
      <c r="O6" s="88"/>
      <c r="P6" s="88"/>
      <c r="Q6" s="88"/>
      <c r="R6" s="88"/>
      <c r="S6" s="88"/>
      <c r="T6" s="88"/>
      <c r="U6" s="88"/>
      <c r="V6" s="88"/>
    </row>
    <row r="7" spans="1:22" ht="15" customHeight="1">
      <c r="A7" s="88"/>
      <c r="B7" s="260"/>
      <c r="C7" s="43" t="str">
        <f>Text!C107</f>
        <v>Survey Response Burden</v>
      </c>
      <c r="D7" s="42"/>
      <c r="E7" s="42"/>
      <c r="F7" s="42"/>
      <c r="G7" s="42"/>
      <c r="H7" s="42"/>
      <c r="I7" s="42"/>
      <c r="J7" s="262"/>
      <c r="K7" s="88"/>
      <c r="L7" s="88"/>
      <c r="M7" s="88"/>
      <c r="N7" s="88"/>
      <c r="O7" s="88"/>
      <c r="P7" s="88"/>
      <c r="Q7" s="88"/>
      <c r="R7" s="88"/>
      <c r="S7" s="88"/>
      <c r="T7" s="88"/>
      <c r="U7" s="88"/>
      <c r="V7" s="88"/>
    </row>
    <row r="8" spans="1:22" s="88" customFormat="1" ht="15" customHeight="1">
      <c r="B8" s="260"/>
      <c r="C8" s="382" t="str">
        <f>Text!C108</f>
        <v xml:space="preserve">The Welsh Government are monitoring the burden of completing this data collection form. </v>
      </c>
      <c r="D8" s="382"/>
      <c r="E8" s="382"/>
      <c r="F8" s="382"/>
      <c r="G8" s="382"/>
      <c r="H8" s="382"/>
      <c r="I8" s="382"/>
      <c r="J8" s="261"/>
    </row>
    <row r="9" spans="1:22" s="88" customFormat="1" ht="15" customHeight="1">
      <c r="B9" s="260"/>
      <c r="C9" s="228"/>
      <c r="D9" s="228"/>
      <c r="E9" s="228"/>
      <c r="F9" s="228"/>
      <c r="G9" s="228"/>
      <c r="H9" s="228"/>
      <c r="I9" s="228"/>
      <c r="J9" s="261"/>
    </row>
    <row r="10" spans="1:22" s="88" customFormat="1" ht="15" customHeight="1">
      <c r="B10" s="260"/>
      <c r="C10" s="382" t="str">
        <f>Text!C109</f>
        <v>Please enter the time it has taken you (and any colleagues) to prepare and send the return.</v>
      </c>
      <c r="D10" s="382"/>
      <c r="E10" s="382"/>
      <c r="F10" s="382"/>
      <c r="G10" s="382"/>
      <c r="H10" s="382"/>
      <c r="I10" s="382"/>
      <c r="J10" s="261"/>
    </row>
    <row r="11" spans="1:22" s="88" customFormat="1" ht="15" customHeight="1">
      <c r="B11" s="260"/>
      <c r="C11" s="228"/>
      <c r="D11" s="228"/>
      <c r="E11" s="228"/>
      <c r="F11" s="228"/>
      <c r="G11" s="228"/>
      <c r="H11" s="228"/>
      <c r="I11" s="228"/>
      <c r="J11" s="261"/>
    </row>
    <row r="12" spans="1:22" s="88" customFormat="1" ht="15" customHeight="1">
      <c r="B12" s="260"/>
      <c r="C12" s="382" t="str">
        <f>Text!C110</f>
        <v>Please only include time spent on activities to prepare and send this return, such as:</v>
      </c>
      <c r="D12" s="382"/>
      <c r="E12" s="382"/>
      <c r="F12" s="382"/>
      <c r="G12" s="382"/>
      <c r="H12" s="382"/>
      <c r="I12" s="382"/>
      <c r="J12" s="261"/>
    </row>
    <row r="13" spans="1:22" s="88" customFormat="1" ht="15" customHeight="1">
      <c r="B13" s="260"/>
      <c r="C13" s="382" t="str">
        <f>Text!C111</f>
        <v>● collection, analysis and aggregation of records and data required;</v>
      </c>
      <c r="D13" s="382"/>
      <c r="E13" s="382"/>
      <c r="F13" s="382"/>
      <c r="G13" s="382"/>
      <c r="H13" s="382"/>
      <c r="I13" s="382"/>
      <c r="J13" s="261"/>
    </row>
    <row r="14" spans="1:22" s="88" customFormat="1" ht="15" customHeight="1">
      <c r="B14" s="260"/>
      <c r="C14" s="382" t="str">
        <f>Text!C112</f>
        <v>● completing, checking, amending and approving the form.</v>
      </c>
      <c r="D14" s="382"/>
      <c r="E14" s="382"/>
      <c r="F14" s="382"/>
      <c r="G14" s="382"/>
      <c r="H14" s="382"/>
      <c r="I14" s="382"/>
      <c r="J14" s="261"/>
    </row>
    <row r="15" spans="1:22" s="88" customFormat="1" ht="15" customHeight="1">
      <c r="B15" s="260"/>
      <c r="C15" s="228"/>
      <c r="D15" s="228"/>
      <c r="E15" s="228"/>
      <c r="F15" s="228"/>
      <c r="G15" s="228"/>
      <c r="H15" s="228"/>
      <c r="I15" s="228"/>
      <c r="J15" s="261"/>
    </row>
    <row r="16" spans="1:22" s="88" customFormat="1" ht="15" customHeight="1">
      <c r="B16" s="260"/>
      <c r="C16" s="38" t="str">
        <f>Text!C113&amp;": "</f>
        <v xml:space="preserve">Hours taken: </v>
      </c>
      <c r="D16" s="26"/>
      <c r="E16" s="45"/>
      <c r="F16" s="45"/>
      <c r="G16" s="46"/>
      <c r="H16" s="46"/>
      <c r="I16" s="38"/>
      <c r="J16" s="263"/>
      <c r="P16" s="89"/>
    </row>
    <row r="17" spans="2:16" s="88" customFormat="1" ht="15" customHeight="1">
      <c r="B17" s="260"/>
      <c r="C17" s="44"/>
      <c r="D17" s="38"/>
      <c r="E17" s="45"/>
      <c r="F17" s="45"/>
      <c r="G17" s="46"/>
      <c r="H17" s="46"/>
      <c r="I17" s="38"/>
      <c r="J17" s="263"/>
      <c r="P17" s="89"/>
    </row>
    <row r="18" spans="2:16" s="88" customFormat="1" ht="15" customHeight="1">
      <c r="B18" s="260"/>
      <c r="C18" s="42" t="str">
        <f>Text!C114</f>
        <v>Please feel free to add any comments</v>
      </c>
      <c r="D18" s="42"/>
      <c r="E18" s="42"/>
      <c r="F18" s="42"/>
      <c r="G18" s="42"/>
      <c r="H18" s="42"/>
      <c r="I18" s="42"/>
      <c r="J18" s="262"/>
      <c r="N18" s="89"/>
    </row>
    <row r="19" spans="2:16" s="88" customFormat="1" ht="72.75" customHeight="1">
      <c r="B19" s="260"/>
      <c r="C19" s="383"/>
      <c r="D19" s="384"/>
      <c r="E19" s="384"/>
      <c r="F19" s="384"/>
      <c r="G19" s="384"/>
      <c r="H19" s="384"/>
      <c r="I19" s="385"/>
      <c r="J19" s="262"/>
    </row>
    <row r="20" spans="2:16" s="88" customFormat="1" ht="12.5">
      <c r="B20" s="264"/>
      <c r="C20" s="265"/>
      <c r="D20" s="265"/>
      <c r="E20" s="265"/>
      <c r="F20" s="265"/>
      <c r="G20" s="265"/>
      <c r="H20" s="265"/>
      <c r="I20" s="265"/>
      <c r="J20" s="266"/>
    </row>
    <row r="21" spans="2:16" s="88" customFormat="1" ht="15" customHeight="1"/>
    <row r="22" spans="2:16" s="88" customFormat="1" ht="15" customHeight="1"/>
    <row r="23" spans="2:16" s="88" customFormat="1" ht="15" customHeight="1"/>
    <row r="24" spans="2:16" s="88" customFormat="1" ht="15" customHeight="1"/>
    <row r="25" spans="2:16" s="88" customFormat="1" ht="15" customHeight="1"/>
    <row r="26" spans="2:16" s="88" customFormat="1" ht="15" customHeight="1"/>
    <row r="27" spans="2:16" s="88" customFormat="1" ht="15" customHeight="1"/>
    <row r="28" spans="2:16" s="88" customFormat="1" ht="15" customHeight="1">
      <c r="F28" s="89"/>
    </row>
    <row r="29" spans="2:16" s="88" customFormat="1" ht="15" customHeight="1">
      <c r="F29" s="89"/>
    </row>
    <row r="30" spans="2:16" s="88" customFormat="1" ht="15" customHeight="1"/>
    <row r="31" spans="2:16" s="88" customFormat="1" ht="15" customHeight="1"/>
    <row r="32" spans="2:16" s="88" customFormat="1" ht="15" customHeight="1"/>
    <row r="33" s="88" customFormat="1" ht="15" customHeight="1"/>
    <row r="34" s="88" customFormat="1" ht="15" customHeight="1"/>
  </sheetData>
  <sheetProtection sheet="1" formatColumns="0"/>
  <mergeCells count="6">
    <mergeCell ref="C14:I14"/>
    <mergeCell ref="C19:I19"/>
    <mergeCell ref="C8:I8"/>
    <mergeCell ref="C10:I10"/>
    <mergeCell ref="C12:I12"/>
    <mergeCell ref="C13:I13"/>
  </mergeCells>
  <phoneticPr fontId="14" type="noConversion"/>
  <conditionalFormatting sqref="J16:J17">
    <cfRule type="cellIs" dxfId="3" priority="2" stopIfTrue="1" operator="equal">
      <formula>"ü"</formula>
    </cfRule>
    <cfRule type="cellIs" dxfId="2" priority="3" stopIfTrue="1" operator="equal">
      <formula>"û"</formula>
    </cfRule>
    <cfRule type="cellIs" dxfId="1" priority="4" stopIfTrue="1" operator="equal">
      <formula>"!"</formula>
    </cfRule>
  </conditionalFormatting>
  <printOptions horizontalCentered="1"/>
  <pageMargins left="0.39370078740157483" right="0.39370078740157483" top="0.39370078740157483" bottom="0.39370078740157483" header="0" footer="0"/>
  <pageSetup paperSize="9" scale="11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tint="0.59999389629810485"/>
    <pageSetUpPr fitToPage="1"/>
  </sheetPr>
  <dimension ref="A1:R26"/>
  <sheetViews>
    <sheetView zoomScale="86" zoomScaleNormal="86" workbookViewId="0">
      <selection activeCell="L21" sqref="L21"/>
    </sheetView>
  </sheetViews>
  <sheetFormatPr defaultColWidth="8.84375" defaultRowHeight="15.5"/>
  <cols>
    <col min="1" max="1" width="15" style="3" bestFit="1" customWidth="1"/>
    <col min="2" max="2" width="8.07421875" style="3" customWidth="1"/>
    <col min="3" max="3" width="9.84375" style="3" bestFit="1" customWidth="1"/>
    <col min="4" max="4" width="10.4609375" style="3" bestFit="1" customWidth="1"/>
    <col min="5" max="5" width="7.84375" style="3" bestFit="1" customWidth="1"/>
    <col min="6" max="6" width="10.84375" style="3" bestFit="1" customWidth="1"/>
    <col min="7" max="7" width="9.765625" style="3" bestFit="1" customWidth="1"/>
    <col min="8" max="8" width="9.07421875" style="3" bestFit="1" customWidth="1"/>
    <col min="9" max="9" width="14.4609375" style="3" customWidth="1"/>
    <col min="10" max="16384" width="8.84375" style="3"/>
  </cols>
  <sheetData>
    <row r="1" spans="1:18">
      <c r="A1" s="165"/>
      <c r="B1" s="165"/>
      <c r="C1" s="165" t="s">
        <v>506</v>
      </c>
      <c r="D1" s="293">
        <v>45028</v>
      </c>
      <c r="F1" s="256" t="s">
        <v>497</v>
      </c>
      <c r="G1" s="257" t="str">
        <f>Year</f>
        <v>2023-24</v>
      </c>
    </row>
    <row r="2" spans="1:18">
      <c r="A2" s="165"/>
      <c r="B2" s="165"/>
      <c r="C2" s="165" t="s">
        <v>507</v>
      </c>
      <c r="D2" s="293">
        <v>45372</v>
      </c>
    </row>
    <row r="4" spans="1:18">
      <c r="A4" s="21" t="s">
        <v>146</v>
      </c>
      <c r="B4" s="21" t="s">
        <v>523</v>
      </c>
      <c r="C4" s="1" t="s">
        <v>19</v>
      </c>
      <c r="D4" s="1" t="s">
        <v>20</v>
      </c>
      <c r="E4" s="1" t="s">
        <v>21</v>
      </c>
      <c r="F4" s="1" t="s">
        <v>22</v>
      </c>
      <c r="G4" s="1" t="s">
        <v>23</v>
      </c>
      <c r="H4" s="2" t="s">
        <v>24</v>
      </c>
    </row>
    <row r="5" spans="1:18">
      <c r="A5" s="287" t="str">
        <f t="shared" ref="A5:A26" si="0">C5&amp;G5&amp;E5&amp;F5</f>
        <v>202324012</v>
      </c>
      <c r="B5" s="287">
        <f>FrontPage!$M$2</f>
        <v>1</v>
      </c>
      <c r="C5" s="288" t="str">
        <f>Details!$H$57</f>
        <v>202324</v>
      </c>
      <c r="D5" s="3" t="s">
        <v>25</v>
      </c>
      <c r="E5" s="3">
        <v>1</v>
      </c>
      <c r="F5" s="3">
        <v>2</v>
      </c>
      <c r="G5" s="4">
        <f t="shared" ref="G5:G26" si="1">UAnumber</f>
        <v>0</v>
      </c>
      <c r="H5" s="4">
        <f t="shared" ref="H5:H22" si="2">IF(VLOOKUP(E5,Page1,F5+2,FALSE)="",0,VLOOKUP(E5,Page1,F5+2,FALSE))</f>
        <v>0</v>
      </c>
      <c r="R5" s="4"/>
    </row>
    <row r="6" spans="1:18">
      <c r="A6" s="287" t="str">
        <f t="shared" si="0"/>
        <v>202324022</v>
      </c>
      <c r="B6" s="287">
        <f>FrontPage!$M$2</f>
        <v>1</v>
      </c>
      <c r="C6" s="288" t="str">
        <f>Details!$H$57</f>
        <v>202324</v>
      </c>
      <c r="D6" s="3" t="s">
        <v>25</v>
      </c>
      <c r="E6" s="3">
        <v>2</v>
      </c>
      <c r="F6" s="3">
        <v>2</v>
      </c>
      <c r="G6" s="4">
        <f t="shared" si="1"/>
        <v>0</v>
      </c>
      <c r="H6" s="4">
        <f t="shared" si="2"/>
        <v>0</v>
      </c>
      <c r="R6" s="4"/>
    </row>
    <row r="7" spans="1:18">
      <c r="A7" s="287" t="str">
        <f t="shared" si="0"/>
        <v>202324032</v>
      </c>
      <c r="B7" s="287">
        <f>FrontPage!$M$2</f>
        <v>1</v>
      </c>
      <c r="C7" s="288" t="str">
        <f>Details!$H$57</f>
        <v>202324</v>
      </c>
      <c r="D7" s="3" t="s">
        <v>25</v>
      </c>
      <c r="E7" s="3">
        <v>3</v>
      </c>
      <c r="F7" s="3">
        <v>2</v>
      </c>
      <c r="G7" s="4">
        <f t="shared" si="1"/>
        <v>0</v>
      </c>
      <c r="H7" s="4">
        <f t="shared" si="2"/>
        <v>0</v>
      </c>
      <c r="R7" s="4"/>
    </row>
    <row r="8" spans="1:18">
      <c r="A8" s="287" t="str">
        <f t="shared" si="0"/>
        <v>202324042</v>
      </c>
      <c r="B8" s="287">
        <f>FrontPage!$M$2</f>
        <v>1</v>
      </c>
      <c r="C8" s="288" t="str">
        <f>Details!$H$57</f>
        <v>202324</v>
      </c>
      <c r="D8" s="3" t="s">
        <v>25</v>
      </c>
      <c r="E8" s="3">
        <v>4</v>
      </c>
      <c r="F8" s="3">
        <v>2</v>
      </c>
      <c r="G8" s="4">
        <f t="shared" si="1"/>
        <v>0</v>
      </c>
      <c r="H8" s="4">
        <f t="shared" si="2"/>
        <v>0</v>
      </c>
      <c r="R8" s="4"/>
    </row>
    <row r="9" spans="1:18">
      <c r="A9" s="287" t="str">
        <f t="shared" si="0"/>
        <v>202324052</v>
      </c>
      <c r="B9" s="287">
        <f>FrontPage!$M$2</f>
        <v>1</v>
      </c>
      <c r="C9" s="288" t="str">
        <f>Details!$H$57</f>
        <v>202324</v>
      </c>
      <c r="D9" s="3" t="s">
        <v>25</v>
      </c>
      <c r="E9" s="3">
        <v>5</v>
      </c>
      <c r="F9" s="3">
        <v>2</v>
      </c>
      <c r="G9" s="4">
        <f t="shared" si="1"/>
        <v>0</v>
      </c>
      <c r="H9" s="4">
        <f t="shared" si="2"/>
        <v>0</v>
      </c>
      <c r="R9" s="4"/>
    </row>
    <row r="10" spans="1:18">
      <c r="A10" s="287" t="str">
        <f t="shared" si="0"/>
        <v>202324062</v>
      </c>
      <c r="B10" s="287">
        <f>FrontPage!$M$2</f>
        <v>1</v>
      </c>
      <c r="C10" s="288" t="str">
        <f>Details!$H$57</f>
        <v>202324</v>
      </c>
      <c r="D10" s="3" t="s">
        <v>25</v>
      </c>
      <c r="E10" s="3">
        <v>6</v>
      </c>
      <c r="F10" s="3">
        <v>2</v>
      </c>
      <c r="G10" s="4">
        <f t="shared" si="1"/>
        <v>0</v>
      </c>
      <c r="H10" s="4">
        <f t="shared" si="2"/>
        <v>0</v>
      </c>
      <c r="R10" s="4"/>
    </row>
    <row r="11" spans="1:18">
      <c r="A11" s="287" t="str">
        <f t="shared" si="0"/>
        <v>202324023</v>
      </c>
      <c r="B11" s="287">
        <f>FrontPage!$M$2</f>
        <v>1</v>
      </c>
      <c r="C11" s="288" t="str">
        <f>Details!$H$57</f>
        <v>202324</v>
      </c>
      <c r="D11" s="3" t="s">
        <v>25</v>
      </c>
      <c r="E11" s="3">
        <v>2</v>
      </c>
      <c r="F11" s="3">
        <v>3</v>
      </c>
      <c r="G11" s="4">
        <f t="shared" si="1"/>
        <v>0</v>
      </c>
      <c r="H11" s="4">
        <f t="shared" si="2"/>
        <v>0</v>
      </c>
      <c r="R11" s="4"/>
    </row>
    <row r="12" spans="1:18">
      <c r="A12" s="287" t="str">
        <f t="shared" si="0"/>
        <v>202324033</v>
      </c>
      <c r="B12" s="287">
        <f>FrontPage!$M$2</f>
        <v>1</v>
      </c>
      <c r="C12" s="288" t="str">
        <f>Details!$H$57</f>
        <v>202324</v>
      </c>
      <c r="D12" s="3" t="s">
        <v>25</v>
      </c>
      <c r="E12" s="3">
        <v>3</v>
      </c>
      <c r="F12" s="3">
        <v>3</v>
      </c>
      <c r="G12" s="4">
        <f t="shared" si="1"/>
        <v>0</v>
      </c>
      <c r="H12" s="4">
        <f t="shared" si="2"/>
        <v>0</v>
      </c>
      <c r="R12" s="4"/>
    </row>
    <row r="13" spans="1:18">
      <c r="A13" s="287" t="str">
        <f t="shared" si="0"/>
        <v>202324043</v>
      </c>
      <c r="B13" s="287">
        <f>FrontPage!$M$2</f>
        <v>1</v>
      </c>
      <c r="C13" s="288" t="str">
        <f>Details!$H$57</f>
        <v>202324</v>
      </c>
      <c r="D13" s="3" t="s">
        <v>25</v>
      </c>
      <c r="E13" s="3">
        <v>4</v>
      </c>
      <c r="F13" s="3">
        <v>3</v>
      </c>
      <c r="G13" s="4">
        <f t="shared" si="1"/>
        <v>0</v>
      </c>
      <c r="H13" s="4">
        <f t="shared" si="2"/>
        <v>0</v>
      </c>
      <c r="R13" s="4"/>
    </row>
    <row r="14" spans="1:18">
      <c r="A14" s="287" t="str">
        <f t="shared" si="0"/>
        <v>202324053</v>
      </c>
      <c r="B14" s="287">
        <f>FrontPage!$M$2</f>
        <v>1</v>
      </c>
      <c r="C14" s="288" t="str">
        <f>Details!$H$57</f>
        <v>202324</v>
      </c>
      <c r="D14" s="3" t="s">
        <v>25</v>
      </c>
      <c r="E14" s="3">
        <v>5</v>
      </c>
      <c r="F14" s="3">
        <v>3</v>
      </c>
      <c r="G14" s="4">
        <f t="shared" si="1"/>
        <v>0</v>
      </c>
      <c r="H14" s="4">
        <f t="shared" si="2"/>
        <v>0</v>
      </c>
      <c r="R14" s="4"/>
    </row>
    <row r="15" spans="1:18">
      <c r="A15" s="287" t="str">
        <f t="shared" si="0"/>
        <v>202324063</v>
      </c>
      <c r="B15" s="287">
        <f>FrontPage!$M$2</f>
        <v>1</v>
      </c>
      <c r="C15" s="288" t="str">
        <f>Details!$H$57</f>
        <v>202324</v>
      </c>
      <c r="D15" s="3" t="s">
        <v>25</v>
      </c>
      <c r="E15" s="3">
        <v>6</v>
      </c>
      <c r="F15" s="3">
        <v>3</v>
      </c>
      <c r="G15" s="4">
        <f t="shared" si="1"/>
        <v>0</v>
      </c>
      <c r="H15" s="4">
        <f t="shared" si="2"/>
        <v>0</v>
      </c>
      <c r="R15" s="4"/>
    </row>
    <row r="16" spans="1:18">
      <c r="A16" s="287" t="str">
        <f t="shared" si="0"/>
        <v>202324073</v>
      </c>
      <c r="B16" s="287">
        <f>FrontPage!$M$2</f>
        <v>1</v>
      </c>
      <c r="C16" s="288" t="str">
        <f>Details!$H$57</f>
        <v>202324</v>
      </c>
      <c r="D16" s="3" t="s">
        <v>25</v>
      </c>
      <c r="E16" s="3">
        <v>7</v>
      </c>
      <c r="F16" s="3">
        <v>3</v>
      </c>
      <c r="G16" s="4">
        <f t="shared" si="1"/>
        <v>0</v>
      </c>
      <c r="H16" s="4">
        <f t="shared" si="2"/>
        <v>0</v>
      </c>
      <c r="R16" s="4"/>
    </row>
    <row r="17" spans="1:18">
      <c r="A17" s="287" t="str">
        <f t="shared" si="0"/>
        <v>202324083</v>
      </c>
      <c r="B17" s="287">
        <f>FrontPage!$M$2</f>
        <v>1</v>
      </c>
      <c r="C17" s="288" t="str">
        <f>Details!$H$57</f>
        <v>202324</v>
      </c>
      <c r="D17" s="3" t="s">
        <v>25</v>
      </c>
      <c r="E17" s="3">
        <v>8</v>
      </c>
      <c r="F17" s="3">
        <v>3</v>
      </c>
      <c r="G17" s="4">
        <f t="shared" si="1"/>
        <v>0</v>
      </c>
      <c r="H17" s="5">
        <f t="shared" si="2"/>
        <v>0</v>
      </c>
      <c r="R17" s="4"/>
    </row>
    <row r="18" spans="1:18">
      <c r="A18" s="287" t="str">
        <f t="shared" si="0"/>
        <v>202324093</v>
      </c>
      <c r="B18" s="287">
        <f>FrontPage!$M$2</f>
        <v>1</v>
      </c>
      <c r="C18" s="288" t="str">
        <f>Details!$H$57</f>
        <v>202324</v>
      </c>
      <c r="D18" s="3" t="s">
        <v>25</v>
      </c>
      <c r="E18" s="193">
        <v>9</v>
      </c>
      <c r="F18" s="193">
        <v>3</v>
      </c>
      <c r="G18" s="4">
        <f t="shared" si="1"/>
        <v>0</v>
      </c>
      <c r="H18" s="4">
        <f t="shared" si="2"/>
        <v>0</v>
      </c>
      <c r="R18" s="4"/>
    </row>
    <row r="19" spans="1:18">
      <c r="A19" s="287" t="str">
        <f t="shared" si="0"/>
        <v>202324010.13</v>
      </c>
      <c r="B19" s="287">
        <f>FrontPage!$M$2</f>
        <v>1</v>
      </c>
      <c r="C19" s="288" t="str">
        <f>Details!$H$57</f>
        <v>202324</v>
      </c>
      <c r="D19" s="3" t="s">
        <v>25</v>
      </c>
      <c r="E19" s="193">
        <v>10.1</v>
      </c>
      <c r="F19" s="193">
        <v>3</v>
      </c>
      <c r="G19" s="4">
        <f t="shared" si="1"/>
        <v>0</v>
      </c>
      <c r="H19" s="4">
        <f t="shared" si="2"/>
        <v>0</v>
      </c>
      <c r="R19" s="4"/>
    </row>
    <row r="20" spans="1:18">
      <c r="A20" s="287" t="str">
        <f t="shared" si="0"/>
        <v>202324010.23</v>
      </c>
      <c r="B20" s="287">
        <f>FrontPage!$M$2</f>
        <v>1</v>
      </c>
      <c r="C20" s="288" t="str">
        <f>Details!$H$57</f>
        <v>202324</v>
      </c>
      <c r="D20" s="3" t="s">
        <v>25</v>
      </c>
      <c r="E20" s="193">
        <v>10.199999999999999</v>
      </c>
      <c r="F20" s="193">
        <v>3</v>
      </c>
      <c r="G20" s="4">
        <f t="shared" si="1"/>
        <v>0</v>
      </c>
      <c r="H20" s="4">
        <f t="shared" si="2"/>
        <v>0</v>
      </c>
      <c r="R20" s="4"/>
    </row>
    <row r="21" spans="1:18">
      <c r="A21" s="287" t="str">
        <f t="shared" si="0"/>
        <v>202324010.33</v>
      </c>
      <c r="B21" s="287">
        <f>FrontPage!$M$2</f>
        <v>1</v>
      </c>
      <c r="C21" s="288" t="str">
        <f>Details!$H$57</f>
        <v>202324</v>
      </c>
      <c r="D21" s="3" t="s">
        <v>25</v>
      </c>
      <c r="E21" s="193">
        <v>10.3</v>
      </c>
      <c r="F21" s="193">
        <v>3</v>
      </c>
      <c r="G21" s="4">
        <f t="shared" si="1"/>
        <v>0</v>
      </c>
      <c r="H21" s="4">
        <f t="shared" si="2"/>
        <v>0</v>
      </c>
      <c r="R21" s="4"/>
    </row>
    <row r="22" spans="1:18">
      <c r="A22" s="287" t="str">
        <f t="shared" si="0"/>
        <v>202324010.43</v>
      </c>
      <c r="B22" s="287">
        <f>FrontPage!$M$2</f>
        <v>1</v>
      </c>
      <c r="C22" s="288" t="str">
        <f>Details!$H$57</f>
        <v>202324</v>
      </c>
      <c r="D22" s="3" t="s">
        <v>25</v>
      </c>
      <c r="E22" s="193">
        <v>10.4</v>
      </c>
      <c r="F22" s="3">
        <v>3</v>
      </c>
      <c r="G22" s="4">
        <f t="shared" si="1"/>
        <v>0</v>
      </c>
      <c r="H22" s="5">
        <f t="shared" si="2"/>
        <v>0</v>
      </c>
      <c r="R22" s="4"/>
    </row>
    <row r="23" spans="1:18">
      <c r="A23" s="287" t="str">
        <f t="shared" si="0"/>
        <v>202324010.54</v>
      </c>
      <c r="B23" s="287">
        <f>FrontPage!$M$2</f>
        <v>1</v>
      </c>
      <c r="C23" s="288" t="str">
        <f>Details!$H$57</f>
        <v>202324</v>
      </c>
      <c r="D23" s="3" t="s">
        <v>25</v>
      </c>
      <c r="E23" s="3">
        <v>10.5</v>
      </c>
      <c r="F23" s="3">
        <v>4</v>
      </c>
      <c r="G23" s="4">
        <f t="shared" si="1"/>
        <v>0</v>
      </c>
      <c r="H23" s="4">
        <f>IF(VLOOKUP(E23,Page1,F23+1,FALSE)="",0,VLOOKUP(E23,Page1,F23+1,FALSE))</f>
        <v>0</v>
      </c>
      <c r="R23" s="4"/>
    </row>
    <row r="24" spans="1:18">
      <c r="A24" s="287" t="str">
        <f t="shared" si="0"/>
        <v>2023240114</v>
      </c>
      <c r="B24" s="287">
        <f>FrontPage!$M$2</f>
        <v>1</v>
      </c>
      <c r="C24" s="288" t="str">
        <f>Details!$H$57</f>
        <v>202324</v>
      </c>
      <c r="D24" s="3" t="s">
        <v>25</v>
      </c>
      <c r="E24" s="3">
        <v>11</v>
      </c>
      <c r="F24" s="3">
        <v>4</v>
      </c>
      <c r="G24" s="4">
        <f t="shared" si="1"/>
        <v>0</v>
      </c>
      <c r="H24" s="4">
        <f>IF(VLOOKUP(E24,Page1,F24+1,FALSE)="",0,VLOOKUP(E24,Page1,F24+1,FALSE))</f>
        <v>0</v>
      </c>
      <c r="R24" s="4"/>
    </row>
    <row r="25" spans="1:18">
      <c r="A25" s="287" t="str">
        <f t="shared" si="0"/>
        <v>2023240124</v>
      </c>
      <c r="B25" s="287">
        <f>FrontPage!$M$2</f>
        <v>1</v>
      </c>
      <c r="C25" s="288" t="str">
        <f>Details!$H$57</f>
        <v>202324</v>
      </c>
      <c r="D25" s="3" t="s">
        <v>25</v>
      </c>
      <c r="E25" s="3">
        <v>12</v>
      </c>
      <c r="F25" s="3">
        <v>4</v>
      </c>
      <c r="G25" s="4">
        <f t="shared" si="1"/>
        <v>0</v>
      </c>
      <c r="H25" s="4">
        <f>IF(VLOOKUP(E25,Page1,F25+1,FALSE)="",0,VLOOKUP(E25,Page1,F25+1,FALSE))</f>
        <v>0</v>
      </c>
      <c r="R25" s="4"/>
    </row>
    <row r="26" spans="1:18">
      <c r="A26" s="287" t="str">
        <f t="shared" si="0"/>
        <v>202324012.54</v>
      </c>
      <c r="B26" s="287">
        <f>FrontPage!$M$2</f>
        <v>1</v>
      </c>
      <c r="C26" s="288" t="str">
        <f>Details!$H$57</f>
        <v>202324</v>
      </c>
      <c r="D26" s="3" t="s">
        <v>25</v>
      </c>
      <c r="E26" s="3">
        <v>12.5</v>
      </c>
      <c r="F26" s="3">
        <v>4</v>
      </c>
      <c r="G26" s="4">
        <f t="shared" si="1"/>
        <v>0</v>
      </c>
      <c r="H26" s="5">
        <f>IF(VLOOKUP(E26,Page1,F26+1,FALSE)="",0,VLOOKUP(E26,Page1,F26+1,FALSE))</f>
        <v>0</v>
      </c>
      <c r="R26" s="4"/>
    </row>
  </sheetData>
  <phoneticPr fontId="14" type="noConversion"/>
  <conditionalFormatting sqref="C5:C26 H5:H26">
    <cfRule type="cellIs" dxfId="0" priority="1" stopIfTrue="1" operator="equal">
      <formula>""</formula>
    </cfRule>
  </conditionalFormatting>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tint="0.59999389629810485"/>
  </sheetPr>
  <dimension ref="A1:I924"/>
  <sheetViews>
    <sheetView topLeftCell="A4" zoomScale="86" workbookViewId="0">
      <selection activeCell="G923" sqref="G923"/>
    </sheetView>
  </sheetViews>
  <sheetFormatPr defaultRowHeight="15.5"/>
  <cols>
    <col min="1" max="1" width="17.84375" bestFit="1" customWidth="1"/>
    <col min="2" max="2" width="7.53515625" bestFit="1" customWidth="1"/>
    <col min="3" max="3" width="8" bestFit="1" customWidth="1"/>
    <col min="4" max="4" width="6.3046875" customWidth="1"/>
    <col min="5" max="5" width="8.765625" bestFit="1" customWidth="1"/>
    <col min="6" max="6" width="13.765625" bestFit="1" customWidth="1"/>
    <col min="7" max="7" width="8.07421875" customWidth="1"/>
    <col min="9" max="9" width="10.4609375" bestFit="1" customWidth="1"/>
  </cols>
  <sheetData>
    <row r="1" spans="1:9">
      <c r="A1" s="289" t="str">
        <f>"For "&amp;Year&amp;", set to between "&amp;Details!H59&amp;" and "&amp;Details!H58</f>
        <v>For 2023-24, set to between 202122 and 202223</v>
      </c>
      <c r="B1" s="3"/>
      <c r="H1" s="165" t="s">
        <v>508</v>
      </c>
      <c r="I1" s="301" t="s">
        <v>956</v>
      </c>
    </row>
    <row r="2" spans="1:9">
      <c r="B2" s="3"/>
      <c r="H2" s="165" t="s">
        <v>507</v>
      </c>
      <c r="I2" s="291">
        <v>45372</v>
      </c>
    </row>
    <row r="3" spans="1:9">
      <c r="A3" s="18" t="s">
        <v>28</v>
      </c>
      <c r="B3" s="17"/>
      <c r="F3" s="116" t="s">
        <v>388</v>
      </c>
    </row>
    <row r="4" spans="1:9">
      <c r="A4" s="300" t="s">
        <v>41</v>
      </c>
      <c r="B4" s="300" t="s">
        <v>24</v>
      </c>
      <c r="C4" s="300" t="s">
        <v>23</v>
      </c>
      <c r="D4" s="300" t="s">
        <v>21</v>
      </c>
      <c r="E4" s="300" t="s">
        <v>22</v>
      </c>
      <c r="F4" s="143" t="s">
        <v>30</v>
      </c>
      <c r="G4" s="143" t="s">
        <v>24</v>
      </c>
    </row>
    <row r="5" spans="1:9">
      <c r="A5" s="14" t="s">
        <v>542</v>
      </c>
      <c r="B5" s="15">
        <v>3995</v>
      </c>
      <c r="C5" s="14">
        <v>512</v>
      </c>
      <c r="D5" s="14">
        <v>1</v>
      </c>
      <c r="E5" s="14">
        <v>2</v>
      </c>
      <c r="F5" s="114" t="str">
        <f t="shared" ref="F5:F68" si="0">LEFT(A5,6)&amp;"_"&amp;C5&amp;"_"&amp;D5&amp;"_"&amp;E5</f>
        <v>202122_512_1_2</v>
      </c>
      <c r="G5" s="115">
        <f t="shared" ref="G5:G68" si="1">B5</f>
        <v>3995</v>
      </c>
    </row>
    <row r="6" spans="1:9">
      <c r="A6" s="14" t="s">
        <v>543</v>
      </c>
      <c r="B6" s="15">
        <v>9296</v>
      </c>
      <c r="C6" s="14">
        <v>512</v>
      </c>
      <c r="D6" s="14">
        <v>10.5</v>
      </c>
      <c r="E6" s="14">
        <v>4</v>
      </c>
      <c r="F6" s="114" t="str">
        <f t="shared" si="0"/>
        <v>202122_512_10.5_4</v>
      </c>
      <c r="G6" s="115">
        <f t="shared" si="1"/>
        <v>9296</v>
      </c>
    </row>
    <row r="7" spans="1:9">
      <c r="A7" s="14" t="s">
        <v>544</v>
      </c>
      <c r="B7" s="15">
        <v>9138</v>
      </c>
      <c r="C7" s="14">
        <v>512</v>
      </c>
      <c r="D7" s="14">
        <v>11</v>
      </c>
      <c r="E7" s="14">
        <v>4</v>
      </c>
      <c r="F7" s="114" t="str">
        <f t="shared" si="0"/>
        <v>202122_512_11_4</v>
      </c>
      <c r="G7" s="115">
        <f t="shared" si="1"/>
        <v>9138</v>
      </c>
    </row>
    <row r="8" spans="1:9">
      <c r="A8" s="14" t="s">
        <v>545</v>
      </c>
      <c r="B8" s="15">
        <v>-330</v>
      </c>
      <c r="C8" s="14">
        <v>512</v>
      </c>
      <c r="D8" s="14">
        <v>12</v>
      </c>
      <c r="E8" s="14">
        <v>4</v>
      </c>
      <c r="F8" s="114" t="str">
        <f t="shared" si="0"/>
        <v>202122_512_12_4</v>
      </c>
      <c r="G8" s="115">
        <f t="shared" si="1"/>
        <v>-330</v>
      </c>
    </row>
    <row r="9" spans="1:9">
      <c r="A9" s="14" t="s">
        <v>546</v>
      </c>
      <c r="B9" s="15">
        <v>98.300344234079176</v>
      </c>
      <c r="C9" s="14">
        <v>512</v>
      </c>
      <c r="D9" s="14">
        <v>12.5</v>
      </c>
      <c r="E9" s="14">
        <v>4</v>
      </c>
      <c r="F9" s="114" t="str">
        <f t="shared" si="0"/>
        <v>202122_512_12.5_4</v>
      </c>
      <c r="G9" s="115">
        <f t="shared" si="1"/>
        <v>98.300344234079176</v>
      </c>
    </row>
    <row r="10" spans="1:9">
      <c r="A10" s="14" t="s">
        <v>547</v>
      </c>
      <c r="B10" s="15">
        <v>-503</v>
      </c>
      <c r="C10" s="14">
        <v>512</v>
      </c>
      <c r="D10" s="14">
        <v>2</v>
      </c>
      <c r="E10" s="14">
        <v>2</v>
      </c>
      <c r="F10" s="114" t="str">
        <f t="shared" si="0"/>
        <v>202122_512_2_2</v>
      </c>
      <c r="G10" s="115">
        <f t="shared" si="1"/>
        <v>-503</v>
      </c>
    </row>
    <row r="11" spans="1:9">
      <c r="A11" s="14" t="s">
        <v>548</v>
      </c>
      <c r="B11" s="15">
        <v>47936</v>
      </c>
      <c r="C11" s="14">
        <v>512</v>
      </c>
      <c r="D11" s="14">
        <v>2</v>
      </c>
      <c r="E11" s="14">
        <v>3</v>
      </c>
      <c r="F11" s="114" t="str">
        <f t="shared" si="0"/>
        <v>202122_512_2_3</v>
      </c>
      <c r="G11" s="115">
        <f t="shared" si="1"/>
        <v>47936</v>
      </c>
    </row>
    <row r="12" spans="1:9">
      <c r="A12" s="14" t="s">
        <v>549</v>
      </c>
      <c r="B12" s="15">
        <v>3492</v>
      </c>
      <c r="C12" s="14">
        <v>512</v>
      </c>
      <c r="D12" s="14">
        <v>3</v>
      </c>
      <c r="E12" s="14">
        <v>2</v>
      </c>
      <c r="F12" s="114" t="str">
        <f t="shared" si="0"/>
        <v>202122_512_3_2</v>
      </c>
      <c r="G12" s="115">
        <f t="shared" si="1"/>
        <v>3492</v>
      </c>
    </row>
    <row r="13" spans="1:9">
      <c r="A13" s="14" t="s">
        <v>550</v>
      </c>
      <c r="B13" s="15">
        <v>47936</v>
      </c>
      <c r="C13" s="14">
        <v>512</v>
      </c>
      <c r="D13" s="14">
        <v>3</v>
      </c>
      <c r="E13" s="14">
        <v>3</v>
      </c>
      <c r="F13" s="114" t="str">
        <f t="shared" si="0"/>
        <v>202122_512_3_3</v>
      </c>
      <c r="G13" s="115">
        <f t="shared" si="1"/>
        <v>47936</v>
      </c>
    </row>
    <row r="14" spans="1:9">
      <c r="A14" s="14" t="s">
        <v>551</v>
      </c>
      <c r="B14" s="15">
        <v>756</v>
      </c>
      <c r="C14" s="14">
        <v>512</v>
      </c>
      <c r="D14" s="14">
        <v>4</v>
      </c>
      <c r="E14" s="14">
        <v>2</v>
      </c>
      <c r="F14" s="114" t="str">
        <f t="shared" si="0"/>
        <v>202122_512_4_2</v>
      </c>
      <c r="G14" s="115">
        <f t="shared" si="1"/>
        <v>756</v>
      </c>
    </row>
    <row r="15" spans="1:9">
      <c r="A15" s="14" t="s">
        <v>552</v>
      </c>
      <c r="B15" s="15">
        <v>46464</v>
      </c>
      <c r="C15" s="14">
        <v>512</v>
      </c>
      <c r="D15" s="14">
        <v>4</v>
      </c>
      <c r="E15" s="14">
        <v>3</v>
      </c>
      <c r="F15" s="114" t="str">
        <f t="shared" si="0"/>
        <v>202122_512_4_3</v>
      </c>
      <c r="G15" s="115">
        <f t="shared" si="1"/>
        <v>46464</v>
      </c>
    </row>
    <row r="16" spans="1:9">
      <c r="A16" s="14" t="s">
        <v>553</v>
      </c>
      <c r="B16" s="15">
        <v>111</v>
      </c>
      <c r="C16" s="14">
        <v>512</v>
      </c>
      <c r="D16" s="14">
        <v>5</v>
      </c>
      <c r="E16" s="14">
        <v>2</v>
      </c>
      <c r="F16" s="114" t="str">
        <f t="shared" si="0"/>
        <v>202122_512_5_2</v>
      </c>
      <c r="G16" s="115">
        <f t="shared" si="1"/>
        <v>111</v>
      </c>
    </row>
    <row r="17" spans="1:7">
      <c r="A17" s="14" t="s">
        <v>554</v>
      </c>
      <c r="B17" s="15">
        <v>19</v>
      </c>
      <c r="C17" s="14">
        <v>512</v>
      </c>
      <c r="D17" s="14">
        <v>5</v>
      </c>
      <c r="E17" s="14">
        <v>3</v>
      </c>
      <c r="F17" s="114" t="str">
        <f t="shared" si="0"/>
        <v>202122_512_5_3</v>
      </c>
      <c r="G17" s="115">
        <f t="shared" si="1"/>
        <v>19</v>
      </c>
    </row>
    <row r="18" spans="1:7">
      <c r="A18" s="14" t="s">
        <v>555</v>
      </c>
      <c r="B18" s="15">
        <v>2625</v>
      </c>
      <c r="C18" s="14">
        <v>512</v>
      </c>
      <c r="D18" s="14">
        <v>6</v>
      </c>
      <c r="E18" s="14">
        <v>2</v>
      </c>
      <c r="F18" s="114" t="str">
        <f t="shared" si="0"/>
        <v>202122_512_6_2</v>
      </c>
      <c r="G18" s="115">
        <f t="shared" si="1"/>
        <v>2625</v>
      </c>
    </row>
    <row r="19" spans="1:7">
      <c r="A19" s="14" t="s">
        <v>556</v>
      </c>
      <c r="B19" s="15">
        <v>1453</v>
      </c>
      <c r="C19" s="14">
        <v>512</v>
      </c>
      <c r="D19" s="14">
        <v>6</v>
      </c>
      <c r="E19" s="14">
        <v>3</v>
      </c>
      <c r="F19" s="114" t="str">
        <f t="shared" si="0"/>
        <v>202122_512_6_3</v>
      </c>
      <c r="G19" s="115">
        <f t="shared" si="1"/>
        <v>1453</v>
      </c>
    </row>
    <row r="20" spans="1:7">
      <c r="A20" s="14" t="s">
        <v>557</v>
      </c>
      <c r="B20" s="15">
        <v>47361</v>
      </c>
      <c r="C20" s="14">
        <v>512</v>
      </c>
      <c r="D20" s="14">
        <v>7</v>
      </c>
      <c r="E20" s="14">
        <v>3</v>
      </c>
      <c r="F20" s="114" t="str">
        <f t="shared" si="0"/>
        <v>202122_512_7_3</v>
      </c>
      <c r="G20" s="115">
        <f t="shared" si="1"/>
        <v>47361</v>
      </c>
    </row>
    <row r="21" spans="1:7">
      <c r="A21" s="14" t="s">
        <v>558</v>
      </c>
      <c r="B21" s="15">
        <v>96.929238985313745</v>
      </c>
      <c r="C21" s="14">
        <v>512</v>
      </c>
      <c r="D21" s="14">
        <v>8</v>
      </c>
      <c r="E21" s="14">
        <v>3</v>
      </c>
      <c r="F21" s="114" t="str">
        <f t="shared" si="0"/>
        <v>202122_512_8_3</v>
      </c>
      <c r="G21" s="115">
        <f t="shared" si="1"/>
        <v>96.929238985313745</v>
      </c>
    </row>
    <row r="22" spans="1:7">
      <c r="A22" s="14" t="s">
        <v>559</v>
      </c>
      <c r="B22" s="15">
        <v>98.106036612402619</v>
      </c>
      <c r="C22" s="14">
        <v>512</v>
      </c>
      <c r="D22" s="14">
        <v>9</v>
      </c>
      <c r="E22" s="14">
        <v>3</v>
      </c>
      <c r="F22" s="114" t="str">
        <f t="shared" si="0"/>
        <v>202122_512_9_3</v>
      </c>
      <c r="G22" s="115">
        <f t="shared" si="1"/>
        <v>98.106036612402619</v>
      </c>
    </row>
    <row r="23" spans="1:7">
      <c r="A23" s="14" t="s">
        <v>560</v>
      </c>
      <c r="B23" s="15">
        <v>8354</v>
      </c>
      <c r="C23" s="14">
        <v>514</v>
      </c>
      <c r="D23" s="14">
        <v>1</v>
      </c>
      <c r="E23" s="14">
        <v>2</v>
      </c>
      <c r="F23" s="114" t="str">
        <f t="shared" si="0"/>
        <v>202122_514_1_2</v>
      </c>
      <c r="G23" s="115">
        <f t="shared" si="1"/>
        <v>8354</v>
      </c>
    </row>
    <row r="24" spans="1:7">
      <c r="A24" s="14" t="s">
        <v>561</v>
      </c>
      <c r="B24" s="15">
        <v>27347</v>
      </c>
      <c r="C24" s="14">
        <v>514</v>
      </c>
      <c r="D24" s="14">
        <v>10.5</v>
      </c>
      <c r="E24" s="14">
        <v>4</v>
      </c>
      <c r="F24" s="114" t="str">
        <f t="shared" si="0"/>
        <v>202122_514_10.5_4</v>
      </c>
      <c r="G24" s="115">
        <f t="shared" si="1"/>
        <v>27347</v>
      </c>
    </row>
    <row r="25" spans="1:7">
      <c r="A25" s="14" t="s">
        <v>562</v>
      </c>
      <c r="B25" s="15">
        <v>23714</v>
      </c>
      <c r="C25" s="14">
        <v>514</v>
      </c>
      <c r="D25" s="14">
        <v>11</v>
      </c>
      <c r="E25" s="14">
        <v>4</v>
      </c>
      <c r="F25" s="114" t="str">
        <f t="shared" si="0"/>
        <v>202122_514_11_4</v>
      </c>
      <c r="G25" s="115">
        <f t="shared" si="1"/>
        <v>23714</v>
      </c>
    </row>
    <row r="26" spans="1:7">
      <c r="A26" s="14" t="s">
        <v>563</v>
      </c>
      <c r="B26" s="15">
        <v>-620</v>
      </c>
      <c r="C26" s="14">
        <v>514</v>
      </c>
      <c r="D26" s="14">
        <v>12</v>
      </c>
      <c r="E26" s="14">
        <v>4</v>
      </c>
      <c r="F26" s="114" t="str">
        <f t="shared" si="0"/>
        <v>202122_514_12_4</v>
      </c>
      <c r="G26" s="115">
        <f t="shared" si="1"/>
        <v>-620</v>
      </c>
    </row>
    <row r="27" spans="1:7">
      <c r="A27" s="14" t="s">
        <v>564</v>
      </c>
      <c r="B27" s="15">
        <v>86.715178995867916</v>
      </c>
      <c r="C27" s="14">
        <v>514</v>
      </c>
      <c r="D27" s="14">
        <v>12.5</v>
      </c>
      <c r="E27" s="14">
        <v>4</v>
      </c>
      <c r="F27" s="114" t="str">
        <f t="shared" si="0"/>
        <v>202122_514_12.5_4</v>
      </c>
      <c r="G27" s="115">
        <f t="shared" si="1"/>
        <v>86.715178995867916</v>
      </c>
    </row>
    <row r="28" spans="1:7">
      <c r="A28" s="14" t="s">
        <v>565</v>
      </c>
      <c r="B28" s="15">
        <v>-1182</v>
      </c>
      <c r="C28" s="14">
        <v>514</v>
      </c>
      <c r="D28" s="14">
        <v>2</v>
      </c>
      <c r="E28" s="14">
        <v>2</v>
      </c>
      <c r="F28" s="114" t="str">
        <f t="shared" si="0"/>
        <v>202122_514_2_2</v>
      </c>
      <c r="G28" s="115">
        <f t="shared" si="1"/>
        <v>-1182</v>
      </c>
    </row>
    <row r="29" spans="1:7">
      <c r="A29" s="14" t="s">
        <v>566</v>
      </c>
      <c r="B29" s="15">
        <v>93006</v>
      </c>
      <c r="C29" s="14">
        <v>514</v>
      </c>
      <c r="D29" s="14">
        <v>2</v>
      </c>
      <c r="E29" s="14">
        <v>3</v>
      </c>
      <c r="F29" s="114" t="str">
        <f t="shared" si="0"/>
        <v>202122_514_2_3</v>
      </c>
      <c r="G29" s="115">
        <f t="shared" si="1"/>
        <v>93006</v>
      </c>
    </row>
    <row r="30" spans="1:7">
      <c r="A30" s="14" t="s">
        <v>567</v>
      </c>
      <c r="B30" s="15">
        <v>7172</v>
      </c>
      <c r="C30" s="14">
        <v>514</v>
      </c>
      <c r="D30" s="14">
        <v>3</v>
      </c>
      <c r="E30" s="14">
        <v>2</v>
      </c>
      <c r="F30" s="114" t="str">
        <f t="shared" si="0"/>
        <v>202122_514_3_2</v>
      </c>
      <c r="G30" s="115">
        <f t="shared" si="1"/>
        <v>7172</v>
      </c>
    </row>
    <row r="31" spans="1:7">
      <c r="A31" s="14" t="s">
        <v>568</v>
      </c>
      <c r="B31" s="15">
        <v>93006</v>
      </c>
      <c r="C31" s="14">
        <v>514</v>
      </c>
      <c r="D31" s="14">
        <v>3</v>
      </c>
      <c r="E31" s="14">
        <v>3</v>
      </c>
      <c r="F31" s="114" t="str">
        <f t="shared" si="0"/>
        <v>202122_514_3_3</v>
      </c>
      <c r="G31" s="115">
        <f t="shared" si="1"/>
        <v>93006</v>
      </c>
    </row>
    <row r="32" spans="1:7">
      <c r="A32" s="14" t="s">
        <v>569</v>
      </c>
      <c r="B32" s="15">
        <v>1281</v>
      </c>
      <c r="C32" s="14">
        <v>514</v>
      </c>
      <c r="D32" s="14">
        <v>4</v>
      </c>
      <c r="E32" s="14">
        <v>2</v>
      </c>
      <c r="F32" s="114" t="str">
        <f t="shared" si="0"/>
        <v>202122_514_4_2</v>
      </c>
      <c r="G32" s="115">
        <f t="shared" si="1"/>
        <v>1281</v>
      </c>
    </row>
    <row r="33" spans="1:7">
      <c r="A33" s="14" t="s">
        <v>570</v>
      </c>
      <c r="B33" s="15">
        <v>89449</v>
      </c>
      <c r="C33" s="14">
        <v>514</v>
      </c>
      <c r="D33" s="14">
        <v>4</v>
      </c>
      <c r="E33" s="14">
        <v>3</v>
      </c>
      <c r="F33" s="114" t="str">
        <f t="shared" si="0"/>
        <v>202122_514_4_3</v>
      </c>
      <c r="G33" s="115">
        <f t="shared" si="1"/>
        <v>89449</v>
      </c>
    </row>
    <row r="34" spans="1:7">
      <c r="A34" s="14" t="s">
        <v>571</v>
      </c>
      <c r="B34" s="15">
        <v>204</v>
      </c>
      <c r="C34" s="14">
        <v>514</v>
      </c>
      <c r="D34" s="14">
        <v>5</v>
      </c>
      <c r="E34" s="14">
        <v>2</v>
      </c>
      <c r="F34" s="114" t="str">
        <f t="shared" si="0"/>
        <v>202122_514_5_2</v>
      </c>
      <c r="G34" s="115">
        <f t="shared" si="1"/>
        <v>204</v>
      </c>
    </row>
    <row r="35" spans="1:7">
      <c r="A35" s="14" t="s">
        <v>572</v>
      </c>
      <c r="B35" s="15">
        <v>19</v>
      </c>
      <c r="C35" s="14">
        <v>514</v>
      </c>
      <c r="D35" s="14">
        <v>5</v>
      </c>
      <c r="E35" s="14">
        <v>3</v>
      </c>
      <c r="F35" s="114" t="str">
        <f t="shared" si="0"/>
        <v>202122_514_5_3</v>
      </c>
      <c r="G35" s="115">
        <f t="shared" si="1"/>
        <v>19</v>
      </c>
    </row>
    <row r="36" spans="1:7">
      <c r="A36" s="14" t="s">
        <v>573</v>
      </c>
      <c r="B36" s="15">
        <v>5687</v>
      </c>
      <c r="C36" s="14">
        <v>514</v>
      </c>
      <c r="D36" s="14">
        <v>6</v>
      </c>
      <c r="E36" s="14">
        <v>2</v>
      </c>
      <c r="F36" s="114" t="str">
        <f t="shared" si="0"/>
        <v>202122_514_6_2</v>
      </c>
      <c r="G36" s="115">
        <f t="shared" si="1"/>
        <v>5687</v>
      </c>
    </row>
    <row r="37" spans="1:7">
      <c r="A37" s="14" t="s">
        <v>574</v>
      </c>
      <c r="B37" s="15">
        <v>3538</v>
      </c>
      <c r="C37" s="14">
        <v>514</v>
      </c>
      <c r="D37" s="14">
        <v>6</v>
      </c>
      <c r="E37" s="14">
        <v>3</v>
      </c>
      <c r="F37" s="114" t="str">
        <f t="shared" si="0"/>
        <v>202122_514_6_3</v>
      </c>
      <c r="G37" s="115">
        <f t="shared" si="1"/>
        <v>3538</v>
      </c>
    </row>
    <row r="38" spans="1:7">
      <c r="A38" s="14" t="s">
        <v>575</v>
      </c>
      <c r="B38" s="15">
        <v>80876</v>
      </c>
      <c r="C38" s="14">
        <v>514</v>
      </c>
      <c r="D38" s="14">
        <v>7</v>
      </c>
      <c r="E38" s="14">
        <v>3</v>
      </c>
      <c r="F38" s="114" t="str">
        <f t="shared" si="0"/>
        <v>202122_514_7_3</v>
      </c>
      <c r="G38" s="115">
        <f t="shared" si="1"/>
        <v>80876</v>
      </c>
    </row>
    <row r="39" spans="1:7">
      <c r="A39" s="14" t="s">
        <v>576</v>
      </c>
      <c r="B39" s="15">
        <v>96.175515558136041</v>
      </c>
      <c r="C39" s="14">
        <v>514</v>
      </c>
      <c r="D39" s="14">
        <v>8</v>
      </c>
      <c r="E39" s="14">
        <v>3</v>
      </c>
      <c r="F39" s="114" t="str">
        <f t="shared" si="0"/>
        <v>202122_514_8_3</v>
      </c>
      <c r="G39" s="115">
        <f t="shared" si="1"/>
        <v>96.175515558136041</v>
      </c>
    </row>
    <row r="40" spans="1:7">
      <c r="A40" s="14" t="s">
        <v>577</v>
      </c>
      <c r="B40" s="15">
        <v>110.60017805034867</v>
      </c>
      <c r="C40" s="14">
        <v>514</v>
      </c>
      <c r="D40" s="14">
        <v>9</v>
      </c>
      <c r="E40" s="14">
        <v>3</v>
      </c>
      <c r="F40" s="114" t="str">
        <f t="shared" si="0"/>
        <v>202122_514_9_3</v>
      </c>
      <c r="G40" s="115">
        <f t="shared" si="1"/>
        <v>110.60017805034867</v>
      </c>
    </row>
    <row r="41" spans="1:7">
      <c r="A41" s="14" t="s">
        <v>578</v>
      </c>
      <c r="B41" s="15">
        <v>5220</v>
      </c>
      <c r="C41" s="14">
        <v>516</v>
      </c>
      <c r="D41" s="14">
        <v>1</v>
      </c>
      <c r="E41" s="14">
        <v>2</v>
      </c>
      <c r="F41" s="114" t="str">
        <f t="shared" si="0"/>
        <v>202122_516_1_2</v>
      </c>
      <c r="G41" s="115">
        <f t="shared" si="1"/>
        <v>5220</v>
      </c>
    </row>
    <row r="42" spans="1:7">
      <c r="A42" s="14" t="s">
        <v>579</v>
      </c>
      <c r="B42" s="15">
        <v>16907</v>
      </c>
      <c r="C42" s="14">
        <v>516</v>
      </c>
      <c r="D42" s="14">
        <v>10.5</v>
      </c>
      <c r="E42" s="14">
        <v>4</v>
      </c>
      <c r="F42" s="114" t="str">
        <f t="shared" si="0"/>
        <v>202122_516_10.5_4</v>
      </c>
      <c r="G42" s="115">
        <f t="shared" si="1"/>
        <v>16907</v>
      </c>
    </row>
    <row r="43" spans="1:7">
      <c r="A43" s="14" t="s">
        <v>580</v>
      </c>
      <c r="B43" s="15">
        <v>16482</v>
      </c>
      <c r="C43" s="14">
        <v>516</v>
      </c>
      <c r="D43" s="14">
        <v>11</v>
      </c>
      <c r="E43" s="14">
        <v>4</v>
      </c>
      <c r="F43" s="114" t="str">
        <f t="shared" si="0"/>
        <v>202122_516_11_4</v>
      </c>
      <c r="G43" s="115">
        <f t="shared" si="1"/>
        <v>16482</v>
      </c>
    </row>
    <row r="44" spans="1:7">
      <c r="A44" s="14" t="s">
        <v>581</v>
      </c>
      <c r="B44" s="15">
        <v>529</v>
      </c>
      <c r="C44" s="14">
        <v>516</v>
      </c>
      <c r="D44" s="14">
        <v>12</v>
      </c>
      <c r="E44" s="14">
        <v>4</v>
      </c>
      <c r="F44" s="114" t="str">
        <f t="shared" si="0"/>
        <v>202122_516_12_4</v>
      </c>
      <c r="G44" s="115">
        <f t="shared" si="1"/>
        <v>529</v>
      </c>
    </row>
    <row r="45" spans="1:7">
      <c r="A45" s="14" t="s">
        <v>582</v>
      </c>
      <c r="B45" s="15">
        <v>97.486248299520909</v>
      </c>
      <c r="C45" s="14">
        <v>516</v>
      </c>
      <c r="D45" s="14">
        <v>12.5</v>
      </c>
      <c r="E45" s="14">
        <v>4</v>
      </c>
      <c r="F45" s="114" t="str">
        <f t="shared" si="0"/>
        <v>202122_516_12.5_4</v>
      </c>
      <c r="G45" s="115">
        <f t="shared" si="1"/>
        <v>97.486248299520909</v>
      </c>
    </row>
    <row r="46" spans="1:7">
      <c r="A46" s="14" t="s">
        <v>583</v>
      </c>
      <c r="B46" s="15">
        <v>-655</v>
      </c>
      <c r="C46" s="14">
        <v>516</v>
      </c>
      <c r="D46" s="14">
        <v>2</v>
      </c>
      <c r="E46" s="14">
        <v>2</v>
      </c>
      <c r="F46" s="114" t="str">
        <f t="shared" si="0"/>
        <v>202122_516_2_2</v>
      </c>
      <c r="G46" s="115">
        <f t="shared" si="1"/>
        <v>-655</v>
      </c>
    </row>
    <row r="47" spans="1:7">
      <c r="A47" s="14" t="s">
        <v>584</v>
      </c>
      <c r="B47" s="15">
        <v>79355</v>
      </c>
      <c r="C47" s="14">
        <v>516</v>
      </c>
      <c r="D47" s="14">
        <v>2</v>
      </c>
      <c r="E47" s="14">
        <v>3</v>
      </c>
      <c r="F47" s="114" t="str">
        <f t="shared" si="0"/>
        <v>202122_516_2_3</v>
      </c>
      <c r="G47" s="115">
        <f t="shared" si="1"/>
        <v>79355</v>
      </c>
    </row>
    <row r="48" spans="1:7">
      <c r="A48" s="14" t="s">
        <v>585</v>
      </c>
      <c r="B48" s="15">
        <v>4565</v>
      </c>
      <c r="C48" s="14">
        <v>516</v>
      </c>
      <c r="D48" s="14">
        <v>3</v>
      </c>
      <c r="E48" s="14">
        <v>2</v>
      </c>
      <c r="F48" s="114" t="str">
        <f t="shared" si="0"/>
        <v>202122_516_3_2</v>
      </c>
      <c r="G48" s="115">
        <f t="shared" si="1"/>
        <v>4565</v>
      </c>
    </row>
    <row r="49" spans="1:7">
      <c r="A49" s="14" t="s">
        <v>586</v>
      </c>
      <c r="B49" s="15">
        <v>79355</v>
      </c>
      <c r="C49" s="14">
        <v>516</v>
      </c>
      <c r="D49" s="14">
        <v>3</v>
      </c>
      <c r="E49" s="14">
        <v>3</v>
      </c>
      <c r="F49" s="114" t="str">
        <f t="shared" si="0"/>
        <v>202122_516_3_3</v>
      </c>
      <c r="G49" s="115">
        <f t="shared" si="1"/>
        <v>79355</v>
      </c>
    </row>
    <row r="50" spans="1:7">
      <c r="A50" s="14" t="s">
        <v>587</v>
      </c>
      <c r="B50" s="15">
        <v>545</v>
      </c>
      <c r="C50" s="14">
        <v>516</v>
      </c>
      <c r="D50" s="14">
        <v>4</v>
      </c>
      <c r="E50" s="14">
        <v>2</v>
      </c>
      <c r="F50" s="114" t="str">
        <f t="shared" si="0"/>
        <v>202122_516_4_2</v>
      </c>
      <c r="G50" s="115">
        <f t="shared" si="1"/>
        <v>545</v>
      </c>
    </row>
    <row r="51" spans="1:7">
      <c r="A51" s="14" t="s">
        <v>588</v>
      </c>
      <c r="B51" s="15">
        <v>77260</v>
      </c>
      <c r="C51" s="14">
        <v>516</v>
      </c>
      <c r="D51" s="14">
        <v>4</v>
      </c>
      <c r="E51" s="14">
        <v>3</v>
      </c>
      <c r="F51" s="114" t="str">
        <f t="shared" si="0"/>
        <v>202122_516_4_3</v>
      </c>
      <c r="G51" s="115">
        <f t="shared" si="1"/>
        <v>77260</v>
      </c>
    </row>
    <row r="52" spans="1:7">
      <c r="A52" s="14" t="s">
        <v>589</v>
      </c>
      <c r="B52" s="15">
        <v>177</v>
      </c>
      <c r="C52" s="14">
        <v>516</v>
      </c>
      <c r="D52" s="14">
        <v>5</v>
      </c>
      <c r="E52" s="14">
        <v>2</v>
      </c>
      <c r="F52" s="114" t="str">
        <f t="shared" si="0"/>
        <v>202122_516_5_2</v>
      </c>
      <c r="G52" s="115">
        <f t="shared" si="1"/>
        <v>177</v>
      </c>
    </row>
    <row r="53" spans="1:7">
      <c r="A53" s="14" t="s">
        <v>590</v>
      </c>
      <c r="B53" s="15">
        <v>14</v>
      </c>
      <c r="C53" s="14">
        <v>516</v>
      </c>
      <c r="D53" s="14">
        <v>5</v>
      </c>
      <c r="E53" s="14">
        <v>3</v>
      </c>
      <c r="F53" s="114" t="str">
        <f t="shared" si="0"/>
        <v>202122_516_5_3</v>
      </c>
      <c r="G53" s="115">
        <f t="shared" si="1"/>
        <v>14</v>
      </c>
    </row>
    <row r="54" spans="1:7">
      <c r="A54" s="14" t="s">
        <v>591</v>
      </c>
      <c r="B54" s="15">
        <v>3843</v>
      </c>
      <c r="C54" s="14">
        <v>516</v>
      </c>
      <c r="D54" s="14">
        <v>6</v>
      </c>
      <c r="E54" s="14">
        <v>2</v>
      </c>
      <c r="F54" s="114" t="str">
        <f t="shared" si="0"/>
        <v>202122_516_6_2</v>
      </c>
      <c r="G54" s="115">
        <f t="shared" si="1"/>
        <v>3843</v>
      </c>
    </row>
    <row r="55" spans="1:7">
      <c r="A55" s="14" t="s">
        <v>592</v>
      </c>
      <c r="B55" s="15">
        <v>2081</v>
      </c>
      <c r="C55" s="14">
        <v>516</v>
      </c>
      <c r="D55" s="14">
        <v>6</v>
      </c>
      <c r="E55" s="14">
        <v>3</v>
      </c>
      <c r="F55" s="114" t="str">
        <f t="shared" si="0"/>
        <v>202122_516_6_3</v>
      </c>
      <c r="G55" s="115">
        <f t="shared" si="1"/>
        <v>2081</v>
      </c>
    </row>
    <row r="56" spans="1:7">
      <c r="A56" s="14" t="s">
        <v>593</v>
      </c>
      <c r="B56" s="15">
        <v>77458</v>
      </c>
      <c r="C56" s="14">
        <v>516</v>
      </c>
      <c r="D56" s="14">
        <v>7</v>
      </c>
      <c r="E56" s="14">
        <v>3</v>
      </c>
      <c r="F56" s="114" t="str">
        <f t="shared" si="0"/>
        <v>202122_516_7_3</v>
      </c>
      <c r="G56" s="115">
        <f t="shared" si="1"/>
        <v>77458</v>
      </c>
    </row>
    <row r="57" spans="1:7">
      <c r="A57" s="14" t="s">
        <v>594</v>
      </c>
      <c r="B57" s="15">
        <v>97.359964715518871</v>
      </c>
      <c r="C57" s="14">
        <v>516</v>
      </c>
      <c r="D57" s="14">
        <v>8</v>
      </c>
      <c r="E57" s="14">
        <v>3</v>
      </c>
      <c r="F57" s="114" t="str">
        <f t="shared" si="0"/>
        <v>202122_516_8_3</v>
      </c>
      <c r="G57" s="115">
        <f t="shared" si="1"/>
        <v>97.359964715518871</v>
      </c>
    </row>
    <row r="58" spans="1:7">
      <c r="A58" s="14" t="s">
        <v>595</v>
      </c>
      <c r="B58" s="15">
        <v>99.74437759818224</v>
      </c>
      <c r="C58" s="14">
        <v>516</v>
      </c>
      <c r="D58" s="14">
        <v>9</v>
      </c>
      <c r="E58" s="14">
        <v>3</v>
      </c>
      <c r="F58" s="114" t="str">
        <f t="shared" si="0"/>
        <v>202122_516_9_3</v>
      </c>
      <c r="G58" s="115">
        <f t="shared" si="1"/>
        <v>99.74437759818224</v>
      </c>
    </row>
    <row r="59" spans="1:7">
      <c r="A59" s="14" t="s">
        <v>596</v>
      </c>
      <c r="B59" s="15">
        <v>3476</v>
      </c>
      <c r="C59" s="14">
        <v>518</v>
      </c>
      <c r="D59" s="14">
        <v>1</v>
      </c>
      <c r="E59" s="14">
        <v>2</v>
      </c>
      <c r="F59" s="114" t="str">
        <f t="shared" si="0"/>
        <v>202122_518_1_2</v>
      </c>
      <c r="G59" s="115">
        <f t="shared" si="1"/>
        <v>3476</v>
      </c>
    </row>
    <row r="60" spans="1:7">
      <c r="A60" s="14" t="s">
        <v>597</v>
      </c>
      <c r="B60" s="15">
        <v>19401</v>
      </c>
      <c r="C60" s="14">
        <v>518</v>
      </c>
      <c r="D60" s="14">
        <v>10.5</v>
      </c>
      <c r="E60" s="14">
        <v>4</v>
      </c>
      <c r="F60" s="114" t="str">
        <f t="shared" si="0"/>
        <v>202122_518_10.5_4</v>
      </c>
      <c r="G60" s="115">
        <f t="shared" si="1"/>
        <v>19401</v>
      </c>
    </row>
    <row r="61" spans="1:7">
      <c r="A61" s="14" t="s">
        <v>598</v>
      </c>
      <c r="B61" s="15">
        <v>19237</v>
      </c>
      <c r="C61" s="14">
        <v>518</v>
      </c>
      <c r="D61" s="14">
        <v>11</v>
      </c>
      <c r="E61" s="14">
        <v>4</v>
      </c>
      <c r="F61" s="114" t="str">
        <f t="shared" si="0"/>
        <v>202122_518_11_4</v>
      </c>
      <c r="G61" s="115">
        <f t="shared" si="1"/>
        <v>19237</v>
      </c>
    </row>
    <row r="62" spans="1:7">
      <c r="A62" s="14" t="s">
        <v>599</v>
      </c>
      <c r="B62" s="15">
        <v>1237</v>
      </c>
      <c r="C62" s="14">
        <v>518</v>
      </c>
      <c r="D62" s="14">
        <v>12</v>
      </c>
      <c r="E62" s="14">
        <v>4</v>
      </c>
      <c r="F62" s="114" t="str">
        <f t="shared" si="0"/>
        <v>202122_518_12_4</v>
      </c>
      <c r="G62" s="115">
        <f t="shared" si="1"/>
        <v>1237</v>
      </c>
    </row>
    <row r="63" spans="1:7">
      <c r="A63" s="14" t="s">
        <v>600</v>
      </c>
      <c r="B63" s="15">
        <v>99.154682748311942</v>
      </c>
      <c r="C63" s="14">
        <v>518</v>
      </c>
      <c r="D63" s="14">
        <v>12.5</v>
      </c>
      <c r="E63" s="14">
        <v>4</v>
      </c>
      <c r="F63" s="114" t="str">
        <f t="shared" si="0"/>
        <v>202122_518_12.5_4</v>
      </c>
      <c r="G63" s="115">
        <f t="shared" si="1"/>
        <v>99.154682748311942</v>
      </c>
    </row>
    <row r="64" spans="1:7">
      <c r="A64" s="14" t="s">
        <v>601</v>
      </c>
      <c r="B64" s="15">
        <v>-211</v>
      </c>
      <c r="C64" s="14">
        <v>518</v>
      </c>
      <c r="D64" s="14">
        <v>2</v>
      </c>
      <c r="E64" s="14">
        <v>2</v>
      </c>
      <c r="F64" s="114" t="str">
        <f t="shared" si="0"/>
        <v>202122_518_2_2</v>
      </c>
      <c r="G64" s="115">
        <f t="shared" si="1"/>
        <v>-211</v>
      </c>
    </row>
    <row r="65" spans="1:7">
      <c r="A65" s="14" t="s">
        <v>602</v>
      </c>
      <c r="B65" s="15">
        <v>62659</v>
      </c>
      <c r="C65" s="14">
        <v>518</v>
      </c>
      <c r="D65" s="14">
        <v>2</v>
      </c>
      <c r="E65" s="14">
        <v>3</v>
      </c>
      <c r="F65" s="114" t="str">
        <f t="shared" si="0"/>
        <v>202122_518_2_3</v>
      </c>
      <c r="G65" s="115">
        <f t="shared" si="1"/>
        <v>62659</v>
      </c>
    </row>
    <row r="66" spans="1:7">
      <c r="A66" s="14" t="s">
        <v>603</v>
      </c>
      <c r="B66" s="15">
        <v>3265</v>
      </c>
      <c r="C66" s="14">
        <v>518</v>
      </c>
      <c r="D66" s="14">
        <v>3</v>
      </c>
      <c r="E66" s="14">
        <v>2</v>
      </c>
      <c r="F66" s="114" t="str">
        <f t="shared" si="0"/>
        <v>202122_518_3_2</v>
      </c>
      <c r="G66" s="115">
        <f t="shared" si="1"/>
        <v>3265</v>
      </c>
    </row>
    <row r="67" spans="1:7">
      <c r="A67" s="14" t="s">
        <v>604</v>
      </c>
      <c r="B67" s="15">
        <v>62659</v>
      </c>
      <c r="C67" s="14">
        <v>518</v>
      </c>
      <c r="D67" s="14">
        <v>3</v>
      </c>
      <c r="E67" s="14">
        <v>3</v>
      </c>
      <c r="F67" s="114" t="str">
        <f t="shared" si="0"/>
        <v>202122_518_3_3</v>
      </c>
      <c r="G67" s="115">
        <f t="shared" si="1"/>
        <v>62659</v>
      </c>
    </row>
    <row r="68" spans="1:7">
      <c r="A68" s="14" t="s">
        <v>605</v>
      </c>
      <c r="B68" s="15">
        <v>1293</v>
      </c>
      <c r="C68" s="14">
        <v>518</v>
      </c>
      <c r="D68" s="14">
        <v>4</v>
      </c>
      <c r="E68" s="14">
        <v>2</v>
      </c>
      <c r="F68" s="114" t="str">
        <f t="shared" si="0"/>
        <v>202122_518_4_2</v>
      </c>
      <c r="G68" s="115">
        <f t="shared" si="1"/>
        <v>1293</v>
      </c>
    </row>
    <row r="69" spans="1:7">
      <c r="A69" s="14" t="s">
        <v>606</v>
      </c>
      <c r="B69" s="15">
        <v>61240</v>
      </c>
      <c r="C69" s="14">
        <v>518</v>
      </c>
      <c r="D69" s="14">
        <v>4</v>
      </c>
      <c r="E69" s="14">
        <v>3</v>
      </c>
      <c r="F69" s="114" t="str">
        <f t="shared" ref="F69:F132" si="2">LEFT(A69,6)&amp;"_"&amp;C69&amp;"_"&amp;D69&amp;"_"&amp;E69</f>
        <v>202122_518_4_3</v>
      </c>
      <c r="G69" s="115">
        <f t="shared" ref="G69:G132" si="3">B69</f>
        <v>61240</v>
      </c>
    </row>
    <row r="70" spans="1:7">
      <c r="A70" s="14" t="s">
        <v>607</v>
      </c>
      <c r="B70" s="15">
        <v>151</v>
      </c>
      <c r="C70" s="14">
        <v>518</v>
      </c>
      <c r="D70" s="14">
        <v>5</v>
      </c>
      <c r="E70" s="14">
        <v>2</v>
      </c>
      <c r="F70" s="114" t="str">
        <f t="shared" si="2"/>
        <v>202122_518_5_2</v>
      </c>
      <c r="G70" s="115">
        <f t="shared" si="3"/>
        <v>151</v>
      </c>
    </row>
    <row r="71" spans="1:7">
      <c r="A71" s="14" t="s">
        <v>608</v>
      </c>
      <c r="B71" s="15">
        <v>15</v>
      </c>
      <c r="C71" s="14">
        <v>518</v>
      </c>
      <c r="D71" s="14">
        <v>5</v>
      </c>
      <c r="E71" s="14">
        <v>3</v>
      </c>
      <c r="F71" s="114" t="str">
        <f t="shared" si="2"/>
        <v>202122_518_5_3</v>
      </c>
      <c r="G71" s="115">
        <f t="shared" si="3"/>
        <v>15</v>
      </c>
    </row>
    <row r="72" spans="1:7">
      <c r="A72" s="14" t="s">
        <v>609</v>
      </c>
      <c r="B72" s="15">
        <v>1821</v>
      </c>
      <c r="C72" s="14">
        <v>518</v>
      </c>
      <c r="D72" s="14">
        <v>6</v>
      </c>
      <c r="E72" s="14">
        <v>2</v>
      </c>
      <c r="F72" s="114" t="str">
        <f t="shared" si="2"/>
        <v>202122_518_6_2</v>
      </c>
      <c r="G72" s="115">
        <f t="shared" si="3"/>
        <v>1821</v>
      </c>
    </row>
    <row r="73" spans="1:7">
      <c r="A73" s="14" t="s">
        <v>610</v>
      </c>
      <c r="B73" s="15">
        <v>1404</v>
      </c>
      <c r="C73" s="14">
        <v>518</v>
      </c>
      <c r="D73" s="14">
        <v>6</v>
      </c>
      <c r="E73" s="14">
        <v>3</v>
      </c>
      <c r="F73" s="114" t="str">
        <f t="shared" si="2"/>
        <v>202122_518_6_3</v>
      </c>
      <c r="G73" s="115">
        <f t="shared" si="3"/>
        <v>1404</v>
      </c>
    </row>
    <row r="74" spans="1:7">
      <c r="A74" s="14" t="s">
        <v>611</v>
      </c>
      <c r="B74" s="15">
        <v>60485</v>
      </c>
      <c r="C74" s="14">
        <v>518</v>
      </c>
      <c r="D74" s="14">
        <v>7</v>
      </c>
      <c r="E74" s="14">
        <v>3</v>
      </c>
      <c r="F74" s="114" t="str">
        <f t="shared" si="2"/>
        <v>202122_518_7_3</v>
      </c>
      <c r="G74" s="115">
        <f t="shared" si="3"/>
        <v>60485</v>
      </c>
    </row>
    <row r="75" spans="1:7">
      <c r="A75" s="14" t="s">
        <v>612</v>
      </c>
      <c r="B75" s="15">
        <v>97.735361241002892</v>
      </c>
      <c r="C75" s="14">
        <v>518</v>
      </c>
      <c r="D75" s="14">
        <v>8</v>
      </c>
      <c r="E75" s="14">
        <v>3</v>
      </c>
      <c r="F75" s="114" t="str">
        <f t="shared" si="2"/>
        <v>202122_518_8_3</v>
      </c>
      <c r="G75" s="115">
        <f t="shared" si="3"/>
        <v>97.735361241002892</v>
      </c>
    </row>
    <row r="76" spans="1:7">
      <c r="A76" s="14" t="s">
        <v>613</v>
      </c>
      <c r="B76" s="15">
        <v>101.24824336612383</v>
      </c>
      <c r="C76" s="14">
        <v>518</v>
      </c>
      <c r="D76" s="14">
        <v>9</v>
      </c>
      <c r="E76" s="14">
        <v>3</v>
      </c>
      <c r="F76" s="114" t="str">
        <f t="shared" si="2"/>
        <v>202122_518_9_3</v>
      </c>
      <c r="G76" s="115">
        <f t="shared" si="3"/>
        <v>101.24824336612383</v>
      </c>
    </row>
    <row r="77" spans="1:7">
      <c r="A77" s="14" t="s">
        <v>614</v>
      </c>
      <c r="B77" s="15">
        <v>4892</v>
      </c>
      <c r="C77" s="14">
        <v>520</v>
      </c>
      <c r="D77" s="14">
        <v>1</v>
      </c>
      <c r="E77" s="14">
        <v>2</v>
      </c>
      <c r="F77" s="114" t="str">
        <f t="shared" si="2"/>
        <v>202122_520_1_2</v>
      </c>
      <c r="G77" s="115">
        <f t="shared" si="3"/>
        <v>4892</v>
      </c>
    </row>
    <row r="78" spans="1:7">
      <c r="A78" s="14" t="s">
        <v>615</v>
      </c>
      <c r="B78" s="15">
        <v>53167</v>
      </c>
      <c r="C78" s="14">
        <v>520</v>
      </c>
      <c r="D78" s="14">
        <v>10.5</v>
      </c>
      <c r="E78" s="14">
        <v>4</v>
      </c>
      <c r="F78" s="114" t="str">
        <f t="shared" si="2"/>
        <v>202122_520_10.5_4</v>
      </c>
      <c r="G78" s="115">
        <f t="shared" si="3"/>
        <v>53167</v>
      </c>
    </row>
    <row r="79" spans="1:7">
      <c r="A79" s="14" t="s">
        <v>616</v>
      </c>
      <c r="B79" s="15">
        <v>52761</v>
      </c>
      <c r="C79" s="14">
        <v>520</v>
      </c>
      <c r="D79" s="14">
        <v>11</v>
      </c>
      <c r="E79" s="14">
        <v>4</v>
      </c>
      <c r="F79" s="114" t="str">
        <f t="shared" si="2"/>
        <v>202122_520_11_4</v>
      </c>
      <c r="G79" s="115">
        <f t="shared" si="3"/>
        <v>52761</v>
      </c>
    </row>
    <row r="80" spans="1:7">
      <c r="A80" s="14" t="s">
        <v>617</v>
      </c>
      <c r="B80" s="15">
        <v>1557</v>
      </c>
      <c r="C80" s="14">
        <v>520</v>
      </c>
      <c r="D80" s="14">
        <v>12</v>
      </c>
      <c r="E80" s="14">
        <v>4</v>
      </c>
      <c r="F80" s="114" t="str">
        <f t="shared" si="2"/>
        <v>202122_520_12_4</v>
      </c>
      <c r="G80" s="115">
        <f t="shared" si="3"/>
        <v>1557</v>
      </c>
    </row>
    <row r="81" spans="1:7">
      <c r="A81" s="14" t="s">
        <v>618</v>
      </c>
      <c r="B81" s="15">
        <v>99.23636842402243</v>
      </c>
      <c r="C81" s="14">
        <v>520</v>
      </c>
      <c r="D81" s="14">
        <v>12.5</v>
      </c>
      <c r="E81" s="14">
        <v>4</v>
      </c>
      <c r="F81" s="114" t="str">
        <f t="shared" si="2"/>
        <v>202122_520_12.5_4</v>
      </c>
      <c r="G81" s="115">
        <f t="shared" si="3"/>
        <v>99.23636842402243</v>
      </c>
    </row>
    <row r="82" spans="1:7">
      <c r="A82" s="14" t="s">
        <v>619</v>
      </c>
      <c r="B82" s="15">
        <v>-337</v>
      </c>
      <c r="C82" s="14">
        <v>520</v>
      </c>
      <c r="D82" s="14">
        <v>2</v>
      </c>
      <c r="E82" s="14">
        <v>2</v>
      </c>
      <c r="F82" s="114" t="str">
        <f t="shared" si="2"/>
        <v>202122_520_2_2</v>
      </c>
      <c r="G82" s="115">
        <f t="shared" si="3"/>
        <v>-337</v>
      </c>
    </row>
    <row r="83" spans="1:7">
      <c r="A83" s="14" t="s">
        <v>620</v>
      </c>
      <c r="B83" s="15">
        <v>102972</v>
      </c>
      <c r="C83" s="14">
        <v>520</v>
      </c>
      <c r="D83" s="14">
        <v>2</v>
      </c>
      <c r="E83" s="14">
        <v>3</v>
      </c>
      <c r="F83" s="114" t="str">
        <f t="shared" si="2"/>
        <v>202122_520_2_3</v>
      </c>
      <c r="G83" s="115">
        <f t="shared" si="3"/>
        <v>102972</v>
      </c>
    </row>
    <row r="84" spans="1:7">
      <c r="A84" s="14" t="s">
        <v>621</v>
      </c>
      <c r="B84" s="15">
        <v>4555</v>
      </c>
      <c r="C84" s="14">
        <v>520</v>
      </c>
      <c r="D84" s="14">
        <v>3</v>
      </c>
      <c r="E84" s="14">
        <v>2</v>
      </c>
      <c r="F84" s="114" t="str">
        <f t="shared" si="2"/>
        <v>202122_520_3_2</v>
      </c>
      <c r="G84" s="115">
        <f t="shared" si="3"/>
        <v>4555</v>
      </c>
    </row>
    <row r="85" spans="1:7">
      <c r="A85" s="14" t="s">
        <v>622</v>
      </c>
      <c r="B85" s="15">
        <v>102972</v>
      </c>
      <c r="C85" s="14">
        <v>520</v>
      </c>
      <c r="D85" s="14">
        <v>3</v>
      </c>
      <c r="E85" s="14">
        <v>3</v>
      </c>
      <c r="F85" s="114" t="str">
        <f t="shared" si="2"/>
        <v>202122_520_3_3</v>
      </c>
      <c r="G85" s="115">
        <f t="shared" si="3"/>
        <v>102972</v>
      </c>
    </row>
    <row r="86" spans="1:7">
      <c r="A86" s="14" t="s">
        <v>623</v>
      </c>
      <c r="B86" s="15">
        <v>1555</v>
      </c>
      <c r="C86" s="14">
        <v>520</v>
      </c>
      <c r="D86" s="14">
        <v>4</v>
      </c>
      <c r="E86" s="14">
        <v>2</v>
      </c>
      <c r="F86" s="114" t="str">
        <f t="shared" si="2"/>
        <v>202122_520_4_2</v>
      </c>
      <c r="G86" s="115">
        <f t="shared" si="3"/>
        <v>1555</v>
      </c>
    </row>
    <row r="87" spans="1:7">
      <c r="A87" s="14" t="s">
        <v>624</v>
      </c>
      <c r="B87" s="15">
        <v>100635</v>
      </c>
      <c r="C87" s="14">
        <v>520</v>
      </c>
      <c r="D87" s="14">
        <v>4</v>
      </c>
      <c r="E87" s="14">
        <v>3</v>
      </c>
      <c r="F87" s="114" t="str">
        <f t="shared" si="2"/>
        <v>202122_520_4_3</v>
      </c>
      <c r="G87" s="115">
        <f t="shared" si="3"/>
        <v>100635</v>
      </c>
    </row>
    <row r="88" spans="1:7">
      <c r="A88" s="14" t="s">
        <v>625</v>
      </c>
      <c r="B88" s="15">
        <v>583</v>
      </c>
      <c r="C88" s="14">
        <v>520</v>
      </c>
      <c r="D88" s="14">
        <v>5</v>
      </c>
      <c r="E88" s="14">
        <v>2</v>
      </c>
      <c r="F88" s="114" t="str">
        <f t="shared" si="2"/>
        <v>202122_520_5_2</v>
      </c>
      <c r="G88" s="115">
        <f t="shared" si="3"/>
        <v>583</v>
      </c>
    </row>
    <row r="89" spans="1:7">
      <c r="A89" s="14" t="s">
        <v>626</v>
      </c>
      <c r="B89" s="15">
        <v>114</v>
      </c>
      <c r="C89" s="14">
        <v>520</v>
      </c>
      <c r="D89" s="14">
        <v>5</v>
      </c>
      <c r="E89" s="14">
        <v>3</v>
      </c>
      <c r="F89" s="114" t="str">
        <f t="shared" si="2"/>
        <v>202122_520_5_3</v>
      </c>
      <c r="G89" s="115">
        <f t="shared" si="3"/>
        <v>114</v>
      </c>
    </row>
    <row r="90" spans="1:7">
      <c r="A90" s="14" t="s">
        <v>627</v>
      </c>
      <c r="B90" s="15">
        <v>2417</v>
      </c>
      <c r="C90" s="14">
        <v>520</v>
      </c>
      <c r="D90" s="14">
        <v>6</v>
      </c>
      <c r="E90" s="14">
        <v>2</v>
      </c>
      <c r="F90" s="114" t="str">
        <f t="shared" si="2"/>
        <v>202122_520_6_2</v>
      </c>
      <c r="G90" s="115">
        <f t="shared" si="3"/>
        <v>2417</v>
      </c>
    </row>
    <row r="91" spans="1:7">
      <c r="A91" s="14" t="s">
        <v>628</v>
      </c>
      <c r="B91" s="15">
        <v>2223</v>
      </c>
      <c r="C91" s="14">
        <v>520</v>
      </c>
      <c r="D91" s="14">
        <v>6</v>
      </c>
      <c r="E91" s="14">
        <v>3</v>
      </c>
      <c r="F91" s="114" t="str">
        <f t="shared" si="2"/>
        <v>202122_520_6_3</v>
      </c>
      <c r="G91" s="115">
        <f t="shared" si="3"/>
        <v>2223</v>
      </c>
    </row>
    <row r="92" spans="1:7">
      <c r="A92" s="14" t="s">
        <v>629</v>
      </c>
      <c r="B92" s="15">
        <v>101846</v>
      </c>
      <c r="C92" s="14">
        <v>520</v>
      </c>
      <c r="D92" s="14">
        <v>7</v>
      </c>
      <c r="E92" s="14">
        <v>3</v>
      </c>
      <c r="F92" s="114" t="str">
        <f t="shared" si="2"/>
        <v>202122_520_7_3</v>
      </c>
      <c r="G92" s="115">
        <f t="shared" si="3"/>
        <v>101846</v>
      </c>
    </row>
    <row r="93" spans="1:7">
      <c r="A93" s="14" t="s">
        <v>630</v>
      </c>
      <c r="B93" s="15">
        <v>97.730450996387361</v>
      </c>
      <c r="C93" s="14">
        <v>520</v>
      </c>
      <c r="D93" s="14">
        <v>8</v>
      </c>
      <c r="E93" s="14">
        <v>3</v>
      </c>
      <c r="F93" s="114" t="str">
        <f t="shared" si="2"/>
        <v>202122_520_8_3</v>
      </c>
      <c r="G93" s="115">
        <f t="shared" si="3"/>
        <v>97.730450996387361</v>
      </c>
    </row>
    <row r="94" spans="1:7">
      <c r="A94" s="14" t="s">
        <v>631</v>
      </c>
      <c r="B94" s="15">
        <v>98.810949865483181</v>
      </c>
      <c r="C94" s="14">
        <v>520</v>
      </c>
      <c r="D94" s="14">
        <v>9</v>
      </c>
      <c r="E94" s="14">
        <v>3</v>
      </c>
      <c r="F94" s="114" t="str">
        <f t="shared" si="2"/>
        <v>202122_520_9_3</v>
      </c>
      <c r="G94" s="115">
        <f t="shared" si="3"/>
        <v>98.810949865483181</v>
      </c>
    </row>
    <row r="95" spans="1:7">
      <c r="A95" s="14" t="s">
        <v>632</v>
      </c>
      <c r="B95" s="15">
        <v>6743</v>
      </c>
      <c r="C95" s="14">
        <v>522</v>
      </c>
      <c r="D95" s="14">
        <v>1</v>
      </c>
      <c r="E95" s="14">
        <v>2</v>
      </c>
      <c r="F95" s="114" t="str">
        <f t="shared" si="2"/>
        <v>202122_522_1_2</v>
      </c>
      <c r="G95" s="115">
        <f t="shared" si="3"/>
        <v>6743</v>
      </c>
    </row>
    <row r="96" spans="1:7">
      <c r="A96" s="14" t="s">
        <v>633</v>
      </c>
      <c r="B96" s="15">
        <v>33894</v>
      </c>
      <c r="C96" s="14">
        <v>522</v>
      </c>
      <c r="D96" s="14">
        <v>10.5</v>
      </c>
      <c r="E96" s="14">
        <v>4</v>
      </c>
      <c r="F96" s="114" t="str">
        <f t="shared" si="2"/>
        <v>202122_522_10.5_4</v>
      </c>
      <c r="G96" s="115">
        <f t="shared" si="3"/>
        <v>33894</v>
      </c>
    </row>
    <row r="97" spans="1:7">
      <c r="A97" s="14" t="s">
        <v>634</v>
      </c>
      <c r="B97" s="15">
        <v>33134</v>
      </c>
      <c r="C97" s="14">
        <v>522</v>
      </c>
      <c r="D97" s="14">
        <v>11</v>
      </c>
      <c r="E97" s="14">
        <v>4</v>
      </c>
      <c r="F97" s="114" t="str">
        <f t="shared" si="2"/>
        <v>202122_522_11_4</v>
      </c>
      <c r="G97" s="115">
        <f t="shared" si="3"/>
        <v>33134</v>
      </c>
    </row>
    <row r="98" spans="1:7">
      <c r="A98" s="14" t="s">
        <v>635</v>
      </c>
      <c r="B98" s="15">
        <v>2550</v>
      </c>
      <c r="C98" s="14">
        <v>522</v>
      </c>
      <c r="D98" s="14">
        <v>12</v>
      </c>
      <c r="E98" s="14">
        <v>4</v>
      </c>
      <c r="F98" s="114" t="str">
        <f t="shared" si="2"/>
        <v>202122_522_12_4</v>
      </c>
      <c r="G98" s="115">
        <f t="shared" si="3"/>
        <v>2550</v>
      </c>
    </row>
    <row r="99" spans="1:7">
      <c r="A99" s="14" t="s">
        <v>636</v>
      </c>
      <c r="B99" s="15">
        <v>97.75771522983419</v>
      </c>
      <c r="C99" s="14">
        <v>522</v>
      </c>
      <c r="D99" s="14">
        <v>12.5</v>
      </c>
      <c r="E99" s="14">
        <v>4</v>
      </c>
      <c r="F99" s="114" t="str">
        <f t="shared" si="2"/>
        <v>202122_522_12.5_4</v>
      </c>
      <c r="G99" s="115">
        <f t="shared" si="3"/>
        <v>97.75771522983419</v>
      </c>
    </row>
    <row r="100" spans="1:7">
      <c r="A100" s="14" t="s">
        <v>637</v>
      </c>
      <c r="B100" s="15">
        <v>-168</v>
      </c>
      <c r="C100" s="14">
        <v>522</v>
      </c>
      <c r="D100" s="14">
        <v>2</v>
      </c>
      <c r="E100" s="14">
        <v>2</v>
      </c>
      <c r="F100" s="114" t="str">
        <f t="shared" si="2"/>
        <v>202122_522_2_2</v>
      </c>
      <c r="G100" s="115">
        <f t="shared" si="3"/>
        <v>-168</v>
      </c>
    </row>
    <row r="101" spans="1:7">
      <c r="A101" s="14" t="s">
        <v>638</v>
      </c>
      <c r="B101" s="15">
        <v>79598</v>
      </c>
      <c r="C101" s="14">
        <v>522</v>
      </c>
      <c r="D101" s="14">
        <v>2</v>
      </c>
      <c r="E101" s="14">
        <v>3</v>
      </c>
      <c r="F101" s="114" t="str">
        <f t="shared" si="2"/>
        <v>202122_522_2_3</v>
      </c>
      <c r="G101" s="115">
        <f t="shared" si="3"/>
        <v>79598</v>
      </c>
    </row>
    <row r="102" spans="1:7">
      <c r="A102" s="14" t="s">
        <v>639</v>
      </c>
      <c r="B102" s="15">
        <v>6575</v>
      </c>
      <c r="C102" s="14">
        <v>522</v>
      </c>
      <c r="D102" s="14">
        <v>3</v>
      </c>
      <c r="E102" s="14">
        <v>2</v>
      </c>
      <c r="F102" s="114" t="str">
        <f t="shared" si="2"/>
        <v>202122_522_3_2</v>
      </c>
      <c r="G102" s="115">
        <f t="shared" si="3"/>
        <v>6575</v>
      </c>
    </row>
    <row r="103" spans="1:7">
      <c r="A103" s="14" t="s">
        <v>640</v>
      </c>
      <c r="B103" s="15">
        <v>79598</v>
      </c>
      <c r="C103" s="14">
        <v>522</v>
      </c>
      <c r="D103" s="14">
        <v>3</v>
      </c>
      <c r="E103" s="14">
        <v>3</v>
      </c>
      <c r="F103" s="114" t="str">
        <f t="shared" si="2"/>
        <v>202122_522_3_3</v>
      </c>
      <c r="G103" s="115">
        <f t="shared" si="3"/>
        <v>79598</v>
      </c>
    </row>
    <row r="104" spans="1:7">
      <c r="A104" s="14" t="s">
        <v>641</v>
      </c>
      <c r="B104" s="15">
        <v>1210</v>
      </c>
      <c r="C104" s="14">
        <v>522</v>
      </c>
      <c r="D104" s="14">
        <v>4</v>
      </c>
      <c r="E104" s="14">
        <v>2</v>
      </c>
      <c r="F104" s="114" t="str">
        <f t="shared" si="2"/>
        <v>202122_522_4_2</v>
      </c>
      <c r="G104" s="115">
        <f t="shared" si="3"/>
        <v>1210</v>
      </c>
    </row>
    <row r="105" spans="1:7">
      <c r="A105" s="14" t="s">
        <v>642</v>
      </c>
      <c r="B105" s="15">
        <v>77007</v>
      </c>
      <c r="C105" s="14">
        <v>522</v>
      </c>
      <c r="D105" s="14">
        <v>4</v>
      </c>
      <c r="E105" s="14">
        <v>3</v>
      </c>
      <c r="F105" s="114" t="str">
        <f t="shared" si="2"/>
        <v>202122_522_4_3</v>
      </c>
      <c r="G105" s="115">
        <f t="shared" si="3"/>
        <v>77007</v>
      </c>
    </row>
    <row r="106" spans="1:7">
      <c r="A106" s="14" t="s">
        <v>643</v>
      </c>
      <c r="B106" s="15">
        <v>100</v>
      </c>
      <c r="C106" s="14">
        <v>522</v>
      </c>
      <c r="D106" s="14">
        <v>5</v>
      </c>
      <c r="E106" s="14">
        <v>2</v>
      </c>
      <c r="F106" s="114" t="str">
        <f t="shared" si="2"/>
        <v>202122_522_5_2</v>
      </c>
      <c r="G106" s="115">
        <f t="shared" si="3"/>
        <v>100</v>
      </c>
    </row>
    <row r="107" spans="1:7">
      <c r="A107" s="14" t="s">
        <v>644</v>
      </c>
      <c r="B107" s="15">
        <v>4</v>
      </c>
      <c r="C107" s="14">
        <v>522</v>
      </c>
      <c r="D107" s="14">
        <v>5</v>
      </c>
      <c r="E107" s="14">
        <v>3</v>
      </c>
      <c r="F107" s="114" t="str">
        <f t="shared" si="2"/>
        <v>202122_522_5_3</v>
      </c>
      <c r="G107" s="115">
        <f t="shared" si="3"/>
        <v>4</v>
      </c>
    </row>
    <row r="108" spans="1:7">
      <c r="A108" s="14" t="s">
        <v>645</v>
      </c>
      <c r="B108" s="15">
        <v>5265</v>
      </c>
      <c r="C108" s="14">
        <v>522</v>
      </c>
      <c r="D108" s="14">
        <v>6</v>
      </c>
      <c r="E108" s="14">
        <v>2</v>
      </c>
      <c r="F108" s="114" t="str">
        <f t="shared" si="2"/>
        <v>202122_522_6_2</v>
      </c>
      <c r="G108" s="115">
        <f t="shared" si="3"/>
        <v>5265</v>
      </c>
    </row>
    <row r="109" spans="1:7">
      <c r="A109" s="14" t="s">
        <v>646</v>
      </c>
      <c r="B109" s="15">
        <v>2587</v>
      </c>
      <c r="C109" s="14">
        <v>522</v>
      </c>
      <c r="D109" s="14">
        <v>6</v>
      </c>
      <c r="E109" s="14">
        <v>3</v>
      </c>
      <c r="F109" s="114" t="str">
        <f t="shared" si="2"/>
        <v>202122_522_6_3</v>
      </c>
      <c r="G109" s="115">
        <f t="shared" si="3"/>
        <v>2587</v>
      </c>
    </row>
    <row r="110" spans="1:7">
      <c r="A110" s="14" t="s">
        <v>647</v>
      </c>
      <c r="B110" s="15">
        <v>78126</v>
      </c>
      <c r="C110" s="14">
        <v>522</v>
      </c>
      <c r="D110" s="14">
        <v>7</v>
      </c>
      <c r="E110" s="14">
        <v>3</v>
      </c>
      <c r="F110" s="114" t="str">
        <f t="shared" si="2"/>
        <v>202122_522_7_3</v>
      </c>
      <c r="G110" s="115">
        <f t="shared" si="3"/>
        <v>78126</v>
      </c>
    </row>
    <row r="111" spans="1:7">
      <c r="A111" s="14" t="s">
        <v>648</v>
      </c>
      <c r="B111" s="15">
        <v>96.74489308776603</v>
      </c>
      <c r="C111" s="14">
        <v>522</v>
      </c>
      <c r="D111" s="14">
        <v>8</v>
      </c>
      <c r="E111" s="14">
        <v>3</v>
      </c>
      <c r="F111" s="114" t="str">
        <f t="shared" si="2"/>
        <v>202122_522_8_3</v>
      </c>
      <c r="G111" s="115">
        <f t="shared" si="3"/>
        <v>96.74489308776603</v>
      </c>
    </row>
    <row r="112" spans="1:7">
      <c r="A112" s="14" t="s">
        <v>649</v>
      </c>
      <c r="B112" s="15">
        <v>98.567698333461323</v>
      </c>
      <c r="C112" s="14">
        <v>522</v>
      </c>
      <c r="D112" s="14">
        <v>9</v>
      </c>
      <c r="E112" s="14">
        <v>3</v>
      </c>
      <c r="F112" s="114" t="str">
        <f t="shared" si="2"/>
        <v>202122_522_9_3</v>
      </c>
      <c r="G112" s="115">
        <f t="shared" si="3"/>
        <v>98.567698333461323</v>
      </c>
    </row>
    <row r="113" spans="1:7">
      <c r="A113" s="14" t="s">
        <v>650</v>
      </c>
      <c r="B113" s="15">
        <v>5529</v>
      </c>
      <c r="C113" s="14">
        <v>524</v>
      </c>
      <c r="D113" s="14">
        <v>1</v>
      </c>
      <c r="E113" s="14">
        <v>2</v>
      </c>
      <c r="F113" s="114" t="str">
        <f t="shared" si="2"/>
        <v>202122_524_1_2</v>
      </c>
      <c r="G113" s="115">
        <f t="shared" si="3"/>
        <v>5529</v>
      </c>
    </row>
    <row r="114" spans="1:7">
      <c r="A114" s="14" t="s">
        <v>651</v>
      </c>
      <c r="B114" s="15">
        <v>22469</v>
      </c>
      <c r="C114" s="14">
        <v>524</v>
      </c>
      <c r="D114" s="14">
        <v>10.5</v>
      </c>
      <c r="E114" s="14">
        <v>4</v>
      </c>
      <c r="F114" s="114" t="str">
        <f t="shared" si="2"/>
        <v>202122_524_10.5_4</v>
      </c>
      <c r="G114" s="115">
        <f t="shared" si="3"/>
        <v>22469</v>
      </c>
    </row>
    <row r="115" spans="1:7">
      <c r="A115" s="14" t="s">
        <v>652</v>
      </c>
      <c r="B115" s="15">
        <v>22151</v>
      </c>
      <c r="C115" s="14">
        <v>524</v>
      </c>
      <c r="D115" s="14">
        <v>11</v>
      </c>
      <c r="E115" s="14">
        <v>4</v>
      </c>
      <c r="F115" s="114" t="str">
        <f t="shared" si="2"/>
        <v>202122_524_11_4</v>
      </c>
      <c r="G115" s="115">
        <f t="shared" si="3"/>
        <v>22151</v>
      </c>
    </row>
    <row r="116" spans="1:7">
      <c r="A116" s="14" t="s">
        <v>653</v>
      </c>
      <c r="B116" s="15">
        <v>692</v>
      </c>
      <c r="C116" s="14">
        <v>524</v>
      </c>
      <c r="D116" s="14">
        <v>12</v>
      </c>
      <c r="E116" s="14">
        <v>4</v>
      </c>
      <c r="F116" s="114" t="str">
        <f t="shared" si="2"/>
        <v>202122_524_12_4</v>
      </c>
      <c r="G116" s="115">
        <f t="shared" si="3"/>
        <v>692</v>
      </c>
    </row>
    <row r="117" spans="1:7">
      <c r="A117" s="14" t="s">
        <v>654</v>
      </c>
      <c r="B117" s="15">
        <v>98.584716720815351</v>
      </c>
      <c r="C117" s="14">
        <v>524</v>
      </c>
      <c r="D117" s="14">
        <v>12.5</v>
      </c>
      <c r="E117" s="14">
        <v>4</v>
      </c>
      <c r="F117" s="114" t="str">
        <f t="shared" si="2"/>
        <v>202122_524_12.5_4</v>
      </c>
      <c r="G117" s="115">
        <f t="shared" si="3"/>
        <v>98.584716720815351</v>
      </c>
    </row>
    <row r="118" spans="1:7">
      <c r="A118" s="14" t="s">
        <v>655</v>
      </c>
      <c r="B118" s="15">
        <v>48</v>
      </c>
      <c r="C118" s="14">
        <v>524</v>
      </c>
      <c r="D118" s="14">
        <v>2</v>
      </c>
      <c r="E118" s="14">
        <v>2</v>
      </c>
      <c r="F118" s="114" t="str">
        <f t="shared" si="2"/>
        <v>202122_524_2_2</v>
      </c>
      <c r="G118" s="115">
        <f t="shared" si="3"/>
        <v>48</v>
      </c>
    </row>
    <row r="119" spans="1:7">
      <c r="A119" s="14" t="s">
        <v>656</v>
      </c>
      <c r="B119" s="15">
        <v>100403</v>
      </c>
      <c r="C119" s="14">
        <v>524</v>
      </c>
      <c r="D119" s="14">
        <v>2</v>
      </c>
      <c r="E119" s="14">
        <v>3</v>
      </c>
      <c r="F119" s="114" t="str">
        <f t="shared" si="2"/>
        <v>202122_524_2_3</v>
      </c>
      <c r="G119" s="115">
        <f t="shared" si="3"/>
        <v>100403</v>
      </c>
    </row>
    <row r="120" spans="1:7">
      <c r="A120" s="14" t="s">
        <v>657</v>
      </c>
      <c r="B120" s="15">
        <v>5577</v>
      </c>
      <c r="C120" s="14">
        <v>524</v>
      </c>
      <c r="D120" s="14">
        <v>3</v>
      </c>
      <c r="E120" s="14">
        <v>2</v>
      </c>
      <c r="F120" s="114" t="str">
        <f t="shared" si="2"/>
        <v>202122_524_3_2</v>
      </c>
      <c r="G120" s="115">
        <f t="shared" si="3"/>
        <v>5577</v>
      </c>
    </row>
    <row r="121" spans="1:7">
      <c r="A121" s="14" t="s">
        <v>658</v>
      </c>
      <c r="B121" s="15">
        <v>100403</v>
      </c>
      <c r="C121" s="14">
        <v>524</v>
      </c>
      <c r="D121" s="14">
        <v>3</v>
      </c>
      <c r="E121" s="14">
        <v>3</v>
      </c>
      <c r="F121" s="114" t="str">
        <f t="shared" si="2"/>
        <v>202122_524_3_3</v>
      </c>
      <c r="G121" s="115">
        <f t="shared" si="3"/>
        <v>100403</v>
      </c>
    </row>
    <row r="122" spans="1:7">
      <c r="A122" s="14" t="s">
        <v>659</v>
      </c>
      <c r="B122" s="15">
        <v>2433</v>
      </c>
      <c r="C122" s="14">
        <v>524</v>
      </c>
      <c r="D122" s="14">
        <v>4</v>
      </c>
      <c r="E122" s="14">
        <v>2</v>
      </c>
      <c r="F122" s="114" t="str">
        <f t="shared" si="2"/>
        <v>202122_524_4_2</v>
      </c>
      <c r="G122" s="115">
        <f t="shared" si="3"/>
        <v>2433</v>
      </c>
    </row>
    <row r="123" spans="1:7">
      <c r="A123" s="14" t="s">
        <v>660</v>
      </c>
      <c r="B123" s="15">
        <v>97689</v>
      </c>
      <c r="C123" s="14">
        <v>524</v>
      </c>
      <c r="D123" s="14">
        <v>4</v>
      </c>
      <c r="E123" s="14">
        <v>3</v>
      </c>
      <c r="F123" s="114" t="str">
        <f t="shared" si="2"/>
        <v>202122_524_4_3</v>
      </c>
      <c r="G123" s="115">
        <f t="shared" si="3"/>
        <v>97689</v>
      </c>
    </row>
    <row r="124" spans="1:7">
      <c r="A124" s="14" t="s">
        <v>661</v>
      </c>
      <c r="B124" s="15">
        <v>232</v>
      </c>
      <c r="C124" s="14">
        <v>524</v>
      </c>
      <c r="D124" s="14">
        <v>5</v>
      </c>
      <c r="E124" s="14">
        <v>2</v>
      </c>
      <c r="F124" s="114" t="str">
        <f t="shared" si="2"/>
        <v>202122_524_5_2</v>
      </c>
      <c r="G124" s="115">
        <f t="shared" si="3"/>
        <v>232</v>
      </c>
    </row>
    <row r="125" spans="1:7">
      <c r="A125" s="14" t="s">
        <v>662</v>
      </c>
      <c r="B125" s="15">
        <v>21</v>
      </c>
      <c r="C125" s="14">
        <v>524</v>
      </c>
      <c r="D125" s="14">
        <v>5</v>
      </c>
      <c r="E125" s="14">
        <v>3</v>
      </c>
      <c r="F125" s="114" t="str">
        <f t="shared" si="2"/>
        <v>202122_524_5_3</v>
      </c>
      <c r="G125" s="115">
        <f t="shared" si="3"/>
        <v>21</v>
      </c>
    </row>
    <row r="126" spans="1:7">
      <c r="A126" s="14" t="s">
        <v>663</v>
      </c>
      <c r="B126" s="15">
        <v>2912</v>
      </c>
      <c r="C126" s="14">
        <v>524</v>
      </c>
      <c r="D126" s="14">
        <v>6</v>
      </c>
      <c r="E126" s="14">
        <v>2</v>
      </c>
      <c r="F126" s="114" t="str">
        <f t="shared" si="2"/>
        <v>202122_524_6_2</v>
      </c>
      <c r="G126" s="115">
        <f t="shared" si="3"/>
        <v>2912</v>
      </c>
    </row>
    <row r="127" spans="1:7">
      <c r="A127" s="14" t="s">
        <v>664</v>
      </c>
      <c r="B127" s="15">
        <v>2693</v>
      </c>
      <c r="C127" s="14">
        <v>524</v>
      </c>
      <c r="D127" s="14">
        <v>6</v>
      </c>
      <c r="E127" s="14">
        <v>3</v>
      </c>
      <c r="F127" s="114" t="str">
        <f t="shared" si="2"/>
        <v>202122_524_6_3</v>
      </c>
      <c r="G127" s="115">
        <f t="shared" si="3"/>
        <v>2693</v>
      </c>
    </row>
    <row r="128" spans="1:7">
      <c r="A128" s="14" t="s">
        <v>665</v>
      </c>
      <c r="B128" s="15">
        <v>98663</v>
      </c>
      <c r="C128" s="14">
        <v>524</v>
      </c>
      <c r="D128" s="14">
        <v>7</v>
      </c>
      <c r="E128" s="14">
        <v>3</v>
      </c>
      <c r="F128" s="114" t="str">
        <f t="shared" si="2"/>
        <v>202122_524_7_3</v>
      </c>
      <c r="G128" s="115">
        <f t="shared" si="3"/>
        <v>98663</v>
      </c>
    </row>
    <row r="129" spans="1:7">
      <c r="A129" s="14" t="s">
        <v>666</v>
      </c>
      <c r="B129" s="15">
        <v>97.296893519117958</v>
      </c>
      <c r="C129" s="14">
        <v>524</v>
      </c>
      <c r="D129" s="14">
        <v>8</v>
      </c>
      <c r="E129" s="14">
        <v>3</v>
      </c>
      <c r="F129" s="114" t="str">
        <f t="shared" si="2"/>
        <v>202122_524_8_3</v>
      </c>
      <c r="G129" s="115">
        <f t="shared" si="3"/>
        <v>97.296893519117958</v>
      </c>
    </row>
    <row r="130" spans="1:7">
      <c r="A130" s="14" t="s">
        <v>667</v>
      </c>
      <c r="B130" s="15">
        <v>99.012801151394143</v>
      </c>
      <c r="C130" s="14">
        <v>524</v>
      </c>
      <c r="D130" s="14">
        <v>9</v>
      </c>
      <c r="E130" s="14">
        <v>3</v>
      </c>
      <c r="F130" s="114" t="str">
        <f t="shared" si="2"/>
        <v>202122_524_9_3</v>
      </c>
      <c r="G130" s="115">
        <f t="shared" si="3"/>
        <v>99.012801151394143</v>
      </c>
    </row>
    <row r="131" spans="1:7">
      <c r="A131" s="14" t="s">
        <v>668</v>
      </c>
      <c r="B131" s="15">
        <v>3297</v>
      </c>
      <c r="C131" s="14">
        <v>526</v>
      </c>
      <c r="D131" s="14">
        <v>1</v>
      </c>
      <c r="E131" s="14">
        <v>2</v>
      </c>
      <c r="F131" s="114" t="str">
        <f t="shared" si="2"/>
        <v>202122_526_1_2</v>
      </c>
      <c r="G131" s="115">
        <f t="shared" si="3"/>
        <v>3297</v>
      </c>
    </row>
    <row r="132" spans="1:7">
      <c r="A132" s="14" t="s">
        <v>669</v>
      </c>
      <c r="B132" s="15">
        <v>12527</v>
      </c>
      <c r="C132" s="14">
        <v>526</v>
      </c>
      <c r="D132" s="14">
        <v>10.5</v>
      </c>
      <c r="E132" s="14">
        <v>4</v>
      </c>
      <c r="F132" s="114" t="str">
        <f t="shared" si="2"/>
        <v>202122_526_10.5_4</v>
      </c>
      <c r="G132" s="115">
        <f t="shared" si="3"/>
        <v>12527</v>
      </c>
    </row>
    <row r="133" spans="1:7">
      <c r="A133" s="14" t="s">
        <v>670</v>
      </c>
      <c r="B133" s="15">
        <v>12217</v>
      </c>
      <c r="C133" s="14">
        <v>526</v>
      </c>
      <c r="D133" s="14">
        <v>11</v>
      </c>
      <c r="E133" s="14">
        <v>4</v>
      </c>
      <c r="F133" s="114" t="str">
        <f t="shared" ref="F133:F196" si="4">LEFT(A133,6)&amp;"_"&amp;C133&amp;"_"&amp;D133&amp;"_"&amp;E133</f>
        <v>202122_526_11_4</v>
      </c>
      <c r="G133" s="115">
        <f t="shared" ref="G133:G196" si="5">B133</f>
        <v>12217</v>
      </c>
    </row>
    <row r="134" spans="1:7">
      <c r="A134" s="14" t="s">
        <v>671</v>
      </c>
      <c r="B134" s="15">
        <v>613</v>
      </c>
      <c r="C134" s="14">
        <v>526</v>
      </c>
      <c r="D134" s="14">
        <v>12</v>
      </c>
      <c r="E134" s="14">
        <v>4</v>
      </c>
      <c r="F134" s="114" t="str">
        <f t="shared" si="4"/>
        <v>202122_526_12_4</v>
      </c>
      <c r="G134" s="115">
        <f t="shared" si="5"/>
        <v>613</v>
      </c>
    </row>
    <row r="135" spans="1:7">
      <c r="A135" s="14" t="s">
        <v>672</v>
      </c>
      <c r="B135" s="15">
        <v>97.525345254250823</v>
      </c>
      <c r="C135" s="14">
        <v>526</v>
      </c>
      <c r="D135" s="14">
        <v>12.5</v>
      </c>
      <c r="E135" s="14">
        <v>4</v>
      </c>
      <c r="F135" s="114" t="str">
        <f t="shared" si="4"/>
        <v>202122_526_12.5_4</v>
      </c>
      <c r="G135" s="115">
        <f t="shared" si="5"/>
        <v>97.525345254250823</v>
      </c>
    </row>
    <row r="136" spans="1:7">
      <c r="A136" s="14" t="s">
        <v>673</v>
      </c>
      <c r="B136" s="15">
        <v>21</v>
      </c>
      <c r="C136" s="14">
        <v>526</v>
      </c>
      <c r="D136" s="14">
        <v>2</v>
      </c>
      <c r="E136" s="14">
        <v>2</v>
      </c>
      <c r="F136" s="114" t="str">
        <f t="shared" si="4"/>
        <v>202122_526_2_2</v>
      </c>
      <c r="G136" s="115">
        <f t="shared" si="5"/>
        <v>21</v>
      </c>
    </row>
    <row r="137" spans="1:7">
      <c r="A137" s="14" t="s">
        <v>674</v>
      </c>
      <c r="B137" s="15">
        <v>50376</v>
      </c>
      <c r="C137" s="14">
        <v>526</v>
      </c>
      <c r="D137" s="14">
        <v>2</v>
      </c>
      <c r="E137" s="14">
        <v>3</v>
      </c>
      <c r="F137" s="114" t="str">
        <f t="shared" si="4"/>
        <v>202122_526_2_3</v>
      </c>
      <c r="G137" s="115">
        <f t="shared" si="5"/>
        <v>50376</v>
      </c>
    </row>
    <row r="138" spans="1:7">
      <c r="A138" s="14" t="s">
        <v>675</v>
      </c>
      <c r="B138" s="15">
        <v>3318</v>
      </c>
      <c r="C138" s="14">
        <v>526</v>
      </c>
      <c r="D138" s="14">
        <v>3</v>
      </c>
      <c r="E138" s="14">
        <v>2</v>
      </c>
      <c r="F138" s="114" t="str">
        <f t="shared" si="4"/>
        <v>202122_526_3_2</v>
      </c>
      <c r="G138" s="115">
        <f t="shared" si="5"/>
        <v>3318</v>
      </c>
    </row>
    <row r="139" spans="1:7">
      <c r="A139" s="14" t="s">
        <v>676</v>
      </c>
      <c r="B139" s="15">
        <v>50376</v>
      </c>
      <c r="C139" s="14">
        <v>526</v>
      </c>
      <c r="D139" s="14">
        <v>3</v>
      </c>
      <c r="E139" s="14">
        <v>3</v>
      </c>
      <c r="F139" s="114" t="str">
        <f t="shared" si="4"/>
        <v>202122_526_3_3</v>
      </c>
      <c r="G139" s="115">
        <f t="shared" si="5"/>
        <v>50376</v>
      </c>
    </row>
    <row r="140" spans="1:7">
      <c r="A140" s="14" t="s">
        <v>677</v>
      </c>
      <c r="B140" s="15">
        <v>1393</v>
      </c>
      <c r="C140" s="14">
        <v>526</v>
      </c>
      <c r="D140" s="14">
        <v>4</v>
      </c>
      <c r="E140" s="14">
        <v>2</v>
      </c>
      <c r="F140" s="114" t="str">
        <f t="shared" si="4"/>
        <v>202122_526_4_2</v>
      </c>
      <c r="G140" s="115">
        <f t="shared" si="5"/>
        <v>1393</v>
      </c>
    </row>
    <row r="141" spans="1:7">
      <c r="A141" s="14" t="s">
        <v>678</v>
      </c>
      <c r="B141" s="15">
        <v>48970</v>
      </c>
      <c r="C141" s="14">
        <v>526</v>
      </c>
      <c r="D141" s="14">
        <v>4</v>
      </c>
      <c r="E141" s="14">
        <v>3</v>
      </c>
      <c r="F141" s="114" t="str">
        <f t="shared" si="4"/>
        <v>202122_526_4_3</v>
      </c>
      <c r="G141" s="115">
        <f t="shared" si="5"/>
        <v>48970</v>
      </c>
    </row>
    <row r="142" spans="1:7">
      <c r="A142" s="14" t="s">
        <v>679</v>
      </c>
      <c r="B142" s="15">
        <v>98</v>
      </c>
      <c r="C142" s="14">
        <v>526</v>
      </c>
      <c r="D142" s="14">
        <v>5</v>
      </c>
      <c r="E142" s="14">
        <v>2</v>
      </c>
      <c r="F142" s="114" t="str">
        <f t="shared" si="4"/>
        <v>202122_526_5_2</v>
      </c>
      <c r="G142" s="115">
        <f t="shared" si="5"/>
        <v>98</v>
      </c>
    </row>
    <row r="143" spans="1:7">
      <c r="A143" s="14" t="s">
        <v>680</v>
      </c>
      <c r="B143" s="15">
        <v>9</v>
      </c>
      <c r="C143" s="14">
        <v>526</v>
      </c>
      <c r="D143" s="14">
        <v>5</v>
      </c>
      <c r="E143" s="14">
        <v>3</v>
      </c>
      <c r="F143" s="114" t="str">
        <f t="shared" si="4"/>
        <v>202122_526_5_3</v>
      </c>
      <c r="G143" s="115">
        <f t="shared" si="5"/>
        <v>9</v>
      </c>
    </row>
    <row r="144" spans="1:7">
      <c r="A144" s="14" t="s">
        <v>681</v>
      </c>
      <c r="B144" s="15">
        <v>1827</v>
      </c>
      <c r="C144" s="14">
        <v>526</v>
      </c>
      <c r="D144" s="14">
        <v>6</v>
      </c>
      <c r="E144" s="14">
        <v>2</v>
      </c>
      <c r="F144" s="114" t="str">
        <f t="shared" si="4"/>
        <v>202122_526_6_2</v>
      </c>
      <c r="G144" s="115">
        <f t="shared" si="5"/>
        <v>1827</v>
      </c>
    </row>
    <row r="145" spans="1:7">
      <c r="A145" s="14" t="s">
        <v>682</v>
      </c>
      <c r="B145" s="15">
        <v>1397</v>
      </c>
      <c r="C145" s="14">
        <v>526</v>
      </c>
      <c r="D145" s="14">
        <v>6</v>
      </c>
      <c r="E145" s="14">
        <v>3</v>
      </c>
      <c r="F145" s="114" t="str">
        <f t="shared" si="4"/>
        <v>202122_526_6_3</v>
      </c>
      <c r="G145" s="115">
        <f t="shared" si="5"/>
        <v>1397</v>
      </c>
    </row>
    <row r="146" spans="1:7">
      <c r="A146" s="14" t="s">
        <v>683</v>
      </c>
      <c r="B146" s="15">
        <v>48824</v>
      </c>
      <c r="C146" s="14">
        <v>526</v>
      </c>
      <c r="D146" s="14">
        <v>7</v>
      </c>
      <c r="E146" s="14">
        <v>3</v>
      </c>
      <c r="F146" s="114" t="str">
        <f t="shared" si="4"/>
        <v>202122_526_7_3</v>
      </c>
      <c r="G146" s="115">
        <f t="shared" si="5"/>
        <v>48824</v>
      </c>
    </row>
    <row r="147" spans="1:7">
      <c r="A147" s="14" t="s">
        <v>684</v>
      </c>
      <c r="B147" s="15">
        <v>97.208988407178026</v>
      </c>
      <c r="C147" s="14">
        <v>526</v>
      </c>
      <c r="D147" s="14">
        <v>8</v>
      </c>
      <c r="E147" s="14">
        <v>3</v>
      </c>
      <c r="F147" s="114" t="str">
        <f t="shared" si="4"/>
        <v>202122_526_8_3</v>
      </c>
      <c r="G147" s="115">
        <f t="shared" si="5"/>
        <v>97.208988407178026</v>
      </c>
    </row>
    <row r="148" spans="1:7">
      <c r="A148" s="14" t="s">
        <v>685</v>
      </c>
      <c r="B148" s="15">
        <v>100.29903326233</v>
      </c>
      <c r="C148" s="14">
        <v>526</v>
      </c>
      <c r="D148" s="14">
        <v>9</v>
      </c>
      <c r="E148" s="14">
        <v>3</v>
      </c>
      <c r="F148" s="114" t="str">
        <f t="shared" si="4"/>
        <v>202122_526_9_3</v>
      </c>
      <c r="G148" s="115">
        <f t="shared" si="5"/>
        <v>100.29903326233</v>
      </c>
    </row>
    <row r="149" spans="1:7">
      <c r="A149" s="14" t="s">
        <v>686</v>
      </c>
      <c r="B149" s="15">
        <v>6464</v>
      </c>
      <c r="C149" s="14">
        <v>528</v>
      </c>
      <c r="D149" s="14">
        <v>1</v>
      </c>
      <c r="E149" s="14">
        <v>2</v>
      </c>
      <c r="F149" s="114" t="str">
        <f t="shared" si="4"/>
        <v>202122_528_1_2</v>
      </c>
      <c r="G149" s="115">
        <f t="shared" si="5"/>
        <v>6464</v>
      </c>
    </row>
    <row r="150" spans="1:7">
      <c r="A150" s="14" t="s">
        <v>687</v>
      </c>
      <c r="B150" s="15">
        <v>42741</v>
      </c>
      <c r="C150" s="14">
        <v>528</v>
      </c>
      <c r="D150" s="14">
        <v>10.5</v>
      </c>
      <c r="E150" s="14">
        <v>4</v>
      </c>
      <c r="F150" s="114" t="str">
        <f t="shared" si="4"/>
        <v>202122_528_10.5_4</v>
      </c>
      <c r="G150" s="115">
        <f t="shared" si="5"/>
        <v>42741</v>
      </c>
    </row>
    <row r="151" spans="1:7">
      <c r="A151" s="14" t="s">
        <v>688</v>
      </c>
      <c r="B151" s="15">
        <v>42249</v>
      </c>
      <c r="C151" s="14">
        <v>528</v>
      </c>
      <c r="D151" s="14">
        <v>11</v>
      </c>
      <c r="E151" s="14">
        <v>4</v>
      </c>
      <c r="F151" s="114" t="str">
        <f t="shared" si="4"/>
        <v>202122_528_11_4</v>
      </c>
      <c r="G151" s="115">
        <f t="shared" si="5"/>
        <v>42249</v>
      </c>
    </row>
    <row r="152" spans="1:7">
      <c r="A152" s="14" t="s">
        <v>689</v>
      </c>
      <c r="B152" s="15">
        <v>1221</v>
      </c>
      <c r="C152" s="14">
        <v>528</v>
      </c>
      <c r="D152" s="14">
        <v>12</v>
      </c>
      <c r="E152" s="14">
        <v>4</v>
      </c>
      <c r="F152" s="114" t="str">
        <f t="shared" si="4"/>
        <v>202122_528_12_4</v>
      </c>
      <c r="G152" s="115">
        <f t="shared" si="5"/>
        <v>1221</v>
      </c>
    </row>
    <row r="153" spans="1:7">
      <c r="A153" s="14" t="s">
        <v>690</v>
      </c>
      <c r="B153" s="15">
        <v>98.848880466063022</v>
      </c>
      <c r="C153" s="14">
        <v>528</v>
      </c>
      <c r="D153" s="14">
        <v>12.5</v>
      </c>
      <c r="E153" s="14">
        <v>4</v>
      </c>
      <c r="F153" s="114" t="str">
        <f t="shared" si="4"/>
        <v>202122_528_12.5_4</v>
      </c>
      <c r="G153" s="115">
        <f t="shared" si="5"/>
        <v>98.848880466063022</v>
      </c>
    </row>
    <row r="154" spans="1:7">
      <c r="A154" s="14" t="s">
        <v>691</v>
      </c>
      <c r="B154" s="15">
        <v>-577</v>
      </c>
      <c r="C154" s="14">
        <v>528</v>
      </c>
      <c r="D154" s="14">
        <v>2</v>
      </c>
      <c r="E154" s="14">
        <v>2</v>
      </c>
      <c r="F154" s="114" t="str">
        <f t="shared" si="4"/>
        <v>202122_528_2_2</v>
      </c>
      <c r="G154" s="115">
        <f t="shared" si="5"/>
        <v>-577</v>
      </c>
    </row>
    <row r="155" spans="1:7">
      <c r="A155" s="14" t="s">
        <v>692</v>
      </c>
      <c r="B155" s="15">
        <v>79121</v>
      </c>
      <c r="C155" s="14">
        <v>528</v>
      </c>
      <c r="D155" s="14">
        <v>2</v>
      </c>
      <c r="E155" s="14">
        <v>3</v>
      </c>
      <c r="F155" s="114" t="str">
        <f t="shared" si="4"/>
        <v>202122_528_2_3</v>
      </c>
      <c r="G155" s="115">
        <f t="shared" si="5"/>
        <v>79121</v>
      </c>
    </row>
    <row r="156" spans="1:7">
      <c r="A156" s="14" t="s">
        <v>693</v>
      </c>
      <c r="B156" s="15">
        <v>5887</v>
      </c>
      <c r="C156" s="14">
        <v>528</v>
      </c>
      <c r="D156" s="14">
        <v>3</v>
      </c>
      <c r="E156" s="14">
        <v>2</v>
      </c>
      <c r="F156" s="114" t="str">
        <f t="shared" si="4"/>
        <v>202122_528_3_2</v>
      </c>
      <c r="G156" s="115">
        <f t="shared" si="5"/>
        <v>5887</v>
      </c>
    </row>
    <row r="157" spans="1:7">
      <c r="A157" s="14" t="s">
        <v>694</v>
      </c>
      <c r="B157" s="15">
        <v>79121</v>
      </c>
      <c r="C157" s="14">
        <v>528</v>
      </c>
      <c r="D157" s="14">
        <v>3</v>
      </c>
      <c r="E157" s="14">
        <v>3</v>
      </c>
      <c r="F157" s="114" t="str">
        <f t="shared" si="4"/>
        <v>202122_528_3_3</v>
      </c>
      <c r="G157" s="115">
        <f t="shared" si="5"/>
        <v>79121</v>
      </c>
    </row>
    <row r="158" spans="1:7">
      <c r="A158" s="14" t="s">
        <v>695</v>
      </c>
      <c r="B158" s="15">
        <v>944</v>
      </c>
      <c r="C158" s="14">
        <v>528</v>
      </c>
      <c r="D158" s="14">
        <v>4</v>
      </c>
      <c r="E158" s="14">
        <v>2</v>
      </c>
      <c r="F158" s="114" t="str">
        <f t="shared" si="4"/>
        <v>202122_528_4_2</v>
      </c>
      <c r="G158" s="115">
        <f t="shared" si="5"/>
        <v>944</v>
      </c>
    </row>
    <row r="159" spans="1:7">
      <c r="A159" s="14" t="s">
        <v>696</v>
      </c>
      <c r="B159" s="15">
        <v>76244</v>
      </c>
      <c r="C159" s="14">
        <v>528</v>
      </c>
      <c r="D159" s="14">
        <v>4</v>
      </c>
      <c r="E159" s="14">
        <v>3</v>
      </c>
      <c r="F159" s="114" t="str">
        <f t="shared" si="4"/>
        <v>202122_528_4_3</v>
      </c>
      <c r="G159" s="115">
        <f t="shared" si="5"/>
        <v>76244</v>
      </c>
    </row>
    <row r="160" spans="1:7">
      <c r="A160" s="14" t="s">
        <v>697</v>
      </c>
      <c r="B160" s="15">
        <v>-12</v>
      </c>
      <c r="C160" s="14">
        <v>528</v>
      </c>
      <c r="D160" s="14">
        <v>5</v>
      </c>
      <c r="E160" s="14">
        <v>2</v>
      </c>
      <c r="F160" s="114" t="str">
        <f t="shared" si="4"/>
        <v>202122_528_5_2</v>
      </c>
      <c r="G160" s="115">
        <f t="shared" si="5"/>
        <v>-12</v>
      </c>
    </row>
    <row r="161" spans="1:7">
      <c r="A161" s="14" t="s">
        <v>698</v>
      </c>
      <c r="B161" s="15">
        <v>-5</v>
      </c>
      <c r="C161" s="14">
        <v>528</v>
      </c>
      <c r="D161" s="14">
        <v>5</v>
      </c>
      <c r="E161" s="14">
        <v>3</v>
      </c>
      <c r="F161" s="114" t="str">
        <f t="shared" si="4"/>
        <v>202122_528_5_3</v>
      </c>
      <c r="G161" s="115">
        <f t="shared" si="5"/>
        <v>-5</v>
      </c>
    </row>
    <row r="162" spans="1:7">
      <c r="A162" s="14" t="s">
        <v>699</v>
      </c>
      <c r="B162" s="15">
        <v>4955</v>
      </c>
      <c r="C162" s="14">
        <v>528</v>
      </c>
      <c r="D162" s="14">
        <v>6</v>
      </c>
      <c r="E162" s="14">
        <v>2</v>
      </c>
      <c r="F162" s="114" t="str">
        <f t="shared" si="4"/>
        <v>202122_528_6_2</v>
      </c>
      <c r="G162" s="115">
        <f t="shared" si="5"/>
        <v>4955</v>
      </c>
    </row>
    <row r="163" spans="1:7">
      <c r="A163" s="14" t="s">
        <v>700</v>
      </c>
      <c r="B163" s="15">
        <v>2882</v>
      </c>
      <c r="C163" s="14">
        <v>528</v>
      </c>
      <c r="D163" s="14">
        <v>6</v>
      </c>
      <c r="E163" s="14">
        <v>3</v>
      </c>
      <c r="F163" s="114" t="str">
        <f t="shared" si="4"/>
        <v>202122_528_6_3</v>
      </c>
      <c r="G163" s="115">
        <f t="shared" si="5"/>
        <v>2882</v>
      </c>
    </row>
    <row r="164" spans="1:7">
      <c r="A164" s="14" t="s">
        <v>701</v>
      </c>
      <c r="B164" s="15">
        <v>75760</v>
      </c>
      <c r="C164" s="14">
        <v>528</v>
      </c>
      <c r="D164" s="14">
        <v>7</v>
      </c>
      <c r="E164" s="14">
        <v>3</v>
      </c>
      <c r="F164" s="114" t="str">
        <f t="shared" si="4"/>
        <v>202122_528_7_3</v>
      </c>
      <c r="G164" s="115">
        <f t="shared" si="5"/>
        <v>75760</v>
      </c>
    </row>
    <row r="165" spans="1:7">
      <c r="A165" s="14" t="s">
        <v>702</v>
      </c>
      <c r="B165" s="15">
        <v>96.363797221976469</v>
      </c>
      <c r="C165" s="14">
        <v>528</v>
      </c>
      <c r="D165" s="14">
        <v>8</v>
      </c>
      <c r="E165" s="14">
        <v>3</v>
      </c>
      <c r="F165" s="114" t="str">
        <f t="shared" si="4"/>
        <v>202122_528_8_3</v>
      </c>
      <c r="G165" s="115">
        <f t="shared" si="5"/>
        <v>96.363797221976469</v>
      </c>
    </row>
    <row r="166" spans="1:7">
      <c r="A166" s="14" t="s">
        <v>703</v>
      </c>
      <c r="B166" s="15">
        <v>100.63885955649418</v>
      </c>
      <c r="C166" s="14">
        <v>528</v>
      </c>
      <c r="D166" s="14">
        <v>9</v>
      </c>
      <c r="E166" s="14">
        <v>3</v>
      </c>
      <c r="F166" s="114" t="str">
        <f t="shared" si="4"/>
        <v>202122_528_9_3</v>
      </c>
      <c r="G166" s="115">
        <f t="shared" si="5"/>
        <v>100.63885955649418</v>
      </c>
    </row>
    <row r="167" spans="1:7">
      <c r="A167" s="14" t="s">
        <v>704</v>
      </c>
      <c r="B167" s="15">
        <v>11245</v>
      </c>
      <c r="C167" s="14">
        <v>530</v>
      </c>
      <c r="D167" s="14">
        <v>1</v>
      </c>
      <c r="E167" s="14">
        <v>2</v>
      </c>
      <c r="F167" s="114" t="str">
        <f t="shared" si="4"/>
        <v>202122_530_1_2</v>
      </c>
      <c r="G167" s="115">
        <f t="shared" si="5"/>
        <v>11245</v>
      </c>
    </row>
    <row r="168" spans="1:7">
      <c r="A168" s="14" t="s">
        <v>705</v>
      </c>
      <c r="B168" s="15">
        <v>33524</v>
      </c>
      <c r="C168" s="14">
        <v>530</v>
      </c>
      <c r="D168" s="14">
        <v>10.5</v>
      </c>
      <c r="E168" s="14">
        <v>4</v>
      </c>
      <c r="F168" s="114" t="str">
        <f t="shared" si="4"/>
        <v>202122_530_10.5_4</v>
      </c>
      <c r="G168" s="115">
        <f t="shared" si="5"/>
        <v>33524</v>
      </c>
    </row>
    <row r="169" spans="1:7">
      <c r="A169" s="14" t="s">
        <v>706</v>
      </c>
      <c r="B169" s="15">
        <v>32846</v>
      </c>
      <c r="C169" s="14">
        <v>530</v>
      </c>
      <c r="D169" s="14">
        <v>11</v>
      </c>
      <c r="E169" s="14">
        <v>4</v>
      </c>
      <c r="F169" s="114" t="str">
        <f t="shared" si="4"/>
        <v>202122_530_11_4</v>
      </c>
      <c r="G169" s="115">
        <f t="shared" si="5"/>
        <v>32846</v>
      </c>
    </row>
    <row r="170" spans="1:7">
      <c r="A170" s="14" t="s">
        <v>707</v>
      </c>
      <c r="B170" s="15">
        <v>300</v>
      </c>
      <c r="C170" s="14">
        <v>530</v>
      </c>
      <c r="D170" s="14">
        <v>12</v>
      </c>
      <c r="E170" s="14">
        <v>4</v>
      </c>
      <c r="F170" s="114" t="str">
        <f t="shared" si="4"/>
        <v>202122_530_12_4</v>
      </c>
      <c r="G170" s="115">
        <f t="shared" si="5"/>
        <v>300</v>
      </c>
    </row>
    <row r="171" spans="1:7">
      <c r="A171" s="14" t="s">
        <v>708</v>
      </c>
      <c r="B171" s="15">
        <v>97.977568309270964</v>
      </c>
      <c r="C171" s="14">
        <v>530</v>
      </c>
      <c r="D171" s="14">
        <v>12.5</v>
      </c>
      <c r="E171" s="14">
        <v>4</v>
      </c>
      <c r="F171" s="114" t="str">
        <f t="shared" si="4"/>
        <v>202122_530_12.5_4</v>
      </c>
      <c r="G171" s="115">
        <f t="shared" si="5"/>
        <v>97.977568309270964</v>
      </c>
    </row>
    <row r="172" spans="1:7">
      <c r="A172" s="14" t="s">
        <v>709</v>
      </c>
      <c r="B172" s="15">
        <v>-438</v>
      </c>
      <c r="C172" s="14">
        <v>530</v>
      </c>
      <c r="D172" s="14">
        <v>2</v>
      </c>
      <c r="E172" s="14">
        <v>2</v>
      </c>
      <c r="F172" s="114" t="str">
        <f t="shared" si="4"/>
        <v>202122_530_2_2</v>
      </c>
      <c r="G172" s="115">
        <f t="shared" si="5"/>
        <v>-438</v>
      </c>
    </row>
    <row r="173" spans="1:7">
      <c r="A173" s="14" t="s">
        <v>710</v>
      </c>
      <c r="B173" s="15">
        <v>114228</v>
      </c>
      <c r="C173" s="14">
        <v>530</v>
      </c>
      <c r="D173" s="14">
        <v>2</v>
      </c>
      <c r="E173" s="14">
        <v>3</v>
      </c>
      <c r="F173" s="114" t="str">
        <f t="shared" si="4"/>
        <v>202122_530_2_3</v>
      </c>
      <c r="G173" s="115">
        <f t="shared" si="5"/>
        <v>114228</v>
      </c>
    </row>
    <row r="174" spans="1:7">
      <c r="A174" s="14" t="s">
        <v>711</v>
      </c>
      <c r="B174" s="15">
        <v>10807</v>
      </c>
      <c r="C174" s="14">
        <v>530</v>
      </c>
      <c r="D174" s="14">
        <v>3</v>
      </c>
      <c r="E174" s="14">
        <v>2</v>
      </c>
      <c r="F174" s="114" t="str">
        <f t="shared" si="4"/>
        <v>202122_530_3_2</v>
      </c>
      <c r="G174" s="115">
        <f t="shared" si="5"/>
        <v>10807</v>
      </c>
    </row>
    <row r="175" spans="1:7">
      <c r="A175" s="14" t="s">
        <v>712</v>
      </c>
      <c r="B175" s="15">
        <v>114228</v>
      </c>
      <c r="C175" s="14">
        <v>530</v>
      </c>
      <c r="D175" s="14">
        <v>3</v>
      </c>
      <c r="E175" s="14">
        <v>3</v>
      </c>
      <c r="F175" s="114" t="str">
        <f t="shared" si="4"/>
        <v>202122_530_3_3</v>
      </c>
      <c r="G175" s="115">
        <f t="shared" si="5"/>
        <v>114228</v>
      </c>
    </row>
    <row r="176" spans="1:7">
      <c r="A176" s="14" t="s">
        <v>713</v>
      </c>
      <c r="B176" s="15">
        <v>2589</v>
      </c>
      <c r="C176" s="14">
        <v>530</v>
      </c>
      <c r="D176" s="14">
        <v>4</v>
      </c>
      <c r="E176" s="14">
        <v>2</v>
      </c>
      <c r="F176" s="114" t="str">
        <f t="shared" si="4"/>
        <v>202122_530_4_2</v>
      </c>
      <c r="G176" s="115">
        <f t="shared" si="5"/>
        <v>2589</v>
      </c>
    </row>
    <row r="177" spans="1:7">
      <c r="A177" s="14" t="s">
        <v>714</v>
      </c>
      <c r="B177" s="15">
        <v>111073</v>
      </c>
      <c r="C177" s="14">
        <v>530</v>
      </c>
      <c r="D177" s="14">
        <v>4</v>
      </c>
      <c r="E177" s="14">
        <v>3</v>
      </c>
      <c r="F177" s="114" t="str">
        <f t="shared" si="4"/>
        <v>202122_530_4_3</v>
      </c>
      <c r="G177" s="115">
        <f t="shared" si="5"/>
        <v>111073</v>
      </c>
    </row>
    <row r="178" spans="1:7">
      <c r="A178" s="14" t="s">
        <v>715</v>
      </c>
      <c r="B178" s="15">
        <v>-106</v>
      </c>
      <c r="C178" s="14">
        <v>530</v>
      </c>
      <c r="D178" s="14">
        <v>5</v>
      </c>
      <c r="E178" s="14">
        <v>2</v>
      </c>
      <c r="F178" s="114" t="str">
        <f t="shared" si="4"/>
        <v>202122_530_5_2</v>
      </c>
      <c r="G178" s="115">
        <f t="shared" si="5"/>
        <v>-106</v>
      </c>
    </row>
    <row r="179" spans="1:7">
      <c r="A179" s="14" t="s">
        <v>716</v>
      </c>
      <c r="B179" s="15">
        <v>-1</v>
      </c>
      <c r="C179" s="14">
        <v>530</v>
      </c>
      <c r="D179" s="14">
        <v>5</v>
      </c>
      <c r="E179" s="14">
        <v>3</v>
      </c>
      <c r="F179" s="114" t="str">
        <f t="shared" si="4"/>
        <v>202122_530_5_3</v>
      </c>
      <c r="G179" s="115">
        <f t="shared" si="5"/>
        <v>-1</v>
      </c>
    </row>
    <row r="180" spans="1:7">
      <c r="A180" s="14" t="s">
        <v>717</v>
      </c>
      <c r="B180" s="15">
        <v>8324</v>
      </c>
      <c r="C180" s="14">
        <v>530</v>
      </c>
      <c r="D180" s="14">
        <v>6</v>
      </c>
      <c r="E180" s="14">
        <v>2</v>
      </c>
      <c r="F180" s="114" t="str">
        <f t="shared" si="4"/>
        <v>202122_530_6_2</v>
      </c>
      <c r="G180" s="115">
        <f t="shared" si="5"/>
        <v>8324</v>
      </c>
    </row>
    <row r="181" spans="1:7">
      <c r="A181" s="14" t="s">
        <v>718</v>
      </c>
      <c r="B181" s="15">
        <v>3156</v>
      </c>
      <c r="C181" s="14">
        <v>530</v>
      </c>
      <c r="D181" s="14">
        <v>6</v>
      </c>
      <c r="E181" s="14">
        <v>3</v>
      </c>
      <c r="F181" s="114" t="str">
        <f t="shared" si="4"/>
        <v>202122_530_6_3</v>
      </c>
      <c r="G181" s="115">
        <f t="shared" si="5"/>
        <v>3156</v>
      </c>
    </row>
    <row r="182" spans="1:7">
      <c r="A182" s="14" t="s">
        <v>719</v>
      </c>
      <c r="B182" s="15">
        <v>114741</v>
      </c>
      <c r="C182" s="14">
        <v>530</v>
      </c>
      <c r="D182" s="14">
        <v>7</v>
      </c>
      <c r="E182" s="14">
        <v>3</v>
      </c>
      <c r="F182" s="114" t="str">
        <f t="shared" si="4"/>
        <v>202122_530_7_3</v>
      </c>
      <c r="G182" s="115">
        <f t="shared" si="5"/>
        <v>114741</v>
      </c>
    </row>
    <row r="183" spans="1:7">
      <c r="A183" s="14" t="s">
        <v>720</v>
      </c>
      <c r="B183" s="15">
        <v>97.237980179990885</v>
      </c>
      <c r="C183" s="14">
        <v>530</v>
      </c>
      <c r="D183" s="14">
        <v>8</v>
      </c>
      <c r="E183" s="14">
        <v>3</v>
      </c>
      <c r="F183" s="114" t="str">
        <f t="shared" si="4"/>
        <v>202122_530_8_3</v>
      </c>
      <c r="G183" s="115">
        <f t="shared" si="5"/>
        <v>97.237980179990885</v>
      </c>
    </row>
    <row r="184" spans="1:7">
      <c r="A184" s="14" t="s">
        <v>721</v>
      </c>
      <c r="B184" s="15">
        <v>96.803235112122081</v>
      </c>
      <c r="C184" s="14">
        <v>530</v>
      </c>
      <c r="D184" s="14">
        <v>9</v>
      </c>
      <c r="E184" s="14">
        <v>3</v>
      </c>
      <c r="F184" s="114" t="str">
        <f t="shared" si="4"/>
        <v>202122_530_9_3</v>
      </c>
      <c r="G184" s="115">
        <f t="shared" si="5"/>
        <v>96.803235112122081</v>
      </c>
    </row>
    <row r="185" spans="1:7">
      <c r="A185" s="14" t="s">
        <v>722</v>
      </c>
      <c r="B185" s="15">
        <v>16848</v>
      </c>
      <c r="C185" s="14">
        <v>532</v>
      </c>
      <c r="D185" s="14">
        <v>1</v>
      </c>
      <c r="E185" s="14">
        <v>2</v>
      </c>
      <c r="F185" s="114" t="str">
        <f t="shared" si="4"/>
        <v>202122_532_1_2</v>
      </c>
      <c r="G185" s="115">
        <f t="shared" si="5"/>
        <v>16848</v>
      </c>
    </row>
    <row r="186" spans="1:7">
      <c r="A186" s="14" t="s">
        <v>723</v>
      </c>
      <c r="B186" s="15">
        <v>48275</v>
      </c>
      <c r="C186" s="14">
        <v>532</v>
      </c>
      <c r="D186" s="14">
        <v>10.5</v>
      </c>
      <c r="E186" s="14">
        <v>4</v>
      </c>
      <c r="F186" s="114" t="str">
        <f t="shared" si="4"/>
        <v>202122_532_10.5_4</v>
      </c>
      <c r="G186" s="115">
        <f t="shared" si="5"/>
        <v>48275</v>
      </c>
    </row>
    <row r="187" spans="1:7">
      <c r="A187" s="14" t="s">
        <v>724</v>
      </c>
      <c r="B187" s="15">
        <v>44905</v>
      </c>
      <c r="C187" s="14">
        <v>532</v>
      </c>
      <c r="D187" s="14">
        <v>11</v>
      </c>
      <c r="E187" s="14">
        <v>4</v>
      </c>
      <c r="F187" s="114" t="str">
        <f t="shared" si="4"/>
        <v>202122_532_11_4</v>
      </c>
      <c r="G187" s="115">
        <f t="shared" si="5"/>
        <v>44905</v>
      </c>
    </row>
    <row r="188" spans="1:7">
      <c r="A188" s="14" t="s">
        <v>725</v>
      </c>
      <c r="B188" s="15">
        <v>4447</v>
      </c>
      <c r="C188" s="14">
        <v>532</v>
      </c>
      <c r="D188" s="14">
        <v>12</v>
      </c>
      <c r="E188" s="14">
        <v>4</v>
      </c>
      <c r="F188" s="114" t="str">
        <f t="shared" si="4"/>
        <v>202122_532_12_4</v>
      </c>
      <c r="G188" s="115">
        <f t="shared" si="5"/>
        <v>4447</v>
      </c>
    </row>
    <row r="189" spans="1:7">
      <c r="A189" s="14" t="s">
        <v>726</v>
      </c>
      <c r="B189" s="15">
        <v>93.019161056447444</v>
      </c>
      <c r="C189" s="14">
        <v>532</v>
      </c>
      <c r="D189" s="14">
        <v>12.5</v>
      </c>
      <c r="E189" s="14">
        <v>4</v>
      </c>
      <c r="F189" s="114" t="str">
        <f t="shared" si="4"/>
        <v>202122_532_12.5_4</v>
      </c>
      <c r="G189" s="115">
        <f t="shared" si="5"/>
        <v>93.019161056447444</v>
      </c>
    </row>
    <row r="190" spans="1:7">
      <c r="A190" s="14" t="s">
        <v>727</v>
      </c>
      <c r="B190" s="15">
        <v>1102</v>
      </c>
      <c r="C190" s="14">
        <v>532</v>
      </c>
      <c r="D190" s="14">
        <v>2</v>
      </c>
      <c r="E190" s="14">
        <v>2</v>
      </c>
      <c r="F190" s="114" t="str">
        <f t="shared" si="4"/>
        <v>202122_532_2_2</v>
      </c>
      <c r="G190" s="115">
        <f t="shared" si="5"/>
        <v>1102</v>
      </c>
    </row>
    <row r="191" spans="1:7">
      <c r="A191" s="14" t="s">
        <v>728</v>
      </c>
      <c r="B191" s="15">
        <v>143361</v>
      </c>
      <c r="C191" s="14">
        <v>532</v>
      </c>
      <c r="D191" s="14">
        <v>2</v>
      </c>
      <c r="E191" s="14">
        <v>3</v>
      </c>
      <c r="F191" s="114" t="str">
        <f t="shared" si="4"/>
        <v>202122_532_2_3</v>
      </c>
      <c r="G191" s="115">
        <f t="shared" si="5"/>
        <v>143361</v>
      </c>
    </row>
    <row r="192" spans="1:7">
      <c r="A192" s="14" t="s">
        <v>729</v>
      </c>
      <c r="B192" s="15">
        <v>17950</v>
      </c>
      <c r="C192" s="14">
        <v>532</v>
      </c>
      <c r="D192" s="14">
        <v>3</v>
      </c>
      <c r="E192" s="14">
        <v>2</v>
      </c>
      <c r="F192" s="114" t="str">
        <f t="shared" si="4"/>
        <v>202122_532_3_2</v>
      </c>
      <c r="G192" s="115">
        <f t="shared" si="5"/>
        <v>17950</v>
      </c>
    </row>
    <row r="193" spans="1:7">
      <c r="A193" s="14" t="s">
        <v>730</v>
      </c>
      <c r="B193" s="15">
        <v>143361</v>
      </c>
      <c r="C193" s="14">
        <v>532</v>
      </c>
      <c r="D193" s="14">
        <v>3</v>
      </c>
      <c r="E193" s="14">
        <v>3</v>
      </c>
      <c r="F193" s="114" t="str">
        <f t="shared" si="4"/>
        <v>202122_532_3_3</v>
      </c>
      <c r="G193" s="115">
        <f t="shared" si="5"/>
        <v>143361</v>
      </c>
    </row>
    <row r="194" spans="1:7">
      <c r="A194" s="14" t="s">
        <v>731</v>
      </c>
      <c r="B194" s="15">
        <v>6596</v>
      </c>
      <c r="C194" s="14">
        <v>532</v>
      </c>
      <c r="D194" s="14">
        <v>4</v>
      </c>
      <c r="E194" s="14">
        <v>2</v>
      </c>
      <c r="F194" s="114" t="str">
        <f t="shared" si="4"/>
        <v>202122_532_4_2</v>
      </c>
      <c r="G194" s="115">
        <f t="shared" si="5"/>
        <v>6596</v>
      </c>
    </row>
    <row r="195" spans="1:7">
      <c r="A195" s="14" t="s">
        <v>732</v>
      </c>
      <c r="B195" s="15">
        <v>134665</v>
      </c>
      <c r="C195" s="14">
        <v>532</v>
      </c>
      <c r="D195" s="14">
        <v>4</v>
      </c>
      <c r="E195" s="14">
        <v>3</v>
      </c>
      <c r="F195" s="114" t="str">
        <f t="shared" si="4"/>
        <v>202122_532_4_3</v>
      </c>
      <c r="G195" s="115">
        <f t="shared" si="5"/>
        <v>134665</v>
      </c>
    </row>
    <row r="196" spans="1:7">
      <c r="A196" s="14" t="s">
        <v>733</v>
      </c>
      <c r="B196" s="15">
        <v>553</v>
      </c>
      <c r="C196" s="14">
        <v>532</v>
      </c>
      <c r="D196" s="14">
        <v>5</v>
      </c>
      <c r="E196" s="14">
        <v>2</v>
      </c>
      <c r="F196" s="114" t="str">
        <f t="shared" si="4"/>
        <v>202122_532_5_2</v>
      </c>
      <c r="G196" s="115">
        <f t="shared" si="5"/>
        <v>553</v>
      </c>
    </row>
    <row r="197" spans="1:7">
      <c r="A197" s="14" t="s">
        <v>734</v>
      </c>
      <c r="B197" s="15">
        <v>80</v>
      </c>
      <c r="C197" s="14">
        <v>532</v>
      </c>
      <c r="D197" s="14">
        <v>5</v>
      </c>
      <c r="E197" s="14">
        <v>3</v>
      </c>
      <c r="F197" s="114" t="str">
        <f t="shared" ref="F197:F260" si="6">LEFT(A197,6)&amp;"_"&amp;C197&amp;"_"&amp;D197&amp;"_"&amp;E197</f>
        <v>202122_532_5_3</v>
      </c>
      <c r="G197" s="115">
        <f t="shared" ref="G197:G260" si="7">B197</f>
        <v>80</v>
      </c>
    </row>
    <row r="198" spans="1:7">
      <c r="A198" s="14" t="s">
        <v>735</v>
      </c>
      <c r="B198" s="15">
        <v>10801</v>
      </c>
      <c r="C198" s="14">
        <v>532</v>
      </c>
      <c r="D198" s="14">
        <v>6</v>
      </c>
      <c r="E198" s="14">
        <v>2</v>
      </c>
      <c r="F198" s="114" t="str">
        <f t="shared" si="6"/>
        <v>202122_532_6_2</v>
      </c>
      <c r="G198" s="115">
        <f t="shared" si="7"/>
        <v>10801</v>
      </c>
    </row>
    <row r="199" spans="1:7">
      <c r="A199" s="14" t="s">
        <v>736</v>
      </c>
      <c r="B199" s="15">
        <v>8616</v>
      </c>
      <c r="C199" s="14">
        <v>532</v>
      </c>
      <c r="D199" s="14">
        <v>6</v>
      </c>
      <c r="E199" s="14">
        <v>3</v>
      </c>
      <c r="F199" s="114" t="str">
        <f t="shared" si="6"/>
        <v>202122_532_6_3</v>
      </c>
      <c r="G199" s="115">
        <f t="shared" si="7"/>
        <v>8616</v>
      </c>
    </row>
    <row r="200" spans="1:7">
      <c r="A200" s="14" t="s">
        <v>737</v>
      </c>
      <c r="B200" s="15">
        <v>141781</v>
      </c>
      <c r="C200" s="14">
        <v>532</v>
      </c>
      <c r="D200" s="14">
        <v>7</v>
      </c>
      <c r="E200" s="14">
        <v>3</v>
      </c>
      <c r="F200" s="114" t="str">
        <f t="shared" si="6"/>
        <v>202122_532_7_3</v>
      </c>
      <c r="G200" s="115">
        <f t="shared" si="7"/>
        <v>141781</v>
      </c>
    </row>
    <row r="201" spans="1:7">
      <c r="A201" s="14" t="s">
        <v>738</v>
      </c>
      <c r="B201" s="15">
        <v>93.934194097418398</v>
      </c>
      <c r="C201" s="14">
        <v>532</v>
      </c>
      <c r="D201" s="14">
        <v>8</v>
      </c>
      <c r="E201" s="14">
        <v>3</v>
      </c>
      <c r="F201" s="114" t="str">
        <f t="shared" si="6"/>
        <v>202122_532_8_3</v>
      </c>
      <c r="G201" s="115">
        <f t="shared" si="7"/>
        <v>93.934194097418398</v>
      </c>
    </row>
    <row r="202" spans="1:7">
      <c r="A202" s="14" t="s">
        <v>739</v>
      </c>
      <c r="B202" s="15">
        <v>94.980991811314624</v>
      </c>
      <c r="C202" s="14">
        <v>532</v>
      </c>
      <c r="D202" s="14">
        <v>9</v>
      </c>
      <c r="E202" s="14">
        <v>3</v>
      </c>
      <c r="F202" s="114" t="str">
        <f t="shared" si="6"/>
        <v>202122_532_9_3</v>
      </c>
      <c r="G202" s="115">
        <f t="shared" si="7"/>
        <v>94.980991811314624</v>
      </c>
    </row>
    <row r="203" spans="1:7">
      <c r="A203" s="14" t="s">
        <v>740</v>
      </c>
      <c r="B203" s="15">
        <v>3956</v>
      </c>
      <c r="C203" s="14">
        <v>534</v>
      </c>
      <c r="D203" s="14">
        <v>1</v>
      </c>
      <c r="E203" s="14">
        <v>2</v>
      </c>
      <c r="F203" s="114" t="str">
        <f t="shared" si="6"/>
        <v>202122_534_1_2</v>
      </c>
      <c r="G203" s="115">
        <f t="shared" si="7"/>
        <v>3956</v>
      </c>
    </row>
    <row r="204" spans="1:7">
      <c r="A204" s="14" t="s">
        <v>741</v>
      </c>
      <c r="B204" s="15">
        <v>37828</v>
      </c>
      <c r="C204" s="14">
        <v>534</v>
      </c>
      <c r="D204" s="14">
        <v>10.5</v>
      </c>
      <c r="E204" s="14">
        <v>4</v>
      </c>
      <c r="F204" s="114" t="str">
        <f t="shared" si="6"/>
        <v>202122_534_10.5_4</v>
      </c>
      <c r="G204" s="115">
        <f t="shared" si="7"/>
        <v>37828</v>
      </c>
    </row>
    <row r="205" spans="1:7">
      <c r="A205" s="14" t="s">
        <v>742</v>
      </c>
      <c r="B205" s="15">
        <v>37411</v>
      </c>
      <c r="C205" s="14">
        <v>534</v>
      </c>
      <c r="D205" s="14">
        <v>11</v>
      </c>
      <c r="E205" s="14">
        <v>4</v>
      </c>
      <c r="F205" s="114" t="str">
        <f t="shared" si="6"/>
        <v>202122_534_11_4</v>
      </c>
      <c r="G205" s="115">
        <f t="shared" si="7"/>
        <v>37411</v>
      </c>
    </row>
    <row r="206" spans="1:7">
      <c r="A206" s="14" t="s">
        <v>743</v>
      </c>
      <c r="B206" s="15">
        <v>-1774</v>
      </c>
      <c r="C206" s="14">
        <v>534</v>
      </c>
      <c r="D206" s="14">
        <v>12</v>
      </c>
      <c r="E206" s="14">
        <v>4</v>
      </c>
      <c r="F206" s="114" t="str">
        <f t="shared" si="6"/>
        <v>202122_534_12_4</v>
      </c>
      <c r="G206" s="115">
        <f t="shared" si="7"/>
        <v>-1774</v>
      </c>
    </row>
    <row r="207" spans="1:7">
      <c r="A207" s="14" t="s">
        <v>744</v>
      </c>
      <c r="B207" s="15">
        <v>98.897641958337729</v>
      </c>
      <c r="C207" s="14">
        <v>534</v>
      </c>
      <c r="D207" s="14">
        <v>12.5</v>
      </c>
      <c r="E207" s="14">
        <v>4</v>
      </c>
      <c r="F207" s="114" t="str">
        <f t="shared" si="6"/>
        <v>202122_534_12.5_4</v>
      </c>
      <c r="G207" s="115">
        <f t="shared" si="7"/>
        <v>98.897641958337729</v>
      </c>
    </row>
    <row r="208" spans="1:7">
      <c r="A208" s="14" t="s">
        <v>745</v>
      </c>
      <c r="B208" s="15">
        <v>-130</v>
      </c>
      <c r="C208" s="14">
        <v>534</v>
      </c>
      <c r="D208" s="14">
        <v>2</v>
      </c>
      <c r="E208" s="14">
        <v>2</v>
      </c>
      <c r="F208" s="114" t="str">
        <f t="shared" si="6"/>
        <v>202122_534_2_2</v>
      </c>
      <c r="G208" s="115">
        <f t="shared" si="7"/>
        <v>-130</v>
      </c>
    </row>
    <row r="209" spans="1:7">
      <c r="A209" s="14" t="s">
        <v>746</v>
      </c>
      <c r="B209" s="15">
        <v>79547</v>
      </c>
      <c r="C209" s="14">
        <v>534</v>
      </c>
      <c r="D209" s="14">
        <v>2</v>
      </c>
      <c r="E209" s="14">
        <v>3</v>
      </c>
      <c r="F209" s="114" t="str">
        <f t="shared" si="6"/>
        <v>202122_534_2_3</v>
      </c>
      <c r="G209" s="115">
        <f t="shared" si="7"/>
        <v>79547</v>
      </c>
    </row>
    <row r="210" spans="1:7">
      <c r="A210" s="14" t="s">
        <v>747</v>
      </c>
      <c r="B210" s="15">
        <v>3826</v>
      </c>
      <c r="C210" s="14">
        <v>534</v>
      </c>
      <c r="D210" s="14">
        <v>3</v>
      </c>
      <c r="E210" s="14">
        <v>2</v>
      </c>
      <c r="F210" s="114" t="str">
        <f t="shared" si="6"/>
        <v>202122_534_3_2</v>
      </c>
      <c r="G210" s="115">
        <f t="shared" si="7"/>
        <v>3826</v>
      </c>
    </row>
    <row r="211" spans="1:7">
      <c r="A211" s="14" t="s">
        <v>748</v>
      </c>
      <c r="B211" s="15">
        <v>79547</v>
      </c>
      <c r="C211" s="14">
        <v>534</v>
      </c>
      <c r="D211" s="14">
        <v>3</v>
      </c>
      <c r="E211" s="14">
        <v>3</v>
      </c>
      <c r="F211" s="114" t="str">
        <f t="shared" si="6"/>
        <v>202122_534_3_3</v>
      </c>
      <c r="G211" s="115">
        <f t="shared" si="7"/>
        <v>79547</v>
      </c>
    </row>
    <row r="212" spans="1:7">
      <c r="A212" s="14" t="s">
        <v>749</v>
      </c>
      <c r="B212" s="15">
        <v>1464</v>
      </c>
      <c r="C212" s="14">
        <v>534</v>
      </c>
      <c r="D212" s="14">
        <v>4</v>
      </c>
      <c r="E212" s="14">
        <v>2</v>
      </c>
      <c r="F212" s="114" t="str">
        <f t="shared" si="6"/>
        <v>202122_534_4_2</v>
      </c>
      <c r="G212" s="115">
        <f t="shared" si="7"/>
        <v>1464</v>
      </c>
    </row>
    <row r="213" spans="1:7">
      <c r="A213" s="14" t="s">
        <v>750</v>
      </c>
      <c r="B213" s="15">
        <v>77967</v>
      </c>
      <c r="C213" s="14">
        <v>534</v>
      </c>
      <c r="D213" s="14">
        <v>4</v>
      </c>
      <c r="E213" s="14">
        <v>3</v>
      </c>
      <c r="F213" s="114" t="str">
        <f t="shared" si="6"/>
        <v>202122_534_4_3</v>
      </c>
      <c r="G213" s="115">
        <f t="shared" si="7"/>
        <v>77967</v>
      </c>
    </row>
    <row r="214" spans="1:7">
      <c r="A214" s="14" t="s">
        <v>751</v>
      </c>
      <c r="B214" s="15">
        <v>212</v>
      </c>
      <c r="C214" s="14">
        <v>534</v>
      </c>
      <c r="D214" s="14">
        <v>5</v>
      </c>
      <c r="E214" s="14">
        <v>2</v>
      </c>
      <c r="F214" s="114" t="str">
        <f t="shared" si="6"/>
        <v>202122_534_5_2</v>
      </c>
      <c r="G214" s="115">
        <f t="shared" si="7"/>
        <v>212</v>
      </c>
    </row>
    <row r="215" spans="1:7">
      <c r="A215" s="14" t="s">
        <v>752</v>
      </c>
      <c r="B215" s="15">
        <v>9</v>
      </c>
      <c r="C215" s="14">
        <v>534</v>
      </c>
      <c r="D215" s="14">
        <v>5</v>
      </c>
      <c r="E215" s="14">
        <v>3</v>
      </c>
      <c r="F215" s="114" t="str">
        <f t="shared" si="6"/>
        <v>202122_534_5_3</v>
      </c>
      <c r="G215" s="115">
        <f t="shared" si="7"/>
        <v>9</v>
      </c>
    </row>
    <row r="216" spans="1:7">
      <c r="A216" s="14" t="s">
        <v>753</v>
      </c>
      <c r="B216" s="15">
        <v>2150</v>
      </c>
      <c r="C216" s="14">
        <v>534</v>
      </c>
      <c r="D216" s="14">
        <v>6</v>
      </c>
      <c r="E216" s="14">
        <v>2</v>
      </c>
      <c r="F216" s="114" t="str">
        <f t="shared" si="6"/>
        <v>202122_534_6_2</v>
      </c>
      <c r="G216" s="115">
        <f t="shared" si="7"/>
        <v>2150</v>
      </c>
    </row>
    <row r="217" spans="1:7">
      <c r="A217" s="14" t="s">
        <v>754</v>
      </c>
      <c r="B217" s="15">
        <v>1571</v>
      </c>
      <c r="C217" s="14">
        <v>534</v>
      </c>
      <c r="D217" s="14">
        <v>6</v>
      </c>
      <c r="E217" s="14">
        <v>3</v>
      </c>
      <c r="F217" s="114" t="str">
        <f t="shared" si="6"/>
        <v>202122_534_6_3</v>
      </c>
      <c r="G217" s="115">
        <f t="shared" si="7"/>
        <v>1571</v>
      </c>
    </row>
    <row r="218" spans="1:7">
      <c r="A218" s="14" t="s">
        <v>755</v>
      </c>
      <c r="B218" s="15">
        <v>76306</v>
      </c>
      <c r="C218" s="14">
        <v>534</v>
      </c>
      <c r="D218" s="14">
        <v>7</v>
      </c>
      <c r="E218" s="14">
        <v>3</v>
      </c>
      <c r="F218" s="114" t="str">
        <f t="shared" si="6"/>
        <v>202122_534_7_3</v>
      </c>
      <c r="G218" s="115">
        <f t="shared" si="7"/>
        <v>76306</v>
      </c>
    </row>
    <row r="219" spans="1:7">
      <c r="A219" s="14" t="s">
        <v>756</v>
      </c>
      <c r="B219" s="15">
        <v>98.013752875658412</v>
      </c>
      <c r="C219" s="14">
        <v>534</v>
      </c>
      <c r="D219" s="14">
        <v>8</v>
      </c>
      <c r="E219" s="14">
        <v>3</v>
      </c>
      <c r="F219" s="114" t="str">
        <f t="shared" si="6"/>
        <v>202122_534_8_3</v>
      </c>
      <c r="G219" s="115">
        <f t="shared" si="7"/>
        <v>98.013752875658412</v>
      </c>
    </row>
    <row r="220" spans="1:7">
      <c r="A220" s="14" t="s">
        <v>757</v>
      </c>
      <c r="B220" s="15">
        <v>102.17676198464079</v>
      </c>
      <c r="C220" s="14">
        <v>534</v>
      </c>
      <c r="D220" s="14">
        <v>9</v>
      </c>
      <c r="E220" s="14">
        <v>3</v>
      </c>
      <c r="F220" s="114" t="str">
        <f t="shared" si="6"/>
        <v>202122_534_9_3</v>
      </c>
      <c r="G220" s="115">
        <f t="shared" si="7"/>
        <v>102.17676198464079</v>
      </c>
    </row>
    <row r="221" spans="1:7">
      <c r="A221" s="14" t="s">
        <v>758</v>
      </c>
      <c r="B221" s="15">
        <v>9229</v>
      </c>
      <c r="C221" s="14">
        <v>536</v>
      </c>
      <c r="D221" s="14">
        <v>1</v>
      </c>
      <c r="E221" s="14">
        <v>2</v>
      </c>
      <c r="F221" s="114" t="str">
        <f t="shared" si="6"/>
        <v>202122_536_1_2</v>
      </c>
      <c r="G221" s="115">
        <f t="shared" si="7"/>
        <v>9229</v>
      </c>
    </row>
    <row r="222" spans="1:7">
      <c r="A222" s="14" t="s">
        <v>759</v>
      </c>
      <c r="B222" s="15">
        <v>28949</v>
      </c>
      <c r="C222" s="14">
        <v>536</v>
      </c>
      <c r="D222" s="14">
        <v>10.5</v>
      </c>
      <c r="E222" s="14">
        <v>4</v>
      </c>
      <c r="F222" s="114" t="str">
        <f t="shared" si="6"/>
        <v>202122_536_10.5_4</v>
      </c>
      <c r="G222" s="115">
        <f t="shared" si="7"/>
        <v>28949</v>
      </c>
    </row>
    <row r="223" spans="1:7">
      <c r="A223" s="14" t="s">
        <v>760</v>
      </c>
      <c r="B223" s="15">
        <v>28329</v>
      </c>
      <c r="C223" s="14">
        <v>536</v>
      </c>
      <c r="D223" s="14">
        <v>11</v>
      </c>
      <c r="E223" s="14">
        <v>4</v>
      </c>
      <c r="F223" s="114" t="str">
        <f t="shared" si="6"/>
        <v>202122_536_11_4</v>
      </c>
      <c r="G223" s="115">
        <f t="shared" si="7"/>
        <v>28329</v>
      </c>
    </row>
    <row r="224" spans="1:7">
      <c r="A224" s="14" t="s">
        <v>761</v>
      </c>
      <c r="B224" s="15">
        <v>3422</v>
      </c>
      <c r="C224" s="14">
        <v>536</v>
      </c>
      <c r="D224" s="14">
        <v>12</v>
      </c>
      <c r="E224" s="14">
        <v>4</v>
      </c>
      <c r="F224" s="114" t="str">
        <f t="shared" si="6"/>
        <v>202122_536_12_4</v>
      </c>
      <c r="G224" s="115">
        <f t="shared" si="7"/>
        <v>3422</v>
      </c>
    </row>
    <row r="225" spans="1:7">
      <c r="A225" s="14" t="s">
        <v>762</v>
      </c>
      <c r="B225" s="15">
        <v>97.858302532039104</v>
      </c>
      <c r="C225" s="14">
        <v>536</v>
      </c>
      <c r="D225" s="14">
        <v>12.5</v>
      </c>
      <c r="E225" s="14">
        <v>4</v>
      </c>
      <c r="F225" s="114" t="str">
        <f t="shared" si="6"/>
        <v>202122_536_12.5_4</v>
      </c>
      <c r="G225" s="115">
        <f t="shared" si="7"/>
        <v>97.858302532039104</v>
      </c>
    </row>
    <row r="226" spans="1:7">
      <c r="A226" s="14" t="s">
        <v>763</v>
      </c>
      <c r="B226" s="15">
        <v>-335</v>
      </c>
      <c r="C226" s="14">
        <v>536</v>
      </c>
      <c r="D226" s="14">
        <v>2</v>
      </c>
      <c r="E226" s="14">
        <v>2</v>
      </c>
      <c r="F226" s="114" t="str">
        <f t="shared" si="6"/>
        <v>202122_536_2_2</v>
      </c>
      <c r="G226" s="115">
        <f t="shared" si="7"/>
        <v>-335</v>
      </c>
    </row>
    <row r="227" spans="1:7">
      <c r="A227" s="14" t="s">
        <v>764</v>
      </c>
      <c r="B227" s="15">
        <v>91918</v>
      </c>
      <c r="C227" s="14">
        <v>536</v>
      </c>
      <c r="D227" s="14">
        <v>2</v>
      </c>
      <c r="E227" s="14">
        <v>3</v>
      </c>
      <c r="F227" s="114" t="str">
        <f t="shared" si="6"/>
        <v>202122_536_2_3</v>
      </c>
      <c r="G227" s="115">
        <f t="shared" si="7"/>
        <v>91918</v>
      </c>
    </row>
    <row r="228" spans="1:7">
      <c r="A228" s="14" t="s">
        <v>765</v>
      </c>
      <c r="B228" s="15">
        <v>8894</v>
      </c>
      <c r="C228" s="14">
        <v>536</v>
      </c>
      <c r="D228" s="14">
        <v>3</v>
      </c>
      <c r="E228" s="14">
        <v>2</v>
      </c>
      <c r="F228" s="114" t="str">
        <f t="shared" si="6"/>
        <v>202122_536_3_2</v>
      </c>
      <c r="G228" s="115">
        <f t="shared" si="7"/>
        <v>8894</v>
      </c>
    </row>
    <row r="229" spans="1:7">
      <c r="A229" s="14" t="s">
        <v>766</v>
      </c>
      <c r="B229" s="15">
        <v>91918</v>
      </c>
      <c r="C229" s="14">
        <v>536</v>
      </c>
      <c r="D229" s="14">
        <v>3</v>
      </c>
      <c r="E229" s="14">
        <v>3</v>
      </c>
      <c r="F229" s="114" t="str">
        <f t="shared" si="6"/>
        <v>202122_536_3_3</v>
      </c>
      <c r="G229" s="115">
        <f t="shared" si="7"/>
        <v>91918</v>
      </c>
    </row>
    <row r="230" spans="1:7">
      <c r="A230" s="14" t="s">
        <v>767</v>
      </c>
      <c r="B230" s="15">
        <v>2182</v>
      </c>
      <c r="C230" s="14">
        <v>536</v>
      </c>
      <c r="D230" s="14">
        <v>4</v>
      </c>
      <c r="E230" s="14">
        <v>2</v>
      </c>
      <c r="F230" s="114" t="str">
        <f t="shared" si="6"/>
        <v>202122_536_4_2</v>
      </c>
      <c r="G230" s="115">
        <f t="shared" si="7"/>
        <v>2182</v>
      </c>
    </row>
    <row r="231" spans="1:7">
      <c r="A231" s="14" t="s">
        <v>768</v>
      </c>
      <c r="B231" s="15">
        <v>87482</v>
      </c>
      <c r="C231" s="14">
        <v>536</v>
      </c>
      <c r="D231" s="14">
        <v>4</v>
      </c>
      <c r="E231" s="14">
        <v>3</v>
      </c>
      <c r="F231" s="114" t="str">
        <f t="shared" si="6"/>
        <v>202122_536_4_3</v>
      </c>
      <c r="G231" s="115">
        <f t="shared" si="7"/>
        <v>87482</v>
      </c>
    </row>
    <row r="232" spans="1:7">
      <c r="A232" s="14" t="s">
        <v>769</v>
      </c>
      <c r="B232" s="15">
        <v>188</v>
      </c>
      <c r="C232" s="14">
        <v>536</v>
      </c>
      <c r="D232" s="14">
        <v>5</v>
      </c>
      <c r="E232" s="14">
        <v>2</v>
      </c>
      <c r="F232" s="114" t="str">
        <f t="shared" si="6"/>
        <v>202122_536_5_2</v>
      </c>
      <c r="G232" s="115">
        <f t="shared" si="7"/>
        <v>188</v>
      </c>
    </row>
    <row r="233" spans="1:7">
      <c r="A233" s="14" t="s">
        <v>770</v>
      </c>
      <c r="B233" s="15">
        <v>68</v>
      </c>
      <c r="C233" s="14">
        <v>536</v>
      </c>
      <c r="D233" s="14">
        <v>5</v>
      </c>
      <c r="E233" s="14">
        <v>3</v>
      </c>
      <c r="F233" s="114" t="str">
        <f t="shared" si="6"/>
        <v>202122_536_5_3</v>
      </c>
      <c r="G233" s="115">
        <f t="shared" si="7"/>
        <v>68</v>
      </c>
    </row>
    <row r="234" spans="1:7">
      <c r="A234" s="14" t="s">
        <v>771</v>
      </c>
      <c r="B234" s="15">
        <v>6524</v>
      </c>
      <c r="C234" s="14">
        <v>536</v>
      </c>
      <c r="D234" s="14">
        <v>6</v>
      </c>
      <c r="E234" s="14">
        <v>2</v>
      </c>
      <c r="F234" s="114" t="str">
        <f t="shared" si="6"/>
        <v>202122_536_6_2</v>
      </c>
      <c r="G234" s="115">
        <f t="shared" si="7"/>
        <v>6524</v>
      </c>
    </row>
    <row r="235" spans="1:7">
      <c r="A235" s="14" t="s">
        <v>772</v>
      </c>
      <c r="B235" s="15">
        <v>4368</v>
      </c>
      <c r="C235" s="14">
        <v>536</v>
      </c>
      <c r="D235" s="14">
        <v>6</v>
      </c>
      <c r="E235" s="14">
        <v>3</v>
      </c>
      <c r="F235" s="114" t="str">
        <f t="shared" si="6"/>
        <v>202122_536_6_3</v>
      </c>
      <c r="G235" s="115">
        <f t="shared" si="7"/>
        <v>4368</v>
      </c>
    </row>
    <row r="236" spans="1:7">
      <c r="A236" s="14" t="s">
        <v>773</v>
      </c>
      <c r="B236" s="15">
        <v>89623</v>
      </c>
      <c r="C236" s="14">
        <v>536</v>
      </c>
      <c r="D236" s="14">
        <v>7</v>
      </c>
      <c r="E236" s="14">
        <v>3</v>
      </c>
      <c r="F236" s="114" t="str">
        <f t="shared" si="6"/>
        <v>202122_536_7_3</v>
      </c>
      <c r="G236" s="115">
        <f t="shared" si="7"/>
        <v>89623</v>
      </c>
    </row>
    <row r="237" spans="1:7">
      <c r="A237" s="14" t="s">
        <v>774</v>
      </c>
      <c r="B237" s="15">
        <v>95.173959398594405</v>
      </c>
      <c r="C237" s="14">
        <v>536</v>
      </c>
      <c r="D237" s="14">
        <v>8</v>
      </c>
      <c r="E237" s="14">
        <v>3</v>
      </c>
      <c r="F237" s="114" t="str">
        <f t="shared" si="6"/>
        <v>202122_536_8_3</v>
      </c>
      <c r="G237" s="115">
        <f t="shared" si="7"/>
        <v>95.173959398594405</v>
      </c>
    </row>
    <row r="238" spans="1:7">
      <c r="A238" s="14" t="s">
        <v>775</v>
      </c>
      <c r="B238" s="15">
        <v>97.611104292424926</v>
      </c>
      <c r="C238" s="14">
        <v>536</v>
      </c>
      <c r="D238" s="14">
        <v>9</v>
      </c>
      <c r="E238" s="14">
        <v>3</v>
      </c>
      <c r="F238" s="114" t="str">
        <f t="shared" si="6"/>
        <v>202122_536_9_3</v>
      </c>
      <c r="G238" s="115">
        <f t="shared" si="7"/>
        <v>97.611104292424926</v>
      </c>
    </row>
    <row r="239" spans="1:7">
      <c r="A239" s="14" t="s">
        <v>776</v>
      </c>
      <c r="B239" s="15">
        <v>5791</v>
      </c>
      <c r="C239" s="14">
        <v>538</v>
      </c>
      <c r="D239" s="14">
        <v>1</v>
      </c>
      <c r="E239" s="14">
        <v>2</v>
      </c>
      <c r="F239" s="114" t="str">
        <f t="shared" si="6"/>
        <v>202122_538_1_2</v>
      </c>
      <c r="G239" s="115">
        <f t="shared" si="7"/>
        <v>5791</v>
      </c>
    </row>
    <row r="240" spans="1:7">
      <c r="A240" s="14" t="s">
        <v>777</v>
      </c>
      <c r="B240" s="15">
        <v>24088</v>
      </c>
      <c r="C240" s="14">
        <v>538</v>
      </c>
      <c r="D240" s="14">
        <v>10.5</v>
      </c>
      <c r="E240" s="14">
        <v>4</v>
      </c>
      <c r="F240" s="114" t="str">
        <f t="shared" si="6"/>
        <v>202122_538_10.5_4</v>
      </c>
      <c r="G240" s="115">
        <f t="shared" si="7"/>
        <v>24088</v>
      </c>
    </row>
    <row r="241" spans="1:7">
      <c r="A241" s="14" t="s">
        <v>778</v>
      </c>
      <c r="B241" s="15">
        <v>23227</v>
      </c>
      <c r="C241" s="14">
        <v>538</v>
      </c>
      <c r="D241" s="14">
        <v>11</v>
      </c>
      <c r="E241" s="14">
        <v>4</v>
      </c>
      <c r="F241" s="114" t="str">
        <f t="shared" si="6"/>
        <v>202122_538_11_4</v>
      </c>
      <c r="G241" s="115">
        <f t="shared" si="7"/>
        <v>23227</v>
      </c>
    </row>
    <row r="242" spans="1:7">
      <c r="A242" s="14" t="s">
        <v>779</v>
      </c>
      <c r="B242" s="15">
        <v>-2263</v>
      </c>
      <c r="C242" s="14">
        <v>538</v>
      </c>
      <c r="D242" s="14">
        <v>12</v>
      </c>
      <c r="E242" s="14">
        <v>4</v>
      </c>
      <c r="F242" s="114" t="str">
        <f t="shared" si="6"/>
        <v>202122_538_12_4</v>
      </c>
      <c r="G242" s="115">
        <f t="shared" si="7"/>
        <v>-2263</v>
      </c>
    </row>
    <row r="243" spans="1:7">
      <c r="A243" s="14" t="s">
        <v>780</v>
      </c>
      <c r="B243" s="15">
        <v>96.425606110926594</v>
      </c>
      <c r="C243" s="14">
        <v>538</v>
      </c>
      <c r="D243" s="14">
        <v>12.5</v>
      </c>
      <c r="E243" s="14">
        <v>4</v>
      </c>
      <c r="F243" s="114" t="str">
        <f t="shared" si="6"/>
        <v>202122_538_12.5_4</v>
      </c>
      <c r="G243" s="115">
        <f t="shared" si="7"/>
        <v>96.425606110926594</v>
      </c>
    </row>
    <row r="244" spans="1:7">
      <c r="A244" s="14" t="s">
        <v>781</v>
      </c>
      <c r="B244" s="15">
        <v>-259</v>
      </c>
      <c r="C244" s="14">
        <v>538</v>
      </c>
      <c r="D244" s="14">
        <v>2</v>
      </c>
      <c r="E244" s="14">
        <v>2</v>
      </c>
      <c r="F244" s="114" t="str">
        <f t="shared" si="6"/>
        <v>202122_538_2_2</v>
      </c>
      <c r="G244" s="115">
        <f t="shared" si="7"/>
        <v>-259</v>
      </c>
    </row>
    <row r="245" spans="1:7">
      <c r="A245" s="14" t="s">
        <v>782</v>
      </c>
      <c r="B245" s="15">
        <v>95948</v>
      </c>
      <c r="C245" s="14">
        <v>538</v>
      </c>
      <c r="D245" s="14">
        <v>2</v>
      </c>
      <c r="E245" s="14">
        <v>3</v>
      </c>
      <c r="F245" s="114" t="str">
        <f t="shared" si="6"/>
        <v>202122_538_2_3</v>
      </c>
      <c r="G245" s="115">
        <f t="shared" si="7"/>
        <v>95948</v>
      </c>
    </row>
    <row r="246" spans="1:7">
      <c r="A246" s="14" t="s">
        <v>783</v>
      </c>
      <c r="B246" s="15">
        <v>5532</v>
      </c>
      <c r="C246" s="14">
        <v>538</v>
      </c>
      <c r="D246" s="14">
        <v>3</v>
      </c>
      <c r="E246" s="14">
        <v>2</v>
      </c>
      <c r="F246" s="114" t="str">
        <f t="shared" si="6"/>
        <v>202122_538_3_2</v>
      </c>
      <c r="G246" s="115">
        <f t="shared" si="7"/>
        <v>5532</v>
      </c>
    </row>
    <row r="247" spans="1:7">
      <c r="A247" s="14" t="s">
        <v>784</v>
      </c>
      <c r="B247" s="15">
        <v>95948</v>
      </c>
      <c r="C247" s="14">
        <v>538</v>
      </c>
      <c r="D247" s="14">
        <v>3</v>
      </c>
      <c r="E247" s="14">
        <v>3</v>
      </c>
      <c r="F247" s="114" t="str">
        <f t="shared" si="6"/>
        <v>202122_538_3_3</v>
      </c>
      <c r="G247" s="115">
        <f t="shared" si="7"/>
        <v>95948</v>
      </c>
    </row>
    <row r="248" spans="1:7">
      <c r="A248" s="14" t="s">
        <v>785</v>
      </c>
      <c r="B248" s="15">
        <v>2467</v>
      </c>
      <c r="C248" s="14">
        <v>538</v>
      </c>
      <c r="D248" s="14">
        <v>4</v>
      </c>
      <c r="E248" s="14">
        <v>2</v>
      </c>
      <c r="F248" s="114" t="str">
        <f t="shared" si="6"/>
        <v>202122_538_4_2</v>
      </c>
      <c r="G248" s="115">
        <f t="shared" si="7"/>
        <v>2467</v>
      </c>
    </row>
    <row r="249" spans="1:7">
      <c r="A249" s="14" t="s">
        <v>786</v>
      </c>
      <c r="B249" s="15">
        <v>92275</v>
      </c>
      <c r="C249" s="14">
        <v>538</v>
      </c>
      <c r="D249" s="14">
        <v>4</v>
      </c>
      <c r="E249" s="14">
        <v>3</v>
      </c>
      <c r="F249" s="114" t="str">
        <f t="shared" si="6"/>
        <v>202122_538_4_3</v>
      </c>
      <c r="G249" s="115">
        <f t="shared" si="7"/>
        <v>92275</v>
      </c>
    </row>
    <row r="250" spans="1:7">
      <c r="A250" s="14" t="s">
        <v>787</v>
      </c>
      <c r="B250" s="15">
        <v>48</v>
      </c>
      <c r="C250" s="14">
        <v>538</v>
      </c>
      <c r="D250" s="14">
        <v>5</v>
      </c>
      <c r="E250" s="14">
        <v>2</v>
      </c>
      <c r="F250" s="114" t="str">
        <f t="shared" si="6"/>
        <v>202122_538_5_2</v>
      </c>
      <c r="G250" s="115">
        <f t="shared" si="7"/>
        <v>48</v>
      </c>
    </row>
    <row r="251" spans="1:7">
      <c r="A251" s="14" t="s">
        <v>788</v>
      </c>
      <c r="B251" s="15">
        <v>13</v>
      </c>
      <c r="C251" s="14">
        <v>538</v>
      </c>
      <c r="D251" s="14">
        <v>5</v>
      </c>
      <c r="E251" s="14">
        <v>3</v>
      </c>
      <c r="F251" s="114" t="str">
        <f t="shared" si="6"/>
        <v>202122_538_5_3</v>
      </c>
      <c r="G251" s="115">
        <f t="shared" si="7"/>
        <v>13</v>
      </c>
    </row>
    <row r="252" spans="1:7">
      <c r="A252" s="14" t="s">
        <v>789</v>
      </c>
      <c r="B252" s="15">
        <v>3017</v>
      </c>
      <c r="C252" s="14">
        <v>538</v>
      </c>
      <c r="D252" s="14">
        <v>6</v>
      </c>
      <c r="E252" s="14">
        <v>2</v>
      </c>
      <c r="F252" s="114" t="str">
        <f t="shared" si="6"/>
        <v>202122_538_6_2</v>
      </c>
      <c r="G252" s="115">
        <f t="shared" si="7"/>
        <v>3017</v>
      </c>
    </row>
    <row r="253" spans="1:7">
      <c r="A253" s="14" t="s">
        <v>790</v>
      </c>
      <c r="B253" s="15">
        <v>3660</v>
      </c>
      <c r="C253" s="14">
        <v>538</v>
      </c>
      <c r="D253" s="14">
        <v>6</v>
      </c>
      <c r="E253" s="14">
        <v>3</v>
      </c>
      <c r="F253" s="114" t="str">
        <f t="shared" si="6"/>
        <v>202122_538_6_3</v>
      </c>
      <c r="G253" s="115">
        <f t="shared" si="7"/>
        <v>3660</v>
      </c>
    </row>
    <row r="254" spans="1:7">
      <c r="A254" s="14" t="s">
        <v>791</v>
      </c>
      <c r="B254" s="15">
        <v>93053</v>
      </c>
      <c r="C254" s="14">
        <v>538</v>
      </c>
      <c r="D254" s="14">
        <v>7</v>
      </c>
      <c r="E254" s="14">
        <v>3</v>
      </c>
      <c r="F254" s="114" t="str">
        <f t="shared" si="6"/>
        <v>202122_538_7_3</v>
      </c>
      <c r="G254" s="115">
        <f t="shared" si="7"/>
        <v>93053</v>
      </c>
    </row>
    <row r="255" spans="1:7">
      <c r="A255" s="14" t="s">
        <v>792</v>
      </c>
      <c r="B255" s="15">
        <v>96.171884770917586</v>
      </c>
      <c r="C255" s="14">
        <v>538</v>
      </c>
      <c r="D255" s="14">
        <v>8</v>
      </c>
      <c r="E255" s="14">
        <v>3</v>
      </c>
      <c r="F255" s="114" t="str">
        <f t="shared" si="6"/>
        <v>202122_538_8_3</v>
      </c>
      <c r="G255" s="115">
        <f t="shared" si="7"/>
        <v>96.171884770917586</v>
      </c>
    </row>
    <row r="256" spans="1:7">
      <c r="A256" s="14" t="s">
        <v>793</v>
      </c>
      <c r="B256" s="15">
        <v>99.163917337431357</v>
      </c>
      <c r="C256" s="14">
        <v>538</v>
      </c>
      <c r="D256" s="14">
        <v>9</v>
      </c>
      <c r="E256" s="14">
        <v>3</v>
      </c>
      <c r="F256" s="114" t="str">
        <f t="shared" si="6"/>
        <v>202122_538_9_3</v>
      </c>
      <c r="G256" s="115">
        <f t="shared" si="7"/>
        <v>99.163917337431357</v>
      </c>
    </row>
    <row r="257" spans="1:7">
      <c r="A257" s="14" t="s">
        <v>794</v>
      </c>
      <c r="B257" s="15">
        <v>8442</v>
      </c>
      <c r="C257" s="14">
        <v>540</v>
      </c>
      <c r="D257" s="14">
        <v>1</v>
      </c>
      <c r="E257" s="14">
        <v>2</v>
      </c>
      <c r="F257" s="114" t="str">
        <f t="shared" si="6"/>
        <v>202122_540_1_2</v>
      </c>
      <c r="G257" s="115">
        <f t="shared" si="7"/>
        <v>8442</v>
      </c>
    </row>
    <row r="258" spans="1:7">
      <c r="A258" s="14" t="s">
        <v>795</v>
      </c>
      <c r="B258" s="15">
        <v>40824</v>
      </c>
      <c r="C258" s="14">
        <v>540</v>
      </c>
      <c r="D258" s="14">
        <v>10.5</v>
      </c>
      <c r="E258" s="14">
        <v>4</v>
      </c>
      <c r="F258" s="114" t="str">
        <f t="shared" si="6"/>
        <v>202122_540_10.5_4</v>
      </c>
      <c r="G258" s="115">
        <f t="shared" si="7"/>
        <v>40824</v>
      </c>
    </row>
    <row r="259" spans="1:7">
      <c r="A259" s="14" t="s">
        <v>796</v>
      </c>
      <c r="B259" s="15">
        <v>37930</v>
      </c>
      <c r="C259" s="14">
        <v>540</v>
      </c>
      <c r="D259" s="14">
        <v>11</v>
      </c>
      <c r="E259" s="14">
        <v>4</v>
      </c>
      <c r="F259" s="114" t="str">
        <f t="shared" si="6"/>
        <v>202122_540_11_4</v>
      </c>
      <c r="G259" s="115">
        <f t="shared" si="7"/>
        <v>37930</v>
      </c>
    </row>
    <row r="260" spans="1:7">
      <c r="A260" s="14" t="s">
        <v>797</v>
      </c>
      <c r="B260" s="15">
        <v>-1087</v>
      </c>
      <c r="C260" s="14">
        <v>540</v>
      </c>
      <c r="D260" s="14">
        <v>12</v>
      </c>
      <c r="E260" s="14">
        <v>4</v>
      </c>
      <c r="F260" s="114" t="str">
        <f t="shared" si="6"/>
        <v>202122_540_12_4</v>
      </c>
      <c r="G260" s="115">
        <f t="shared" si="7"/>
        <v>-1087</v>
      </c>
    </row>
    <row r="261" spans="1:7">
      <c r="A261" s="14" t="s">
        <v>798</v>
      </c>
      <c r="B261" s="15">
        <v>92.911032725847548</v>
      </c>
      <c r="C261" s="14">
        <v>540</v>
      </c>
      <c r="D261" s="14">
        <v>12.5</v>
      </c>
      <c r="E261" s="14">
        <v>4</v>
      </c>
      <c r="F261" s="114" t="str">
        <f t="shared" ref="F261:F324" si="8">LEFT(A261,6)&amp;"_"&amp;C261&amp;"_"&amp;D261&amp;"_"&amp;E261</f>
        <v>202122_540_12.5_4</v>
      </c>
      <c r="G261" s="115">
        <f t="shared" ref="G261:G324" si="9">B261</f>
        <v>92.911032725847548</v>
      </c>
    </row>
    <row r="262" spans="1:7">
      <c r="A262" s="14" t="s">
        <v>799</v>
      </c>
      <c r="B262" s="15">
        <v>-254</v>
      </c>
      <c r="C262" s="14">
        <v>540</v>
      </c>
      <c r="D262" s="14">
        <v>2</v>
      </c>
      <c r="E262" s="14">
        <v>2</v>
      </c>
      <c r="F262" s="114" t="str">
        <f t="shared" si="8"/>
        <v>202122_540_2_2</v>
      </c>
      <c r="G262" s="115">
        <f t="shared" si="9"/>
        <v>-254</v>
      </c>
    </row>
    <row r="263" spans="1:7">
      <c r="A263" s="14" t="s">
        <v>800</v>
      </c>
      <c r="B263" s="15">
        <v>122601</v>
      </c>
      <c r="C263" s="14">
        <v>540</v>
      </c>
      <c r="D263" s="14">
        <v>2</v>
      </c>
      <c r="E263" s="14">
        <v>3</v>
      </c>
      <c r="F263" s="114" t="str">
        <f t="shared" si="8"/>
        <v>202122_540_2_3</v>
      </c>
      <c r="G263" s="115">
        <f t="shared" si="9"/>
        <v>122601</v>
      </c>
    </row>
    <row r="264" spans="1:7">
      <c r="A264" s="14" t="s">
        <v>801</v>
      </c>
      <c r="B264" s="15">
        <v>8188</v>
      </c>
      <c r="C264" s="14">
        <v>540</v>
      </c>
      <c r="D264" s="14">
        <v>3</v>
      </c>
      <c r="E264" s="14">
        <v>2</v>
      </c>
      <c r="F264" s="114" t="str">
        <f t="shared" si="8"/>
        <v>202122_540_3_2</v>
      </c>
      <c r="G264" s="115">
        <f t="shared" si="9"/>
        <v>8188</v>
      </c>
    </row>
    <row r="265" spans="1:7">
      <c r="A265" s="14" t="s">
        <v>802</v>
      </c>
      <c r="B265" s="15">
        <v>122601</v>
      </c>
      <c r="C265" s="14">
        <v>540</v>
      </c>
      <c r="D265" s="14">
        <v>3</v>
      </c>
      <c r="E265" s="14">
        <v>3</v>
      </c>
      <c r="F265" s="114" t="str">
        <f t="shared" si="8"/>
        <v>202122_540_3_3</v>
      </c>
      <c r="G265" s="115">
        <f t="shared" si="9"/>
        <v>122601</v>
      </c>
    </row>
    <row r="266" spans="1:7">
      <c r="A266" s="14" t="s">
        <v>803</v>
      </c>
      <c r="B266" s="15">
        <v>2726</v>
      </c>
      <c r="C266" s="14">
        <v>540</v>
      </c>
      <c r="D266" s="14">
        <v>4</v>
      </c>
      <c r="E266" s="14">
        <v>2</v>
      </c>
      <c r="F266" s="114" t="str">
        <f t="shared" si="8"/>
        <v>202122_540_4_2</v>
      </c>
      <c r="G266" s="115">
        <f t="shared" si="9"/>
        <v>2726</v>
      </c>
    </row>
    <row r="267" spans="1:7">
      <c r="A267" s="14" t="s">
        <v>804</v>
      </c>
      <c r="B267" s="15">
        <v>118520</v>
      </c>
      <c r="C267" s="14">
        <v>540</v>
      </c>
      <c r="D267" s="14">
        <v>4</v>
      </c>
      <c r="E267" s="14">
        <v>3</v>
      </c>
      <c r="F267" s="114" t="str">
        <f t="shared" si="8"/>
        <v>202122_540_4_3</v>
      </c>
      <c r="G267" s="115">
        <f t="shared" si="9"/>
        <v>118520</v>
      </c>
    </row>
    <row r="268" spans="1:7">
      <c r="A268" s="14" t="s">
        <v>805</v>
      </c>
      <c r="B268" s="15">
        <v>289</v>
      </c>
      <c r="C268" s="14">
        <v>540</v>
      </c>
      <c r="D268" s="14">
        <v>5</v>
      </c>
      <c r="E268" s="14">
        <v>2</v>
      </c>
      <c r="F268" s="114" t="str">
        <f t="shared" si="8"/>
        <v>202122_540_5_2</v>
      </c>
      <c r="G268" s="115">
        <f t="shared" si="9"/>
        <v>289</v>
      </c>
    </row>
    <row r="269" spans="1:7">
      <c r="A269" s="14" t="s">
        <v>806</v>
      </c>
      <c r="B269" s="15">
        <v>75</v>
      </c>
      <c r="C269" s="14">
        <v>540</v>
      </c>
      <c r="D269" s="14">
        <v>5</v>
      </c>
      <c r="E269" s="14">
        <v>3</v>
      </c>
      <c r="F269" s="114" t="str">
        <f t="shared" si="8"/>
        <v>202122_540_5_3</v>
      </c>
      <c r="G269" s="115">
        <f t="shared" si="9"/>
        <v>75</v>
      </c>
    </row>
    <row r="270" spans="1:7">
      <c r="A270" s="14" t="s">
        <v>807</v>
      </c>
      <c r="B270" s="15">
        <v>5173</v>
      </c>
      <c r="C270" s="14">
        <v>540</v>
      </c>
      <c r="D270" s="14">
        <v>6</v>
      </c>
      <c r="E270" s="14">
        <v>2</v>
      </c>
      <c r="F270" s="114" t="str">
        <f t="shared" si="8"/>
        <v>202122_540_6_2</v>
      </c>
      <c r="G270" s="115">
        <f t="shared" si="9"/>
        <v>5173</v>
      </c>
    </row>
    <row r="271" spans="1:7">
      <c r="A271" s="14" t="s">
        <v>808</v>
      </c>
      <c r="B271" s="15">
        <v>4006</v>
      </c>
      <c r="C271" s="14">
        <v>540</v>
      </c>
      <c r="D271" s="14">
        <v>6</v>
      </c>
      <c r="E271" s="14">
        <v>3</v>
      </c>
      <c r="F271" s="114" t="str">
        <f t="shared" si="8"/>
        <v>202122_540_6_3</v>
      </c>
      <c r="G271" s="115">
        <f t="shared" si="9"/>
        <v>4006</v>
      </c>
    </row>
    <row r="272" spans="1:7">
      <c r="A272" s="14" t="s">
        <v>809</v>
      </c>
      <c r="B272" s="15">
        <v>118005</v>
      </c>
      <c r="C272" s="14">
        <v>540</v>
      </c>
      <c r="D272" s="14">
        <v>7</v>
      </c>
      <c r="E272" s="14">
        <v>3</v>
      </c>
      <c r="F272" s="114" t="str">
        <f t="shared" si="8"/>
        <v>202122_540_7_3</v>
      </c>
      <c r="G272" s="115">
        <f t="shared" si="9"/>
        <v>118005</v>
      </c>
    </row>
    <row r="273" spans="1:7">
      <c r="A273" s="14" t="s">
        <v>810</v>
      </c>
      <c r="B273" s="15">
        <v>96.671315894650121</v>
      </c>
      <c r="C273" s="14">
        <v>540</v>
      </c>
      <c r="D273" s="14">
        <v>8</v>
      </c>
      <c r="E273" s="14">
        <v>3</v>
      </c>
      <c r="F273" s="114" t="str">
        <f t="shared" si="8"/>
        <v>202122_540_8_3</v>
      </c>
      <c r="G273" s="115">
        <f t="shared" si="9"/>
        <v>96.671315894650121</v>
      </c>
    </row>
    <row r="274" spans="1:7">
      <c r="A274" s="14" t="s">
        <v>811</v>
      </c>
      <c r="B274" s="15">
        <v>100.43642218550062</v>
      </c>
      <c r="C274" s="14">
        <v>540</v>
      </c>
      <c r="D274" s="14">
        <v>9</v>
      </c>
      <c r="E274" s="14">
        <v>3</v>
      </c>
      <c r="F274" s="114" t="str">
        <f t="shared" si="8"/>
        <v>202122_540_9_3</v>
      </c>
      <c r="G274" s="115">
        <f t="shared" si="9"/>
        <v>100.43642218550062</v>
      </c>
    </row>
    <row r="275" spans="1:7">
      <c r="A275" s="14" t="s">
        <v>812</v>
      </c>
      <c r="B275" s="15">
        <v>6426</v>
      </c>
      <c r="C275" s="14">
        <v>542</v>
      </c>
      <c r="D275" s="14">
        <v>1</v>
      </c>
      <c r="E275" s="14">
        <v>2</v>
      </c>
      <c r="F275" s="114" t="str">
        <f t="shared" si="8"/>
        <v>202122_542_1_2</v>
      </c>
      <c r="G275" s="115">
        <f t="shared" si="9"/>
        <v>6426</v>
      </c>
    </row>
    <row r="276" spans="1:7">
      <c r="A276" s="14" t="s">
        <v>813</v>
      </c>
      <c r="B276" s="15">
        <v>11310</v>
      </c>
      <c r="C276" s="14">
        <v>542</v>
      </c>
      <c r="D276" s="14">
        <v>10.5</v>
      </c>
      <c r="E276" s="14">
        <v>4</v>
      </c>
      <c r="F276" s="114" t="str">
        <f t="shared" si="8"/>
        <v>202122_542_10.5_4</v>
      </c>
      <c r="G276" s="115">
        <f t="shared" si="9"/>
        <v>11310</v>
      </c>
    </row>
    <row r="277" spans="1:7">
      <c r="A277" s="14" t="s">
        <v>814</v>
      </c>
      <c r="B277" s="15">
        <v>10816</v>
      </c>
      <c r="C277" s="14">
        <v>542</v>
      </c>
      <c r="D277" s="14">
        <v>11</v>
      </c>
      <c r="E277" s="14">
        <v>4</v>
      </c>
      <c r="F277" s="114" t="str">
        <f t="shared" si="8"/>
        <v>202122_542_11_4</v>
      </c>
      <c r="G277" s="115">
        <f t="shared" si="9"/>
        <v>10816</v>
      </c>
    </row>
    <row r="278" spans="1:7">
      <c r="A278" s="14" t="s">
        <v>815</v>
      </c>
      <c r="B278" s="15">
        <v>3133</v>
      </c>
      <c r="C278" s="14">
        <v>542</v>
      </c>
      <c r="D278" s="14">
        <v>12</v>
      </c>
      <c r="E278" s="14">
        <v>4</v>
      </c>
      <c r="F278" s="114" t="str">
        <f t="shared" si="8"/>
        <v>202122_542_12_4</v>
      </c>
      <c r="G278" s="115">
        <f t="shared" si="9"/>
        <v>3133</v>
      </c>
    </row>
    <row r="279" spans="1:7">
      <c r="A279" s="14" t="s">
        <v>816</v>
      </c>
      <c r="B279" s="15">
        <v>95.632183908045974</v>
      </c>
      <c r="C279" s="14">
        <v>542</v>
      </c>
      <c r="D279" s="14">
        <v>12.5</v>
      </c>
      <c r="E279" s="14">
        <v>4</v>
      </c>
      <c r="F279" s="114" t="str">
        <f t="shared" si="8"/>
        <v>202122_542_12.5_4</v>
      </c>
      <c r="G279" s="115">
        <f t="shared" si="9"/>
        <v>95.632183908045974</v>
      </c>
    </row>
    <row r="280" spans="1:7">
      <c r="A280" s="14" t="s">
        <v>817</v>
      </c>
      <c r="B280" s="15">
        <v>-375</v>
      </c>
      <c r="C280" s="14">
        <v>542</v>
      </c>
      <c r="D280" s="14">
        <v>2</v>
      </c>
      <c r="E280" s="14">
        <v>2</v>
      </c>
      <c r="F280" s="114" t="str">
        <f t="shared" si="8"/>
        <v>202122_542_2_2</v>
      </c>
      <c r="G280" s="115">
        <f t="shared" si="9"/>
        <v>-375</v>
      </c>
    </row>
    <row r="281" spans="1:7">
      <c r="A281" s="14" t="s">
        <v>818</v>
      </c>
      <c r="B281" s="15">
        <v>31833</v>
      </c>
      <c r="C281" s="14">
        <v>542</v>
      </c>
      <c r="D281" s="14">
        <v>2</v>
      </c>
      <c r="E281" s="14">
        <v>3</v>
      </c>
      <c r="F281" s="114" t="str">
        <f t="shared" si="8"/>
        <v>202122_542_2_3</v>
      </c>
      <c r="G281" s="115">
        <f t="shared" si="9"/>
        <v>31833</v>
      </c>
    </row>
    <row r="282" spans="1:7">
      <c r="A282" s="14" t="s">
        <v>819</v>
      </c>
      <c r="B282" s="15">
        <v>6051</v>
      </c>
      <c r="C282" s="14">
        <v>542</v>
      </c>
      <c r="D282" s="14">
        <v>3</v>
      </c>
      <c r="E282" s="14">
        <v>2</v>
      </c>
      <c r="F282" s="114" t="str">
        <f t="shared" si="8"/>
        <v>202122_542_3_2</v>
      </c>
      <c r="G282" s="115">
        <f t="shared" si="9"/>
        <v>6051</v>
      </c>
    </row>
    <row r="283" spans="1:7">
      <c r="A283" s="14" t="s">
        <v>820</v>
      </c>
      <c r="B283" s="15">
        <v>31833</v>
      </c>
      <c r="C283" s="14">
        <v>542</v>
      </c>
      <c r="D283" s="14">
        <v>3</v>
      </c>
      <c r="E283" s="14">
        <v>3</v>
      </c>
      <c r="F283" s="114" t="str">
        <f t="shared" si="8"/>
        <v>202122_542_3_3</v>
      </c>
      <c r="G283" s="115">
        <f t="shared" si="9"/>
        <v>31833</v>
      </c>
    </row>
    <row r="284" spans="1:7">
      <c r="A284" s="14" t="s">
        <v>821</v>
      </c>
      <c r="B284" s="15">
        <v>894</v>
      </c>
      <c r="C284" s="14">
        <v>542</v>
      </c>
      <c r="D284" s="14">
        <v>4</v>
      </c>
      <c r="E284" s="14">
        <v>2</v>
      </c>
      <c r="F284" s="114" t="str">
        <f t="shared" si="8"/>
        <v>202122_542_4_2</v>
      </c>
      <c r="G284" s="115">
        <f t="shared" si="9"/>
        <v>894</v>
      </c>
    </row>
    <row r="285" spans="1:7">
      <c r="A285" s="14" t="s">
        <v>822</v>
      </c>
      <c r="B285" s="15">
        <v>30058</v>
      </c>
      <c r="C285" s="14">
        <v>542</v>
      </c>
      <c r="D285" s="14">
        <v>4</v>
      </c>
      <c r="E285" s="14">
        <v>3</v>
      </c>
      <c r="F285" s="114" t="str">
        <f t="shared" si="8"/>
        <v>202122_542_4_3</v>
      </c>
      <c r="G285" s="115">
        <f t="shared" si="9"/>
        <v>30058</v>
      </c>
    </row>
    <row r="286" spans="1:7">
      <c r="A286" s="14" t="s">
        <v>823</v>
      </c>
      <c r="B286" s="15">
        <v>141</v>
      </c>
      <c r="C286" s="14">
        <v>542</v>
      </c>
      <c r="D286" s="14">
        <v>5</v>
      </c>
      <c r="E286" s="14">
        <v>2</v>
      </c>
      <c r="F286" s="114" t="str">
        <f t="shared" si="8"/>
        <v>202122_542_5_2</v>
      </c>
      <c r="G286" s="115">
        <f t="shared" si="9"/>
        <v>141</v>
      </c>
    </row>
    <row r="287" spans="1:7">
      <c r="A287" s="14" t="s">
        <v>824</v>
      </c>
      <c r="B287" s="15">
        <v>26</v>
      </c>
      <c r="C287" s="14">
        <v>542</v>
      </c>
      <c r="D287" s="14">
        <v>5</v>
      </c>
      <c r="E287" s="14">
        <v>3</v>
      </c>
      <c r="F287" s="114" t="str">
        <f t="shared" si="8"/>
        <v>202122_542_5_3</v>
      </c>
      <c r="G287" s="115">
        <f t="shared" si="9"/>
        <v>26</v>
      </c>
    </row>
    <row r="288" spans="1:7">
      <c r="A288" s="14" t="s">
        <v>825</v>
      </c>
      <c r="B288" s="15">
        <v>5016</v>
      </c>
      <c r="C288" s="14">
        <v>542</v>
      </c>
      <c r="D288" s="14">
        <v>6</v>
      </c>
      <c r="E288" s="14">
        <v>2</v>
      </c>
      <c r="F288" s="114" t="str">
        <f t="shared" si="8"/>
        <v>202122_542_6_2</v>
      </c>
      <c r="G288" s="115">
        <f t="shared" si="9"/>
        <v>5016</v>
      </c>
    </row>
    <row r="289" spans="1:7">
      <c r="A289" s="14" t="s">
        <v>826</v>
      </c>
      <c r="B289" s="15">
        <v>1749</v>
      </c>
      <c r="C289" s="14">
        <v>542</v>
      </c>
      <c r="D289" s="14">
        <v>6</v>
      </c>
      <c r="E289" s="14">
        <v>3</v>
      </c>
      <c r="F289" s="114" t="str">
        <f t="shared" si="8"/>
        <v>202122_542_6_3</v>
      </c>
      <c r="G289" s="115">
        <f t="shared" si="9"/>
        <v>1749</v>
      </c>
    </row>
    <row r="290" spans="1:7">
      <c r="A290" s="14" t="s">
        <v>827</v>
      </c>
      <c r="B290" s="15">
        <v>31866</v>
      </c>
      <c r="C290" s="14">
        <v>542</v>
      </c>
      <c r="D290" s="14">
        <v>7</v>
      </c>
      <c r="E290" s="14">
        <v>3</v>
      </c>
      <c r="F290" s="114" t="str">
        <f t="shared" si="8"/>
        <v>202122_542_7_3</v>
      </c>
      <c r="G290" s="115">
        <f t="shared" si="9"/>
        <v>31866</v>
      </c>
    </row>
    <row r="291" spans="1:7">
      <c r="A291" s="14" t="s">
        <v>828</v>
      </c>
      <c r="B291" s="15">
        <v>94.424025382464734</v>
      </c>
      <c r="C291" s="14">
        <v>542</v>
      </c>
      <c r="D291" s="14">
        <v>8</v>
      </c>
      <c r="E291" s="14">
        <v>3</v>
      </c>
      <c r="F291" s="114" t="str">
        <f t="shared" si="8"/>
        <v>202122_542_8_3</v>
      </c>
      <c r="G291" s="115">
        <f t="shared" si="9"/>
        <v>94.424025382464734</v>
      </c>
    </row>
    <row r="292" spans="1:7">
      <c r="A292" s="14" t="s">
        <v>829</v>
      </c>
      <c r="B292" s="15">
        <v>94.326241134751783</v>
      </c>
      <c r="C292" s="14">
        <v>542</v>
      </c>
      <c r="D292" s="14">
        <v>9</v>
      </c>
      <c r="E292" s="14">
        <v>3</v>
      </c>
      <c r="F292" s="114" t="str">
        <f t="shared" si="8"/>
        <v>202122_542_9_3</v>
      </c>
      <c r="G292" s="115">
        <f t="shared" si="9"/>
        <v>94.326241134751783</v>
      </c>
    </row>
    <row r="293" spans="1:7">
      <c r="A293" s="14" t="s">
        <v>830</v>
      </c>
      <c r="B293" s="15">
        <v>6735</v>
      </c>
      <c r="C293" s="14">
        <v>544</v>
      </c>
      <c r="D293" s="14">
        <v>1</v>
      </c>
      <c r="E293" s="14">
        <v>2</v>
      </c>
      <c r="F293" s="114" t="str">
        <f t="shared" si="8"/>
        <v>202122_544_1_2</v>
      </c>
      <c r="G293" s="115">
        <f t="shared" si="9"/>
        <v>6735</v>
      </c>
    </row>
    <row r="294" spans="1:7">
      <c r="A294" s="14" t="s">
        <v>831</v>
      </c>
      <c r="B294" s="15">
        <v>29551</v>
      </c>
      <c r="C294" s="14">
        <v>544</v>
      </c>
      <c r="D294" s="14">
        <v>10.5</v>
      </c>
      <c r="E294" s="14">
        <v>4</v>
      </c>
      <c r="F294" s="114" t="str">
        <f t="shared" si="8"/>
        <v>202122_544_10.5_4</v>
      </c>
      <c r="G294" s="115">
        <f t="shared" si="9"/>
        <v>29551</v>
      </c>
    </row>
    <row r="295" spans="1:7">
      <c r="A295" s="14" t="s">
        <v>832</v>
      </c>
      <c r="B295" s="15">
        <v>28730</v>
      </c>
      <c r="C295" s="14">
        <v>544</v>
      </c>
      <c r="D295" s="14">
        <v>11</v>
      </c>
      <c r="E295" s="14">
        <v>4</v>
      </c>
      <c r="F295" s="114" t="str">
        <f t="shared" si="8"/>
        <v>202122_544_11_4</v>
      </c>
      <c r="G295" s="115">
        <f t="shared" si="9"/>
        <v>28730</v>
      </c>
    </row>
    <row r="296" spans="1:7">
      <c r="A296" s="14" t="s">
        <v>833</v>
      </c>
      <c r="B296" s="15">
        <v>-39</v>
      </c>
      <c r="C296" s="14">
        <v>544</v>
      </c>
      <c r="D296" s="14">
        <v>12</v>
      </c>
      <c r="E296" s="14">
        <v>4</v>
      </c>
      <c r="F296" s="114" t="str">
        <f t="shared" si="8"/>
        <v>202122_544_12_4</v>
      </c>
      <c r="G296" s="115">
        <f t="shared" si="9"/>
        <v>-39</v>
      </c>
    </row>
    <row r="297" spans="1:7">
      <c r="A297" s="14" t="s">
        <v>834</v>
      </c>
      <c r="B297" s="15">
        <v>97.221752224967005</v>
      </c>
      <c r="C297" s="14">
        <v>544</v>
      </c>
      <c r="D297" s="14">
        <v>12.5</v>
      </c>
      <c r="E297" s="14">
        <v>4</v>
      </c>
      <c r="F297" s="114" t="str">
        <f t="shared" si="8"/>
        <v>202122_544_12.5_4</v>
      </c>
      <c r="G297" s="115">
        <f t="shared" si="9"/>
        <v>97.221752224967005</v>
      </c>
    </row>
    <row r="298" spans="1:7">
      <c r="A298" s="14" t="s">
        <v>835</v>
      </c>
      <c r="B298" s="15">
        <v>-275</v>
      </c>
      <c r="C298" s="14">
        <v>544</v>
      </c>
      <c r="D298" s="14">
        <v>2</v>
      </c>
      <c r="E298" s="14">
        <v>2</v>
      </c>
      <c r="F298" s="114" t="str">
        <f t="shared" si="8"/>
        <v>202122_544_2_2</v>
      </c>
      <c r="G298" s="115">
        <f t="shared" si="9"/>
        <v>-275</v>
      </c>
    </row>
    <row r="299" spans="1:7">
      <c r="A299" s="14" t="s">
        <v>836</v>
      </c>
      <c r="B299" s="15">
        <v>79737</v>
      </c>
      <c r="C299" s="14">
        <v>544</v>
      </c>
      <c r="D299" s="14">
        <v>2</v>
      </c>
      <c r="E299" s="14">
        <v>3</v>
      </c>
      <c r="F299" s="114" t="str">
        <f t="shared" si="8"/>
        <v>202122_544_2_3</v>
      </c>
      <c r="G299" s="115">
        <f t="shared" si="9"/>
        <v>79737</v>
      </c>
    </row>
    <row r="300" spans="1:7">
      <c r="A300" s="14" t="s">
        <v>837</v>
      </c>
      <c r="B300" s="15">
        <v>6460</v>
      </c>
      <c r="C300" s="14">
        <v>544</v>
      </c>
      <c r="D300" s="14">
        <v>3</v>
      </c>
      <c r="E300" s="14">
        <v>2</v>
      </c>
      <c r="F300" s="114" t="str">
        <f t="shared" si="8"/>
        <v>202122_544_3_2</v>
      </c>
      <c r="G300" s="115">
        <f t="shared" si="9"/>
        <v>6460</v>
      </c>
    </row>
    <row r="301" spans="1:7">
      <c r="A301" s="14" t="s">
        <v>838</v>
      </c>
      <c r="B301" s="15">
        <v>79737</v>
      </c>
      <c r="C301" s="14">
        <v>544</v>
      </c>
      <c r="D301" s="14">
        <v>3</v>
      </c>
      <c r="E301" s="14">
        <v>3</v>
      </c>
      <c r="F301" s="114" t="str">
        <f t="shared" si="8"/>
        <v>202122_544_3_3</v>
      </c>
      <c r="G301" s="115">
        <f t="shared" si="9"/>
        <v>79737</v>
      </c>
    </row>
    <row r="302" spans="1:7">
      <c r="A302" s="14" t="s">
        <v>839</v>
      </c>
      <c r="B302" s="15">
        <v>2106</v>
      </c>
      <c r="C302" s="14">
        <v>544</v>
      </c>
      <c r="D302" s="14">
        <v>4</v>
      </c>
      <c r="E302" s="14">
        <v>2</v>
      </c>
      <c r="F302" s="114" t="str">
        <f t="shared" si="8"/>
        <v>202122_544_4_2</v>
      </c>
      <c r="G302" s="115">
        <f t="shared" si="9"/>
        <v>2106</v>
      </c>
    </row>
    <row r="303" spans="1:7">
      <c r="A303" s="14" t="s">
        <v>840</v>
      </c>
      <c r="B303" s="15">
        <v>75999</v>
      </c>
      <c r="C303" s="14">
        <v>544</v>
      </c>
      <c r="D303" s="14">
        <v>4</v>
      </c>
      <c r="E303" s="14">
        <v>3</v>
      </c>
      <c r="F303" s="114" t="str">
        <f t="shared" si="8"/>
        <v>202122_544_4_3</v>
      </c>
      <c r="G303" s="115">
        <f t="shared" si="9"/>
        <v>75999</v>
      </c>
    </row>
    <row r="304" spans="1:7">
      <c r="A304" s="14" t="s">
        <v>841</v>
      </c>
      <c r="B304" s="15">
        <v>134</v>
      </c>
      <c r="C304" s="14">
        <v>544</v>
      </c>
      <c r="D304" s="14">
        <v>5</v>
      </c>
      <c r="E304" s="14">
        <v>2</v>
      </c>
      <c r="F304" s="114" t="str">
        <f t="shared" si="8"/>
        <v>202122_544_5_2</v>
      </c>
      <c r="G304" s="115">
        <f t="shared" si="9"/>
        <v>134</v>
      </c>
    </row>
    <row r="305" spans="1:7">
      <c r="A305" s="14" t="s">
        <v>842</v>
      </c>
      <c r="B305" s="15">
        <v>36</v>
      </c>
      <c r="C305" s="14">
        <v>544</v>
      </c>
      <c r="D305" s="14">
        <v>5</v>
      </c>
      <c r="E305" s="14">
        <v>3</v>
      </c>
      <c r="F305" s="114" t="str">
        <f t="shared" si="8"/>
        <v>202122_544_5_3</v>
      </c>
      <c r="G305" s="115">
        <f t="shared" si="9"/>
        <v>36</v>
      </c>
    </row>
    <row r="306" spans="1:7">
      <c r="A306" s="14" t="s">
        <v>843</v>
      </c>
      <c r="B306" s="15">
        <v>4220</v>
      </c>
      <c r="C306" s="14">
        <v>544</v>
      </c>
      <c r="D306" s="14">
        <v>6</v>
      </c>
      <c r="E306" s="14">
        <v>2</v>
      </c>
      <c r="F306" s="114" t="str">
        <f t="shared" si="8"/>
        <v>202122_544_6_2</v>
      </c>
      <c r="G306" s="115">
        <f t="shared" si="9"/>
        <v>4220</v>
      </c>
    </row>
    <row r="307" spans="1:7">
      <c r="A307" s="14" t="s">
        <v>844</v>
      </c>
      <c r="B307" s="15">
        <v>3702</v>
      </c>
      <c r="C307" s="14">
        <v>544</v>
      </c>
      <c r="D307" s="14">
        <v>6</v>
      </c>
      <c r="E307" s="14">
        <v>3</v>
      </c>
      <c r="F307" s="114" t="str">
        <f t="shared" si="8"/>
        <v>202122_544_6_3</v>
      </c>
      <c r="G307" s="115">
        <f t="shared" si="9"/>
        <v>3702</v>
      </c>
    </row>
    <row r="308" spans="1:7">
      <c r="A308" s="14" t="s">
        <v>845</v>
      </c>
      <c r="B308" s="15">
        <v>77173</v>
      </c>
      <c r="C308" s="14">
        <v>544</v>
      </c>
      <c r="D308" s="14">
        <v>7</v>
      </c>
      <c r="E308" s="14">
        <v>3</v>
      </c>
      <c r="F308" s="114" t="str">
        <f t="shared" si="8"/>
        <v>202122_544_7_3</v>
      </c>
      <c r="G308" s="115">
        <f t="shared" si="9"/>
        <v>77173</v>
      </c>
    </row>
    <row r="309" spans="1:7">
      <c r="A309" s="14" t="s">
        <v>846</v>
      </c>
      <c r="B309" s="15">
        <v>95.312088490913879</v>
      </c>
      <c r="C309" s="14">
        <v>544</v>
      </c>
      <c r="D309" s="14">
        <v>8</v>
      </c>
      <c r="E309" s="14">
        <v>3</v>
      </c>
      <c r="F309" s="114" t="str">
        <f t="shared" si="8"/>
        <v>202122_544_8_3</v>
      </c>
      <c r="G309" s="115">
        <f t="shared" si="9"/>
        <v>95.312088490913879</v>
      </c>
    </row>
    <row r="310" spans="1:7">
      <c r="A310" s="14" t="s">
        <v>847</v>
      </c>
      <c r="B310" s="15">
        <v>98.478742565405</v>
      </c>
      <c r="C310" s="14">
        <v>544</v>
      </c>
      <c r="D310" s="14">
        <v>9</v>
      </c>
      <c r="E310" s="14">
        <v>3</v>
      </c>
      <c r="F310" s="114" t="str">
        <f t="shared" si="8"/>
        <v>202122_544_9_3</v>
      </c>
      <c r="G310" s="115">
        <f t="shared" si="9"/>
        <v>98.478742565405</v>
      </c>
    </row>
    <row r="311" spans="1:7">
      <c r="A311" s="14" t="s">
        <v>848</v>
      </c>
      <c r="B311" s="15">
        <v>6842</v>
      </c>
      <c r="C311" s="14">
        <v>545</v>
      </c>
      <c r="D311" s="14">
        <v>1</v>
      </c>
      <c r="E311" s="14">
        <v>2</v>
      </c>
      <c r="F311" s="114" t="str">
        <f t="shared" si="8"/>
        <v>202122_545_1_2</v>
      </c>
      <c r="G311" s="115">
        <f t="shared" si="9"/>
        <v>6842</v>
      </c>
    </row>
    <row r="312" spans="1:7">
      <c r="A312" s="14" t="s">
        <v>849</v>
      </c>
      <c r="B312" s="15">
        <v>10004</v>
      </c>
      <c r="C312" s="14">
        <v>545</v>
      </c>
      <c r="D312" s="14">
        <v>10.5</v>
      </c>
      <c r="E312" s="14">
        <v>4</v>
      </c>
      <c r="F312" s="114" t="str">
        <f t="shared" si="8"/>
        <v>202122_545_10.5_4</v>
      </c>
      <c r="G312" s="115">
        <f t="shared" si="9"/>
        <v>10004</v>
      </c>
    </row>
    <row r="313" spans="1:7">
      <c r="A313" s="14" t="s">
        <v>850</v>
      </c>
      <c r="B313" s="15">
        <v>7866</v>
      </c>
      <c r="C313" s="14">
        <v>545</v>
      </c>
      <c r="D313" s="14">
        <v>11</v>
      </c>
      <c r="E313" s="14">
        <v>4</v>
      </c>
      <c r="F313" s="114" t="str">
        <f t="shared" si="8"/>
        <v>202122_545_11_4</v>
      </c>
      <c r="G313" s="115">
        <f t="shared" si="9"/>
        <v>7866</v>
      </c>
    </row>
    <row r="314" spans="1:7">
      <c r="A314" s="14" t="s">
        <v>851</v>
      </c>
      <c r="B314" s="15">
        <v>-1434</v>
      </c>
      <c r="C314" s="14">
        <v>545</v>
      </c>
      <c r="D314" s="14">
        <v>12</v>
      </c>
      <c r="E314" s="14">
        <v>4</v>
      </c>
      <c r="F314" s="114" t="str">
        <f t="shared" si="8"/>
        <v>202122_545_12_4</v>
      </c>
      <c r="G314" s="115">
        <f t="shared" si="9"/>
        <v>-1434</v>
      </c>
    </row>
    <row r="315" spans="1:7">
      <c r="A315" s="14" t="s">
        <v>852</v>
      </c>
      <c r="B315" s="15">
        <v>78.628548580567767</v>
      </c>
      <c r="C315" s="14">
        <v>545</v>
      </c>
      <c r="D315" s="14">
        <v>12.5</v>
      </c>
      <c r="E315" s="14">
        <v>4</v>
      </c>
      <c r="F315" s="114" t="str">
        <f t="shared" si="8"/>
        <v>202122_545_12.5_4</v>
      </c>
      <c r="G315" s="115">
        <f t="shared" si="9"/>
        <v>78.628548580567767</v>
      </c>
    </row>
    <row r="316" spans="1:7">
      <c r="A316" s="14" t="s">
        <v>853</v>
      </c>
      <c r="B316" s="15">
        <v>-128</v>
      </c>
      <c r="C316" s="14">
        <v>545</v>
      </c>
      <c r="D316" s="14">
        <v>2</v>
      </c>
      <c r="E316" s="14">
        <v>2</v>
      </c>
      <c r="F316" s="114" t="str">
        <f t="shared" si="8"/>
        <v>202122_545_2_2</v>
      </c>
      <c r="G316" s="115">
        <f t="shared" si="9"/>
        <v>-128</v>
      </c>
    </row>
    <row r="317" spans="1:7">
      <c r="A317" s="14" t="s">
        <v>854</v>
      </c>
      <c r="B317" s="15">
        <v>35473</v>
      </c>
      <c r="C317" s="14">
        <v>545</v>
      </c>
      <c r="D317" s="14">
        <v>2</v>
      </c>
      <c r="E317" s="14">
        <v>3</v>
      </c>
      <c r="F317" s="114" t="str">
        <f t="shared" si="8"/>
        <v>202122_545_2_3</v>
      </c>
      <c r="G317" s="115">
        <f t="shared" si="9"/>
        <v>35473</v>
      </c>
    </row>
    <row r="318" spans="1:7">
      <c r="A318" s="14" t="s">
        <v>855</v>
      </c>
      <c r="B318" s="15">
        <v>6714</v>
      </c>
      <c r="C318" s="14">
        <v>545</v>
      </c>
      <c r="D318" s="14">
        <v>3</v>
      </c>
      <c r="E318" s="14">
        <v>2</v>
      </c>
      <c r="F318" s="114" t="str">
        <f t="shared" si="8"/>
        <v>202122_545_3_2</v>
      </c>
      <c r="G318" s="115">
        <f t="shared" si="9"/>
        <v>6714</v>
      </c>
    </row>
    <row r="319" spans="1:7">
      <c r="A319" s="14" t="s">
        <v>856</v>
      </c>
      <c r="B319" s="15">
        <v>35473</v>
      </c>
      <c r="C319" s="14">
        <v>545</v>
      </c>
      <c r="D319" s="14">
        <v>3</v>
      </c>
      <c r="E319" s="14">
        <v>3</v>
      </c>
      <c r="F319" s="114" t="str">
        <f t="shared" si="8"/>
        <v>202122_545_3_3</v>
      </c>
      <c r="G319" s="115">
        <f t="shared" si="9"/>
        <v>35473</v>
      </c>
    </row>
    <row r="320" spans="1:7">
      <c r="A320" s="14" t="s">
        <v>857</v>
      </c>
      <c r="B320" s="15">
        <v>1679</v>
      </c>
      <c r="C320" s="14">
        <v>545</v>
      </c>
      <c r="D320" s="14">
        <v>4</v>
      </c>
      <c r="E320" s="14">
        <v>2</v>
      </c>
      <c r="F320" s="114" t="str">
        <f t="shared" si="8"/>
        <v>202122_545_4_2</v>
      </c>
      <c r="G320" s="115">
        <f t="shared" si="9"/>
        <v>1679</v>
      </c>
    </row>
    <row r="321" spans="1:7">
      <c r="A321" s="14" t="s">
        <v>858</v>
      </c>
      <c r="B321" s="15">
        <v>32734</v>
      </c>
      <c r="C321" s="14">
        <v>545</v>
      </c>
      <c r="D321" s="14">
        <v>4</v>
      </c>
      <c r="E321" s="14">
        <v>3</v>
      </c>
      <c r="F321" s="114" t="str">
        <f t="shared" si="8"/>
        <v>202122_545_4_3</v>
      </c>
      <c r="G321" s="115">
        <f t="shared" si="9"/>
        <v>32734</v>
      </c>
    </row>
    <row r="322" spans="1:7">
      <c r="A322" s="14" t="s">
        <v>859</v>
      </c>
      <c r="B322" s="15">
        <v>377</v>
      </c>
      <c r="C322" s="14">
        <v>545</v>
      </c>
      <c r="D322" s="14">
        <v>5</v>
      </c>
      <c r="E322" s="14">
        <v>2</v>
      </c>
      <c r="F322" s="114" t="str">
        <f t="shared" si="8"/>
        <v>202122_545_5_2</v>
      </c>
      <c r="G322" s="115">
        <f t="shared" si="9"/>
        <v>377</v>
      </c>
    </row>
    <row r="323" spans="1:7">
      <c r="A323" s="14" t="s">
        <v>860</v>
      </c>
      <c r="B323" s="15">
        <v>0</v>
      </c>
      <c r="C323" s="14">
        <v>545</v>
      </c>
      <c r="D323" s="14">
        <v>5</v>
      </c>
      <c r="E323" s="14">
        <v>3</v>
      </c>
      <c r="F323" s="114" t="str">
        <f t="shared" si="8"/>
        <v>202122_545_5_3</v>
      </c>
      <c r="G323" s="115">
        <f t="shared" si="9"/>
        <v>0</v>
      </c>
    </row>
    <row r="324" spans="1:7">
      <c r="A324" s="14" t="s">
        <v>861</v>
      </c>
      <c r="B324" s="15">
        <v>4658</v>
      </c>
      <c r="C324" s="14">
        <v>545</v>
      </c>
      <c r="D324" s="14">
        <v>6</v>
      </c>
      <c r="E324" s="14">
        <v>2</v>
      </c>
      <c r="F324" s="114" t="str">
        <f t="shared" si="8"/>
        <v>202122_545_6_2</v>
      </c>
      <c r="G324" s="115">
        <f t="shared" si="9"/>
        <v>4658</v>
      </c>
    </row>
    <row r="325" spans="1:7">
      <c r="A325" s="14" t="s">
        <v>862</v>
      </c>
      <c r="B325" s="15">
        <v>2739</v>
      </c>
      <c r="C325" s="14">
        <v>545</v>
      </c>
      <c r="D325" s="14">
        <v>6</v>
      </c>
      <c r="E325" s="14">
        <v>3</v>
      </c>
      <c r="F325" s="114" t="str">
        <f t="shared" ref="F325:F388" si="10">LEFT(A325,6)&amp;"_"&amp;C325&amp;"_"&amp;D325&amp;"_"&amp;E325</f>
        <v>202122_545_6_3</v>
      </c>
      <c r="G325" s="115">
        <f t="shared" ref="G325:G388" si="11">B325</f>
        <v>2739</v>
      </c>
    </row>
    <row r="326" spans="1:7">
      <c r="A326" s="14" t="s">
        <v>863</v>
      </c>
      <c r="B326" s="15">
        <v>33474</v>
      </c>
      <c r="C326" s="14">
        <v>545</v>
      </c>
      <c r="D326" s="14">
        <v>7</v>
      </c>
      <c r="E326" s="14">
        <v>3</v>
      </c>
      <c r="F326" s="114" t="str">
        <f t="shared" si="10"/>
        <v>202122_545_7_3</v>
      </c>
      <c r="G326" s="115">
        <f t="shared" si="11"/>
        <v>33474</v>
      </c>
    </row>
    <row r="327" spans="1:7">
      <c r="A327" s="14" t="s">
        <v>864</v>
      </c>
      <c r="B327" s="15">
        <v>92.278634454373758</v>
      </c>
      <c r="C327" s="14">
        <v>545</v>
      </c>
      <c r="D327" s="14">
        <v>8</v>
      </c>
      <c r="E327" s="14">
        <v>3</v>
      </c>
      <c r="F327" s="114" t="str">
        <f t="shared" si="10"/>
        <v>202122_545_8_3</v>
      </c>
      <c r="G327" s="115">
        <f t="shared" si="11"/>
        <v>92.278634454373758</v>
      </c>
    </row>
    <row r="328" spans="1:7">
      <c r="A328" s="14" t="s">
        <v>865</v>
      </c>
      <c r="B328" s="15">
        <v>97.789329031487128</v>
      </c>
      <c r="C328" s="14">
        <v>545</v>
      </c>
      <c r="D328" s="14">
        <v>9</v>
      </c>
      <c r="E328" s="14">
        <v>3</v>
      </c>
      <c r="F328" s="114" t="str">
        <f t="shared" si="10"/>
        <v>202122_545_9_3</v>
      </c>
      <c r="G328" s="115">
        <f t="shared" si="11"/>
        <v>97.789329031487128</v>
      </c>
    </row>
    <row r="329" spans="1:7">
      <c r="A329" s="14" t="s">
        <v>866</v>
      </c>
      <c r="B329" s="15">
        <v>5384</v>
      </c>
      <c r="C329" s="14">
        <v>546</v>
      </c>
      <c r="D329" s="14">
        <v>1</v>
      </c>
      <c r="E329" s="14">
        <v>2</v>
      </c>
      <c r="F329" s="114" t="str">
        <f t="shared" si="10"/>
        <v>202122_546_1_2</v>
      </c>
      <c r="G329" s="115">
        <f t="shared" si="11"/>
        <v>5384</v>
      </c>
    </row>
    <row r="330" spans="1:7">
      <c r="A330" s="14" t="s">
        <v>867</v>
      </c>
      <c r="B330" s="15">
        <v>18445</v>
      </c>
      <c r="C330" s="14">
        <v>546</v>
      </c>
      <c r="D330" s="14">
        <v>10.5</v>
      </c>
      <c r="E330" s="14">
        <v>4</v>
      </c>
      <c r="F330" s="114" t="str">
        <f t="shared" si="10"/>
        <v>202122_546_10.5_4</v>
      </c>
      <c r="G330" s="115">
        <f t="shared" si="11"/>
        <v>18445</v>
      </c>
    </row>
    <row r="331" spans="1:7">
      <c r="A331" s="14" t="s">
        <v>868</v>
      </c>
      <c r="B331" s="15">
        <v>17043</v>
      </c>
      <c r="C331" s="14">
        <v>546</v>
      </c>
      <c r="D331" s="14">
        <v>11</v>
      </c>
      <c r="E331" s="14">
        <v>4</v>
      </c>
      <c r="F331" s="114" t="str">
        <f t="shared" si="10"/>
        <v>202122_546_11_4</v>
      </c>
      <c r="G331" s="115">
        <f t="shared" si="11"/>
        <v>17043</v>
      </c>
    </row>
    <row r="332" spans="1:7">
      <c r="A332" s="14" t="s">
        <v>869</v>
      </c>
      <c r="B332" s="15">
        <v>1455</v>
      </c>
      <c r="C332" s="14">
        <v>546</v>
      </c>
      <c r="D332" s="14">
        <v>12</v>
      </c>
      <c r="E332" s="14">
        <v>4</v>
      </c>
      <c r="F332" s="114" t="str">
        <f t="shared" si="10"/>
        <v>202122_546_12_4</v>
      </c>
      <c r="G332" s="115">
        <f t="shared" si="11"/>
        <v>1455</v>
      </c>
    </row>
    <row r="333" spans="1:7">
      <c r="A333" s="14" t="s">
        <v>870</v>
      </c>
      <c r="B333" s="15">
        <v>92.399024125779334</v>
      </c>
      <c r="C333" s="14">
        <v>546</v>
      </c>
      <c r="D333" s="14">
        <v>12.5</v>
      </c>
      <c r="E333" s="14">
        <v>4</v>
      </c>
      <c r="F333" s="114" t="str">
        <f t="shared" si="10"/>
        <v>202122_546_12.5_4</v>
      </c>
      <c r="G333" s="115">
        <f t="shared" si="11"/>
        <v>92.399024125779334</v>
      </c>
    </row>
    <row r="334" spans="1:7">
      <c r="A334" s="14" t="s">
        <v>871</v>
      </c>
      <c r="B334" s="15">
        <v>-101</v>
      </c>
      <c r="C334" s="14">
        <v>546</v>
      </c>
      <c r="D334" s="14">
        <v>2</v>
      </c>
      <c r="E334" s="14">
        <v>2</v>
      </c>
      <c r="F334" s="114" t="str">
        <f t="shared" si="10"/>
        <v>202122_546_2_2</v>
      </c>
      <c r="G334" s="115">
        <f t="shared" si="11"/>
        <v>-101</v>
      </c>
    </row>
    <row r="335" spans="1:7">
      <c r="A335" s="14" t="s">
        <v>872</v>
      </c>
      <c r="B335" s="15">
        <v>50351</v>
      </c>
      <c r="C335" s="14">
        <v>546</v>
      </c>
      <c r="D335" s="14">
        <v>2</v>
      </c>
      <c r="E335" s="14">
        <v>3</v>
      </c>
      <c r="F335" s="114" t="str">
        <f t="shared" si="10"/>
        <v>202122_546_2_3</v>
      </c>
      <c r="G335" s="115">
        <f t="shared" si="11"/>
        <v>50351</v>
      </c>
    </row>
    <row r="336" spans="1:7">
      <c r="A336" s="14" t="s">
        <v>873</v>
      </c>
      <c r="B336" s="15">
        <v>5283</v>
      </c>
      <c r="C336" s="14">
        <v>546</v>
      </c>
      <c r="D336" s="14">
        <v>3</v>
      </c>
      <c r="E336" s="14">
        <v>2</v>
      </c>
      <c r="F336" s="114" t="str">
        <f t="shared" si="10"/>
        <v>202122_546_3_2</v>
      </c>
      <c r="G336" s="115">
        <f t="shared" si="11"/>
        <v>5283</v>
      </c>
    </row>
    <row r="337" spans="1:7">
      <c r="A337" s="14" t="s">
        <v>874</v>
      </c>
      <c r="B337" s="15">
        <v>50351</v>
      </c>
      <c r="C337" s="14">
        <v>546</v>
      </c>
      <c r="D337" s="14">
        <v>3</v>
      </c>
      <c r="E337" s="14">
        <v>3</v>
      </c>
      <c r="F337" s="114" t="str">
        <f t="shared" si="10"/>
        <v>202122_546_3_3</v>
      </c>
      <c r="G337" s="115">
        <f t="shared" si="11"/>
        <v>50351</v>
      </c>
    </row>
    <row r="338" spans="1:7">
      <c r="A338" s="14" t="s">
        <v>875</v>
      </c>
      <c r="B338" s="15">
        <v>1457</v>
      </c>
      <c r="C338" s="14">
        <v>546</v>
      </c>
      <c r="D338" s="14">
        <v>4</v>
      </c>
      <c r="E338" s="14">
        <v>2</v>
      </c>
      <c r="F338" s="114" t="str">
        <f t="shared" si="10"/>
        <v>202122_546_4_2</v>
      </c>
      <c r="G338" s="115">
        <f t="shared" si="11"/>
        <v>1457</v>
      </c>
    </row>
    <row r="339" spans="1:7">
      <c r="A339" s="14" t="s">
        <v>876</v>
      </c>
      <c r="B339" s="15">
        <v>47691</v>
      </c>
      <c r="C339" s="14">
        <v>546</v>
      </c>
      <c r="D339" s="14">
        <v>4</v>
      </c>
      <c r="E339" s="14">
        <v>3</v>
      </c>
      <c r="F339" s="114" t="str">
        <f t="shared" si="10"/>
        <v>202122_546_4_3</v>
      </c>
      <c r="G339" s="115">
        <f t="shared" si="11"/>
        <v>47691</v>
      </c>
    </row>
    <row r="340" spans="1:7">
      <c r="A340" s="14" t="s">
        <v>877</v>
      </c>
      <c r="B340" s="15">
        <v>83</v>
      </c>
      <c r="C340" s="14">
        <v>546</v>
      </c>
      <c r="D340" s="14">
        <v>5</v>
      </c>
      <c r="E340" s="14">
        <v>2</v>
      </c>
      <c r="F340" s="114" t="str">
        <f t="shared" si="10"/>
        <v>202122_546_5_2</v>
      </c>
      <c r="G340" s="115">
        <f t="shared" si="11"/>
        <v>83</v>
      </c>
    </row>
    <row r="341" spans="1:7">
      <c r="A341" s="14" t="s">
        <v>878</v>
      </c>
      <c r="B341" s="15">
        <v>8</v>
      </c>
      <c r="C341" s="14">
        <v>546</v>
      </c>
      <c r="D341" s="14">
        <v>5</v>
      </c>
      <c r="E341" s="14">
        <v>3</v>
      </c>
      <c r="F341" s="114" t="str">
        <f t="shared" si="10"/>
        <v>202122_546_5_3</v>
      </c>
      <c r="G341" s="115">
        <f t="shared" si="11"/>
        <v>8</v>
      </c>
    </row>
    <row r="342" spans="1:7">
      <c r="A342" s="14" t="s">
        <v>879</v>
      </c>
      <c r="B342" s="15">
        <v>3743</v>
      </c>
      <c r="C342" s="14">
        <v>546</v>
      </c>
      <c r="D342" s="14">
        <v>6</v>
      </c>
      <c r="E342" s="14">
        <v>2</v>
      </c>
      <c r="F342" s="114" t="str">
        <f t="shared" si="10"/>
        <v>202122_546_6_2</v>
      </c>
      <c r="G342" s="115">
        <f t="shared" si="11"/>
        <v>3743</v>
      </c>
    </row>
    <row r="343" spans="1:7">
      <c r="A343" s="14" t="s">
        <v>880</v>
      </c>
      <c r="B343" s="15">
        <v>2652</v>
      </c>
      <c r="C343" s="14">
        <v>546</v>
      </c>
      <c r="D343" s="14">
        <v>6</v>
      </c>
      <c r="E343" s="14">
        <v>3</v>
      </c>
      <c r="F343" s="114" t="str">
        <f t="shared" si="10"/>
        <v>202122_546_6_3</v>
      </c>
      <c r="G343" s="115">
        <f t="shared" si="11"/>
        <v>2652</v>
      </c>
    </row>
    <row r="344" spans="1:7">
      <c r="A344" s="14" t="s">
        <v>881</v>
      </c>
      <c r="B344" s="15">
        <v>49462</v>
      </c>
      <c r="C344" s="14">
        <v>546</v>
      </c>
      <c r="D344" s="14">
        <v>7</v>
      </c>
      <c r="E344" s="14">
        <v>3</v>
      </c>
      <c r="F344" s="114" t="str">
        <f t="shared" si="10"/>
        <v>202122_546_7_3</v>
      </c>
      <c r="G344" s="115">
        <f t="shared" si="11"/>
        <v>49462</v>
      </c>
    </row>
    <row r="345" spans="1:7">
      <c r="A345" s="14" t="s">
        <v>882</v>
      </c>
      <c r="B345" s="15">
        <v>94.717086055887663</v>
      </c>
      <c r="C345" s="14">
        <v>546</v>
      </c>
      <c r="D345" s="14">
        <v>8</v>
      </c>
      <c r="E345" s="14">
        <v>3</v>
      </c>
      <c r="F345" s="114" t="str">
        <f t="shared" si="10"/>
        <v>202122_546_8_3</v>
      </c>
      <c r="G345" s="115">
        <f t="shared" si="11"/>
        <v>94.717086055887663</v>
      </c>
    </row>
    <row r="346" spans="1:7">
      <c r="A346" s="14" t="s">
        <v>883</v>
      </c>
      <c r="B346" s="15">
        <v>96.419473535239177</v>
      </c>
      <c r="C346" s="14">
        <v>546</v>
      </c>
      <c r="D346" s="14">
        <v>9</v>
      </c>
      <c r="E346" s="14">
        <v>3</v>
      </c>
      <c r="F346" s="114" t="str">
        <f t="shared" si="10"/>
        <v>202122_546_9_3</v>
      </c>
      <c r="G346" s="115">
        <f t="shared" si="11"/>
        <v>96.419473535239177</v>
      </c>
    </row>
    <row r="347" spans="1:7">
      <c r="A347" s="14" t="s">
        <v>884</v>
      </c>
      <c r="B347" s="15">
        <v>4331</v>
      </c>
      <c r="C347" s="14">
        <v>548</v>
      </c>
      <c r="D347" s="14">
        <v>1</v>
      </c>
      <c r="E347" s="14">
        <v>2</v>
      </c>
      <c r="F347" s="114" t="str">
        <f t="shared" si="10"/>
        <v>202122_548_1_2</v>
      </c>
      <c r="G347" s="115">
        <f t="shared" si="11"/>
        <v>4331</v>
      </c>
    </row>
    <row r="348" spans="1:7">
      <c r="A348" s="14" t="s">
        <v>885</v>
      </c>
      <c r="B348" s="15">
        <v>16024</v>
      </c>
      <c r="C348" s="14">
        <v>548</v>
      </c>
      <c r="D348" s="14">
        <v>10.5</v>
      </c>
      <c r="E348" s="14">
        <v>4</v>
      </c>
      <c r="F348" s="114" t="str">
        <f t="shared" si="10"/>
        <v>202122_548_10.5_4</v>
      </c>
      <c r="G348" s="115">
        <f t="shared" si="11"/>
        <v>16024</v>
      </c>
    </row>
    <row r="349" spans="1:7">
      <c r="A349" s="14" t="s">
        <v>886</v>
      </c>
      <c r="B349" s="15">
        <v>15315</v>
      </c>
      <c r="C349" s="14">
        <v>548</v>
      </c>
      <c r="D349" s="14">
        <v>11</v>
      </c>
      <c r="E349" s="14">
        <v>4</v>
      </c>
      <c r="F349" s="114" t="str">
        <f t="shared" si="10"/>
        <v>202122_548_11_4</v>
      </c>
      <c r="G349" s="115">
        <f t="shared" si="11"/>
        <v>15315</v>
      </c>
    </row>
    <row r="350" spans="1:7">
      <c r="A350" s="14" t="s">
        <v>887</v>
      </c>
      <c r="B350" s="15">
        <v>-1333</v>
      </c>
      <c r="C350" s="14">
        <v>548</v>
      </c>
      <c r="D350" s="14">
        <v>12</v>
      </c>
      <c r="E350" s="14">
        <v>4</v>
      </c>
      <c r="F350" s="114" t="str">
        <f t="shared" si="10"/>
        <v>202122_548_12_4</v>
      </c>
      <c r="G350" s="115">
        <f t="shared" si="11"/>
        <v>-1333</v>
      </c>
    </row>
    <row r="351" spans="1:7">
      <c r="A351" s="14" t="s">
        <v>888</v>
      </c>
      <c r="B351" s="15">
        <v>95.57538691962057</v>
      </c>
      <c r="C351" s="14">
        <v>548</v>
      </c>
      <c r="D351" s="14">
        <v>12.5</v>
      </c>
      <c r="E351" s="14">
        <v>4</v>
      </c>
      <c r="F351" s="114" t="str">
        <f t="shared" si="10"/>
        <v>202122_548_12.5_4</v>
      </c>
      <c r="G351" s="115">
        <f t="shared" si="11"/>
        <v>95.57538691962057</v>
      </c>
    </row>
    <row r="352" spans="1:7">
      <c r="A352" s="14" t="s">
        <v>889</v>
      </c>
      <c r="B352" s="15">
        <v>-240</v>
      </c>
      <c r="C352" s="14">
        <v>548</v>
      </c>
      <c r="D352" s="14">
        <v>2</v>
      </c>
      <c r="E352" s="14">
        <v>2</v>
      </c>
      <c r="F352" s="114" t="str">
        <f t="shared" si="10"/>
        <v>202122_548_2_2</v>
      </c>
      <c r="G352" s="115">
        <f t="shared" si="11"/>
        <v>-240</v>
      </c>
    </row>
    <row r="353" spans="1:7">
      <c r="A353" s="14" t="s">
        <v>890</v>
      </c>
      <c r="B353" s="15">
        <v>77545</v>
      </c>
      <c r="C353" s="14">
        <v>548</v>
      </c>
      <c r="D353" s="14">
        <v>2</v>
      </c>
      <c r="E353" s="14">
        <v>3</v>
      </c>
      <c r="F353" s="114" t="str">
        <f t="shared" si="10"/>
        <v>202122_548_2_3</v>
      </c>
      <c r="G353" s="115">
        <f t="shared" si="11"/>
        <v>77545</v>
      </c>
    </row>
    <row r="354" spans="1:7">
      <c r="A354" s="14" t="s">
        <v>891</v>
      </c>
      <c r="B354" s="15">
        <v>4091</v>
      </c>
      <c r="C354" s="14">
        <v>548</v>
      </c>
      <c r="D354" s="14">
        <v>3</v>
      </c>
      <c r="E354" s="14">
        <v>2</v>
      </c>
      <c r="F354" s="114" t="str">
        <f t="shared" si="10"/>
        <v>202122_548_3_2</v>
      </c>
      <c r="G354" s="115">
        <f t="shared" si="11"/>
        <v>4091</v>
      </c>
    </row>
    <row r="355" spans="1:7">
      <c r="A355" s="14" t="s">
        <v>892</v>
      </c>
      <c r="B355" s="15">
        <v>77545</v>
      </c>
      <c r="C355" s="14">
        <v>548</v>
      </c>
      <c r="D355" s="14">
        <v>3</v>
      </c>
      <c r="E355" s="14">
        <v>3</v>
      </c>
      <c r="F355" s="114" t="str">
        <f t="shared" si="10"/>
        <v>202122_548_3_3</v>
      </c>
      <c r="G355" s="115">
        <f t="shared" si="11"/>
        <v>77545</v>
      </c>
    </row>
    <row r="356" spans="1:7">
      <c r="A356" s="14" t="s">
        <v>893</v>
      </c>
      <c r="B356" s="15">
        <v>1930</v>
      </c>
      <c r="C356" s="14">
        <v>548</v>
      </c>
      <c r="D356" s="14">
        <v>4</v>
      </c>
      <c r="E356" s="14">
        <v>2</v>
      </c>
      <c r="F356" s="114" t="str">
        <f t="shared" si="10"/>
        <v>202122_548_4_2</v>
      </c>
      <c r="G356" s="115">
        <f t="shared" si="11"/>
        <v>1930</v>
      </c>
    </row>
    <row r="357" spans="1:7">
      <c r="A357" s="14" t="s">
        <v>894</v>
      </c>
      <c r="B357" s="15">
        <v>75350</v>
      </c>
      <c r="C357" s="14">
        <v>548</v>
      </c>
      <c r="D357" s="14">
        <v>4</v>
      </c>
      <c r="E357" s="14">
        <v>3</v>
      </c>
      <c r="F357" s="114" t="str">
        <f t="shared" si="10"/>
        <v>202122_548_4_3</v>
      </c>
      <c r="G357" s="115">
        <f t="shared" si="11"/>
        <v>75350</v>
      </c>
    </row>
    <row r="358" spans="1:7">
      <c r="A358" s="14" t="s">
        <v>895</v>
      </c>
      <c r="B358" s="15">
        <v>78</v>
      </c>
      <c r="C358" s="14">
        <v>548</v>
      </c>
      <c r="D358" s="14">
        <v>5</v>
      </c>
      <c r="E358" s="14">
        <v>2</v>
      </c>
      <c r="F358" s="114" t="str">
        <f t="shared" si="10"/>
        <v>202122_548_5_2</v>
      </c>
      <c r="G358" s="115">
        <f t="shared" si="11"/>
        <v>78</v>
      </c>
    </row>
    <row r="359" spans="1:7">
      <c r="A359" s="14" t="s">
        <v>896</v>
      </c>
      <c r="B359" s="15">
        <v>4</v>
      </c>
      <c r="C359" s="14">
        <v>548</v>
      </c>
      <c r="D359" s="14">
        <v>5</v>
      </c>
      <c r="E359" s="14">
        <v>3</v>
      </c>
      <c r="F359" s="114" t="str">
        <f t="shared" si="10"/>
        <v>202122_548_5_3</v>
      </c>
      <c r="G359" s="115">
        <f t="shared" si="11"/>
        <v>4</v>
      </c>
    </row>
    <row r="360" spans="1:7">
      <c r="A360" s="14" t="s">
        <v>897</v>
      </c>
      <c r="B360" s="15">
        <v>2083</v>
      </c>
      <c r="C360" s="14">
        <v>548</v>
      </c>
      <c r="D360" s="14">
        <v>6</v>
      </c>
      <c r="E360" s="14">
        <v>2</v>
      </c>
      <c r="F360" s="114" t="str">
        <f t="shared" si="10"/>
        <v>202122_548_6_2</v>
      </c>
      <c r="G360" s="115">
        <f t="shared" si="11"/>
        <v>2083</v>
      </c>
    </row>
    <row r="361" spans="1:7">
      <c r="A361" s="14" t="s">
        <v>898</v>
      </c>
      <c r="B361" s="15">
        <v>2191</v>
      </c>
      <c r="C361" s="14">
        <v>548</v>
      </c>
      <c r="D361" s="14">
        <v>6</v>
      </c>
      <c r="E361" s="14">
        <v>3</v>
      </c>
      <c r="F361" s="114" t="str">
        <f t="shared" si="10"/>
        <v>202122_548_6_3</v>
      </c>
      <c r="G361" s="115">
        <f t="shared" si="11"/>
        <v>2191</v>
      </c>
    </row>
    <row r="362" spans="1:7">
      <c r="A362" s="14" t="s">
        <v>899</v>
      </c>
      <c r="B362" s="15">
        <v>76259</v>
      </c>
      <c r="C362" s="14">
        <v>548</v>
      </c>
      <c r="D362" s="14">
        <v>7</v>
      </c>
      <c r="E362" s="14">
        <v>3</v>
      </c>
      <c r="F362" s="114" t="str">
        <f t="shared" si="10"/>
        <v>202122_548_7_3</v>
      </c>
      <c r="G362" s="115">
        <f t="shared" si="11"/>
        <v>76259</v>
      </c>
    </row>
    <row r="363" spans="1:7">
      <c r="A363" s="14" t="s">
        <v>900</v>
      </c>
      <c r="B363" s="15">
        <v>97.169385518086273</v>
      </c>
      <c r="C363" s="14">
        <v>548</v>
      </c>
      <c r="D363" s="14">
        <v>8</v>
      </c>
      <c r="E363" s="14">
        <v>3</v>
      </c>
      <c r="F363" s="114" t="str">
        <f t="shared" si="10"/>
        <v>202122_548_8_3</v>
      </c>
      <c r="G363" s="115">
        <f t="shared" si="11"/>
        <v>97.169385518086273</v>
      </c>
    </row>
    <row r="364" spans="1:7">
      <c r="A364" s="14" t="s">
        <v>901</v>
      </c>
      <c r="B364" s="15">
        <v>98.808009546414183</v>
      </c>
      <c r="C364" s="14">
        <v>548</v>
      </c>
      <c r="D364" s="14">
        <v>9</v>
      </c>
      <c r="E364" s="14">
        <v>3</v>
      </c>
      <c r="F364" s="114" t="str">
        <f t="shared" si="10"/>
        <v>202122_548_9_3</v>
      </c>
      <c r="G364" s="115">
        <f t="shared" si="11"/>
        <v>98.808009546414183</v>
      </c>
    </row>
    <row r="365" spans="1:7">
      <c r="A365" s="14" t="s">
        <v>902</v>
      </c>
      <c r="B365" s="15">
        <v>8238</v>
      </c>
      <c r="C365" s="14">
        <v>550</v>
      </c>
      <c r="D365" s="14">
        <v>1</v>
      </c>
      <c r="E365" s="14">
        <v>2</v>
      </c>
      <c r="F365" s="114" t="str">
        <f t="shared" si="10"/>
        <v>202122_550_1_2</v>
      </c>
      <c r="G365" s="115">
        <f t="shared" si="11"/>
        <v>8238</v>
      </c>
    </row>
    <row r="366" spans="1:7">
      <c r="A366" s="14" t="s">
        <v>903</v>
      </c>
      <c r="B366" s="15">
        <v>45005</v>
      </c>
      <c r="C366" s="14">
        <v>550</v>
      </c>
      <c r="D366" s="14">
        <v>10.5</v>
      </c>
      <c r="E366" s="14">
        <v>4</v>
      </c>
      <c r="F366" s="114" t="str">
        <f t="shared" si="10"/>
        <v>202122_550_10.5_4</v>
      </c>
      <c r="G366" s="115">
        <f t="shared" si="11"/>
        <v>45005</v>
      </c>
    </row>
    <row r="367" spans="1:7">
      <c r="A367" s="14" t="s">
        <v>904</v>
      </c>
      <c r="B367" s="15">
        <v>43322</v>
      </c>
      <c r="C367" s="14">
        <v>550</v>
      </c>
      <c r="D367" s="14">
        <v>11</v>
      </c>
      <c r="E367" s="14">
        <v>4</v>
      </c>
      <c r="F367" s="114" t="str">
        <f t="shared" si="10"/>
        <v>202122_550_11_4</v>
      </c>
      <c r="G367" s="115">
        <f t="shared" si="11"/>
        <v>43322</v>
      </c>
    </row>
    <row r="368" spans="1:7">
      <c r="A368" s="14" t="s">
        <v>905</v>
      </c>
      <c r="B368" s="15">
        <v>10917.13</v>
      </c>
      <c r="C368" s="14">
        <v>550</v>
      </c>
      <c r="D368" s="14">
        <v>12</v>
      </c>
      <c r="E368" s="14">
        <v>4</v>
      </c>
      <c r="F368" s="114" t="str">
        <f t="shared" si="10"/>
        <v>202122_550_12_4</v>
      </c>
      <c r="G368" s="115">
        <f t="shared" si="11"/>
        <v>10917.13</v>
      </c>
    </row>
    <row r="369" spans="1:7">
      <c r="A369" s="14" t="s">
        <v>906</v>
      </c>
      <c r="B369" s="15">
        <v>96.26041550938784</v>
      </c>
      <c r="C369" s="14">
        <v>550</v>
      </c>
      <c r="D369" s="14">
        <v>12.5</v>
      </c>
      <c r="E369" s="14">
        <v>4</v>
      </c>
      <c r="F369" s="114" t="str">
        <f t="shared" si="10"/>
        <v>202122_550_12.5_4</v>
      </c>
      <c r="G369" s="115">
        <f t="shared" si="11"/>
        <v>96.26041550938784</v>
      </c>
    </row>
    <row r="370" spans="1:7">
      <c r="A370" s="14" t="s">
        <v>907</v>
      </c>
      <c r="B370" s="15">
        <v>144</v>
      </c>
      <c r="C370" s="14">
        <v>550</v>
      </c>
      <c r="D370" s="14">
        <v>2</v>
      </c>
      <c r="E370" s="14">
        <v>2</v>
      </c>
      <c r="F370" s="114" t="str">
        <f t="shared" si="10"/>
        <v>202122_550_2_2</v>
      </c>
      <c r="G370" s="115">
        <f t="shared" si="11"/>
        <v>144</v>
      </c>
    </row>
    <row r="371" spans="1:7">
      <c r="A371" s="14" t="s">
        <v>908</v>
      </c>
      <c r="B371" s="15">
        <v>82115</v>
      </c>
      <c r="C371" s="14">
        <v>550</v>
      </c>
      <c r="D371" s="14">
        <v>2</v>
      </c>
      <c r="E371" s="14">
        <v>3</v>
      </c>
      <c r="F371" s="114" t="str">
        <f t="shared" si="10"/>
        <v>202122_550_2_3</v>
      </c>
      <c r="G371" s="115">
        <f t="shared" si="11"/>
        <v>82115</v>
      </c>
    </row>
    <row r="372" spans="1:7">
      <c r="A372" s="14" t="s">
        <v>909</v>
      </c>
      <c r="B372" s="15">
        <v>8382</v>
      </c>
      <c r="C372" s="14">
        <v>550</v>
      </c>
      <c r="D372" s="14">
        <v>3</v>
      </c>
      <c r="E372" s="14">
        <v>2</v>
      </c>
      <c r="F372" s="114" t="str">
        <f t="shared" si="10"/>
        <v>202122_550_3_2</v>
      </c>
      <c r="G372" s="115">
        <f t="shared" si="11"/>
        <v>8382</v>
      </c>
    </row>
    <row r="373" spans="1:7">
      <c r="A373" s="14" t="s">
        <v>910</v>
      </c>
      <c r="B373" s="15">
        <v>82115</v>
      </c>
      <c r="C373" s="14">
        <v>550</v>
      </c>
      <c r="D373" s="14">
        <v>3</v>
      </c>
      <c r="E373" s="14">
        <v>3</v>
      </c>
      <c r="F373" s="114" t="str">
        <f t="shared" si="10"/>
        <v>202122_550_3_3</v>
      </c>
      <c r="G373" s="115">
        <f t="shared" si="11"/>
        <v>82115</v>
      </c>
    </row>
    <row r="374" spans="1:7">
      <c r="A374" s="14" t="s">
        <v>911</v>
      </c>
      <c r="B374" s="15">
        <v>1466</v>
      </c>
      <c r="C374" s="14">
        <v>550</v>
      </c>
      <c r="D374" s="14">
        <v>4</v>
      </c>
      <c r="E374" s="14">
        <v>2</v>
      </c>
      <c r="F374" s="114" t="str">
        <f t="shared" si="10"/>
        <v>202122_550_4_2</v>
      </c>
      <c r="G374" s="115">
        <f t="shared" si="11"/>
        <v>1466</v>
      </c>
    </row>
    <row r="375" spans="1:7">
      <c r="A375" s="14" t="s">
        <v>912</v>
      </c>
      <c r="B375" s="15">
        <v>78904</v>
      </c>
      <c r="C375" s="14">
        <v>550</v>
      </c>
      <c r="D375" s="14">
        <v>4</v>
      </c>
      <c r="E375" s="14">
        <v>3</v>
      </c>
      <c r="F375" s="114" t="str">
        <f t="shared" si="10"/>
        <v>202122_550_4_3</v>
      </c>
      <c r="G375" s="115">
        <f t="shared" si="11"/>
        <v>78904</v>
      </c>
    </row>
    <row r="376" spans="1:7">
      <c r="A376" s="14" t="s">
        <v>913</v>
      </c>
      <c r="B376" s="15">
        <v>302</v>
      </c>
      <c r="C376" s="14">
        <v>550</v>
      </c>
      <c r="D376" s="14">
        <v>5</v>
      </c>
      <c r="E376" s="14">
        <v>2</v>
      </c>
      <c r="F376" s="114" t="str">
        <f t="shared" si="10"/>
        <v>202122_550_5_2</v>
      </c>
      <c r="G376" s="115">
        <f t="shared" si="11"/>
        <v>302</v>
      </c>
    </row>
    <row r="377" spans="1:7">
      <c r="A377" s="14" t="s">
        <v>914</v>
      </c>
      <c r="B377" s="15">
        <v>6</v>
      </c>
      <c r="C377" s="14">
        <v>550</v>
      </c>
      <c r="D377" s="14">
        <v>5</v>
      </c>
      <c r="E377" s="14">
        <v>3</v>
      </c>
      <c r="F377" s="114" t="str">
        <f t="shared" si="10"/>
        <v>202122_550_5_3</v>
      </c>
      <c r="G377" s="115">
        <f t="shared" si="11"/>
        <v>6</v>
      </c>
    </row>
    <row r="378" spans="1:7">
      <c r="A378" s="14" t="s">
        <v>915</v>
      </c>
      <c r="B378" s="15">
        <v>6614</v>
      </c>
      <c r="C378" s="14">
        <v>550</v>
      </c>
      <c r="D378" s="14">
        <v>6</v>
      </c>
      <c r="E378" s="14">
        <v>2</v>
      </c>
      <c r="F378" s="114" t="str">
        <f t="shared" si="10"/>
        <v>202122_550_6_2</v>
      </c>
      <c r="G378" s="115">
        <f t="shared" si="11"/>
        <v>6614</v>
      </c>
    </row>
    <row r="379" spans="1:7">
      <c r="A379" s="14" t="s">
        <v>916</v>
      </c>
      <c r="B379" s="15">
        <v>3205</v>
      </c>
      <c r="C379" s="14">
        <v>550</v>
      </c>
      <c r="D379" s="14">
        <v>6</v>
      </c>
      <c r="E379" s="14">
        <v>3</v>
      </c>
      <c r="F379" s="114" t="str">
        <f t="shared" si="10"/>
        <v>202122_550_6_3</v>
      </c>
      <c r="G379" s="115">
        <f t="shared" si="11"/>
        <v>3205</v>
      </c>
    </row>
    <row r="380" spans="1:7">
      <c r="A380" s="14" t="s">
        <v>917</v>
      </c>
      <c r="B380" s="15">
        <v>80699</v>
      </c>
      <c r="C380" s="14">
        <v>550</v>
      </c>
      <c r="D380" s="14">
        <v>7</v>
      </c>
      <c r="E380" s="14">
        <v>3</v>
      </c>
      <c r="F380" s="114" t="str">
        <f t="shared" si="10"/>
        <v>202122_550_7_3</v>
      </c>
      <c r="G380" s="115">
        <f t="shared" si="11"/>
        <v>80699</v>
      </c>
    </row>
    <row r="381" spans="1:7">
      <c r="A381" s="14" t="s">
        <v>918</v>
      </c>
      <c r="B381" s="15">
        <v>96.089630396395293</v>
      </c>
      <c r="C381" s="14">
        <v>550</v>
      </c>
      <c r="D381" s="14">
        <v>8</v>
      </c>
      <c r="E381" s="14">
        <v>3</v>
      </c>
      <c r="F381" s="114" t="str">
        <f t="shared" si="10"/>
        <v>202122_550_8_3</v>
      </c>
      <c r="G381" s="115">
        <f t="shared" si="11"/>
        <v>96.089630396395293</v>
      </c>
    </row>
    <row r="382" spans="1:7">
      <c r="A382" s="14" t="s">
        <v>919</v>
      </c>
      <c r="B382" s="15">
        <v>97.775684952725555</v>
      </c>
      <c r="C382" s="14">
        <v>550</v>
      </c>
      <c r="D382" s="14">
        <v>9</v>
      </c>
      <c r="E382" s="14">
        <v>3</v>
      </c>
      <c r="F382" s="114" t="str">
        <f t="shared" si="10"/>
        <v>202122_550_9_3</v>
      </c>
      <c r="G382" s="115">
        <f t="shared" si="11"/>
        <v>97.775684952725555</v>
      </c>
    </row>
    <row r="383" spans="1:7">
      <c r="A383" s="14" t="s">
        <v>920</v>
      </c>
      <c r="B383" s="15">
        <v>15064</v>
      </c>
      <c r="C383" s="14">
        <v>552</v>
      </c>
      <c r="D383" s="14">
        <v>1</v>
      </c>
      <c r="E383" s="14">
        <v>2</v>
      </c>
      <c r="F383" s="114" t="str">
        <f t="shared" si="10"/>
        <v>202122_552_1_2</v>
      </c>
      <c r="G383" s="115">
        <f t="shared" si="11"/>
        <v>15064</v>
      </c>
    </row>
    <row r="384" spans="1:7">
      <c r="A384" s="14" t="s">
        <v>921</v>
      </c>
      <c r="B384" s="15">
        <v>137387</v>
      </c>
      <c r="C384" s="14">
        <v>552</v>
      </c>
      <c r="D384" s="14">
        <v>10.5</v>
      </c>
      <c r="E384" s="14">
        <v>4</v>
      </c>
      <c r="F384" s="114" t="str">
        <f t="shared" si="10"/>
        <v>202122_552_10.5_4</v>
      </c>
      <c r="G384" s="115">
        <f t="shared" si="11"/>
        <v>137387</v>
      </c>
    </row>
    <row r="385" spans="1:7">
      <c r="A385" s="14" t="s">
        <v>922</v>
      </c>
      <c r="B385" s="15">
        <v>130673</v>
      </c>
      <c r="C385" s="14">
        <v>552</v>
      </c>
      <c r="D385" s="14">
        <v>11</v>
      </c>
      <c r="E385" s="14">
        <v>4</v>
      </c>
      <c r="F385" s="114" t="str">
        <f t="shared" si="10"/>
        <v>202122_552_11_4</v>
      </c>
      <c r="G385" s="115">
        <f t="shared" si="11"/>
        <v>130673</v>
      </c>
    </row>
    <row r="386" spans="1:7">
      <c r="A386" s="14" t="s">
        <v>923</v>
      </c>
      <c r="B386" s="15">
        <v>-11871</v>
      </c>
      <c r="C386" s="14">
        <v>552</v>
      </c>
      <c r="D386" s="14">
        <v>12</v>
      </c>
      <c r="E386" s="14">
        <v>4</v>
      </c>
      <c r="F386" s="114" t="str">
        <f t="shared" si="10"/>
        <v>202122_552_12_4</v>
      </c>
      <c r="G386" s="115">
        <f t="shared" si="11"/>
        <v>-11871</v>
      </c>
    </row>
    <row r="387" spans="1:7">
      <c r="A387" s="14" t="s">
        <v>924</v>
      </c>
      <c r="B387" s="15">
        <v>95.113074745063216</v>
      </c>
      <c r="C387" s="14">
        <v>552</v>
      </c>
      <c r="D387" s="14">
        <v>12.5</v>
      </c>
      <c r="E387" s="14">
        <v>4</v>
      </c>
      <c r="F387" s="114" t="str">
        <f t="shared" si="10"/>
        <v>202122_552_12.5_4</v>
      </c>
      <c r="G387" s="115">
        <f t="shared" si="11"/>
        <v>95.113074745063216</v>
      </c>
    </row>
    <row r="388" spans="1:7">
      <c r="A388" s="14" t="s">
        <v>925</v>
      </c>
      <c r="B388" s="15">
        <v>-1044</v>
      </c>
      <c r="C388" s="14">
        <v>552</v>
      </c>
      <c r="D388" s="14">
        <v>2</v>
      </c>
      <c r="E388" s="14">
        <v>2</v>
      </c>
      <c r="F388" s="114" t="str">
        <f t="shared" si="10"/>
        <v>202122_552_2_2</v>
      </c>
      <c r="G388" s="115">
        <f t="shared" si="11"/>
        <v>-1044</v>
      </c>
    </row>
    <row r="389" spans="1:7">
      <c r="A389" s="14" t="s">
        <v>926</v>
      </c>
      <c r="B389" s="15">
        <v>207706</v>
      </c>
      <c r="C389" s="14">
        <v>552</v>
      </c>
      <c r="D389" s="14">
        <v>2</v>
      </c>
      <c r="E389" s="14">
        <v>3</v>
      </c>
      <c r="F389" s="114" t="str">
        <f t="shared" ref="F389:F452" si="12">LEFT(A389,6)&amp;"_"&amp;C389&amp;"_"&amp;D389&amp;"_"&amp;E389</f>
        <v>202122_552_2_3</v>
      </c>
      <c r="G389" s="115">
        <f t="shared" ref="G389:G452" si="13">B389</f>
        <v>207706</v>
      </c>
    </row>
    <row r="390" spans="1:7">
      <c r="A390" s="14" t="s">
        <v>927</v>
      </c>
      <c r="B390" s="15">
        <v>14020</v>
      </c>
      <c r="C390" s="14">
        <v>552</v>
      </c>
      <c r="D390" s="14">
        <v>3</v>
      </c>
      <c r="E390" s="14">
        <v>2</v>
      </c>
      <c r="F390" s="114" t="str">
        <f t="shared" si="12"/>
        <v>202122_552_3_2</v>
      </c>
      <c r="G390" s="115">
        <f t="shared" si="13"/>
        <v>14020</v>
      </c>
    </row>
    <row r="391" spans="1:7">
      <c r="A391" s="14" t="s">
        <v>928</v>
      </c>
      <c r="B391" s="15">
        <v>207706</v>
      </c>
      <c r="C391" s="14">
        <v>552</v>
      </c>
      <c r="D391" s="14">
        <v>3</v>
      </c>
      <c r="E391" s="14">
        <v>3</v>
      </c>
      <c r="F391" s="114" t="str">
        <f t="shared" si="12"/>
        <v>202122_552_3_3</v>
      </c>
      <c r="G391" s="115">
        <f t="shared" si="13"/>
        <v>207706</v>
      </c>
    </row>
    <row r="392" spans="1:7">
      <c r="A392" s="14" t="s">
        <v>929</v>
      </c>
      <c r="B392" s="15">
        <v>4151</v>
      </c>
      <c r="C392" s="14">
        <v>552</v>
      </c>
      <c r="D392" s="14">
        <v>4</v>
      </c>
      <c r="E392" s="14">
        <v>2</v>
      </c>
      <c r="F392" s="114" t="str">
        <f t="shared" si="12"/>
        <v>202122_552_4_2</v>
      </c>
      <c r="G392" s="115">
        <f t="shared" si="13"/>
        <v>4151</v>
      </c>
    </row>
    <row r="393" spans="1:7">
      <c r="A393" s="14" t="s">
        <v>930</v>
      </c>
      <c r="B393" s="15">
        <v>199394</v>
      </c>
      <c r="C393" s="14">
        <v>552</v>
      </c>
      <c r="D393" s="14">
        <v>4</v>
      </c>
      <c r="E393" s="14">
        <v>3</v>
      </c>
      <c r="F393" s="114" t="str">
        <f t="shared" si="12"/>
        <v>202122_552_4_3</v>
      </c>
      <c r="G393" s="115">
        <f t="shared" si="13"/>
        <v>199394</v>
      </c>
    </row>
    <row r="394" spans="1:7">
      <c r="A394" s="14" t="s">
        <v>931</v>
      </c>
      <c r="B394" s="15">
        <v>755</v>
      </c>
      <c r="C394" s="14">
        <v>552</v>
      </c>
      <c r="D394" s="14">
        <v>5</v>
      </c>
      <c r="E394" s="14">
        <v>2</v>
      </c>
      <c r="F394" s="114" t="str">
        <f t="shared" si="12"/>
        <v>202122_552_5_2</v>
      </c>
      <c r="G394" s="115">
        <f t="shared" si="13"/>
        <v>755</v>
      </c>
    </row>
    <row r="395" spans="1:7">
      <c r="A395" s="14" t="s">
        <v>932</v>
      </c>
      <c r="B395" s="15">
        <v>91</v>
      </c>
      <c r="C395" s="14">
        <v>552</v>
      </c>
      <c r="D395" s="14">
        <v>5</v>
      </c>
      <c r="E395" s="14">
        <v>3</v>
      </c>
      <c r="F395" s="114" t="str">
        <f t="shared" si="12"/>
        <v>202122_552_5_3</v>
      </c>
      <c r="G395" s="115">
        <f t="shared" si="13"/>
        <v>91</v>
      </c>
    </row>
    <row r="396" spans="1:7">
      <c r="A396" s="14" t="s">
        <v>933</v>
      </c>
      <c r="B396" s="15">
        <v>9114</v>
      </c>
      <c r="C396" s="14">
        <v>552</v>
      </c>
      <c r="D396" s="14">
        <v>6</v>
      </c>
      <c r="E396" s="14">
        <v>2</v>
      </c>
      <c r="F396" s="114" t="str">
        <f t="shared" si="12"/>
        <v>202122_552_6_2</v>
      </c>
      <c r="G396" s="115">
        <f t="shared" si="13"/>
        <v>9114</v>
      </c>
    </row>
    <row r="397" spans="1:7">
      <c r="A397" s="14" t="s">
        <v>934</v>
      </c>
      <c r="B397" s="15">
        <v>8221</v>
      </c>
      <c r="C397" s="14">
        <v>552</v>
      </c>
      <c r="D397" s="14">
        <v>6</v>
      </c>
      <c r="E397" s="14">
        <v>3</v>
      </c>
      <c r="F397" s="114" t="str">
        <f t="shared" si="12"/>
        <v>202122_552_6_3</v>
      </c>
      <c r="G397" s="115">
        <f t="shared" si="13"/>
        <v>8221</v>
      </c>
    </row>
    <row r="398" spans="1:7">
      <c r="A398" s="14" t="s">
        <v>935</v>
      </c>
      <c r="B398" s="15">
        <v>202435</v>
      </c>
      <c r="C398" s="14">
        <v>552</v>
      </c>
      <c r="D398" s="14">
        <v>7</v>
      </c>
      <c r="E398" s="14">
        <v>3</v>
      </c>
      <c r="F398" s="114" t="str">
        <f t="shared" si="12"/>
        <v>202122_552_7_3</v>
      </c>
      <c r="G398" s="115">
        <f t="shared" si="13"/>
        <v>202435</v>
      </c>
    </row>
    <row r="399" spans="1:7">
      <c r="A399" s="14" t="s">
        <v>936</v>
      </c>
      <c r="B399" s="15">
        <v>95.998189748972109</v>
      </c>
      <c r="C399" s="14">
        <v>552</v>
      </c>
      <c r="D399" s="14">
        <v>8</v>
      </c>
      <c r="E399" s="14">
        <v>3</v>
      </c>
      <c r="F399" s="114" t="str">
        <f t="shared" si="12"/>
        <v>202122_552_8_3</v>
      </c>
      <c r="G399" s="115">
        <f t="shared" si="13"/>
        <v>95.998189748972109</v>
      </c>
    </row>
    <row r="400" spans="1:7">
      <c r="A400" s="14" t="s">
        <v>937</v>
      </c>
      <c r="B400" s="15">
        <v>98.49778941388594</v>
      </c>
      <c r="C400" s="14">
        <v>552</v>
      </c>
      <c r="D400" s="14">
        <v>9</v>
      </c>
      <c r="E400" s="14">
        <v>3</v>
      </c>
      <c r="F400" s="114" t="str">
        <f t="shared" si="12"/>
        <v>202122_552_9_3</v>
      </c>
      <c r="G400" s="115">
        <f t="shared" si="13"/>
        <v>98.49778941388594</v>
      </c>
    </row>
    <row r="401" spans="1:7">
      <c r="A401" s="14" t="s">
        <v>938</v>
      </c>
      <c r="B401" s="15">
        <v>156501</v>
      </c>
      <c r="C401" s="14">
        <v>596</v>
      </c>
      <c r="D401" s="14">
        <v>1</v>
      </c>
      <c r="E401" s="14">
        <v>2</v>
      </c>
      <c r="F401" s="114" t="str">
        <f t="shared" si="12"/>
        <v>202122_596_1_2</v>
      </c>
      <c r="G401" s="115">
        <f t="shared" si="13"/>
        <v>156501</v>
      </c>
    </row>
    <row r="402" spans="1:7">
      <c r="A402" s="14" t="s">
        <v>939</v>
      </c>
      <c r="B402" s="15">
        <v>718963</v>
      </c>
      <c r="C402" s="14">
        <v>596</v>
      </c>
      <c r="D402" s="14">
        <v>10.5</v>
      </c>
      <c r="E402" s="14">
        <v>4</v>
      </c>
      <c r="F402" s="114" t="str">
        <f t="shared" si="12"/>
        <v>202122_596_10.5_4</v>
      </c>
      <c r="G402" s="115">
        <f t="shared" si="13"/>
        <v>718963</v>
      </c>
    </row>
    <row r="403" spans="1:7">
      <c r="A403" s="14" t="s">
        <v>940</v>
      </c>
      <c r="B403" s="15">
        <v>689496</v>
      </c>
      <c r="C403" s="14">
        <v>596</v>
      </c>
      <c r="D403" s="14">
        <v>11</v>
      </c>
      <c r="E403" s="14">
        <v>4</v>
      </c>
      <c r="F403" s="114" t="str">
        <f t="shared" si="12"/>
        <v>202122_596_11_4</v>
      </c>
      <c r="G403" s="115">
        <f t="shared" si="13"/>
        <v>689496</v>
      </c>
    </row>
    <row r="404" spans="1:7">
      <c r="A404" s="14" t="s">
        <v>941</v>
      </c>
      <c r="B404" s="15">
        <v>11322.129999999997</v>
      </c>
      <c r="C404" s="14">
        <v>596</v>
      </c>
      <c r="D404" s="14">
        <v>12</v>
      </c>
      <c r="E404" s="14">
        <v>4</v>
      </c>
      <c r="F404" s="114" t="str">
        <f t="shared" si="12"/>
        <v>202122_596_12_4</v>
      </c>
      <c r="G404" s="115">
        <f t="shared" si="13"/>
        <v>11322.129999999997</v>
      </c>
    </row>
    <row r="405" spans="1:7">
      <c r="A405" s="14" t="s">
        <v>942</v>
      </c>
      <c r="B405" s="15">
        <v>95.900999999999996</v>
      </c>
      <c r="C405" s="14">
        <v>596</v>
      </c>
      <c r="D405" s="14">
        <v>12.5</v>
      </c>
      <c r="E405" s="14">
        <v>4</v>
      </c>
      <c r="F405" s="114" t="str">
        <f t="shared" si="12"/>
        <v>202122_596_12.5_4</v>
      </c>
      <c r="G405" s="115">
        <f t="shared" si="13"/>
        <v>95.900999999999996</v>
      </c>
    </row>
    <row r="406" spans="1:7">
      <c r="A406" s="14" t="s">
        <v>943</v>
      </c>
      <c r="B406" s="15">
        <v>-5897</v>
      </c>
      <c r="C406" s="14">
        <v>596</v>
      </c>
      <c r="D406" s="14">
        <v>2</v>
      </c>
      <c r="E406" s="14">
        <v>2</v>
      </c>
      <c r="F406" s="114" t="str">
        <f t="shared" si="12"/>
        <v>202122_596_2_2</v>
      </c>
      <c r="G406" s="115">
        <f t="shared" si="13"/>
        <v>-5897</v>
      </c>
    </row>
    <row r="407" spans="1:7">
      <c r="A407" s="14" t="s">
        <v>944</v>
      </c>
      <c r="B407" s="15">
        <v>1907789</v>
      </c>
      <c r="C407" s="14">
        <v>596</v>
      </c>
      <c r="D407" s="14">
        <v>2</v>
      </c>
      <c r="E407" s="14">
        <v>3</v>
      </c>
      <c r="F407" s="114" t="str">
        <f t="shared" si="12"/>
        <v>202122_596_2_3</v>
      </c>
      <c r="G407" s="115">
        <f t="shared" si="13"/>
        <v>1907789</v>
      </c>
    </row>
    <row r="408" spans="1:7">
      <c r="A408" s="14" t="s">
        <v>945</v>
      </c>
      <c r="B408" s="15">
        <v>150604</v>
      </c>
      <c r="C408" s="14">
        <v>596</v>
      </c>
      <c r="D408" s="14">
        <v>3</v>
      </c>
      <c r="E408" s="14">
        <v>2</v>
      </c>
      <c r="F408" s="114" t="str">
        <f t="shared" si="12"/>
        <v>202122_596_3_2</v>
      </c>
      <c r="G408" s="115">
        <f t="shared" si="13"/>
        <v>150604</v>
      </c>
    </row>
    <row r="409" spans="1:7">
      <c r="A409" s="14" t="s">
        <v>946</v>
      </c>
      <c r="B409" s="15">
        <v>1907789</v>
      </c>
      <c r="C409" s="14">
        <v>596</v>
      </c>
      <c r="D409" s="14">
        <v>3</v>
      </c>
      <c r="E409" s="14">
        <v>3</v>
      </c>
      <c r="F409" s="114" t="str">
        <f t="shared" si="12"/>
        <v>202122_596_3_3</v>
      </c>
      <c r="G409" s="115">
        <f t="shared" si="13"/>
        <v>1907789</v>
      </c>
    </row>
    <row r="410" spans="1:7">
      <c r="A410" s="14" t="s">
        <v>947</v>
      </c>
      <c r="B410" s="15">
        <v>43117</v>
      </c>
      <c r="C410" s="14">
        <v>596</v>
      </c>
      <c r="D410" s="14">
        <v>4</v>
      </c>
      <c r="E410" s="14">
        <v>2</v>
      </c>
      <c r="F410" s="114" t="str">
        <f t="shared" si="12"/>
        <v>202122_596_4_2</v>
      </c>
      <c r="G410" s="115">
        <f t="shared" si="13"/>
        <v>43117</v>
      </c>
    </row>
    <row r="411" spans="1:7">
      <c r="A411" s="14" t="s">
        <v>948</v>
      </c>
      <c r="B411" s="15">
        <v>1837070</v>
      </c>
      <c r="C411" s="14">
        <v>596</v>
      </c>
      <c r="D411" s="14">
        <v>4</v>
      </c>
      <c r="E411" s="14">
        <v>3</v>
      </c>
      <c r="F411" s="114" t="str">
        <f t="shared" si="12"/>
        <v>202122_596_4_3</v>
      </c>
      <c r="G411" s="115">
        <f t="shared" si="13"/>
        <v>1837070</v>
      </c>
    </row>
    <row r="412" spans="1:7">
      <c r="A412" s="14" t="s">
        <v>949</v>
      </c>
      <c r="B412" s="15">
        <v>4698</v>
      </c>
      <c r="C412" s="14">
        <v>596</v>
      </c>
      <c r="D412" s="14">
        <v>5</v>
      </c>
      <c r="E412" s="14">
        <v>2</v>
      </c>
      <c r="F412" s="114" t="str">
        <f t="shared" si="12"/>
        <v>202122_596_5_2</v>
      </c>
      <c r="G412" s="115">
        <f t="shared" si="13"/>
        <v>4698</v>
      </c>
    </row>
    <row r="413" spans="1:7">
      <c r="A413" s="14" t="s">
        <v>950</v>
      </c>
      <c r="B413" s="15">
        <v>625</v>
      </c>
      <c r="C413" s="14">
        <v>596</v>
      </c>
      <c r="D413" s="14">
        <v>5</v>
      </c>
      <c r="E413" s="14">
        <v>3</v>
      </c>
      <c r="F413" s="114" t="str">
        <f t="shared" si="12"/>
        <v>202122_596_5_3</v>
      </c>
      <c r="G413" s="115">
        <f t="shared" si="13"/>
        <v>625</v>
      </c>
    </row>
    <row r="414" spans="1:7">
      <c r="A414" s="14" t="s">
        <v>951</v>
      </c>
      <c r="B414" s="15">
        <v>102789</v>
      </c>
      <c r="C414" s="14">
        <v>596</v>
      </c>
      <c r="D414" s="14">
        <v>6</v>
      </c>
      <c r="E414" s="14">
        <v>2</v>
      </c>
      <c r="F414" s="114" t="str">
        <f t="shared" si="12"/>
        <v>202122_596_6_2</v>
      </c>
      <c r="G414" s="115">
        <f t="shared" si="13"/>
        <v>102789</v>
      </c>
    </row>
    <row r="415" spans="1:7">
      <c r="A415" s="14" t="s">
        <v>952</v>
      </c>
      <c r="B415" s="15">
        <v>70094</v>
      </c>
      <c r="C415" s="14">
        <v>596</v>
      </c>
      <c r="D415" s="14">
        <v>6</v>
      </c>
      <c r="E415" s="14">
        <v>3</v>
      </c>
      <c r="F415" s="114" t="str">
        <f t="shared" si="12"/>
        <v>202122_596_6_3</v>
      </c>
      <c r="G415" s="115">
        <f t="shared" si="13"/>
        <v>70094</v>
      </c>
    </row>
    <row r="416" spans="1:7">
      <c r="A416" s="14" t="s">
        <v>953</v>
      </c>
      <c r="B416" s="15">
        <v>1854276</v>
      </c>
      <c r="C416" s="14">
        <v>596</v>
      </c>
      <c r="D416" s="14">
        <v>7</v>
      </c>
      <c r="E416" s="14">
        <v>3</v>
      </c>
      <c r="F416" s="114" t="str">
        <f t="shared" si="12"/>
        <v>202122_596_7_3</v>
      </c>
      <c r="G416" s="115">
        <f t="shared" si="13"/>
        <v>1854276</v>
      </c>
    </row>
    <row r="417" spans="1:7">
      <c r="A417" s="14" t="s">
        <v>954</v>
      </c>
      <c r="B417" s="15">
        <v>96.293000000000006</v>
      </c>
      <c r="C417" s="14">
        <v>596</v>
      </c>
      <c r="D417" s="14">
        <v>8</v>
      </c>
      <c r="E417" s="14">
        <v>3</v>
      </c>
      <c r="F417" s="114" t="str">
        <f t="shared" si="12"/>
        <v>202122_596_8_3</v>
      </c>
      <c r="G417" s="115">
        <f t="shared" si="13"/>
        <v>96.293000000000006</v>
      </c>
    </row>
    <row r="418" spans="1:7">
      <c r="A418" s="14" t="s">
        <v>955</v>
      </c>
      <c r="B418" s="15">
        <v>99.072000000000003</v>
      </c>
      <c r="C418" s="14">
        <v>596</v>
      </c>
      <c r="D418" s="14">
        <v>9</v>
      </c>
      <c r="E418" s="14">
        <v>3</v>
      </c>
      <c r="F418" s="114" t="str">
        <f t="shared" si="12"/>
        <v>202122_596_9_3</v>
      </c>
      <c r="G418" s="115">
        <f t="shared" si="13"/>
        <v>99.072000000000003</v>
      </c>
    </row>
    <row r="419" spans="1:7">
      <c r="A419" s="14" t="s">
        <v>1085</v>
      </c>
      <c r="B419" s="15">
        <v>4078</v>
      </c>
      <c r="C419" s="14">
        <v>512</v>
      </c>
      <c r="D419" s="14">
        <v>1</v>
      </c>
      <c r="E419" s="14">
        <v>2</v>
      </c>
      <c r="F419" s="114" t="str">
        <f t="shared" si="12"/>
        <v>202223_512_1_2</v>
      </c>
      <c r="G419" s="115">
        <f t="shared" si="13"/>
        <v>4078</v>
      </c>
    </row>
    <row r="420" spans="1:7">
      <c r="A420" s="14" t="s">
        <v>1086</v>
      </c>
      <c r="B420" s="15">
        <v>1446</v>
      </c>
      <c r="C420" s="14">
        <v>512</v>
      </c>
      <c r="D420" s="14">
        <v>10.1</v>
      </c>
      <c r="E420" s="14">
        <v>3</v>
      </c>
      <c r="F420" s="114" t="str">
        <f t="shared" si="12"/>
        <v>202223_512_10.1_3</v>
      </c>
      <c r="G420" s="115">
        <f t="shared" si="13"/>
        <v>1446</v>
      </c>
    </row>
    <row r="421" spans="1:7">
      <c r="A421" s="14" t="s">
        <v>1087</v>
      </c>
      <c r="B421" s="15">
        <v>7563</v>
      </c>
      <c r="C421" s="14">
        <v>512</v>
      </c>
      <c r="D421" s="14">
        <v>10.199999999999999</v>
      </c>
      <c r="E421" s="14">
        <v>3</v>
      </c>
      <c r="F421" s="114" t="str">
        <f t="shared" si="12"/>
        <v>202223_512_10.2_3</v>
      </c>
      <c r="G421" s="115">
        <f t="shared" si="13"/>
        <v>7563</v>
      </c>
    </row>
    <row r="422" spans="1:7">
      <c r="A422" s="14" t="s">
        <v>1088</v>
      </c>
      <c r="B422" s="15">
        <v>536</v>
      </c>
      <c r="C422" s="14">
        <v>512</v>
      </c>
      <c r="D422" s="14">
        <v>10.3</v>
      </c>
      <c r="E422" s="14">
        <v>3</v>
      </c>
      <c r="F422" s="114" t="str">
        <f t="shared" si="12"/>
        <v>202223_512_10.3_3</v>
      </c>
      <c r="G422" s="115">
        <f t="shared" si="13"/>
        <v>536</v>
      </c>
    </row>
    <row r="423" spans="1:7">
      <c r="A423" s="14" t="s">
        <v>1089</v>
      </c>
      <c r="B423" s="15">
        <v>2149</v>
      </c>
      <c r="C423" s="14">
        <v>512</v>
      </c>
      <c r="D423" s="14">
        <v>10.4</v>
      </c>
      <c r="E423" s="14">
        <v>3</v>
      </c>
      <c r="F423" s="114" t="str">
        <f t="shared" si="12"/>
        <v>202223_512_10.4_3</v>
      </c>
      <c r="G423" s="115">
        <f t="shared" si="13"/>
        <v>2149</v>
      </c>
    </row>
    <row r="424" spans="1:7">
      <c r="A424" s="14" t="s">
        <v>1090</v>
      </c>
      <c r="B424" s="15">
        <v>13986</v>
      </c>
      <c r="C424" s="14">
        <v>512</v>
      </c>
      <c r="D424" s="14">
        <v>10.5</v>
      </c>
      <c r="E424" s="14">
        <v>4</v>
      </c>
      <c r="F424" s="114" t="str">
        <f t="shared" si="12"/>
        <v>202223_512_10.5_4</v>
      </c>
      <c r="G424" s="115">
        <f t="shared" si="13"/>
        <v>13986</v>
      </c>
    </row>
    <row r="425" spans="1:7">
      <c r="A425" s="14" t="s">
        <v>1091</v>
      </c>
      <c r="B425" s="15">
        <v>12977</v>
      </c>
      <c r="C425" s="14">
        <v>512</v>
      </c>
      <c r="D425" s="14">
        <v>11</v>
      </c>
      <c r="E425" s="14">
        <v>4</v>
      </c>
      <c r="F425" s="114" t="str">
        <f t="shared" si="12"/>
        <v>202223_512_11_4</v>
      </c>
      <c r="G425" s="115">
        <f t="shared" si="13"/>
        <v>12977</v>
      </c>
    </row>
    <row r="426" spans="1:7">
      <c r="A426" s="14" t="s">
        <v>1092</v>
      </c>
      <c r="B426" s="15">
        <v>-187</v>
      </c>
      <c r="C426" s="14">
        <v>512</v>
      </c>
      <c r="D426" s="14">
        <v>12</v>
      </c>
      <c r="E426" s="14">
        <v>4</v>
      </c>
      <c r="F426" s="114" t="str">
        <f t="shared" si="12"/>
        <v>202223_512_12_4</v>
      </c>
      <c r="G426" s="115">
        <f t="shared" si="13"/>
        <v>-187</v>
      </c>
    </row>
    <row r="427" spans="1:7">
      <c r="A427" s="14" t="s">
        <v>1093</v>
      </c>
      <c r="B427" s="15">
        <v>92.785642785642779</v>
      </c>
      <c r="C427" s="14">
        <v>512</v>
      </c>
      <c r="D427" s="14">
        <v>12.5</v>
      </c>
      <c r="E427" s="14">
        <v>4</v>
      </c>
      <c r="F427" s="114" t="str">
        <f t="shared" si="12"/>
        <v>202223_512_12.5_4</v>
      </c>
      <c r="G427" s="115">
        <f t="shared" si="13"/>
        <v>92.785642785642779</v>
      </c>
    </row>
    <row r="428" spans="1:7">
      <c r="A428" s="14" t="s">
        <v>1094</v>
      </c>
      <c r="B428" s="15">
        <v>-474</v>
      </c>
      <c r="C428" s="14">
        <v>512</v>
      </c>
      <c r="D428" s="14">
        <v>2</v>
      </c>
      <c r="E428" s="14">
        <v>2</v>
      </c>
      <c r="F428" s="114" t="str">
        <f t="shared" si="12"/>
        <v>202223_512_2_2</v>
      </c>
      <c r="G428" s="115">
        <f t="shared" si="13"/>
        <v>-474</v>
      </c>
    </row>
    <row r="429" spans="1:7">
      <c r="A429" s="14" t="s">
        <v>1095</v>
      </c>
      <c r="B429" s="15">
        <v>49902</v>
      </c>
      <c r="C429" s="14">
        <v>512</v>
      </c>
      <c r="D429" s="14">
        <v>2</v>
      </c>
      <c r="E429" s="14">
        <v>3</v>
      </c>
      <c r="F429" s="114" t="str">
        <f t="shared" si="12"/>
        <v>202223_512_2_3</v>
      </c>
      <c r="G429" s="115">
        <f t="shared" si="13"/>
        <v>49902</v>
      </c>
    </row>
    <row r="430" spans="1:7">
      <c r="A430" s="14" t="s">
        <v>1096</v>
      </c>
      <c r="B430" s="15">
        <v>3604</v>
      </c>
      <c r="C430" s="14">
        <v>512</v>
      </c>
      <c r="D430" s="14">
        <v>3</v>
      </c>
      <c r="E430" s="14">
        <v>2</v>
      </c>
      <c r="F430" s="114" t="str">
        <f t="shared" si="12"/>
        <v>202223_512_3_2</v>
      </c>
      <c r="G430" s="115">
        <f t="shared" si="13"/>
        <v>3604</v>
      </c>
    </row>
    <row r="431" spans="1:7">
      <c r="A431" s="14" t="s">
        <v>1097</v>
      </c>
      <c r="B431" s="15">
        <v>49902</v>
      </c>
      <c r="C431" s="14">
        <v>512</v>
      </c>
      <c r="D431" s="14">
        <v>3</v>
      </c>
      <c r="E431" s="14">
        <v>3</v>
      </c>
      <c r="F431" s="114" t="str">
        <f t="shared" si="12"/>
        <v>202223_512_3_3</v>
      </c>
      <c r="G431" s="115">
        <f t="shared" si="13"/>
        <v>49902</v>
      </c>
    </row>
    <row r="432" spans="1:7">
      <c r="A432" s="14" t="s">
        <v>1098</v>
      </c>
      <c r="B432" s="15">
        <v>371</v>
      </c>
      <c r="C432" s="14">
        <v>512</v>
      </c>
      <c r="D432" s="14">
        <v>4</v>
      </c>
      <c r="E432" s="14">
        <v>2</v>
      </c>
      <c r="F432" s="114" t="str">
        <f t="shared" si="12"/>
        <v>202223_512_4_2</v>
      </c>
      <c r="G432" s="115">
        <f t="shared" si="13"/>
        <v>371</v>
      </c>
    </row>
    <row r="433" spans="1:7">
      <c r="A433" s="14" t="s">
        <v>1099</v>
      </c>
      <c r="B433" s="15">
        <v>48183</v>
      </c>
      <c r="C433" s="14">
        <v>512</v>
      </c>
      <c r="D433" s="14">
        <v>4</v>
      </c>
      <c r="E433" s="14">
        <v>3</v>
      </c>
      <c r="F433" s="114" t="str">
        <f t="shared" si="12"/>
        <v>202223_512_4_3</v>
      </c>
      <c r="G433" s="115">
        <f t="shared" si="13"/>
        <v>48183</v>
      </c>
    </row>
    <row r="434" spans="1:7">
      <c r="A434" s="14" t="s">
        <v>1100</v>
      </c>
      <c r="B434" s="15">
        <v>150</v>
      </c>
      <c r="C434" s="14">
        <v>512</v>
      </c>
      <c r="D434" s="14">
        <v>5</v>
      </c>
      <c r="E434" s="14">
        <v>2</v>
      </c>
      <c r="F434" s="114" t="str">
        <f t="shared" si="12"/>
        <v>202223_512_5_2</v>
      </c>
      <c r="G434" s="115">
        <f t="shared" si="13"/>
        <v>150</v>
      </c>
    </row>
    <row r="435" spans="1:7">
      <c r="A435" s="14" t="s">
        <v>1101</v>
      </c>
      <c r="B435" s="15">
        <v>12</v>
      </c>
      <c r="C435" s="14">
        <v>512</v>
      </c>
      <c r="D435" s="14">
        <v>5</v>
      </c>
      <c r="E435" s="14">
        <v>3</v>
      </c>
      <c r="F435" s="114" t="str">
        <f t="shared" si="12"/>
        <v>202223_512_5_3</v>
      </c>
      <c r="G435" s="115">
        <f t="shared" si="13"/>
        <v>12</v>
      </c>
    </row>
    <row r="436" spans="1:7">
      <c r="A436" s="14" t="s">
        <v>1102</v>
      </c>
      <c r="B436" s="15">
        <v>3083</v>
      </c>
      <c r="C436" s="14">
        <v>512</v>
      </c>
      <c r="D436" s="14">
        <v>6</v>
      </c>
      <c r="E436" s="14">
        <v>2</v>
      </c>
      <c r="F436" s="114" t="str">
        <f t="shared" si="12"/>
        <v>202223_512_6_2</v>
      </c>
      <c r="G436" s="115">
        <f t="shared" si="13"/>
        <v>3083</v>
      </c>
    </row>
    <row r="437" spans="1:7">
      <c r="A437" s="14" t="s">
        <v>1103</v>
      </c>
      <c r="B437" s="15">
        <v>1707</v>
      </c>
      <c r="C437" s="14">
        <v>512</v>
      </c>
      <c r="D437" s="14">
        <v>6</v>
      </c>
      <c r="E437" s="14">
        <v>3</v>
      </c>
      <c r="F437" s="114" t="str">
        <f t="shared" si="12"/>
        <v>202223_512_6_3</v>
      </c>
      <c r="G437" s="115">
        <f t="shared" si="13"/>
        <v>1707</v>
      </c>
    </row>
    <row r="438" spans="1:7">
      <c r="A438" s="14" t="s">
        <v>1104</v>
      </c>
      <c r="B438" s="15">
        <v>49385</v>
      </c>
      <c r="C438" s="14">
        <v>512</v>
      </c>
      <c r="D438" s="14">
        <v>7</v>
      </c>
      <c r="E438" s="14">
        <v>3</v>
      </c>
      <c r="F438" s="114" t="str">
        <f t="shared" si="12"/>
        <v>202223_512_7_3</v>
      </c>
      <c r="G438" s="115">
        <f t="shared" si="13"/>
        <v>49385</v>
      </c>
    </row>
    <row r="439" spans="1:7">
      <c r="A439" s="14" t="s">
        <v>1105</v>
      </c>
      <c r="B439" s="15">
        <v>96.555248286641813</v>
      </c>
      <c r="C439" s="14">
        <v>512</v>
      </c>
      <c r="D439" s="14">
        <v>8</v>
      </c>
      <c r="E439" s="14">
        <v>3</v>
      </c>
      <c r="F439" s="114" t="str">
        <f t="shared" si="12"/>
        <v>202223_512_8_3</v>
      </c>
      <c r="G439" s="115">
        <f t="shared" si="13"/>
        <v>96.555248286641813</v>
      </c>
    </row>
    <row r="440" spans="1:7">
      <c r="A440" s="14" t="s">
        <v>1106</v>
      </c>
      <c r="B440" s="15">
        <v>97.56606256960616</v>
      </c>
      <c r="C440" s="14">
        <v>512</v>
      </c>
      <c r="D440" s="14">
        <v>9</v>
      </c>
      <c r="E440" s="14">
        <v>3</v>
      </c>
      <c r="F440" s="114" t="str">
        <f t="shared" si="12"/>
        <v>202223_512_9_3</v>
      </c>
      <c r="G440" s="115">
        <f t="shared" si="13"/>
        <v>97.56606256960616</v>
      </c>
    </row>
    <row r="441" spans="1:7">
      <c r="A441" s="14" t="s">
        <v>1107</v>
      </c>
      <c r="B441" s="15">
        <v>9214</v>
      </c>
      <c r="C441" s="14">
        <v>514</v>
      </c>
      <c r="D441" s="14">
        <v>1</v>
      </c>
      <c r="E441" s="14">
        <v>2</v>
      </c>
      <c r="F441" s="114" t="str">
        <f t="shared" si="12"/>
        <v>202223_514_1_2</v>
      </c>
      <c r="G441" s="115">
        <f t="shared" si="13"/>
        <v>9214</v>
      </c>
    </row>
    <row r="442" spans="1:7">
      <c r="A442" s="14" t="s">
        <v>1108</v>
      </c>
      <c r="B442" s="15">
        <v>1087</v>
      </c>
      <c r="C442" s="14">
        <v>514</v>
      </c>
      <c r="D442" s="14">
        <v>10.1</v>
      </c>
      <c r="E442" s="14">
        <v>3</v>
      </c>
      <c r="F442" s="114" t="str">
        <f t="shared" si="12"/>
        <v>202223_514_10.1_3</v>
      </c>
      <c r="G442" s="115">
        <f t="shared" si="13"/>
        <v>1087</v>
      </c>
    </row>
    <row r="443" spans="1:7">
      <c r="A443" s="14" t="s">
        <v>1109</v>
      </c>
      <c r="B443" s="15">
        <v>4199</v>
      </c>
      <c r="C443" s="14">
        <v>514</v>
      </c>
      <c r="D443" s="14">
        <v>10.199999999999999</v>
      </c>
      <c r="E443" s="14">
        <v>3</v>
      </c>
      <c r="F443" s="114" t="str">
        <f t="shared" si="12"/>
        <v>202223_514_10.2_3</v>
      </c>
      <c r="G443" s="115">
        <f t="shared" si="13"/>
        <v>4199</v>
      </c>
    </row>
    <row r="444" spans="1:7">
      <c r="A444" s="14" t="s">
        <v>1110</v>
      </c>
      <c r="B444" s="15">
        <v>1361</v>
      </c>
      <c r="C444" s="14">
        <v>514</v>
      </c>
      <c r="D444" s="14">
        <v>10.3</v>
      </c>
      <c r="E444" s="14">
        <v>3</v>
      </c>
      <c r="F444" s="114" t="str">
        <f t="shared" si="12"/>
        <v>202223_514_10.3_3</v>
      </c>
      <c r="G444" s="115">
        <f t="shared" si="13"/>
        <v>1361</v>
      </c>
    </row>
    <row r="445" spans="1:7">
      <c r="A445" s="14" t="s">
        <v>1111</v>
      </c>
      <c r="B445" s="15">
        <v>7883</v>
      </c>
      <c r="C445" s="14">
        <v>514</v>
      </c>
      <c r="D445" s="14">
        <v>10.4</v>
      </c>
      <c r="E445" s="14">
        <v>3</v>
      </c>
      <c r="F445" s="114" t="str">
        <f t="shared" si="12"/>
        <v>202223_514_10.4_3</v>
      </c>
      <c r="G445" s="115">
        <f t="shared" si="13"/>
        <v>7883</v>
      </c>
    </row>
    <row r="446" spans="1:7">
      <c r="A446" s="14" t="s">
        <v>1112</v>
      </c>
      <c r="B446" s="15">
        <v>38020</v>
      </c>
      <c r="C446" s="14">
        <v>514</v>
      </c>
      <c r="D446" s="14">
        <v>10.5</v>
      </c>
      <c r="E446" s="14">
        <v>4</v>
      </c>
      <c r="F446" s="114" t="str">
        <f t="shared" si="12"/>
        <v>202223_514_10.5_4</v>
      </c>
      <c r="G446" s="115">
        <f t="shared" si="13"/>
        <v>38020</v>
      </c>
    </row>
    <row r="447" spans="1:7">
      <c r="A447" s="14" t="s">
        <v>1113</v>
      </c>
      <c r="B447" s="15">
        <v>34692</v>
      </c>
      <c r="C447" s="14">
        <v>514</v>
      </c>
      <c r="D447" s="14">
        <v>11</v>
      </c>
      <c r="E447" s="14">
        <v>4</v>
      </c>
      <c r="F447" s="114" t="str">
        <f t="shared" si="12"/>
        <v>202223_514_11_4</v>
      </c>
      <c r="G447" s="115">
        <f t="shared" si="13"/>
        <v>34692</v>
      </c>
    </row>
    <row r="448" spans="1:7">
      <c r="A448" s="14" t="s">
        <v>1114</v>
      </c>
      <c r="B448" s="15">
        <v>153</v>
      </c>
      <c r="C448" s="14">
        <v>514</v>
      </c>
      <c r="D448" s="14">
        <v>12</v>
      </c>
      <c r="E448" s="14">
        <v>4</v>
      </c>
      <c r="F448" s="114" t="str">
        <f t="shared" si="12"/>
        <v>202223_514_12_4</v>
      </c>
      <c r="G448" s="115">
        <f t="shared" si="13"/>
        <v>153</v>
      </c>
    </row>
    <row r="449" spans="1:7">
      <c r="A449" s="14" t="s">
        <v>1115</v>
      </c>
      <c r="B449" s="15">
        <v>91.246712256706999</v>
      </c>
      <c r="C449" s="14">
        <v>514</v>
      </c>
      <c r="D449" s="14">
        <v>12.5</v>
      </c>
      <c r="E449" s="14">
        <v>4</v>
      </c>
      <c r="F449" s="114" t="str">
        <f t="shared" si="12"/>
        <v>202223_514_12.5_4</v>
      </c>
      <c r="G449" s="115">
        <f t="shared" si="13"/>
        <v>91.246712256706999</v>
      </c>
    </row>
    <row r="450" spans="1:7">
      <c r="A450" s="14" t="s">
        <v>1116</v>
      </c>
      <c r="B450" s="15">
        <v>-213</v>
      </c>
      <c r="C450" s="14">
        <v>514</v>
      </c>
      <c r="D450" s="14">
        <v>2</v>
      </c>
      <c r="E450" s="14">
        <v>2</v>
      </c>
      <c r="F450" s="114" t="str">
        <f t="shared" si="12"/>
        <v>202223_514_2_2</v>
      </c>
      <c r="G450" s="115">
        <f t="shared" si="13"/>
        <v>-213</v>
      </c>
    </row>
    <row r="451" spans="1:7">
      <c r="A451" s="14" t="s">
        <v>1117</v>
      </c>
      <c r="B451" s="15">
        <v>95942</v>
      </c>
      <c r="C451" s="14">
        <v>514</v>
      </c>
      <c r="D451" s="14">
        <v>2</v>
      </c>
      <c r="E451" s="14">
        <v>3</v>
      </c>
      <c r="F451" s="114" t="str">
        <f t="shared" si="12"/>
        <v>202223_514_2_3</v>
      </c>
      <c r="G451" s="115">
        <f t="shared" si="13"/>
        <v>95942</v>
      </c>
    </row>
    <row r="452" spans="1:7">
      <c r="A452" s="14" t="s">
        <v>1118</v>
      </c>
      <c r="B452" s="15">
        <v>9001</v>
      </c>
      <c r="C452" s="14">
        <v>514</v>
      </c>
      <c r="D452" s="14">
        <v>3</v>
      </c>
      <c r="E452" s="14">
        <v>2</v>
      </c>
      <c r="F452" s="114" t="str">
        <f t="shared" si="12"/>
        <v>202223_514_3_2</v>
      </c>
      <c r="G452" s="115">
        <f t="shared" si="13"/>
        <v>9001</v>
      </c>
    </row>
    <row r="453" spans="1:7">
      <c r="A453" s="14" t="s">
        <v>1119</v>
      </c>
      <c r="B453" s="15">
        <v>95942</v>
      </c>
      <c r="C453" s="14">
        <v>514</v>
      </c>
      <c r="D453" s="14">
        <v>3</v>
      </c>
      <c r="E453" s="14">
        <v>3</v>
      </c>
      <c r="F453" s="114" t="str">
        <f t="shared" ref="F453:F516" si="14">LEFT(A453,6)&amp;"_"&amp;C453&amp;"_"&amp;D453&amp;"_"&amp;E453</f>
        <v>202223_514_3_3</v>
      </c>
      <c r="G453" s="115">
        <f t="shared" ref="G453:G516" si="15">B453</f>
        <v>95942</v>
      </c>
    </row>
    <row r="454" spans="1:7">
      <c r="A454" s="14" t="s">
        <v>1120</v>
      </c>
      <c r="B454" s="15">
        <v>1162</v>
      </c>
      <c r="C454" s="14">
        <v>514</v>
      </c>
      <c r="D454" s="14">
        <v>4</v>
      </c>
      <c r="E454" s="14">
        <v>2</v>
      </c>
      <c r="F454" s="114" t="str">
        <f t="shared" si="14"/>
        <v>202223_514_4_2</v>
      </c>
      <c r="G454" s="115">
        <f t="shared" si="15"/>
        <v>1162</v>
      </c>
    </row>
    <row r="455" spans="1:7">
      <c r="A455" s="14" t="s">
        <v>1121</v>
      </c>
      <c r="B455" s="15">
        <v>90709</v>
      </c>
      <c r="C455" s="14">
        <v>514</v>
      </c>
      <c r="D455" s="14">
        <v>4</v>
      </c>
      <c r="E455" s="14">
        <v>3</v>
      </c>
      <c r="F455" s="114" t="str">
        <f t="shared" si="14"/>
        <v>202223_514_4_3</v>
      </c>
      <c r="G455" s="115">
        <f t="shared" si="15"/>
        <v>90709</v>
      </c>
    </row>
    <row r="456" spans="1:7">
      <c r="A456" s="14" t="s">
        <v>1122</v>
      </c>
      <c r="B456" s="15">
        <v>27</v>
      </c>
      <c r="C456" s="14">
        <v>514</v>
      </c>
      <c r="D456" s="14">
        <v>5</v>
      </c>
      <c r="E456" s="14">
        <v>2</v>
      </c>
      <c r="F456" s="114" t="str">
        <f t="shared" si="14"/>
        <v>202223_514_5_2</v>
      </c>
      <c r="G456" s="115">
        <f t="shared" si="15"/>
        <v>27</v>
      </c>
    </row>
    <row r="457" spans="1:7">
      <c r="A457" s="14" t="s">
        <v>1123</v>
      </c>
      <c r="B457" s="15">
        <v>7</v>
      </c>
      <c r="C457" s="14">
        <v>514</v>
      </c>
      <c r="D457" s="14">
        <v>5</v>
      </c>
      <c r="E457" s="14">
        <v>3</v>
      </c>
      <c r="F457" s="114" t="str">
        <f t="shared" si="14"/>
        <v>202223_514_5_3</v>
      </c>
      <c r="G457" s="115">
        <f t="shared" si="15"/>
        <v>7</v>
      </c>
    </row>
    <row r="458" spans="1:7">
      <c r="A458" s="14" t="s">
        <v>1124</v>
      </c>
      <c r="B458" s="15">
        <v>7812</v>
      </c>
      <c r="C458" s="14">
        <v>514</v>
      </c>
      <c r="D458" s="14">
        <v>6</v>
      </c>
      <c r="E458" s="14">
        <v>2</v>
      </c>
      <c r="F458" s="114" t="str">
        <f t="shared" si="14"/>
        <v>202223_514_6_2</v>
      </c>
      <c r="G458" s="115">
        <f t="shared" si="15"/>
        <v>7812</v>
      </c>
    </row>
    <row r="459" spans="1:7">
      <c r="A459" s="14" t="s">
        <v>1125</v>
      </c>
      <c r="B459" s="15">
        <v>5226</v>
      </c>
      <c r="C459" s="14">
        <v>514</v>
      </c>
      <c r="D459" s="14">
        <v>6</v>
      </c>
      <c r="E459" s="14">
        <v>3</v>
      </c>
      <c r="F459" s="114" t="str">
        <f t="shared" si="14"/>
        <v>202223_514_6_3</v>
      </c>
      <c r="G459" s="115">
        <f t="shared" si="15"/>
        <v>5226</v>
      </c>
    </row>
    <row r="460" spans="1:7">
      <c r="A460" s="14" t="s">
        <v>1126</v>
      </c>
      <c r="B460" s="15">
        <v>84678</v>
      </c>
      <c r="C460" s="14">
        <v>514</v>
      </c>
      <c r="D460" s="14">
        <v>7</v>
      </c>
      <c r="E460" s="14">
        <v>3</v>
      </c>
      <c r="F460" s="114" t="str">
        <f t="shared" si="14"/>
        <v>202223_514_7_3</v>
      </c>
      <c r="G460" s="115">
        <f t="shared" si="15"/>
        <v>84678</v>
      </c>
    </row>
    <row r="461" spans="1:7">
      <c r="A461" s="14" t="s">
        <v>1127</v>
      </c>
      <c r="B461" s="15">
        <v>94.545663004732035</v>
      </c>
      <c r="C461" s="14">
        <v>514</v>
      </c>
      <c r="D461" s="14">
        <v>8</v>
      </c>
      <c r="E461" s="14">
        <v>3</v>
      </c>
      <c r="F461" s="114" t="str">
        <f t="shared" si="14"/>
        <v>202223_514_8_3</v>
      </c>
      <c r="G461" s="115">
        <f t="shared" si="15"/>
        <v>94.545663004732035</v>
      </c>
    </row>
    <row r="462" spans="1:7">
      <c r="A462" s="14" t="s">
        <v>1128</v>
      </c>
      <c r="B462" s="15">
        <v>107.12227497106686</v>
      </c>
      <c r="C462" s="14">
        <v>514</v>
      </c>
      <c r="D462" s="14">
        <v>9</v>
      </c>
      <c r="E462" s="14">
        <v>3</v>
      </c>
      <c r="F462" s="114" t="str">
        <f t="shared" si="14"/>
        <v>202223_514_9_3</v>
      </c>
      <c r="G462" s="115">
        <f t="shared" si="15"/>
        <v>107.12227497106686</v>
      </c>
    </row>
    <row r="463" spans="1:7">
      <c r="A463" s="14" t="s">
        <v>1129</v>
      </c>
      <c r="B463" s="15">
        <v>5924</v>
      </c>
      <c r="C463" s="14">
        <v>516</v>
      </c>
      <c r="D463" s="14">
        <v>1</v>
      </c>
      <c r="E463" s="14">
        <v>2</v>
      </c>
      <c r="F463" s="114" t="str">
        <f t="shared" si="14"/>
        <v>202223_516_1_2</v>
      </c>
      <c r="G463" s="115">
        <f t="shared" si="15"/>
        <v>5924</v>
      </c>
    </row>
    <row r="464" spans="1:7">
      <c r="A464" s="14" t="s">
        <v>1130</v>
      </c>
      <c r="B464" s="15">
        <v>757</v>
      </c>
      <c r="C464" s="14">
        <v>516</v>
      </c>
      <c r="D464" s="14">
        <v>10.1</v>
      </c>
      <c r="E464" s="14">
        <v>3</v>
      </c>
      <c r="F464" s="114" t="str">
        <f t="shared" si="14"/>
        <v>202223_516_10.1_3</v>
      </c>
      <c r="G464" s="115">
        <f t="shared" si="15"/>
        <v>757</v>
      </c>
    </row>
    <row r="465" spans="1:7">
      <c r="A465" s="14" t="s">
        <v>1131</v>
      </c>
      <c r="B465" s="15">
        <v>1475</v>
      </c>
      <c r="C465" s="14">
        <v>516</v>
      </c>
      <c r="D465" s="14">
        <v>10.199999999999999</v>
      </c>
      <c r="E465" s="14">
        <v>3</v>
      </c>
      <c r="F465" s="114" t="str">
        <f t="shared" si="14"/>
        <v>202223_516_10.2_3</v>
      </c>
      <c r="G465" s="115">
        <f t="shared" si="15"/>
        <v>1475</v>
      </c>
    </row>
    <row r="466" spans="1:7">
      <c r="A466" s="14" t="s">
        <v>1132</v>
      </c>
      <c r="B466" s="15">
        <v>456</v>
      </c>
      <c r="C466" s="14">
        <v>516</v>
      </c>
      <c r="D466" s="14">
        <v>10.3</v>
      </c>
      <c r="E466" s="14">
        <v>3</v>
      </c>
      <c r="F466" s="114" t="str">
        <f t="shared" si="14"/>
        <v>202223_516_10.3_3</v>
      </c>
      <c r="G466" s="115">
        <f t="shared" si="15"/>
        <v>456</v>
      </c>
    </row>
    <row r="467" spans="1:7">
      <c r="A467" s="14" t="s">
        <v>1133</v>
      </c>
      <c r="B467" s="15">
        <v>701</v>
      </c>
      <c r="C467" s="14">
        <v>516</v>
      </c>
      <c r="D467" s="14">
        <v>10.4</v>
      </c>
      <c r="E467" s="14">
        <v>3</v>
      </c>
      <c r="F467" s="114" t="str">
        <f t="shared" si="14"/>
        <v>202223_516_10.4_3</v>
      </c>
      <c r="G467" s="115">
        <f t="shared" si="15"/>
        <v>701</v>
      </c>
    </row>
    <row r="468" spans="1:7">
      <c r="A468" s="14" t="s">
        <v>1134</v>
      </c>
      <c r="B468" s="15">
        <v>29356</v>
      </c>
      <c r="C468" s="14">
        <v>516</v>
      </c>
      <c r="D468" s="14">
        <v>10.5</v>
      </c>
      <c r="E468" s="14">
        <v>4</v>
      </c>
      <c r="F468" s="114" t="str">
        <f t="shared" si="14"/>
        <v>202223_516_10.5_4</v>
      </c>
      <c r="G468" s="115">
        <f t="shared" si="15"/>
        <v>29356</v>
      </c>
    </row>
    <row r="469" spans="1:7">
      <c r="A469" s="14" t="s">
        <v>1135</v>
      </c>
      <c r="B469" s="15">
        <v>28757</v>
      </c>
      <c r="C469" s="14">
        <v>516</v>
      </c>
      <c r="D469" s="14">
        <v>11</v>
      </c>
      <c r="E469" s="14">
        <v>4</v>
      </c>
      <c r="F469" s="114" t="str">
        <f t="shared" si="14"/>
        <v>202223_516_11_4</v>
      </c>
      <c r="G469" s="115">
        <f t="shared" si="15"/>
        <v>28757</v>
      </c>
    </row>
    <row r="470" spans="1:7">
      <c r="A470" s="14" t="s">
        <v>1136</v>
      </c>
      <c r="B470" s="15">
        <v>492</v>
      </c>
      <c r="C470" s="14">
        <v>516</v>
      </c>
      <c r="D470" s="14">
        <v>12</v>
      </c>
      <c r="E470" s="14">
        <v>4</v>
      </c>
      <c r="F470" s="114" t="str">
        <f t="shared" si="14"/>
        <v>202223_516_12_4</v>
      </c>
      <c r="G470" s="115">
        <f t="shared" si="15"/>
        <v>492</v>
      </c>
    </row>
    <row r="471" spans="1:7">
      <c r="A471" s="14" t="s">
        <v>1137</v>
      </c>
      <c r="B471" s="15">
        <v>97.959531271290373</v>
      </c>
      <c r="C471" s="14">
        <v>516</v>
      </c>
      <c r="D471" s="14">
        <v>12.5</v>
      </c>
      <c r="E471" s="14">
        <v>4</v>
      </c>
      <c r="F471" s="114" t="str">
        <f t="shared" si="14"/>
        <v>202223_516_12.5_4</v>
      </c>
      <c r="G471" s="115">
        <f t="shared" si="15"/>
        <v>97.959531271290373</v>
      </c>
    </row>
    <row r="472" spans="1:7">
      <c r="A472" s="14" t="s">
        <v>1138</v>
      </c>
      <c r="B472" s="15">
        <v>83</v>
      </c>
      <c r="C472" s="14">
        <v>516</v>
      </c>
      <c r="D472" s="14">
        <v>2</v>
      </c>
      <c r="E472" s="14">
        <v>2</v>
      </c>
      <c r="F472" s="114" t="str">
        <f t="shared" si="14"/>
        <v>202223_516_2_2</v>
      </c>
      <c r="G472" s="115">
        <f t="shared" si="15"/>
        <v>83</v>
      </c>
    </row>
    <row r="473" spans="1:7">
      <c r="A473" s="14" t="s">
        <v>1139</v>
      </c>
      <c r="B473" s="15">
        <v>82883</v>
      </c>
      <c r="C473" s="14">
        <v>516</v>
      </c>
      <c r="D473" s="14">
        <v>2</v>
      </c>
      <c r="E473" s="14">
        <v>3</v>
      </c>
      <c r="F473" s="114" t="str">
        <f t="shared" si="14"/>
        <v>202223_516_2_3</v>
      </c>
      <c r="G473" s="115">
        <f t="shared" si="15"/>
        <v>82883</v>
      </c>
    </row>
    <row r="474" spans="1:7">
      <c r="A474" s="14" t="s">
        <v>1140</v>
      </c>
      <c r="B474" s="15">
        <v>6007</v>
      </c>
      <c r="C474" s="14">
        <v>516</v>
      </c>
      <c r="D474" s="14">
        <v>3</v>
      </c>
      <c r="E474" s="14">
        <v>2</v>
      </c>
      <c r="F474" s="114" t="str">
        <f t="shared" si="14"/>
        <v>202223_516_3_2</v>
      </c>
      <c r="G474" s="115">
        <f t="shared" si="15"/>
        <v>6007</v>
      </c>
    </row>
    <row r="475" spans="1:7">
      <c r="A475" s="14" t="s">
        <v>1141</v>
      </c>
      <c r="B475" s="15">
        <v>82883</v>
      </c>
      <c r="C475" s="14">
        <v>516</v>
      </c>
      <c r="D475" s="14">
        <v>3</v>
      </c>
      <c r="E475" s="14">
        <v>3</v>
      </c>
      <c r="F475" s="114" t="str">
        <f t="shared" si="14"/>
        <v>202223_516_3_3</v>
      </c>
      <c r="G475" s="115">
        <f t="shared" si="15"/>
        <v>82883</v>
      </c>
    </row>
    <row r="476" spans="1:7">
      <c r="A476" s="14" t="s">
        <v>1142</v>
      </c>
      <c r="B476" s="15">
        <v>1243</v>
      </c>
      <c r="C476" s="14">
        <v>516</v>
      </c>
      <c r="D476" s="14">
        <v>4</v>
      </c>
      <c r="E476" s="14">
        <v>2</v>
      </c>
      <c r="F476" s="114" t="str">
        <f t="shared" si="14"/>
        <v>202223_516_4_2</v>
      </c>
      <c r="G476" s="115">
        <f t="shared" si="15"/>
        <v>1243</v>
      </c>
    </row>
    <row r="477" spans="1:7">
      <c r="A477" s="14" t="s">
        <v>1143</v>
      </c>
      <c r="B477" s="15">
        <v>80621</v>
      </c>
      <c r="C477" s="14">
        <v>516</v>
      </c>
      <c r="D477" s="14">
        <v>4</v>
      </c>
      <c r="E477" s="14">
        <v>3</v>
      </c>
      <c r="F477" s="114" t="str">
        <f t="shared" si="14"/>
        <v>202223_516_4_3</v>
      </c>
      <c r="G477" s="115">
        <f t="shared" si="15"/>
        <v>80621</v>
      </c>
    </row>
    <row r="478" spans="1:7">
      <c r="A478" s="14" t="s">
        <v>1144</v>
      </c>
      <c r="B478" s="15">
        <v>187</v>
      </c>
      <c r="C478" s="14">
        <v>516</v>
      </c>
      <c r="D478" s="14">
        <v>5</v>
      </c>
      <c r="E478" s="14">
        <v>2</v>
      </c>
      <c r="F478" s="114" t="str">
        <f t="shared" si="14"/>
        <v>202223_516_5_2</v>
      </c>
      <c r="G478" s="115">
        <f t="shared" si="15"/>
        <v>187</v>
      </c>
    </row>
    <row r="479" spans="1:7">
      <c r="A479" s="14" t="s">
        <v>1145</v>
      </c>
      <c r="B479" s="15">
        <v>7</v>
      </c>
      <c r="C479" s="14">
        <v>516</v>
      </c>
      <c r="D479" s="14">
        <v>5</v>
      </c>
      <c r="E479" s="14">
        <v>3</v>
      </c>
      <c r="F479" s="114" t="str">
        <f t="shared" si="14"/>
        <v>202223_516_5_3</v>
      </c>
      <c r="G479" s="115">
        <f t="shared" si="15"/>
        <v>7</v>
      </c>
    </row>
    <row r="480" spans="1:7">
      <c r="A480" s="14" t="s">
        <v>1146</v>
      </c>
      <c r="B480" s="15">
        <v>4577</v>
      </c>
      <c r="C480" s="14">
        <v>516</v>
      </c>
      <c r="D480" s="14">
        <v>6</v>
      </c>
      <c r="E480" s="14">
        <v>2</v>
      </c>
      <c r="F480" s="114" t="str">
        <f t="shared" si="14"/>
        <v>202223_516_6_2</v>
      </c>
      <c r="G480" s="115">
        <f t="shared" si="15"/>
        <v>4577</v>
      </c>
    </row>
    <row r="481" spans="1:7">
      <c r="A481" s="14" t="s">
        <v>1147</v>
      </c>
      <c r="B481" s="15">
        <v>2255</v>
      </c>
      <c r="C481" s="14">
        <v>516</v>
      </c>
      <c r="D481" s="14">
        <v>6</v>
      </c>
      <c r="E481" s="14">
        <v>3</v>
      </c>
      <c r="F481" s="114" t="str">
        <f t="shared" si="14"/>
        <v>202223_516_6_3</v>
      </c>
      <c r="G481" s="115">
        <f t="shared" si="15"/>
        <v>2255</v>
      </c>
    </row>
    <row r="482" spans="1:7">
      <c r="A482" s="14" t="s">
        <v>1148</v>
      </c>
      <c r="B482" s="15">
        <v>81013</v>
      </c>
      <c r="C482" s="14">
        <v>516</v>
      </c>
      <c r="D482" s="14">
        <v>7</v>
      </c>
      <c r="E482" s="14">
        <v>3</v>
      </c>
      <c r="F482" s="114" t="str">
        <f t="shared" si="14"/>
        <v>202223_516_7_3</v>
      </c>
      <c r="G482" s="115">
        <f t="shared" si="15"/>
        <v>81013</v>
      </c>
    </row>
    <row r="483" spans="1:7">
      <c r="A483" s="14" t="s">
        <v>1149</v>
      </c>
      <c r="B483" s="15">
        <v>97.270851682492193</v>
      </c>
      <c r="C483" s="14">
        <v>516</v>
      </c>
      <c r="D483" s="14">
        <v>8</v>
      </c>
      <c r="E483" s="14">
        <v>3</v>
      </c>
      <c r="F483" s="114" t="str">
        <f t="shared" si="14"/>
        <v>202223_516_8_3</v>
      </c>
      <c r="G483" s="115">
        <f t="shared" si="15"/>
        <v>97.270851682492193</v>
      </c>
    </row>
    <row r="484" spans="1:7">
      <c r="A484" s="14" t="s">
        <v>1150</v>
      </c>
      <c r="B484" s="15">
        <v>99.516127041339047</v>
      </c>
      <c r="C484" s="14">
        <v>516</v>
      </c>
      <c r="D484" s="14">
        <v>9</v>
      </c>
      <c r="E484" s="14">
        <v>3</v>
      </c>
      <c r="F484" s="114" t="str">
        <f t="shared" si="14"/>
        <v>202223_516_9_3</v>
      </c>
      <c r="G484" s="115">
        <f t="shared" si="15"/>
        <v>99.516127041339047</v>
      </c>
    </row>
    <row r="485" spans="1:7">
      <c r="A485" s="14" t="s">
        <v>1151</v>
      </c>
      <c r="B485" s="15">
        <v>3225</v>
      </c>
      <c r="C485" s="14">
        <v>518</v>
      </c>
      <c r="D485" s="14">
        <v>1</v>
      </c>
      <c r="E485" s="14">
        <v>2</v>
      </c>
      <c r="F485" s="114" t="str">
        <f t="shared" si="14"/>
        <v>202223_518_1_2</v>
      </c>
      <c r="G485" s="115">
        <f t="shared" si="15"/>
        <v>3225</v>
      </c>
    </row>
    <row r="486" spans="1:7">
      <c r="A486" s="14" t="s">
        <v>1152</v>
      </c>
      <c r="B486" s="15">
        <v>642</v>
      </c>
      <c r="C486" s="14">
        <v>518</v>
      </c>
      <c r="D486" s="14">
        <v>10.1</v>
      </c>
      <c r="E486" s="14">
        <v>3</v>
      </c>
      <c r="F486" s="114" t="str">
        <f t="shared" si="14"/>
        <v>202223_518_10.1_3</v>
      </c>
      <c r="G486" s="115">
        <f t="shared" si="15"/>
        <v>642</v>
      </c>
    </row>
    <row r="487" spans="1:7">
      <c r="A487" s="14" t="s">
        <v>1153</v>
      </c>
      <c r="B487" s="15">
        <v>393</v>
      </c>
      <c r="C487" s="14">
        <v>518</v>
      </c>
      <c r="D487" s="14">
        <v>10.199999999999999</v>
      </c>
      <c r="E487" s="14">
        <v>3</v>
      </c>
      <c r="F487" s="114" t="str">
        <f t="shared" si="14"/>
        <v>202223_518_10.2_3</v>
      </c>
      <c r="G487" s="115">
        <f t="shared" si="15"/>
        <v>393</v>
      </c>
    </row>
    <row r="488" spans="1:7">
      <c r="A488" s="14" t="s">
        <v>1154</v>
      </c>
      <c r="B488" s="15">
        <v>456</v>
      </c>
      <c r="C488" s="14">
        <v>518</v>
      </c>
      <c r="D488" s="14">
        <v>10.3</v>
      </c>
      <c r="E488" s="14">
        <v>3</v>
      </c>
      <c r="F488" s="114" t="str">
        <f t="shared" si="14"/>
        <v>202223_518_10.3_3</v>
      </c>
      <c r="G488" s="115">
        <f t="shared" si="15"/>
        <v>456</v>
      </c>
    </row>
    <row r="489" spans="1:7">
      <c r="A489" s="14" t="s">
        <v>1155</v>
      </c>
      <c r="B489" s="15">
        <v>434</v>
      </c>
      <c r="C489" s="14">
        <v>518</v>
      </c>
      <c r="D489" s="14">
        <v>10.4</v>
      </c>
      <c r="E489" s="14">
        <v>3</v>
      </c>
      <c r="F489" s="114" t="str">
        <f t="shared" si="14"/>
        <v>202223_518_10.4_3</v>
      </c>
      <c r="G489" s="115">
        <f t="shared" si="15"/>
        <v>434</v>
      </c>
    </row>
    <row r="490" spans="1:7">
      <c r="A490" s="14" t="s">
        <v>1156</v>
      </c>
      <c r="B490" s="15">
        <v>27854</v>
      </c>
      <c r="C490" s="14">
        <v>518</v>
      </c>
      <c r="D490" s="14">
        <v>10.5</v>
      </c>
      <c r="E490" s="14">
        <v>4</v>
      </c>
      <c r="F490" s="114" t="str">
        <f t="shared" si="14"/>
        <v>202223_518_10.5_4</v>
      </c>
      <c r="G490" s="115">
        <f t="shared" si="15"/>
        <v>27854</v>
      </c>
    </row>
    <row r="491" spans="1:7">
      <c r="A491" s="14" t="s">
        <v>1157</v>
      </c>
      <c r="B491" s="15">
        <v>27451</v>
      </c>
      <c r="C491" s="14">
        <v>518</v>
      </c>
      <c r="D491" s="14">
        <v>11</v>
      </c>
      <c r="E491" s="14">
        <v>4</v>
      </c>
      <c r="F491" s="114" t="str">
        <f t="shared" si="14"/>
        <v>202223_518_11_4</v>
      </c>
      <c r="G491" s="115">
        <f t="shared" si="15"/>
        <v>27451</v>
      </c>
    </row>
    <row r="492" spans="1:7">
      <c r="A492" s="14" t="s">
        <v>1158</v>
      </c>
      <c r="B492" s="15">
        <v>352</v>
      </c>
      <c r="C492" s="14">
        <v>518</v>
      </c>
      <c r="D492" s="14">
        <v>12</v>
      </c>
      <c r="E492" s="14">
        <v>4</v>
      </c>
      <c r="F492" s="114" t="str">
        <f t="shared" si="14"/>
        <v>202223_518_12_4</v>
      </c>
      <c r="G492" s="115">
        <f t="shared" si="15"/>
        <v>352</v>
      </c>
    </row>
    <row r="493" spans="1:7">
      <c r="A493" s="14" t="s">
        <v>1159</v>
      </c>
      <c r="B493" s="15">
        <v>98.553170101242188</v>
      </c>
      <c r="C493" s="14">
        <v>518</v>
      </c>
      <c r="D493" s="14">
        <v>12.5</v>
      </c>
      <c r="E493" s="14">
        <v>4</v>
      </c>
      <c r="F493" s="114" t="str">
        <f t="shared" si="14"/>
        <v>202223_518_12.5_4</v>
      </c>
      <c r="G493" s="115">
        <f t="shared" si="15"/>
        <v>98.553170101242188</v>
      </c>
    </row>
    <row r="494" spans="1:7">
      <c r="A494" s="14" t="s">
        <v>1160</v>
      </c>
      <c r="B494" s="15">
        <v>-163</v>
      </c>
      <c r="C494" s="14">
        <v>518</v>
      </c>
      <c r="D494" s="14">
        <v>2</v>
      </c>
      <c r="E494" s="14">
        <v>2</v>
      </c>
      <c r="F494" s="114" t="str">
        <f t="shared" si="14"/>
        <v>202223_518_2_2</v>
      </c>
      <c r="G494" s="115">
        <f t="shared" si="15"/>
        <v>-163</v>
      </c>
    </row>
    <row r="495" spans="1:7">
      <c r="A495" s="14" t="s">
        <v>1161</v>
      </c>
      <c r="B495" s="15">
        <v>65448</v>
      </c>
      <c r="C495" s="14">
        <v>518</v>
      </c>
      <c r="D495" s="14">
        <v>2</v>
      </c>
      <c r="E495" s="14">
        <v>3</v>
      </c>
      <c r="F495" s="114" t="str">
        <f t="shared" si="14"/>
        <v>202223_518_2_3</v>
      </c>
      <c r="G495" s="115">
        <f t="shared" si="15"/>
        <v>65448</v>
      </c>
    </row>
    <row r="496" spans="1:7">
      <c r="A496" s="14" t="s">
        <v>1162</v>
      </c>
      <c r="B496" s="15">
        <v>3062</v>
      </c>
      <c r="C496" s="14">
        <v>518</v>
      </c>
      <c r="D496" s="14">
        <v>3</v>
      </c>
      <c r="E496" s="14">
        <v>2</v>
      </c>
      <c r="F496" s="114" t="str">
        <f t="shared" si="14"/>
        <v>202223_518_3_2</v>
      </c>
      <c r="G496" s="115">
        <f t="shared" si="15"/>
        <v>3062</v>
      </c>
    </row>
    <row r="497" spans="1:7">
      <c r="A497" s="14" t="s">
        <v>1163</v>
      </c>
      <c r="B497" s="15">
        <v>65448</v>
      </c>
      <c r="C497" s="14">
        <v>518</v>
      </c>
      <c r="D497" s="14">
        <v>3</v>
      </c>
      <c r="E497" s="14">
        <v>3</v>
      </c>
      <c r="F497" s="114" t="str">
        <f t="shared" si="14"/>
        <v>202223_518_3_3</v>
      </c>
      <c r="G497" s="115">
        <f t="shared" si="15"/>
        <v>65448</v>
      </c>
    </row>
    <row r="498" spans="1:7">
      <c r="A498" s="14" t="s">
        <v>1164</v>
      </c>
      <c r="B498" s="15">
        <v>1032</v>
      </c>
      <c r="C498" s="14">
        <v>518</v>
      </c>
      <c r="D498" s="14">
        <v>4</v>
      </c>
      <c r="E498" s="14">
        <v>2</v>
      </c>
      <c r="F498" s="114" t="str">
        <f t="shared" si="14"/>
        <v>202223_518_4_2</v>
      </c>
      <c r="G498" s="115">
        <f t="shared" si="15"/>
        <v>1032</v>
      </c>
    </row>
    <row r="499" spans="1:7">
      <c r="A499" s="14" t="s">
        <v>1165</v>
      </c>
      <c r="B499" s="15">
        <v>63931</v>
      </c>
      <c r="C499" s="14">
        <v>518</v>
      </c>
      <c r="D499" s="14">
        <v>4</v>
      </c>
      <c r="E499" s="14">
        <v>3</v>
      </c>
      <c r="F499" s="114" t="str">
        <f t="shared" si="14"/>
        <v>202223_518_4_3</v>
      </c>
      <c r="G499" s="115">
        <f t="shared" si="15"/>
        <v>63931</v>
      </c>
    </row>
    <row r="500" spans="1:7">
      <c r="A500" s="14" t="s">
        <v>1166</v>
      </c>
      <c r="B500" s="15">
        <v>155</v>
      </c>
      <c r="C500" s="14">
        <v>518</v>
      </c>
      <c r="D500" s="14">
        <v>5</v>
      </c>
      <c r="E500" s="14">
        <v>2</v>
      </c>
      <c r="F500" s="114" t="str">
        <f t="shared" si="14"/>
        <v>202223_518_5_2</v>
      </c>
      <c r="G500" s="115">
        <f t="shared" si="15"/>
        <v>155</v>
      </c>
    </row>
    <row r="501" spans="1:7">
      <c r="A501" s="14" t="s">
        <v>1167</v>
      </c>
      <c r="B501" s="15">
        <v>14</v>
      </c>
      <c r="C501" s="14">
        <v>518</v>
      </c>
      <c r="D501" s="14">
        <v>5</v>
      </c>
      <c r="E501" s="14">
        <v>3</v>
      </c>
      <c r="F501" s="114" t="str">
        <f t="shared" si="14"/>
        <v>202223_518_5_3</v>
      </c>
      <c r="G501" s="115">
        <f t="shared" si="15"/>
        <v>14</v>
      </c>
    </row>
    <row r="502" spans="1:7">
      <c r="A502" s="14" t="s">
        <v>1168</v>
      </c>
      <c r="B502" s="15">
        <v>1875</v>
      </c>
      <c r="C502" s="14">
        <v>518</v>
      </c>
      <c r="D502" s="14">
        <v>6</v>
      </c>
      <c r="E502" s="14">
        <v>2</v>
      </c>
      <c r="F502" s="114" t="str">
        <f t="shared" si="14"/>
        <v>202223_518_6_2</v>
      </c>
      <c r="G502" s="115">
        <f t="shared" si="15"/>
        <v>1875</v>
      </c>
    </row>
    <row r="503" spans="1:7">
      <c r="A503" s="14" t="s">
        <v>1169</v>
      </c>
      <c r="B503" s="15">
        <v>1503</v>
      </c>
      <c r="C503" s="14">
        <v>518</v>
      </c>
      <c r="D503" s="14">
        <v>6</v>
      </c>
      <c r="E503" s="14">
        <v>3</v>
      </c>
      <c r="F503" s="114" t="str">
        <f t="shared" si="14"/>
        <v>202223_518_6_3</v>
      </c>
      <c r="G503" s="115">
        <f t="shared" si="15"/>
        <v>1503</v>
      </c>
    </row>
    <row r="504" spans="1:7">
      <c r="A504" s="14" t="s">
        <v>1170</v>
      </c>
      <c r="B504" s="15">
        <v>62452</v>
      </c>
      <c r="C504" s="14">
        <v>518</v>
      </c>
      <c r="D504" s="14">
        <v>7</v>
      </c>
      <c r="E504" s="14">
        <v>3</v>
      </c>
      <c r="F504" s="114" t="str">
        <f t="shared" si="14"/>
        <v>202223_518_7_3</v>
      </c>
      <c r="G504" s="115">
        <f t="shared" si="15"/>
        <v>62452</v>
      </c>
    </row>
    <row r="505" spans="1:7">
      <c r="A505" s="14" t="s">
        <v>1171</v>
      </c>
      <c r="B505" s="15">
        <v>97.682129324043515</v>
      </c>
      <c r="C505" s="14">
        <v>518</v>
      </c>
      <c r="D505" s="14">
        <v>8</v>
      </c>
      <c r="E505" s="14">
        <v>3</v>
      </c>
      <c r="F505" s="114" t="str">
        <f t="shared" si="14"/>
        <v>202223_518_8_3</v>
      </c>
      <c r="G505" s="115">
        <f t="shared" si="15"/>
        <v>97.682129324043515</v>
      </c>
    </row>
    <row r="506" spans="1:7">
      <c r="A506" s="14" t="s">
        <v>1172</v>
      </c>
      <c r="B506" s="15">
        <v>102.36821879203228</v>
      </c>
      <c r="C506" s="14">
        <v>518</v>
      </c>
      <c r="D506" s="14">
        <v>9</v>
      </c>
      <c r="E506" s="14">
        <v>3</v>
      </c>
      <c r="F506" s="114" t="str">
        <f t="shared" si="14"/>
        <v>202223_518_9_3</v>
      </c>
      <c r="G506" s="115">
        <f t="shared" si="15"/>
        <v>102.36821879203228</v>
      </c>
    </row>
    <row r="507" spans="1:7">
      <c r="A507" s="14" t="s">
        <v>1173</v>
      </c>
      <c r="B507" s="15">
        <v>4640</v>
      </c>
      <c r="C507" s="14">
        <v>520</v>
      </c>
      <c r="D507" s="14">
        <v>1</v>
      </c>
      <c r="E507" s="14">
        <v>2</v>
      </c>
      <c r="F507" s="114" t="str">
        <f t="shared" si="14"/>
        <v>202223_520_1_2</v>
      </c>
      <c r="G507" s="115">
        <f t="shared" si="15"/>
        <v>4640</v>
      </c>
    </row>
    <row r="508" spans="1:7">
      <c r="A508" s="14" t="s">
        <v>1174</v>
      </c>
      <c r="B508" s="15">
        <v>615</v>
      </c>
      <c r="C508" s="14">
        <v>520</v>
      </c>
      <c r="D508" s="14">
        <v>10.1</v>
      </c>
      <c r="E508" s="14">
        <v>3</v>
      </c>
      <c r="F508" s="114" t="str">
        <f t="shared" si="14"/>
        <v>202223_520_10.1_3</v>
      </c>
      <c r="G508" s="115">
        <f t="shared" si="15"/>
        <v>615</v>
      </c>
    </row>
    <row r="509" spans="1:7">
      <c r="A509" s="14" t="s">
        <v>1175</v>
      </c>
      <c r="B509" s="15">
        <v>179</v>
      </c>
      <c r="C509" s="14">
        <v>520</v>
      </c>
      <c r="D509" s="14">
        <v>10.199999999999999</v>
      </c>
      <c r="E509" s="14">
        <v>3</v>
      </c>
      <c r="F509" s="114" t="str">
        <f t="shared" si="14"/>
        <v>202223_520_10.2_3</v>
      </c>
      <c r="G509" s="115">
        <f t="shared" si="15"/>
        <v>179</v>
      </c>
    </row>
    <row r="510" spans="1:7">
      <c r="A510" s="14" t="s">
        <v>1176</v>
      </c>
      <c r="B510" s="15">
        <v>430.33399999997346</v>
      </c>
      <c r="C510" s="14">
        <v>520</v>
      </c>
      <c r="D510" s="14">
        <v>10.3</v>
      </c>
      <c r="E510" s="14">
        <v>3</v>
      </c>
      <c r="F510" s="114" t="str">
        <f t="shared" si="14"/>
        <v>202223_520_10.3_3</v>
      </c>
      <c r="G510" s="115">
        <f t="shared" si="15"/>
        <v>430.33399999997346</v>
      </c>
    </row>
    <row r="511" spans="1:7">
      <c r="A511" s="14" t="s">
        <v>1177</v>
      </c>
      <c r="B511" s="15">
        <v>157.11900000000605</v>
      </c>
      <c r="C511" s="14">
        <v>520</v>
      </c>
      <c r="D511" s="14">
        <v>10.4</v>
      </c>
      <c r="E511" s="14">
        <v>3</v>
      </c>
      <c r="F511" s="114" t="str">
        <f t="shared" si="14"/>
        <v>202223_520_10.4_3</v>
      </c>
      <c r="G511" s="115">
        <f t="shared" si="15"/>
        <v>157.11900000000605</v>
      </c>
    </row>
    <row r="512" spans="1:7">
      <c r="A512" s="14" t="s">
        <v>1178</v>
      </c>
      <c r="B512" s="15">
        <v>63965</v>
      </c>
      <c r="C512" s="14">
        <v>520</v>
      </c>
      <c r="D512" s="14">
        <v>10.5</v>
      </c>
      <c r="E512" s="14">
        <v>4</v>
      </c>
      <c r="F512" s="114" t="str">
        <f t="shared" si="14"/>
        <v>202223_520_10.5_4</v>
      </c>
      <c r="G512" s="115">
        <f t="shared" si="15"/>
        <v>63965</v>
      </c>
    </row>
    <row r="513" spans="1:7">
      <c r="A513" s="14" t="s">
        <v>1179</v>
      </c>
      <c r="B513" s="15">
        <v>63176</v>
      </c>
      <c r="C513" s="14">
        <v>520</v>
      </c>
      <c r="D513" s="14">
        <v>11</v>
      </c>
      <c r="E513" s="14">
        <v>4</v>
      </c>
      <c r="F513" s="114" t="str">
        <f t="shared" si="14"/>
        <v>202223_520_11_4</v>
      </c>
      <c r="G513" s="115">
        <f t="shared" si="15"/>
        <v>63176</v>
      </c>
    </row>
    <row r="514" spans="1:7">
      <c r="A514" s="14" t="s">
        <v>1180</v>
      </c>
      <c r="B514" s="15">
        <v>1043</v>
      </c>
      <c r="C514" s="14">
        <v>520</v>
      </c>
      <c r="D514" s="14">
        <v>12</v>
      </c>
      <c r="E514" s="14">
        <v>4</v>
      </c>
      <c r="F514" s="114" t="str">
        <f t="shared" si="14"/>
        <v>202223_520_12_4</v>
      </c>
      <c r="G514" s="115">
        <f t="shared" si="15"/>
        <v>1043</v>
      </c>
    </row>
    <row r="515" spans="1:7">
      <c r="A515" s="14" t="s">
        <v>1181</v>
      </c>
      <c r="B515" s="15">
        <v>98.766512936762297</v>
      </c>
      <c r="C515" s="14">
        <v>520</v>
      </c>
      <c r="D515" s="14">
        <v>12.5</v>
      </c>
      <c r="E515" s="14">
        <v>4</v>
      </c>
      <c r="F515" s="114" t="str">
        <f t="shared" si="14"/>
        <v>202223_520_12.5_4</v>
      </c>
      <c r="G515" s="115">
        <f t="shared" si="15"/>
        <v>98.766512936762297</v>
      </c>
    </row>
    <row r="516" spans="1:7">
      <c r="A516" s="14" t="s">
        <v>1182</v>
      </c>
      <c r="B516" s="15">
        <v>-276</v>
      </c>
      <c r="C516" s="14">
        <v>520</v>
      </c>
      <c r="D516" s="14">
        <v>2</v>
      </c>
      <c r="E516" s="14">
        <v>2</v>
      </c>
      <c r="F516" s="114" t="str">
        <f t="shared" si="14"/>
        <v>202223_520_2_2</v>
      </c>
      <c r="G516" s="115">
        <f t="shared" si="15"/>
        <v>-276</v>
      </c>
    </row>
    <row r="517" spans="1:7">
      <c r="A517" s="14" t="s">
        <v>1183</v>
      </c>
      <c r="B517" s="15">
        <v>108073</v>
      </c>
      <c r="C517" s="14">
        <v>520</v>
      </c>
      <c r="D517" s="14">
        <v>2</v>
      </c>
      <c r="E517" s="14">
        <v>3</v>
      </c>
      <c r="F517" s="114" t="str">
        <f t="shared" ref="F517:F580" si="16">LEFT(A517,6)&amp;"_"&amp;C517&amp;"_"&amp;D517&amp;"_"&amp;E517</f>
        <v>202223_520_2_3</v>
      </c>
      <c r="G517" s="115">
        <f t="shared" ref="G517:G580" si="17">B517</f>
        <v>108073</v>
      </c>
    </row>
    <row r="518" spans="1:7">
      <c r="A518" s="14" t="s">
        <v>1184</v>
      </c>
      <c r="B518" s="15">
        <v>4364</v>
      </c>
      <c r="C518" s="14">
        <v>520</v>
      </c>
      <c r="D518" s="14">
        <v>3</v>
      </c>
      <c r="E518" s="14">
        <v>2</v>
      </c>
      <c r="F518" s="114" t="str">
        <f t="shared" si="16"/>
        <v>202223_520_3_2</v>
      </c>
      <c r="G518" s="115">
        <f t="shared" si="17"/>
        <v>4364</v>
      </c>
    </row>
    <row r="519" spans="1:7">
      <c r="A519" s="14" t="s">
        <v>1185</v>
      </c>
      <c r="B519" s="15">
        <v>108073</v>
      </c>
      <c r="C519" s="14">
        <v>520</v>
      </c>
      <c r="D519" s="14">
        <v>3</v>
      </c>
      <c r="E519" s="14">
        <v>3</v>
      </c>
      <c r="F519" s="114" t="str">
        <f t="shared" si="16"/>
        <v>202223_520_3_3</v>
      </c>
      <c r="G519" s="115">
        <f t="shared" si="17"/>
        <v>108073</v>
      </c>
    </row>
    <row r="520" spans="1:7">
      <c r="A520" s="14" t="s">
        <v>1186</v>
      </c>
      <c r="B520" s="15">
        <v>1242</v>
      </c>
      <c r="C520" s="14">
        <v>520</v>
      </c>
      <c r="D520" s="14">
        <v>4</v>
      </c>
      <c r="E520" s="14">
        <v>2</v>
      </c>
      <c r="F520" s="114" t="str">
        <f t="shared" si="16"/>
        <v>202223_520_4_2</v>
      </c>
      <c r="G520" s="115">
        <f t="shared" si="17"/>
        <v>1242</v>
      </c>
    </row>
    <row r="521" spans="1:7">
      <c r="A521" s="14" t="s">
        <v>1187</v>
      </c>
      <c r="B521" s="15">
        <v>105301</v>
      </c>
      <c r="C521" s="14">
        <v>520</v>
      </c>
      <c r="D521" s="14">
        <v>4</v>
      </c>
      <c r="E521" s="14">
        <v>3</v>
      </c>
      <c r="F521" s="114" t="str">
        <f t="shared" si="16"/>
        <v>202223_520_4_3</v>
      </c>
      <c r="G521" s="115">
        <f t="shared" si="17"/>
        <v>105301</v>
      </c>
    </row>
    <row r="522" spans="1:7">
      <c r="A522" s="14" t="s">
        <v>1188</v>
      </c>
      <c r="B522" s="15">
        <v>661</v>
      </c>
      <c r="C522" s="14">
        <v>520</v>
      </c>
      <c r="D522" s="14">
        <v>5</v>
      </c>
      <c r="E522" s="14">
        <v>2</v>
      </c>
      <c r="F522" s="114" t="str">
        <f t="shared" si="16"/>
        <v>202223_520_5_2</v>
      </c>
      <c r="G522" s="115">
        <f t="shared" si="17"/>
        <v>661</v>
      </c>
    </row>
    <row r="523" spans="1:7">
      <c r="A523" s="14" t="s">
        <v>1189</v>
      </c>
      <c r="B523" s="15">
        <v>93</v>
      </c>
      <c r="C523" s="14">
        <v>520</v>
      </c>
      <c r="D523" s="14">
        <v>5</v>
      </c>
      <c r="E523" s="14">
        <v>3</v>
      </c>
      <c r="F523" s="114" t="str">
        <f t="shared" si="16"/>
        <v>202223_520_5_3</v>
      </c>
      <c r="G523" s="115">
        <f t="shared" si="17"/>
        <v>93</v>
      </c>
    </row>
    <row r="524" spans="1:7">
      <c r="A524" s="14" t="s">
        <v>1190</v>
      </c>
      <c r="B524" s="15">
        <v>2461</v>
      </c>
      <c r="C524" s="14">
        <v>520</v>
      </c>
      <c r="D524" s="14">
        <v>6</v>
      </c>
      <c r="E524" s="14">
        <v>2</v>
      </c>
      <c r="F524" s="114" t="str">
        <f t="shared" si="16"/>
        <v>202223_520_6_2</v>
      </c>
      <c r="G524" s="115">
        <f t="shared" si="17"/>
        <v>2461</v>
      </c>
    </row>
    <row r="525" spans="1:7">
      <c r="A525" s="14" t="s">
        <v>1191</v>
      </c>
      <c r="B525" s="15">
        <v>2679</v>
      </c>
      <c r="C525" s="14">
        <v>520</v>
      </c>
      <c r="D525" s="14">
        <v>6</v>
      </c>
      <c r="E525" s="14">
        <v>3</v>
      </c>
      <c r="F525" s="114" t="str">
        <f t="shared" si="16"/>
        <v>202223_520_6_3</v>
      </c>
      <c r="G525" s="115">
        <f t="shared" si="17"/>
        <v>2679</v>
      </c>
    </row>
    <row r="526" spans="1:7">
      <c r="A526" s="14" t="s">
        <v>1192</v>
      </c>
      <c r="B526" s="15">
        <v>106486</v>
      </c>
      <c r="C526" s="14">
        <v>520</v>
      </c>
      <c r="D526" s="14">
        <v>7</v>
      </c>
      <c r="E526" s="14">
        <v>3</v>
      </c>
      <c r="F526" s="114" t="str">
        <f t="shared" si="16"/>
        <v>202223_520_7_3</v>
      </c>
      <c r="G526" s="115">
        <f t="shared" si="17"/>
        <v>106486</v>
      </c>
    </row>
    <row r="527" spans="1:7">
      <c r="A527" s="14" t="s">
        <v>1193</v>
      </c>
      <c r="B527" s="15">
        <v>97.435067038020591</v>
      </c>
      <c r="C527" s="14">
        <v>520</v>
      </c>
      <c r="D527" s="14">
        <v>8</v>
      </c>
      <c r="E527" s="14">
        <v>3</v>
      </c>
      <c r="F527" s="114" t="str">
        <f t="shared" si="16"/>
        <v>202223_520_8_3</v>
      </c>
      <c r="G527" s="115">
        <f t="shared" si="17"/>
        <v>97.435067038020591</v>
      </c>
    </row>
    <row r="528" spans="1:7">
      <c r="A528" s="14" t="s">
        <v>1194</v>
      </c>
      <c r="B528" s="15">
        <v>98.887177657156812</v>
      </c>
      <c r="C528" s="14">
        <v>520</v>
      </c>
      <c r="D528" s="14">
        <v>9</v>
      </c>
      <c r="E528" s="14">
        <v>3</v>
      </c>
      <c r="F528" s="114" t="str">
        <f t="shared" si="16"/>
        <v>202223_520_9_3</v>
      </c>
      <c r="G528" s="115">
        <f t="shared" si="17"/>
        <v>98.887177657156812</v>
      </c>
    </row>
    <row r="529" spans="1:7">
      <c r="A529" s="14" t="s">
        <v>1195</v>
      </c>
      <c r="B529" s="15">
        <v>7851</v>
      </c>
      <c r="C529" s="14">
        <v>522</v>
      </c>
      <c r="D529" s="14">
        <v>1</v>
      </c>
      <c r="E529" s="14">
        <v>2</v>
      </c>
      <c r="F529" s="114" t="str">
        <f t="shared" si="16"/>
        <v>202223_522_1_2</v>
      </c>
      <c r="G529" s="115">
        <f t="shared" si="17"/>
        <v>7851</v>
      </c>
    </row>
    <row r="530" spans="1:7">
      <c r="A530" s="14" t="s">
        <v>1196</v>
      </c>
      <c r="B530" s="15">
        <v>465</v>
      </c>
      <c r="C530" s="14">
        <v>522</v>
      </c>
      <c r="D530" s="14">
        <v>10.1</v>
      </c>
      <c r="E530" s="14">
        <v>3</v>
      </c>
      <c r="F530" s="114" t="str">
        <f t="shared" si="16"/>
        <v>202223_522_10.1_3</v>
      </c>
      <c r="G530" s="115">
        <f t="shared" si="17"/>
        <v>465</v>
      </c>
    </row>
    <row r="531" spans="1:7">
      <c r="A531" s="14" t="s">
        <v>1197</v>
      </c>
      <c r="B531" s="15">
        <v>0</v>
      </c>
      <c r="C531" s="14">
        <v>522</v>
      </c>
      <c r="D531" s="14">
        <v>10.199999999999999</v>
      </c>
      <c r="E531" s="14">
        <v>3</v>
      </c>
      <c r="F531" s="114" t="str">
        <f t="shared" si="16"/>
        <v>202223_522_10.2_3</v>
      </c>
      <c r="G531" s="115">
        <f t="shared" si="17"/>
        <v>0</v>
      </c>
    </row>
    <row r="532" spans="1:7">
      <c r="A532" s="14" t="s">
        <v>1198</v>
      </c>
      <c r="B532" s="15">
        <v>163.31599999999162</v>
      </c>
      <c r="C532" s="14">
        <v>522</v>
      </c>
      <c r="D532" s="14">
        <v>10.3</v>
      </c>
      <c r="E532" s="14">
        <v>3</v>
      </c>
      <c r="F532" s="114" t="str">
        <f t="shared" si="16"/>
        <v>202223_522_10.3_3</v>
      </c>
      <c r="G532" s="115">
        <f t="shared" si="17"/>
        <v>163.31599999999162</v>
      </c>
    </row>
    <row r="533" spans="1:7">
      <c r="A533" s="14" t="s">
        <v>1199</v>
      </c>
      <c r="B533" s="15">
        <v>0</v>
      </c>
      <c r="C533" s="14">
        <v>522</v>
      </c>
      <c r="D533" s="14">
        <v>10.4</v>
      </c>
      <c r="E533" s="14">
        <v>3</v>
      </c>
      <c r="F533" s="114" t="str">
        <f t="shared" si="16"/>
        <v>202223_522_10.4_3</v>
      </c>
      <c r="G533" s="115">
        <f t="shared" si="17"/>
        <v>0</v>
      </c>
    </row>
    <row r="534" spans="1:7">
      <c r="A534" s="14" t="s">
        <v>1200</v>
      </c>
      <c r="B534" s="15">
        <v>44391</v>
      </c>
      <c r="C534" s="14">
        <v>522</v>
      </c>
      <c r="D534" s="14">
        <v>10.5</v>
      </c>
      <c r="E534" s="14">
        <v>4</v>
      </c>
      <c r="F534" s="114" t="str">
        <f t="shared" si="16"/>
        <v>202223_522_10.5_4</v>
      </c>
      <c r="G534" s="115">
        <f t="shared" si="17"/>
        <v>44391</v>
      </c>
    </row>
    <row r="535" spans="1:7">
      <c r="A535" s="14" t="s">
        <v>1201</v>
      </c>
      <c r="B535" s="15">
        <v>43693</v>
      </c>
      <c r="C535" s="14">
        <v>522</v>
      </c>
      <c r="D535" s="14">
        <v>11</v>
      </c>
      <c r="E535" s="14">
        <v>4</v>
      </c>
      <c r="F535" s="114" t="str">
        <f t="shared" si="16"/>
        <v>202223_522_11_4</v>
      </c>
      <c r="G535" s="115">
        <f t="shared" si="17"/>
        <v>43693</v>
      </c>
    </row>
    <row r="536" spans="1:7">
      <c r="A536" s="14" t="s">
        <v>1202</v>
      </c>
      <c r="B536" s="15">
        <v>734</v>
      </c>
      <c r="C536" s="14">
        <v>522</v>
      </c>
      <c r="D536" s="14">
        <v>12</v>
      </c>
      <c r="E536" s="14">
        <v>4</v>
      </c>
      <c r="F536" s="114" t="str">
        <f t="shared" si="16"/>
        <v>202223_522_12_4</v>
      </c>
      <c r="G536" s="115">
        <f t="shared" si="17"/>
        <v>734</v>
      </c>
    </row>
    <row r="537" spans="1:7">
      <c r="A537" s="14" t="s">
        <v>1203</v>
      </c>
      <c r="B537" s="15">
        <v>98.427609200063074</v>
      </c>
      <c r="C537" s="14">
        <v>522</v>
      </c>
      <c r="D537" s="14">
        <v>12.5</v>
      </c>
      <c r="E537" s="14">
        <v>4</v>
      </c>
      <c r="F537" s="114" t="str">
        <f t="shared" si="16"/>
        <v>202223_522_12.5_4</v>
      </c>
      <c r="G537" s="115">
        <f t="shared" si="17"/>
        <v>98.427609200063074</v>
      </c>
    </row>
    <row r="538" spans="1:7">
      <c r="A538" s="14" t="s">
        <v>1204</v>
      </c>
      <c r="B538" s="15">
        <v>-378</v>
      </c>
      <c r="C538" s="14">
        <v>522</v>
      </c>
      <c r="D538" s="14">
        <v>2</v>
      </c>
      <c r="E538" s="14">
        <v>2</v>
      </c>
      <c r="F538" s="114" t="str">
        <f t="shared" si="16"/>
        <v>202223_522_2_2</v>
      </c>
      <c r="G538" s="115">
        <f t="shared" si="17"/>
        <v>-378</v>
      </c>
    </row>
    <row r="539" spans="1:7">
      <c r="A539" s="14" t="s">
        <v>1205</v>
      </c>
      <c r="B539" s="15">
        <v>83204</v>
      </c>
      <c r="C539" s="14">
        <v>522</v>
      </c>
      <c r="D539" s="14">
        <v>2</v>
      </c>
      <c r="E539" s="14">
        <v>3</v>
      </c>
      <c r="F539" s="114" t="str">
        <f t="shared" si="16"/>
        <v>202223_522_2_3</v>
      </c>
      <c r="G539" s="115">
        <f t="shared" si="17"/>
        <v>83204</v>
      </c>
    </row>
    <row r="540" spans="1:7">
      <c r="A540" s="14" t="s">
        <v>1206</v>
      </c>
      <c r="B540" s="15">
        <v>7473</v>
      </c>
      <c r="C540" s="14">
        <v>522</v>
      </c>
      <c r="D540" s="14">
        <v>3</v>
      </c>
      <c r="E540" s="14">
        <v>2</v>
      </c>
      <c r="F540" s="114" t="str">
        <f t="shared" si="16"/>
        <v>202223_522_3_2</v>
      </c>
      <c r="G540" s="115">
        <f t="shared" si="17"/>
        <v>7473</v>
      </c>
    </row>
    <row r="541" spans="1:7">
      <c r="A541" s="14" t="s">
        <v>1207</v>
      </c>
      <c r="B541" s="15">
        <v>83204</v>
      </c>
      <c r="C541" s="14">
        <v>522</v>
      </c>
      <c r="D541" s="14">
        <v>3</v>
      </c>
      <c r="E541" s="14">
        <v>3</v>
      </c>
      <c r="F541" s="114" t="str">
        <f t="shared" si="16"/>
        <v>202223_522_3_3</v>
      </c>
      <c r="G541" s="115">
        <f t="shared" si="17"/>
        <v>83204</v>
      </c>
    </row>
    <row r="542" spans="1:7">
      <c r="A542" s="14" t="s">
        <v>1208</v>
      </c>
      <c r="B542" s="15">
        <v>886</v>
      </c>
      <c r="C542" s="14">
        <v>522</v>
      </c>
      <c r="D542" s="14">
        <v>4</v>
      </c>
      <c r="E542" s="14">
        <v>2</v>
      </c>
      <c r="F542" s="114" t="str">
        <f t="shared" si="16"/>
        <v>202223_522_4_2</v>
      </c>
      <c r="G542" s="115">
        <f t="shared" si="17"/>
        <v>886</v>
      </c>
    </row>
    <row r="543" spans="1:7">
      <c r="A543" s="14" t="s">
        <v>1209</v>
      </c>
      <c r="B543" s="15">
        <v>79662</v>
      </c>
      <c r="C543" s="14">
        <v>522</v>
      </c>
      <c r="D543" s="14">
        <v>4</v>
      </c>
      <c r="E543" s="14">
        <v>3</v>
      </c>
      <c r="F543" s="114" t="str">
        <f t="shared" si="16"/>
        <v>202223_522_4_3</v>
      </c>
      <c r="G543" s="115">
        <f t="shared" si="17"/>
        <v>79662</v>
      </c>
    </row>
    <row r="544" spans="1:7">
      <c r="A544" s="14" t="s">
        <v>1210</v>
      </c>
      <c r="B544" s="15">
        <v>644</v>
      </c>
      <c r="C544" s="14">
        <v>522</v>
      </c>
      <c r="D544" s="14">
        <v>5</v>
      </c>
      <c r="E544" s="14">
        <v>2</v>
      </c>
      <c r="F544" s="114" t="str">
        <f t="shared" si="16"/>
        <v>202223_522_5_2</v>
      </c>
      <c r="G544" s="115">
        <f t="shared" si="17"/>
        <v>644</v>
      </c>
    </row>
    <row r="545" spans="1:7">
      <c r="A545" s="14" t="s">
        <v>1211</v>
      </c>
      <c r="B545" s="15">
        <v>42</v>
      </c>
      <c r="C545" s="14">
        <v>522</v>
      </c>
      <c r="D545" s="14">
        <v>5</v>
      </c>
      <c r="E545" s="14">
        <v>3</v>
      </c>
      <c r="F545" s="114" t="str">
        <f t="shared" si="16"/>
        <v>202223_522_5_3</v>
      </c>
      <c r="G545" s="115">
        <f t="shared" si="17"/>
        <v>42</v>
      </c>
    </row>
    <row r="546" spans="1:7">
      <c r="A546" s="14" t="s">
        <v>1212</v>
      </c>
      <c r="B546" s="15">
        <v>5943</v>
      </c>
      <c r="C546" s="14">
        <v>522</v>
      </c>
      <c r="D546" s="14">
        <v>6</v>
      </c>
      <c r="E546" s="14">
        <v>2</v>
      </c>
      <c r="F546" s="114" t="str">
        <f t="shared" si="16"/>
        <v>202223_522_6_2</v>
      </c>
      <c r="G546" s="115">
        <f t="shared" si="17"/>
        <v>5943</v>
      </c>
    </row>
    <row r="547" spans="1:7">
      <c r="A547" s="14" t="s">
        <v>1213</v>
      </c>
      <c r="B547" s="15">
        <v>3500</v>
      </c>
      <c r="C547" s="14">
        <v>522</v>
      </c>
      <c r="D547" s="14">
        <v>6</v>
      </c>
      <c r="E547" s="14">
        <v>3</v>
      </c>
      <c r="F547" s="114" t="str">
        <f t="shared" si="16"/>
        <v>202223_522_6_3</v>
      </c>
      <c r="G547" s="115">
        <f t="shared" si="17"/>
        <v>3500</v>
      </c>
    </row>
    <row r="548" spans="1:7">
      <c r="A548" s="14" t="s">
        <v>1214</v>
      </c>
      <c r="B548" s="15">
        <v>81702</v>
      </c>
      <c r="C548" s="14">
        <v>522</v>
      </c>
      <c r="D548" s="14">
        <v>7</v>
      </c>
      <c r="E548" s="14">
        <v>3</v>
      </c>
      <c r="F548" s="114" t="str">
        <f t="shared" si="16"/>
        <v>202223_522_7_3</v>
      </c>
      <c r="G548" s="115">
        <f t="shared" si="17"/>
        <v>81702</v>
      </c>
    </row>
    <row r="549" spans="1:7">
      <c r="A549" s="14" t="s">
        <v>1215</v>
      </c>
      <c r="B549" s="15">
        <v>95.742993125330514</v>
      </c>
      <c r="C549" s="14">
        <v>522</v>
      </c>
      <c r="D549" s="14">
        <v>8</v>
      </c>
      <c r="E549" s="14">
        <v>3</v>
      </c>
      <c r="F549" s="114" t="str">
        <f t="shared" si="16"/>
        <v>202223_522_8_3</v>
      </c>
      <c r="G549" s="115">
        <f t="shared" si="17"/>
        <v>95.742993125330514</v>
      </c>
    </row>
    <row r="550" spans="1:7">
      <c r="A550" s="14" t="s">
        <v>1216</v>
      </c>
      <c r="B550" s="15">
        <v>97.503121098626721</v>
      </c>
      <c r="C550" s="14">
        <v>522</v>
      </c>
      <c r="D550" s="14">
        <v>9</v>
      </c>
      <c r="E550" s="14">
        <v>3</v>
      </c>
      <c r="F550" s="114" t="str">
        <f t="shared" si="16"/>
        <v>202223_522_9_3</v>
      </c>
      <c r="G550" s="115">
        <f t="shared" si="17"/>
        <v>97.503121098626721</v>
      </c>
    </row>
    <row r="551" spans="1:7">
      <c r="A551" s="14" t="s">
        <v>1217</v>
      </c>
      <c r="B551" s="15">
        <v>5605</v>
      </c>
      <c r="C551" s="14">
        <v>524</v>
      </c>
      <c r="D551" s="14">
        <v>1</v>
      </c>
      <c r="E551" s="14">
        <v>2</v>
      </c>
      <c r="F551" s="114" t="str">
        <f t="shared" si="16"/>
        <v>202223_524_1_2</v>
      </c>
      <c r="G551" s="115">
        <f t="shared" si="17"/>
        <v>5605</v>
      </c>
    </row>
    <row r="552" spans="1:7">
      <c r="A552" s="14" t="s">
        <v>1218</v>
      </c>
      <c r="B552" s="15">
        <v>1023</v>
      </c>
      <c r="C552" s="14">
        <v>524</v>
      </c>
      <c r="D552" s="14">
        <v>10.1</v>
      </c>
      <c r="E552" s="14">
        <v>3</v>
      </c>
      <c r="F552" s="114" t="str">
        <f t="shared" si="16"/>
        <v>202223_524_10.1_3</v>
      </c>
      <c r="G552" s="115">
        <f t="shared" si="17"/>
        <v>1023</v>
      </c>
    </row>
    <row r="553" spans="1:7">
      <c r="A553" s="14" t="s">
        <v>1219</v>
      </c>
      <c r="B553" s="15">
        <v>1411</v>
      </c>
      <c r="C553" s="14">
        <v>524</v>
      </c>
      <c r="D553" s="14">
        <v>10.199999999999999</v>
      </c>
      <c r="E553" s="14">
        <v>3</v>
      </c>
      <c r="F553" s="114" t="str">
        <f t="shared" si="16"/>
        <v>202223_524_10.2_3</v>
      </c>
      <c r="G553" s="115">
        <f t="shared" si="17"/>
        <v>1411</v>
      </c>
    </row>
    <row r="554" spans="1:7">
      <c r="A554" s="14" t="s">
        <v>1220</v>
      </c>
      <c r="B554" s="15">
        <v>762</v>
      </c>
      <c r="C554" s="14">
        <v>524</v>
      </c>
      <c r="D554" s="14">
        <v>10.3</v>
      </c>
      <c r="E554" s="14">
        <v>3</v>
      </c>
      <c r="F554" s="114" t="str">
        <f t="shared" si="16"/>
        <v>202223_524_10.3_3</v>
      </c>
      <c r="G554" s="115">
        <f t="shared" si="17"/>
        <v>762</v>
      </c>
    </row>
    <row r="555" spans="1:7">
      <c r="A555" s="14" t="s">
        <v>1221</v>
      </c>
      <c r="B555" s="15">
        <v>1415</v>
      </c>
      <c r="C555" s="14">
        <v>524</v>
      </c>
      <c r="D555" s="14">
        <v>10.4</v>
      </c>
      <c r="E555" s="14">
        <v>3</v>
      </c>
      <c r="F555" s="114" t="str">
        <f t="shared" si="16"/>
        <v>202223_524_10.4_3</v>
      </c>
      <c r="G555" s="115">
        <f t="shared" si="17"/>
        <v>1415</v>
      </c>
    </row>
    <row r="556" spans="1:7">
      <c r="A556" s="14" t="s">
        <v>1222</v>
      </c>
      <c r="B556" s="15">
        <v>29314</v>
      </c>
      <c r="C556" s="14">
        <v>524</v>
      </c>
      <c r="D556" s="14">
        <v>10.5</v>
      </c>
      <c r="E556" s="14">
        <v>4</v>
      </c>
      <c r="F556" s="114" t="str">
        <f t="shared" si="16"/>
        <v>202223_524_10.5_4</v>
      </c>
      <c r="G556" s="115">
        <f t="shared" si="17"/>
        <v>29314</v>
      </c>
    </row>
    <row r="557" spans="1:7">
      <c r="A557" s="14" t="s">
        <v>1223</v>
      </c>
      <c r="B557" s="15">
        <v>28724</v>
      </c>
      <c r="C557" s="14">
        <v>524</v>
      </c>
      <c r="D557" s="14">
        <v>11</v>
      </c>
      <c r="E557" s="14">
        <v>4</v>
      </c>
      <c r="F557" s="114" t="str">
        <f t="shared" si="16"/>
        <v>202223_524_11_4</v>
      </c>
      <c r="G557" s="115">
        <f t="shared" si="17"/>
        <v>28724</v>
      </c>
    </row>
    <row r="558" spans="1:7">
      <c r="A558" s="14" t="s">
        <v>1224</v>
      </c>
      <c r="B558" s="15">
        <v>586</v>
      </c>
      <c r="C558" s="14">
        <v>524</v>
      </c>
      <c r="D558" s="14">
        <v>12</v>
      </c>
      <c r="E558" s="14">
        <v>4</v>
      </c>
      <c r="F558" s="114" t="str">
        <f t="shared" si="16"/>
        <v>202223_524_12_4</v>
      </c>
      <c r="G558" s="115">
        <f t="shared" si="17"/>
        <v>586</v>
      </c>
    </row>
    <row r="559" spans="1:7">
      <c r="A559" s="14" t="s">
        <v>1225</v>
      </c>
      <c r="B559" s="15">
        <v>97.987309817834472</v>
      </c>
      <c r="C559" s="14">
        <v>524</v>
      </c>
      <c r="D559" s="14">
        <v>12.5</v>
      </c>
      <c r="E559" s="14">
        <v>4</v>
      </c>
      <c r="F559" s="114" t="str">
        <f t="shared" si="16"/>
        <v>202223_524_12.5_4</v>
      </c>
      <c r="G559" s="115">
        <f t="shared" si="17"/>
        <v>97.987309817834472</v>
      </c>
    </row>
    <row r="560" spans="1:7">
      <c r="A560" s="14" t="s">
        <v>1226</v>
      </c>
      <c r="B560" s="15">
        <v>-169</v>
      </c>
      <c r="C560" s="14">
        <v>524</v>
      </c>
      <c r="D560" s="14">
        <v>2</v>
      </c>
      <c r="E560" s="14">
        <v>2</v>
      </c>
      <c r="F560" s="114" t="str">
        <f t="shared" si="16"/>
        <v>202223_524_2_2</v>
      </c>
      <c r="G560" s="115">
        <f t="shared" si="17"/>
        <v>-169</v>
      </c>
    </row>
    <row r="561" spans="1:7">
      <c r="A561" s="14" t="s">
        <v>1227</v>
      </c>
      <c r="B561" s="15">
        <v>105397</v>
      </c>
      <c r="C561" s="14">
        <v>524</v>
      </c>
      <c r="D561" s="14">
        <v>2</v>
      </c>
      <c r="E561" s="14">
        <v>3</v>
      </c>
      <c r="F561" s="114" t="str">
        <f t="shared" si="16"/>
        <v>202223_524_2_3</v>
      </c>
      <c r="G561" s="115">
        <f t="shared" si="17"/>
        <v>105397</v>
      </c>
    </row>
    <row r="562" spans="1:7">
      <c r="A562" s="14" t="s">
        <v>1228</v>
      </c>
      <c r="B562" s="15">
        <v>5436</v>
      </c>
      <c r="C562" s="14">
        <v>524</v>
      </c>
      <c r="D562" s="14">
        <v>3</v>
      </c>
      <c r="E562" s="14">
        <v>2</v>
      </c>
      <c r="F562" s="114" t="str">
        <f t="shared" si="16"/>
        <v>202223_524_3_2</v>
      </c>
      <c r="G562" s="115">
        <f t="shared" si="17"/>
        <v>5436</v>
      </c>
    </row>
    <row r="563" spans="1:7">
      <c r="A563" s="14" t="s">
        <v>1229</v>
      </c>
      <c r="B563" s="15">
        <v>105397</v>
      </c>
      <c r="C563" s="14">
        <v>524</v>
      </c>
      <c r="D563" s="14">
        <v>3</v>
      </c>
      <c r="E563" s="14">
        <v>3</v>
      </c>
      <c r="F563" s="114" t="str">
        <f t="shared" si="16"/>
        <v>202223_524_3_3</v>
      </c>
      <c r="G563" s="115">
        <f t="shared" si="17"/>
        <v>105397</v>
      </c>
    </row>
    <row r="564" spans="1:7">
      <c r="A564" s="14" t="s">
        <v>1230</v>
      </c>
      <c r="B564" s="15">
        <v>1772</v>
      </c>
      <c r="C564" s="14">
        <v>524</v>
      </c>
      <c r="D564" s="14">
        <v>4</v>
      </c>
      <c r="E564" s="14">
        <v>2</v>
      </c>
      <c r="F564" s="114" t="str">
        <f t="shared" si="16"/>
        <v>202223_524_4_2</v>
      </c>
      <c r="G564" s="115">
        <f t="shared" si="17"/>
        <v>1772</v>
      </c>
    </row>
    <row r="565" spans="1:7">
      <c r="A565" s="14" t="s">
        <v>1231</v>
      </c>
      <c r="B565" s="15">
        <v>102420</v>
      </c>
      <c r="C565" s="14">
        <v>524</v>
      </c>
      <c r="D565" s="14">
        <v>4</v>
      </c>
      <c r="E565" s="14">
        <v>3</v>
      </c>
      <c r="F565" s="114" t="str">
        <f t="shared" si="16"/>
        <v>202223_524_4_3</v>
      </c>
      <c r="G565" s="115">
        <f t="shared" si="17"/>
        <v>102420</v>
      </c>
    </row>
    <row r="566" spans="1:7">
      <c r="A566" s="14" t="s">
        <v>1232</v>
      </c>
      <c r="B566" s="15">
        <v>185</v>
      </c>
      <c r="C566" s="14">
        <v>524</v>
      </c>
      <c r="D566" s="14">
        <v>5</v>
      </c>
      <c r="E566" s="14">
        <v>2</v>
      </c>
      <c r="F566" s="114" t="str">
        <f t="shared" si="16"/>
        <v>202223_524_5_2</v>
      </c>
      <c r="G566" s="115">
        <f t="shared" si="17"/>
        <v>185</v>
      </c>
    </row>
    <row r="567" spans="1:7">
      <c r="A567" s="14" t="s">
        <v>1233</v>
      </c>
      <c r="B567" s="15">
        <v>20</v>
      </c>
      <c r="C567" s="14">
        <v>524</v>
      </c>
      <c r="D567" s="14">
        <v>5</v>
      </c>
      <c r="E567" s="14">
        <v>3</v>
      </c>
      <c r="F567" s="114" t="str">
        <f t="shared" si="16"/>
        <v>202223_524_5_3</v>
      </c>
      <c r="G567" s="115">
        <f t="shared" si="17"/>
        <v>20</v>
      </c>
    </row>
    <row r="568" spans="1:7">
      <c r="A568" s="14" t="s">
        <v>1234</v>
      </c>
      <c r="B568" s="15">
        <v>3479</v>
      </c>
      <c r="C568" s="14">
        <v>524</v>
      </c>
      <c r="D568" s="14">
        <v>6</v>
      </c>
      <c r="E568" s="14">
        <v>2</v>
      </c>
      <c r="F568" s="114" t="str">
        <f t="shared" si="16"/>
        <v>202223_524_6_2</v>
      </c>
      <c r="G568" s="115">
        <f t="shared" si="17"/>
        <v>3479</v>
      </c>
    </row>
    <row r="569" spans="1:7">
      <c r="A569" s="14" t="s">
        <v>1235</v>
      </c>
      <c r="B569" s="15">
        <v>2957</v>
      </c>
      <c r="C569" s="14">
        <v>524</v>
      </c>
      <c r="D569" s="14">
        <v>6</v>
      </c>
      <c r="E569" s="14">
        <v>3</v>
      </c>
      <c r="F569" s="114" t="str">
        <f t="shared" si="16"/>
        <v>202223_524_6_3</v>
      </c>
      <c r="G569" s="115">
        <f t="shared" si="17"/>
        <v>2957</v>
      </c>
    </row>
    <row r="570" spans="1:7">
      <c r="A570" s="14" t="s">
        <v>1236</v>
      </c>
      <c r="B570" s="15">
        <v>103763</v>
      </c>
      <c r="C570" s="14">
        <v>524</v>
      </c>
      <c r="D570" s="14">
        <v>7</v>
      </c>
      <c r="E570" s="14">
        <v>3</v>
      </c>
      <c r="F570" s="114" t="str">
        <f t="shared" si="16"/>
        <v>202223_524_7_3</v>
      </c>
      <c r="G570" s="115">
        <f t="shared" si="17"/>
        <v>103763</v>
      </c>
    </row>
    <row r="571" spans="1:7">
      <c r="A571" s="14" t="s">
        <v>1237</v>
      </c>
      <c r="B571" s="15">
        <v>97.175441426226556</v>
      </c>
      <c r="C571" s="14">
        <v>524</v>
      </c>
      <c r="D571" s="14">
        <v>8</v>
      </c>
      <c r="E571" s="14">
        <v>3</v>
      </c>
      <c r="F571" s="114" t="str">
        <f t="shared" si="16"/>
        <v>202223_524_8_3</v>
      </c>
      <c r="G571" s="115">
        <f t="shared" si="17"/>
        <v>97.175441426226556</v>
      </c>
    </row>
    <row r="572" spans="1:7">
      <c r="A572" s="14" t="s">
        <v>1238</v>
      </c>
      <c r="B572" s="15">
        <v>98.705704345479603</v>
      </c>
      <c r="C572" s="14">
        <v>524</v>
      </c>
      <c r="D572" s="14">
        <v>9</v>
      </c>
      <c r="E572" s="14">
        <v>3</v>
      </c>
      <c r="F572" s="114" t="str">
        <f t="shared" si="16"/>
        <v>202223_524_9_3</v>
      </c>
      <c r="G572" s="115">
        <f t="shared" si="17"/>
        <v>98.705704345479603</v>
      </c>
    </row>
    <row r="573" spans="1:7">
      <c r="A573" s="14" t="s">
        <v>1239</v>
      </c>
      <c r="B573" s="15">
        <v>3246</v>
      </c>
      <c r="C573" s="14">
        <v>526</v>
      </c>
      <c r="D573" s="14">
        <v>1</v>
      </c>
      <c r="E573" s="14">
        <v>2</v>
      </c>
      <c r="F573" s="114" t="str">
        <f t="shared" si="16"/>
        <v>202223_526_1_2</v>
      </c>
      <c r="G573" s="115">
        <f t="shared" si="17"/>
        <v>3246</v>
      </c>
    </row>
    <row r="574" spans="1:7">
      <c r="A574" s="14" t="s">
        <v>1240</v>
      </c>
      <c r="B574" s="15">
        <v>670</v>
      </c>
      <c r="C574" s="14">
        <v>526</v>
      </c>
      <c r="D574" s="14">
        <v>10.1</v>
      </c>
      <c r="E574" s="14">
        <v>3</v>
      </c>
      <c r="F574" s="114" t="str">
        <f t="shared" si="16"/>
        <v>202223_526_10.1_3</v>
      </c>
      <c r="G574" s="115">
        <f t="shared" si="17"/>
        <v>670</v>
      </c>
    </row>
    <row r="575" spans="1:7">
      <c r="A575" s="14" t="s">
        <v>1241</v>
      </c>
      <c r="B575" s="15">
        <v>1777</v>
      </c>
      <c r="C575" s="14">
        <v>526</v>
      </c>
      <c r="D575" s="14">
        <v>10.199999999999999</v>
      </c>
      <c r="E575" s="14">
        <v>3</v>
      </c>
      <c r="F575" s="114" t="str">
        <f t="shared" si="16"/>
        <v>202223_526_10.2_3</v>
      </c>
      <c r="G575" s="115">
        <f t="shared" si="17"/>
        <v>1777</v>
      </c>
    </row>
    <row r="576" spans="1:7">
      <c r="A576" s="14" t="s">
        <v>1242</v>
      </c>
      <c r="B576" s="15">
        <v>363</v>
      </c>
      <c r="C576" s="14">
        <v>526</v>
      </c>
      <c r="D576" s="14">
        <v>10.3</v>
      </c>
      <c r="E576" s="14">
        <v>3</v>
      </c>
      <c r="F576" s="114" t="str">
        <f t="shared" si="16"/>
        <v>202223_526_10.3_3</v>
      </c>
      <c r="G576" s="115">
        <f t="shared" si="17"/>
        <v>363</v>
      </c>
    </row>
    <row r="577" spans="1:7">
      <c r="A577" s="14" t="s">
        <v>1243</v>
      </c>
      <c r="B577" s="15">
        <v>805</v>
      </c>
      <c r="C577" s="14">
        <v>526</v>
      </c>
      <c r="D577" s="14">
        <v>10.4</v>
      </c>
      <c r="E577" s="14">
        <v>3</v>
      </c>
      <c r="F577" s="114" t="str">
        <f t="shared" si="16"/>
        <v>202223_526_10.4_3</v>
      </c>
      <c r="G577" s="115">
        <f t="shared" si="17"/>
        <v>805</v>
      </c>
    </row>
    <row r="578" spans="1:7">
      <c r="A578" s="14" t="s">
        <v>1244</v>
      </c>
      <c r="B578" s="15">
        <v>18451</v>
      </c>
      <c r="C578" s="14">
        <v>526</v>
      </c>
      <c r="D578" s="14">
        <v>10.5</v>
      </c>
      <c r="E578" s="14">
        <v>4</v>
      </c>
      <c r="F578" s="114" t="str">
        <f t="shared" si="16"/>
        <v>202223_526_10.5_4</v>
      </c>
      <c r="G578" s="115">
        <f t="shared" si="17"/>
        <v>18451</v>
      </c>
    </row>
    <row r="579" spans="1:7">
      <c r="A579" s="14" t="s">
        <v>1245</v>
      </c>
      <c r="B579" s="15">
        <v>18009</v>
      </c>
      <c r="C579" s="14">
        <v>526</v>
      </c>
      <c r="D579" s="14">
        <v>11</v>
      </c>
      <c r="E579" s="14">
        <v>4</v>
      </c>
      <c r="F579" s="114" t="str">
        <f t="shared" si="16"/>
        <v>202223_526_11_4</v>
      </c>
      <c r="G579" s="115">
        <f t="shared" si="17"/>
        <v>18009</v>
      </c>
    </row>
    <row r="580" spans="1:7">
      <c r="A580" s="14" t="s">
        <v>1246</v>
      </c>
      <c r="B580" s="15">
        <v>521</v>
      </c>
      <c r="C580" s="14">
        <v>526</v>
      </c>
      <c r="D580" s="14">
        <v>12</v>
      </c>
      <c r="E580" s="14">
        <v>4</v>
      </c>
      <c r="F580" s="114" t="str">
        <f t="shared" si="16"/>
        <v>202223_526_12_4</v>
      </c>
      <c r="G580" s="115">
        <f t="shared" si="17"/>
        <v>521</v>
      </c>
    </row>
    <row r="581" spans="1:7">
      <c r="A581" s="14" t="s">
        <v>1247</v>
      </c>
      <c r="B581" s="15">
        <v>97.604465882607997</v>
      </c>
      <c r="C581" s="14">
        <v>526</v>
      </c>
      <c r="D581" s="14">
        <v>12.5</v>
      </c>
      <c r="E581" s="14">
        <v>4</v>
      </c>
      <c r="F581" s="114" t="str">
        <f t="shared" ref="F581:F644" si="18">LEFT(A581,6)&amp;"_"&amp;C581&amp;"_"&amp;D581&amp;"_"&amp;E581</f>
        <v>202223_526_12.5_4</v>
      </c>
      <c r="G581" s="115">
        <f t="shared" ref="G581:G644" si="19">B581</f>
        <v>97.604465882607997</v>
      </c>
    </row>
    <row r="582" spans="1:7">
      <c r="A582" s="14" t="s">
        <v>1248</v>
      </c>
      <c r="B582" s="15">
        <v>198</v>
      </c>
      <c r="C582" s="14">
        <v>526</v>
      </c>
      <c r="D582" s="14">
        <v>2</v>
      </c>
      <c r="E582" s="14">
        <v>2</v>
      </c>
      <c r="F582" s="114" t="str">
        <f t="shared" si="18"/>
        <v>202223_526_2_2</v>
      </c>
      <c r="G582" s="115">
        <f t="shared" si="19"/>
        <v>198</v>
      </c>
    </row>
    <row r="583" spans="1:7">
      <c r="A583" s="14" t="s">
        <v>1249</v>
      </c>
      <c r="B583" s="15">
        <v>52558</v>
      </c>
      <c r="C583" s="14">
        <v>526</v>
      </c>
      <c r="D583" s="14">
        <v>2</v>
      </c>
      <c r="E583" s="14">
        <v>3</v>
      </c>
      <c r="F583" s="114" t="str">
        <f t="shared" si="18"/>
        <v>202223_526_2_3</v>
      </c>
      <c r="G583" s="115">
        <f t="shared" si="19"/>
        <v>52558</v>
      </c>
    </row>
    <row r="584" spans="1:7">
      <c r="A584" s="14" t="s">
        <v>1250</v>
      </c>
      <c r="B584" s="15">
        <v>3444</v>
      </c>
      <c r="C584" s="14">
        <v>526</v>
      </c>
      <c r="D584" s="14">
        <v>3</v>
      </c>
      <c r="E584" s="14">
        <v>2</v>
      </c>
      <c r="F584" s="114" t="str">
        <f t="shared" si="18"/>
        <v>202223_526_3_2</v>
      </c>
      <c r="G584" s="115">
        <f t="shared" si="19"/>
        <v>3444</v>
      </c>
    </row>
    <row r="585" spans="1:7">
      <c r="A585" s="14" t="s">
        <v>1251</v>
      </c>
      <c r="B585" s="15">
        <v>52558</v>
      </c>
      <c r="C585" s="14">
        <v>526</v>
      </c>
      <c r="D585" s="14">
        <v>3</v>
      </c>
      <c r="E585" s="14">
        <v>3</v>
      </c>
      <c r="F585" s="114" t="str">
        <f t="shared" si="18"/>
        <v>202223_526_3_3</v>
      </c>
      <c r="G585" s="115">
        <f t="shared" si="19"/>
        <v>52558</v>
      </c>
    </row>
    <row r="586" spans="1:7">
      <c r="A586" s="14" t="s">
        <v>1252</v>
      </c>
      <c r="B586" s="15">
        <v>1205</v>
      </c>
      <c r="C586" s="14">
        <v>526</v>
      </c>
      <c r="D586" s="14">
        <v>4</v>
      </c>
      <c r="E586" s="14">
        <v>2</v>
      </c>
      <c r="F586" s="114" t="str">
        <f t="shared" si="18"/>
        <v>202223_526_4_2</v>
      </c>
      <c r="G586" s="115">
        <f t="shared" si="19"/>
        <v>1205</v>
      </c>
    </row>
    <row r="587" spans="1:7">
      <c r="A587" s="14" t="s">
        <v>1253</v>
      </c>
      <c r="B587" s="15">
        <v>50801</v>
      </c>
      <c r="C587" s="14">
        <v>526</v>
      </c>
      <c r="D587" s="14">
        <v>4</v>
      </c>
      <c r="E587" s="14">
        <v>3</v>
      </c>
      <c r="F587" s="114" t="str">
        <f t="shared" si="18"/>
        <v>202223_526_4_3</v>
      </c>
      <c r="G587" s="115">
        <f t="shared" si="19"/>
        <v>50801</v>
      </c>
    </row>
    <row r="588" spans="1:7">
      <c r="A588" s="14" t="s">
        <v>1254</v>
      </c>
      <c r="B588" s="15">
        <v>72</v>
      </c>
      <c r="C588" s="14">
        <v>526</v>
      </c>
      <c r="D588" s="14">
        <v>5</v>
      </c>
      <c r="E588" s="14">
        <v>2</v>
      </c>
      <c r="F588" s="114" t="str">
        <f t="shared" si="18"/>
        <v>202223_526_5_2</v>
      </c>
      <c r="G588" s="115">
        <f t="shared" si="19"/>
        <v>72</v>
      </c>
    </row>
    <row r="589" spans="1:7">
      <c r="A589" s="14" t="s">
        <v>1255</v>
      </c>
      <c r="B589" s="15">
        <v>4</v>
      </c>
      <c r="C589" s="14">
        <v>526</v>
      </c>
      <c r="D589" s="14">
        <v>5</v>
      </c>
      <c r="E589" s="14">
        <v>3</v>
      </c>
      <c r="F589" s="114" t="str">
        <f t="shared" si="18"/>
        <v>202223_526_5_3</v>
      </c>
      <c r="G589" s="115">
        <f t="shared" si="19"/>
        <v>4</v>
      </c>
    </row>
    <row r="590" spans="1:7">
      <c r="A590" s="14" t="s">
        <v>1256</v>
      </c>
      <c r="B590" s="15">
        <v>2167</v>
      </c>
      <c r="C590" s="14">
        <v>526</v>
      </c>
      <c r="D590" s="14">
        <v>6</v>
      </c>
      <c r="E590" s="14">
        <v>2</v>
      </c>
      <c r="F590" s="114" t="str">
        <f t="shared" si="18"/>
        <v>202223_526_6_2</v>
      </c>
      <c r="G590" s="115">
        <f t="shared" si="19"/>
        <v>2167</v>
      </c>
    </row>
    <row r="591" spans="1:7">
      <c r="A591" s="14" t="s">
        <v>1257</v>
      </c>
      <c r="B591" s="15">
        <v>1753</v>
      </c>
      <c r="C591" s="14">
        <v>526</v>
      </c>
      <c r="D591" s="14">
        <v>6</v>
      </c>
      <c r="E591" s="14">
        <v>3</v>
      </c>
      <c r="F591" s="114" t="str">
        <f t="shared" si="18"/>
        <v>202223_526_6_3</v>
      </c>
      <c r="G591" s="115">
        <f t="shared" si="19"/>
        <v>1753</v>
      </c>
    </row>
    <row r="592" spans="1:7">
      <c r="A592" s="14" t="s">
        <v>1258</v>
      </c>
      <c r="B592" s="15">
        <v>50886</v>
      </c>
      <c r="C592" s="14">
        <v>526</v>
      </c>
      <c r="D592" s="14">
        <v>7</v>
      </c>
      <c r="E592" s="14">
        <v>3</v>
      </c>
      <c r="F592" s="114" t="str">
        <f t="shared" si="18"/>
        <v>202223_526_7_3</v>
      </c>
      <c r="G592" s="115">
        <f t="shared" si="19"/>
        <v>50886</v>
      </c>
    </row>
    <row r="593" spans="1:7">
      <c r="A593" s="14" t="s">
        <v>1259</v>
      </c>
      <c r="B593" s="15">
        <v>96.657026523079267</v>
      </c>
      <c r="C593" s="14">
        <v>526</v>
      </c>
      <c r="D593" s="14">
        <v>8</v>
      </c>
      <c r="E593" s="14">
        <v>3</v>
      </c>
      <c r="F593" s="114" t="str">
        <f t="shared" si="18"/>
        <v>202223_526_8_3</v>
      </c>
      <c r="G593" s="115">
        <f t="shared" si="19"/>
        <v>96.657026523079267</v>
      </c>
    </row>
    <row r="594" spans="1:7">
      <c r="A594" s="14" t="s">
        <v>1260</v>
      </c>
      <c r="B594" s="15">
        <v>99.832959949691471</v>
      </c>
      <c r="C594" s="14">
        <v>526</v>
      </c>
      <c r="D594" s="14">
        <v>9</v>
      </c>
      <c r="E594" s="14">
        <v>3</v>
      </c>
      <c r="F594" s="114" t="str">
        <f t="shared" si="18"/>
        <v>202223_526_9_3</v>
      </c>
      <c r="G594" s="115">
        <f t="shared" si="19"/>
        <v>99.832959949691471</v>
      </c>
    </row>
    <row r="595" spans="1:7">
      <c r="A595" s="14" t="s">
        <v>1261</v>
      </c>
      <c r="B595" s="15">
        <v>7837</v>
      </c>
      <c r="C595" s="14">
        <v>528</v>
      </c>
      <c r="D595" s="14">
        <v>1</v>
      </c>
      <c r="E595" s="14">
        <v>2</v>
      </c>
      <c r="F595" s="114" t="str">
        <f t="shared" si="18"/>
        <v>202223_528_1_2</v>
      </c>
      <c r="G595" s="115">
        <f t="shared" si="19"/>
        <v>7837</v>
      </c>
    </row>
    <row r="596" spans="1:7">
      <c r="A596" s="14" t="s">
        <v>1262</v>
      </c>
      <c r="B596" s="15">
        <v>493</v>
      </c>
      <c r="C596" s="14">
        <v>528</v>
      </c>
      <c r="D596" s="14">
        <v>10.1</v>
      </c>
      <c r="E596" s="14">
        <v>3</v>
      </c>
      <c r="F596" s="114" t="str">
        <f t="shared" si="18"/>
        <v>202223_528_10.1_3</v>
      </c>
      <c r="G596" s="115">
        <f t="shared" si="19"/>
        <v>493</v>
      </c>
    </row>
    <row r="597" spans="1:7">
      <c r="A597" s="14" t="s">
        <v>1263</v>
      </c>
      <c r="B597" s="15">
        <v>3385</v>
      </c>
      <c r="C597" s="14">
        <v>528</v>
      </c>
      <c r="D597" s="14">
        <v>10.199999999999999</v>
      </c>
      <c r="E597" s="14">
        <v>3</v>
      </c>
      <c r="F597" s="114" t="str">
        <f t="shared" si="18"/>
        <v>202223_528_10.2_3</v>
      </c>
      <c r="G597" s="115">
        <f t="shared" si="19"/>
        <v>3385</v>
      </c>
    </row>
    <row r="598" spans="1:7">
      <c r="A598" s="14" t="s">
        <v>1264</v>
      </c>
      <c r="B598" s="15">
        <v>478</v>
      </c>
      <c r="C598" s="14">
        <v>528</v>
      </c>
      <c r="D598" s="14">
        <v>10.3</v>
      </c>
      <c r="E598" s="14">
        <v>3</v>
      </c>
      <c r="F598" s="114" t="str">
        <f t="shared" si="18"/>
        <v>202223_528_10.3_3</v>
      </c>
      <c r="G598" s="115">
        <f t="shared" si="19"/>
        <v>478</v>
      </c>
    </row>
    <row r="599" spans="1:7">
      <c r="A599" s="14" t="s">
        <v>1265</v>
      </c>
      <c r="B599" s="15">
        <v>5443</v>
      </c>
      <c r="C599" s="14">
        <v>528</v>
      </c>
      <c r="D599" s="14">
        <v>10.4</v>
      </c>
      <c r="E599" s="14">
        <v>3</v>
      </c>
      <c r="F599" s="114" t="str">
        <f t="shared" si="18"/>
        <v>202223_528_10.4_3</v>
      </c>
      <c r="G599" s="115">
        <f t="shared" si="19"/>
        <v>5443</v>
      </c>
    </row>
    <row r="600" spans="1:7">
      <c r="A600" s="14" t="s">
        <v>1266</v>
      </c>
      <c r="B600" s="15">
        <v>50032</v>
      </c>
      <c r="C600" s="14">
        <v>528</v>
      </c>
      <c r="D600" s="14">
        <v>10.5</v>
      </c>
      <c r="E600" s="14">
        <v>4</v>
      </c>
      <c r="F600" s="114" t="str">
        <f t="shared" si="18"/>
        <v>202223_528_10.5_4</v>
      </c>
      <c r="G600" s="115">
        <f t="shared" si="19"/>
        <v>50032</v>
      </c>
    </row>
    <row r="601" spans="1:7">
      <c r="A601" s="14" t="s">
        <v>1267</v>
      </c>
      <c r="B601" s="15">
        <v>49555</v>
      </c>
      <c r="C601" s="14">
        <v>528</v>
      </c>
      <c r="D601" s="14">
        <v>11</v>
      </c>
      <c r="E601" s="14">
        <v>4</v>
      </c>
      <c r="F601" s="114" t="str">
        <f t="shared" si="18"/>
        <v>202223_528_11_4</v>
      </c>
      <c r="G601" s="115">
        <f t="shared" si="19"/>
        <v>49555</v>
      </c>
    </row>
    <row r="602" spans="1:7">
      <c r="A602" s="14" t="s">
        <v>1268</v>
      </c>
      <c r="B602" s="15">
        <v>7535</v>
      </c>
      <c r="C602" s="14">
        <v>528</v>
      </c>
      <c r="D602" s="14">
        <v>12</v>
      </c>
      <c r="E602" s="14">
        <v>4</v>
      </c>
      <c r="F602" s="114" t="str">
        <f t="shared" si="18"/>
        <v>202223_528_12_4</v>
      </c>
      <c r="G602" s="115">
        <f t="shared" si="19"/>
        <v>7535</v>
      </c>
    </row>
    <row r="603" spans="1:7">
      <c r="A603" s="14" t="s">
        <v>1269</v>
      </c>
      <c r="B603" s="15">
        <v>99.046610169491515</v>
      </c>
      <c r="C603" s="14">
        <v>528</v>
      </c>
      <c r="D603" s="14">
        <v>12.5</v>
      </c>
      <c r="E603" s="14">
        <v>4</v>
      </c>
      <c r="F603" s="114" t="str">
        <f t="shared" si="18"/>
        <v>202223_528_12.5_4</v>
      </c>
      <c r="G603" s="115">
        <f t="shared" si="19"/>
        <v>99.046610169491515</v>
      </c>
    </row>
    <row r="604" spans="1:7">
      <c r="A604" s="14" t="s">
        <v>1270</v>
      </c>
      <c r="B604" s="15">
        <v>-948</v>
      </c>
      <c r="C604" s="14">
        <v>528</v>
      </c>
      <c r="D604" s="14">
        <v>2</v>
      </c>
      <c r="E604" s="14">
        <v>2</v>
      </c>
      <c r="F604" s="114" t="str">
        <f t="shared" si="18"/>
        <v>202223_528_2_2</v>
      </c>
      <c r="G604" s="115">
        <f t="shared" si="19"/>
        <v>-948</v>
      </c>
    </row>
    <row r="605" spans="1:7">
      <c r="A605" s="14" t="s">
        <v>1271</v>
      </c>
      <c r="B605" s="15">
        <v>86119</v>
      </c>
      <c r="C605" s="14">
        <v>528</v>
      </c>
      <c r="D605" s="14">
        <v>2</v>
      </c>
      <c r="E605" s="14">
        <v>3</v>
      </c>
      <c r="F605" s="114" t="str">
        <f t="shared" si="18"/>
        <v>202223_528_2_3</v>
      </c>
      <c r="G605" s="115">
        <f t="shared" si="19"/>
        <v>86119</v>
      </c>
    </row>
    <row r="606" spans="1:7">
      <c r="A606" s="14" t="s">
        <v>1272</v>
      </c>
      <c r="B606" s="15">
        <v>6889</v>
      </c>
      <c r="C606" s="14">
        <v>528</v>
      </c>
      <c r="D606" s="14">
        <v>3</v>
      </c>
      <c r="E606" s="14">
        <v>2</v>
      </c>
      <c r="F606" s="114" t="str">
        <f t="shared" si="18"/>
        <v>202223_528_3_2</v>
      </c>
      <c r="G606" s="115">
        <f t="shared" si="19"/>
        <v>6889</v>
      </c>
    </row>
    <row r="607" spans="1:7">
      <c r="A607" s="14" t="s">
        <v>1273</v>
      </c>
      <c r="B607" s="15">
        <v>86119</v>
      </c>
      <c r="C607" s="14">
        <v>528</v>
      </c>
      <c r="D607" s="14">
        <v>3</v>
      </c>
      <c r="E607" s="14">
        <v>3</v>
      </c>
      <c r="F607" s="114" t="str">
        <f t="shared" si="18"/>
        <v>202223_528_3_3</v>
      </c>
      <c r="G607" s="115">
        <f t="shared" si="19"/>
        <v>86119</v>
      </c>
    </row>
    <row r="608" spans="1:7">
      <c r="A608" s="14" t="s">
        <v>1274</v>
      </c>
      <c r="B608" s="15">
        <v>1637</v>
      </c>
      <c r="C608" s="14">
        <v>528</v>
      </c>
      <c r="D608" s="14">
        <v>4</v>
      </c>
      <c r="E608" s="14">
        <v>2</v>
      </c>
      <c r="F608" s="114" t="str">
        <f t="shared" si="18"/>
        <v>202223_528_4_2</v>
      </c>
      <c r="G608" s="115">
        <f t="shared" si="19"/>
        <v>1637</v>
      </c>
    </row>
    <row r="609" spans="1:7">
      <c r="A609" s="14" t="s">
        <v>1275</v>
      </c>
      <c r="B609" s="15">
        <v>83595</v>
      </c>
      <c r="C609" s="14">
        <v>528</v>
      </c>
      <c r="D609" s="14">
        <v>4</v>
      </c>
      <c r="E609" s="14">
        <v>3</v>
      </c>
      <c r="F609" s="114" t="str">
        <f t="shared" si="18"/>
        <v>202223_528_4_3</v>
      </c>
      <c r="G609" s="115">
        <f t="shared" si="19"/>
        <v>83595</v>
      </c>
    </row>
    <row r="610" spans="1:7">
      <c r="A610" s="14" t="s">
        <v>1276</v>
      </c>
      <c r="B610" s="15">
        <v>453</v>
      </c>
      <c r="C610" s="14">
        <v>528</v>
      </c>
      <c r="D610" s="14">
        <v>5</v>
      </c>
      <c r="E610" s="14">
        <v>2</v>
      </c>
      <c r="F610" s="114" t="str">
        <f t="shared" si="18"/>
        <v>202223_528_5_2</v>
      </c>
      <c r="G610" s="115">
        <f t="shared" si="19"/>
        <v>453</v>
      </c>
    </row>
    <row r="611" spans="1:7">
      <c r="A611" s="14" t="s">
        <v>1277</v>
      </c>
      <c r="B611" s="15">
        <v>1</v>
      </c>
      <c r="C611" s="14">
        <v>528</v>
      </c>
      <c r="D611" s="14">
        <v>5</v>
      </c>
      <c r="E611" s="14">
        <v>3</v>
      </c>
      <c r="F611" s="114" t="str">
        <f t="shared" si="18"/>
        <v>202223_528_5_3</v>
      </c>
      <c r="G611" s="115">
        <f t="shared" si="19"/>
        <v>1</v>
      </c>
    </row>
    <row r="612" spans="1:7">
      <c r="A612" s="14" t="s">
        <v>1278</v>
      </c>
      <c r="B612" s="15">
        <v>4799</v>
      </c>
      <c r="C612" s="14">
        <v>528</v>
      </c>
      <c r="D612" s="14">
        <v>6</v>
      </c>
      <c r="E612" s="14">
        <v>2</v>
      </c>
      <c r="F612" s="114" t="str">
        <f t="shared" si="18"/>
        <v>202223_528_6_2</v>
      </c>
      <c r="G612" s="115">
        <f t="shared" si="19"/>
        <v>4799</v>
      </c>
    </row>
    <row r="613" spans="1:7">
      <c r="A613" s="14" t="s">
        <v>1279</v>
      </c>
      <c r="B613" s="15">
        <v>2523</v>
      </c>
      <c r="C613" s="14">
        <v>528</v>
      </c>
      <c r="D613" s="14">
        <v>6</v>
      </c>
      <c r="E613" s="14">
        <v>3</v>
      </c>
      <c r="F613" s="114" t="str">
        <f t="shared" si="18"/>
        <v>202223_528_6_3</v>
      </c>
      <c r="G613" s="115">
        <f t="shared" si="19"/>
        <v>2523</v>
      </c>
    </row>
    <row r="614" spans="1:7">
      <c r="A614" s="14" t="s">
        <v>1280</v>
      </c>
      <c r="B614" s="15">
        <v>85027</v>
      </c>
      <c r="C614" s="14">
        <v>528</v>
      </c>
      <c r="D614" s="14">
        <v>7</v>
      </c>
      <c r="E614" s="14">
        <v>3</v>
      </c>
      <c r="F614" s="114" t="str">
        <f t="shared" si="18"/>
        <v>202223_528_7_3</v>
      </c>
      <c r="G614" s="115">
        <f t="shared" si="19"/>
        <v>85027</v>
      </c>
    </row>
    <row r="615" spans="1:7">
      <c r="A615" s="14" t="s">
        <v>1281</v>
      </c>
      <c r="B615" s="15">
        <v>97.069171727493355</v>
      </c>
      <c r="C615" s="14">
        <v>528</v>
      </c>
      <c r="D615" s="14">
        <v>8</v>
      </c>
      <c r="E615" s="14">
        <v>3</v>
      </c>
      <c r="F615" s="114" t="str">
        <f t="shared" si="18"/>
        <v>202223_528_8_3</v>
      </c>
      <c r="G615" s="115">
        <f t="shared" si="19"/>
        <v>97.069171727493355</v>
      </c>
    </row>
    <row r="616" spans="1:7">
      <c r="A616" s="14" t="s">
        <v>1282</v>
      </c>
      <c r="B616" s="15">
        <v>98.315829089583303</v>
      </c>
      <c r="C616" s="14">
        <v>528</v>
      </c>
      <c r="D616" s="14">
        <v>9</v>
      </c>
      <c r="E616" s="14">
        <v>3</v>
      </c>
      <c r="F616" s="114" t="str">
        <f t="shared" si="18"/>
        <v>202223_528_9_3</v>
      </c>
      <c r="G616" s="115">
        <f t="shared" si="19"/>
        <v>98.315829089583303</v>
      </c>
    </row>
    <row r="617" spans="1:7">
      <c r="A617" s="14" t="s">
        <v>1283</v>
      </c>
      <c r="B617" s="15">
        <v>11480</v>
      </c>
      <c r="C617" s="14">
        <v>530</v>
      </c>
      <c r="D617" s="14">
        <v>1</v>
      </c>
      <c r="E617" s="14">
        <v>2</v>
      </c>
      <c r="F617" s="114" t="str">
        <f t="shared" si="18"/>
        <v>202223_530_1_2</v>
      </c>
      <c r="G617" s="115">
        <f t="shared" si="19"/>
        <v>11480</v>
      </c>
    </row>
    <row r="618" spans="1:7">
      <c r="A618" s="14" t="s">
        <v>1284</v>
      </c>
      <c r="B618" s="15">
        <v>0</v>
      </c>
      <c r="C618" s="14">
        <v>530</v>
      </c>
      <c r="D618" s="14">
        <v>10.1</v>
      </c>
      <c r="E618" s="14">
        <v>3</v>
      </c>
      <c r="F618" s="114" t="str">
        <f t="shared" si="18"/>
        <v>202223_530_10.1_3</v>
      </c>
      <c r="G618" s="115">
        <f t="shared" si="19"/>
        <v>0</v>
      </c>
    </row>
    <row r="619" spans="1:7">
      <c r="A619" s="14" t="s">
        <v>1285</v>
      </c>
      <c r="B619" s="15">
        <v>0</v>
      </c>
      <c r="C619" s="14">
        <v>530</v>
      </c>
      <c r="D619" s="14">
        <v>10.199999999999999</v>
      </c>
      <c r="E619" s="14">
        <v>3</v>
      </c>
      <c r="F619" s="114" t="str">
        <f t="shared" si="18"/>
        <v>202223_530_10.2_3</v>
      </c>
      <c r="G619" s="115">
        <f t="shared" si="19"/>
        <v>0</v>
      </c>
    </row>
    <row r="620" spans="1:7">
      <c r="A620" s="14" t="s">
        <v>1286</v>
      </c>
      <c r="B620" s="15">
        <v>0</v>
      </c>
      <c r="C620" s="14">
        <v>530</v>
      </c>
      <c r="D620" s="14">
        <v>10.3</v>
      </c>
      <c r="E620" s="14">
        <v>3</v>
      </c>
      <c r="F620" s="114" t="str">
        <f t="shared" si="18"/>
        <v>202223_530_10.3_3</v>
      </c>
      <c r="G620" s="115">
        <f t="shared" si="19"/>
        <v>0</v>
      </c>
    </row>
    <row r="621" spans="1:7">
      <c r="A621" s="14" t="s">
        <v>1287</v>
      </c>
      <c r="B621" s="15">
        <v>0</v>
      </c>
      <c r="C621" s="14">
        <v>530</v>
      </c>
      <c r="D621" s="14">
        <v>10.4</v>
      </c>
      <c r="E621" s="14">
        <v>3</v>
      </c>
      <c r="F621" s="114" t="str">
        <f t="shared" si="18"/>
        <v>202223_530_10.4_3</v>
      </c>
      <c r="G621" s="115">
        <f t="shared" si="19"/>
        <v>0</v>
      </c>
    </row>
    <row r="622" spans="1:7">
      <c r="A622" s="14" t="s">
        <v>1288</v>
      </c>
      <c r="B622" s="15">
        <v>47505</v>
      </c>
      <c r="C622" s="14">
        <v>530</v>
      </c>
      <c r="D622" s="14">
        <v>10.5</v>
      </c>
      <c r="E622" s="14">
        <v>4</v>
      </c>
      <c r="F622" s="114" t="str">
        <f t="shared" si="18"/>
        <v>202223_530_10.5_4</v>
      </c>
      <c r="G622" s="115">
        <f t="shared" si="19"/>
        <v>47505</v>
      </c>
    </row>
    <row r="623" spans="1:7">
      <c r="A623" s="14" t="s">
        <v>1289</v>
      </c>
      <c r="B623" s="15">
        <v>46540</v>
      </c>
      <c r="C623" s="14">
        <v>530</v>
      </c>
      <c r="D623" s="14">
        <v>11</v>
      </c>
      <c r="E623" s="14">
        <v>4</v>
      </c>
      <c r="F623" s="114" t="str">
        <f t="shared" si="18"/>
        <v>202223_530_11_4</v>
      </c>
      <c r="G623" s="115">
        <f t="shared" si="19"/>
        <v>46540</v>
      </c>
    </row>
    <row r="624" spans="1:7">
      <c r="A624" s="14" t="s">
        <v>1290</v>
      </c>
      <c r="B624" s="15">
        <v>847</v>
      </c>
      <c r="C624" s="14">
        <v>530</v>
      </c>
      <c r="D624" s="14">
        <v>12</v>
      </c>
      <c r="E624" s="14">
        <v>4</v>
      </c>
      <c r="F624" s="114" t="str">
        <f t="shared" si="18"/>
        <v>202223_530_12_4</v>
      </c>
      <c r="G624" s="115">
        <f t="shared" si="19"/>
        <v>847</v>
      </c>
    </row>
    <row r="625" spans="1:7">
      <c r="A625" s="14" t="s">
        <v>1291</v>
      </c>
      <c r="B625" s="15">
        <v>97.968634880538886</v>
      </c>
      <c r="C625" s="14">
        <v>530</v>
      </c>
      <c r="D625" s="14">
        <v>12.5</v>
      </c>
      <c r="E625" s="14">
        <v>4</v>
      </c>
      <c r="F625" s="114" t="str">
        <f t="shared" si="18"/>
        <v>202223_530_12.5_4</v>
      </c>
      <c r="G625" s="115">
        <f t="shared" si="19"/>
        <v>97.968634880538886</v>
      </c>
    </row>
    <row r="626" spans="1:7">
      <c r="A626" s="14" t="s">
        <v>1292</v>
      </c>
      <c r="B626" s="15">
        <v>-374</v>
      </c>
      <c r="C626" s="14">
        <v>530</v>
      </c>
      <c r="D626" s="14">
        <v>2</v>
      </c>
      <c r="E626" s="14">
        <v>2</v>
      </c>
      <c r="F626" s="114" t="str">
        <f t="shared" si="18"/>
        <v>202223_530_2_2</v>
      </c>
      <c r="G626" s="115">
        <f t="shared" si="19"/>
        <v>-374</v>
      </c>
    </row>
    <row r="627" spans="1:7">
      <c r="A627" s="14" t="s">
        <v>1293</v>
      </c>
      <c r="B627" s="15">
        <v>118553</v>
      </c>
      <c r="C627" s="14">
        <v>530</v>
      </c>
      <c r="D627" s="14">
        <v>2</v>
      </c>
      <c r="E627" s="14">
        <v>3</v>
      </c>
      <c r="F627" s="114" t="str">
        <f t="shared" si="18"/>
        <v>202223_530_2_3</v>
      </c>
      <c r="G627" s="115">
        <f t="shared" si="19"/>
        <v>118553</v>
      </c>
    </row>
    <row r="628" spans="1:7">
      <c r="A628" s="14" t="s">
        <v>1294</v>
      </c>
      <c r="B628" s="15">
        <v>11106</v>
      </c>
      <c r="C628" s="14">
        <v>530</v>
      </c>
      <c r="D628" s="14">
        <v>3</v>
      </c>
      <c r="E628" s="14">
        <v>2</v>
      </c>
      <c r="F628" s="114" t="str">
        <f t="shared" si="18"/>
        <v>202223_530_3_2</v>
      </c>
      <c r="G628" s="115">
        <f t="shared" si="19"/>
        <v>11106</v>
      </c>
    </row>
    <row r="629" spans="1:7">
      <c r="A629" s="14" t="s">
        <v>1295</v>
      </c>
      <c r="B629" s="15">
        <v>118553</v>
      </c>
      <c r="C629" s="14">
        <v>530</v>
      </c>
      <c r="D629" s="14">
        <v>3</v>
      </c>
      <c r="E629" s="14">
        <v>3</v>
      </c>
      <c r="F629" s="114" t="str">
        <f t="shared" si="18"/>
        <v>202223_530_3_3</v>
      </c>
      <c r="G629" s="115">
        <f t="shared" si="19"/>
        <v>118553</v>
      </c>
    </row>
    <row r="630" spans="1:7">
      <c r="A630" s="14" t="s">
        <v>1296</v>
      </c>
      <c r="B630" s="15">
        <v>1683</v>
      </c>
      <c r="C630" s="14">
        <v>530</v>
      </c>
      <c r="D630" s="14">
        <v>4</v>
      </c>
      <c r="E630" s="14">
        <v>2</v>
      </c>
      <c r="F630" s="114" t="str">
        <f t="shared" si="18"/>
        <v>202223_530_4_2</v>
      </c>
      <c r="G630" s="115">
        <f t="shared" si="19"/>
        <v>1683</v>
      </c>
    </row>
    <row r="631" spans="1:7">
      <c r="A631" s="14" t="s">
        <v>1297</v>
      </c>
      <c r="B631" s="15">
        <v>115388</v>
      </c>
      <c r="C631" s="14">
        <v>530</v>
      </c>
      <c r="D631" s="14">
        <v>4</v>
      </c>
      <c r="E631" s="14">
        <v>3</v>
      </c>
      <c r="F631" s="114" t="str">
        <f t="shared" si="18"/>
        <v>202223_530_4_3</v>
      </c>
      <c r="G631" s="115">
        <f t="shared" si="19"/>
        <v>115388</v>
      </c>
    </row>
    <row r="632" spans="1:7">
      <c r="A632" s="14" t="s">
        <v>1298</v>
      </c>
      <c r="B632" s="15">
        <v>4</v>
      </c>
      <c r="C632" s="14">
        <v>530</v>
      </c>
      <c r="D632" s="14">
        <v>5</v>
      </c>
      <c r="E632" s="14">
        <v>2</v>
      </c>
      <c r="F632" s="114" t="str">
        <f t="shared" si="18"/>
        <v>202223_530_5_2</v>
      </c>
      <c r="G632" s="115">
        <f t="shared" si="19"/>
        <v>4</v>
      </c>
    </row>
    <row r="633" spans="1:7">
      <c r="A633" s="14" t="s">
        <v>1299</v>
      </c>
      <c r="B633" s="15">
        <v>1</v>
      </c>
      <c r="C633" s="14">
        <v>530</v>
      </c>
      <c r="D633" s="14">
        <v>5</v>
      </c>
      <c r="E633" s="14">
        <v>3</v>
      </c>
      <c r="F633" s="114" t="str">
        <f t="shared" si="18"/>
        <v>202223_530_5_3</v>
      </c>
      <c r="G633" s="115">
        <f t="shared" si="19"/>
        <v>1</v>
      </c>
    </row>
    <row r="634" spans="1:7">
      <c r="A634" s="14" t="s">
        <v>1300</v>
      </c>
      <c r="B634" s="15">
        <v>9419</v>
      </c>
      <c r="C634" s="14">
        <v>530</v>
      </c>
      <c r="D634" s="14">
        <v>6</v>
      </c>
      <c r="E634" s="14">
        <v>2</v>
      </c>
      <c r="F634" s="114" t="str">
        <f t="shared" si="18"/>
        <v>202223_530_6_2</v>
      </c>
      <c r="G634" s="115">
        <f t="shared" si="19"/>
        <v>9419</v>
      </c>
    </row>
    <row r="635" spans="1:7">
      <c r="A635" s="14" t="s">
        <v>1301</v>
      </c>
      <c r="B635" s="15">
        <v>3164</v>
      </c>
      <c r="C635" s="14">
        <v>530</v>
      </c>
      <c r="D635" s="14">
        <v>6</v>
      </c>
      <c r="E635" s="14">
        <v>3</v>
      </c>
      <c r="F635" s="114" t="str">
        <f t="shared" si="18"/>
        <v>202223_530_6_3</v>
      </c>
      <c r="G635" s="115">
        <f t="shared" si="19"/>
        <v>3164</v>
      </c>
    </row>
    <row r="636" spans="1:7">
      <c r="A636" s="14" t="s">
        <v>1302</v>
      </c>
      <c r="B636" s="15">
        <v>118952</v>
      </c>
      <c r="C636" s="14">
        <v>530</v>
      </c>
      <c r="D636" s="14">
        <v>7</v>
      </c>
      <c r="E636" s="14">
        <v>3</v>
      </c>
      <c r="F636" s="114" t="str">
        <f t="shared" si="18"/>
        <v>202223_530_7_3</v>
      </c>
      <c r="G636" s="115">
        <f t="shared" si="19"/>
        <v>118952</v>
      </c>
    </row>
    <row r="637" spans="1:7">
      <c r="A637" s="14" t="s">
        <v>1303</v>
      </c>
      <c r="B637" s="15">
        <v>97.330307963526863</v>
      </c>
      <c r="C637" s="14">
        <v>530</v>
      </c>
      <c r="D637" s="14">
        <v>8</v>
      </c>
      <c r="E637" s="14">
        <v>3</v>
      </c>
      <c r="F637" s="114" t="str">
        <f t="shared" si="18"/>
        <v>202223_530_8_3</v>
      </c>
      <c r="G637" s="115">
        <f t="shared" si="19"/>
        <v>97.330307963526863</v>
      </c>
    </row>
    <row r="638" spans="1:7">
      <c r="A638" s="14" t="s">
        <v>1304</v>
      </c>
      <c r="B638" s="15">
        <v>97.003833479050371</v>
      </c>
      <c r="C638" s="14">
        <v>530</v>
      </c>
      <c r="D638" s="14">
        <v>9</v>
      </c>
      <c r="E638" s="14">
        <v>3</v>
      </c>
      <c r="F638" s="114" t="str">
        <f t="shared" si="18"/>
        <v>202223_530_9_3</v>
      </c>
      <c r="G638" s="115">
        <f t="shared" si="19"/>
        <v>97.003833479050371</v>
      </c>
    </row>
    <row r="639" spans="1:7">
      <c r="A639" s="14" t="s">
        <v>1305</v>
      </c>
      <c r="B639" s="15">
        <v>19417</v>
      </c>
      <c r="C639" s="14">
        <v>532</v>
      </c>
      <c r="D639" s="14">
        <v>1</v>
      </c>
      <c r="E639" s="14">
        <v>2</v>
      </c>
      <c r="F639" s="114" t="str">
        <f t="shared" si="18"/>
        <v>202223_532_1_2</v>
      </c>
      <c r="G639" s="115">
        <f t="shared" si="19"/>
        <v>19417</v>
      </c>
    </row>
    <row r="640" spans="1:7">
      <c r="A640" s="14" t="s">
        <v>1306</v>
      </c>
      <c r="B640" s="15">
        <v>1004</v>
      </c>
      <c r="C640" s="14">
        <v>532</v>
      </c>
      <c r="D640" s="14">
        <v>10.1</v>
      </c>
      <c r="E640" s="14">
        <v>3</v>
      </c>
      <c r="F640" s="114" t="str">
        <f t="shared" si="18"/>
        <v>202223_532_10.1_3</v>
      </c>
      <c r="G640" s="115">
        <f t="shared" si="19"/>
        <v>1004</v>
      </c>
    </row>
    <row r="641" spans="1:7">
      <c r="A641" s="14" t="s">
        <v>1307</v>
      </c>
      <c r="B641" s="15">
        <v>1198</v>
      </c>
      <c r="C641" s="14">
        <v>532</v>
      </c>
      <c r="D641" s="14">
        <v>10.199999999999999</v>
      </c>
      <c r="E641" s="14">
        <v>3</v>
      </c>
      <c r="F641" s="114" t="str">
        <f t="shared" si="18"/>
        <v>202223_532_10.2_3</v>
      </c>
      <c r="G641" s="115">
        <f t="shared" si="19"/>
        <v>1198</v>
      </c>
    </row>
    <row r="642" spans="1:7">
      <c r="A642" s="14" t="s">
        <v>1308</v>
      </c>
      <c r="B642" s="15">
        <v>1238</v>
      </c>
      <c r="C642" s="14">
        <v>532</v>
      </c>
      <c r="D642" s="14">
        <v>10.3</v>
      </c>
      <c r="E642" s="14">
        <v>3</v>
      </c>
      <c r="F642" s="114" t="str">
        <f t="shared" si="18"/>
        <v>202223_532_10.3_3</v>
      </c>
      <c r="G642" s="115">
        <f t="shared" si="19"/>
        <v>1238</v>
      </c>
    </row>
    <row r="643" spans="1:7">
      <c r="A643" s="14" t="s">
        <v>1309</v>
      </c>
      <c r="B643" s="15">
        <v>2074</v>
      </c>
      <c r="C643" s="14">
        <v>532</v>
      </c>
      <c r="D643" s="14">
        <v>10.4</v>
      </c>
      <c r="E643" s="14">
        <v>3</v>
      </c>
      <c r="F643" s="114" t="str">
        <f t="shared" si="18"/>
        <v>202223_532_10.4_3</v>
      </c>
      <c r="G643" s="115">
        <f t="shared" si="19"/>
        <v>2074</v>
      </c>
    </row>
    <row r="644" spans="1:7">
      <c r="A644" s="14" t="s">
        <v>1310</v>
      </c>
      <c r="B644" s="15">
        <v>71846</v>
      </c>
      <c r="C644" s="14">
        <v>532</v>
      </c>
      <c r="D644" s="14">
        <v>10.5</v>
      </c>
      <c r="E644" s="14">
        <v>4</v>
      </c>
      <c r="F644" s="114" t="str">
        <f t="shared" si="18"/>
        <v>202223_532_10.5_4</v>
      </c>
      <c r="G644" s="115">
        <f t="shared" si="19"/>
        <v>71846</v>
      </c>
    </row>
    <row r="645" spans="1:7">
      <c r="A645" s="14" t="s">
        <v>1311</v>
      </c>
      <c r="B645" s="15">
        <v>66258</v>
      </c>
      <c r="C645" s="14">
        <v>532</v>
      </c>
      <c r="D645" s="14">
        <v>11</v>
      </c>
      <c r="E645" s="14">
        <v>4</v>
      </c>
      <c r="F645" s="114" t="str">
        <f t="shared" ref="F645:F708" si="20">LEFT(A645,6)&amp;"_"&amp;C645&amp;"_"&amp;D645&amp;"_"&amp;E645</f>
        <v>202223_532_11_4</v>
      </c>
      <c r="G645" s="115">
        <f t="shared" ref="G645:G708" si="21">B645</f>
        <v>66258</v>
      </c>
    </row>
    <row r="646" spans="1:7">
      <c r="A646" s="14" t="s">
        <v>1312</v>
      </c>
      <c r="B646" s="15">
        <v>942</v>
      </c>
      <c r="C646" s="14">
        <v>532</v>
      </c>
      <c r="D646" s="14">
        <v>12</v>
      </c>
      <c r="E646" s="14">
        <v>4</v>
      </c>
      <c r="F646" s="114" t="str">
        <f t="shared" si="20"/>
        <v>202223_532_12_4</v>
      </c>
      <c r="G646" s="115">
        <f t="shared" si="21"/>
        <v>942</v>
      </c>
    </row>
    <row r="647" spans="1:7">
      <c r="A647" s="14" t="s">
        <v>1313</v>
      </c>
      <c r="B647" s="15">
        <v>92.222253152576343</v>
      </c>
      <c r="C647" s="14">
        <v>532</v>
      </c>
      <c r="D647" s="14">
        <v>12.5</v>
      </c>
      <c r="E647" s="14">
        <v>4</v>
      </c>
      <c r="F647" s="114" t="str">
        <f t="shared" si="20"/>
        <v>202223_532_12.5_4</v>
      </c>
      <c r="G647" s="115">
        <f t="shared" si="21"/>
        <v>92.222253152576343</v>
      </c>
    </row>
    <row r="648" spans="1:7">
      <c r="A648" s="14" t="s">
        <v>1314</v>
      </c>
      <c r="B648" s="15">
        <v>1663</v>
      </c>
      <c r="C648" s="14">
        <v>532</v>
      </c>
      <c r="D648" s="14">
        <v>2</v>
      </c>
      <c r="E648" s="14">
        <v>2</v>
      </c>
      <c r="F648" s="114" t="str">
        <f t="shared" si="20"/>
        <v>202223_532_2_2</v>
      </c>
      <c r="G648" s="115">
        <f t="shared" si="21"/>
        <v>1663</v>
      </c>
    </row>
    <row r="649" spans="1:7">
      <c r="A649" s="14" t="s">
        <v>1315</v>
      </c>
      <c r="B649" s="15">
        <v>146685</v>
      </c>
      <c r="C649" s="14">
        <v>532</v>
      </c>
      <c r="D649" s="14">
        <v>2</v>
      </c>
      <c r="E649" s="14">
        <v>3</v>
      </c>
      <c r="F649" s="114" t="str">
        <f t="shared" si="20"/>
        <v>202223_532_2_3</v>
      </c>
      <c r="G649" s="115">
        <f t="shared" si="21"/>
        <v>146685</v>
      </c>
    </row>
    <row r="650" spans="1:7">
      <c r="A650" s="14" t="s">
        <v>1316</v>
      </c>
      <c r="B650" s="15">
        <v>21080</v>
      </c>
      <c r="C650" s="14">
        <v>532</v>
      </c>
      <c r="D650" s="14">
        <v>3</v>
      </c>
      <c r="E650" s="14">
        <v>2</v>
      </c>
      <c r="F650" s="114" t="str">
        <f t="shared" si="20"/>
        <v>202223_532_3_2</v>
      </c>
      <c r="G650" s="115">
        <f t="shared" si="21"/>
        <v>21080</v>
      </c>
    </row>
    <row r="651" spans="1:7">
      <c r="A651" s="14" t="s">
        <v>1317</v>
      </c>
      <c r="B651" s="15">
        <v>146685</v>
      </c>
      <c r="C651" s="14">
        <v>532</v>
      </c>
      <c r="D651" s="14">
        <v>3</v>
      </c>
      <c r="E651" s="14">
        <v>3</v>
      </c>
      <c r="F651" s="114" t="str">
        <f t="shared" si="20"/>
        <v>202223_532_3_3</v>
      </c>
      <c r="G651" s="115">
        <f t="shared" si="21"/>
        <v>146685</v>
      </c>
    </row>
    <row r="652" spans="1:7">
      <c r="A652" s="14" t="s">
        <v>1318</v>
      </c>
      <c r="B652" s="15">
        <v>6390</v>
      </c>
      <c r="C652" s="14">
        <v>532</v>
      </c>
      <c r="D652" s="14">
        <v>4</v>
      </c>
      <c r="E652" s="14">
        <v>2</v>
      </c>
      <c r="F652" s="114" t="str">
        <f t="shared" si="20"/>
        <v>202223_532_4_2</v>
      </c>
      <c r="G652" s="115">
        <f t="shared" si="21"/>
        <v>6390</v>
      </c>
    </row>
    <row r="653" spans="1:7">
      <c r="A653" s="14" t="s">
        <v>1319</v>
      </c>
      <c r="B653" s="15">
        <v>138410</v>
      </c>
      <c r="C653" s="14">
        <v>532</v>
      </c>
      <c r="D653" s="14">
        <v>4</v>
      </c>
      <c r="E653" s="14">
        <v>3</v>
      </c>
      <c r="F653" s="114" t="str">
        <f t="shared" si="20"/>
        <v>202223_532_4_3</v>
      </c>
      <c r="G653" s="115">
        <f t="shared" si="21"/>
        <v>138410</v>
      </c>
    </row>
    <row r="654" spans="1:7">
      <c r="A654" s="14" t="s">
        <v>1320</v>
      </c>
      <c r="B654" s="15">
        <v>1159</v>
      </c>
      <c r="C654" s="14">
        <v>532</v>
      </c>
      <c r="D654" s="14">
        <v>5</v>
      </c>
      <c r="E654" s="14">
        <v>2</v>
      </c>
      <c r="F654" s="114" t="str">
        <f t="shared" si="20"/>
        <v>202223_532_5_2</v>
      </c>
      <c r="G654" s="115">
        <f t="shared" si="21"/>
        <v>1159</v>
      </c>
    </row>
    <row r="655" spans="1:7">
      <c r="A655" s="14" t="s">
        <v>1321</v>
      </c>
      <c r="B655" s="15">
        <v>115</v>
      </c>
      <c r="C655" s="14">
        <v>532</v>
      </c>
      <c r="D655" s="14">
        <v>5</v>
      </c>
      <c r="E655" s="14">
        <v>3</v>
      </c>
      <c r="F655" s="114" t="str">
        <f t="shared" si="20"/>
        <v>202223_532_5_3</v>
      </c>
      <c r="G655" s="115">
        <f t="shared" si="21"/>
        <v>115</v>
      </c>
    </row>
    <row r="656" spans="1:7">
      <c r="A656" s="14" t="s">
        <v>1322</v>
      </c>
      <c r="B656" s="15">
        <v>13531</v>
      </c>
      <c r="C656" s="14">
        <v>532</v>
      </c>
      <c r="D656" s="14">
        <v>6</v>
      </c>
      <c r="E656" s="14">
        <v>2</v>
      </c>
      <c r="F656" s="114" t="str">
        <f t="shared" si="20"/>
        <v>202223_532_6_2</v>
      </c>
      <c r="G656" s="115">
        <f t="shared" si="21"/>
        <v>13531</v>
      </c>
    </row>
    <row r="657" spans="1:7">
      <c r="A657" s="14" t="s">
        <v>1323</v>
      </c>
      <c r="B657" s="15">
        <v>8160</v>
      </c>
      <c r="C657" s="14">
        <v>532</v>
      </c>
      <c r="D657" s="14">
        <v>6</v>
      </c>
      <c r="E657" s="14">
        <v>3</v>
      </c>
      <c r="F657" s="114" t="str">
        <f t="shared" si="20"/>
        <v>202223_532_6_3</v>
      </c>
      <c r="G657" s="115">
        <f t="shared" si="21"/>
        <v>8160</v>
      </c>
    </row>
    <row r="658" spans="1:7">
      <c r="A658" s="14" t="s">
        <v>1324</v>
      </c>
      <c r="B658" s="15">
        <v>143393</v>
      </c>
      <c r="C658" s="14">
        <v>532</v>
      </c>
      <c r="D658" s="14">
        <v>7</v>
      </c>
      <c r="E658" s="14">
        <v>3</v>
      </c>
      <c r="F658" s="114" t="str">
        <f t="shared" si="20"/>
        <v>202223_532_7_3</v>
      </c>
      <c r="G658" s="115">
        <f t="shared" si="21"/>
        <v>143393</v>
      </c>
    </row>
    <row r="659" spans="1:7">
      <c r="A659" s="14" t="s">
        <v>1325</v>
      </c>
      <c r="B659" s="15">
        <v>94.358659712990416</v>
      </c>
      <c r="C659" s="14">
        <v>532</v>
      </c>
      <c r="D659" s="14">
        <v>8</v>
      </c>
      <c r="E659" s="14">
        <v>3</v>
      </c>
      <c r="F659" s="114" t="str">
        <f t="shared" si="20"/>
        <v>202223_532_8_3</v>
      </c>
      <c r="G659" s="115">
        <f t="shared" si="21"/>
        <v>94.358659712990416</v>
      </c>
    </row>
    <row r="660" spans="1:7">
      <c r="A660" s="14" t="s">
        <v>1326</v>
      </c>
      <c r="B660" s="15">
        <v>96.524934968931547</v>
      </c>
      <c r="C660" s="14">
        <v>532</v>
      </c>
      <c r="D660" s="14">
        <v>9</v>
      </c>
      <c r="E660" s="14">
        <v>3</v>
      </c>
      <c r="F660" s="114" t="str">
        <f t="shared" si="20"/>
        <v>202223_532_9_3</v>
      </c>
      <c r="G660" s="115">
        <f t="shared" si="21"/>
        <v>96.524934968931547</v>
      </c>
    </row>
    <row r="661" spans="1:7">
      <c r="A661" s="14" t="s">
        <v>1327</v>
      </c>
      <c r="B661" s="15">
        <v>3721</v>
      </c>
      <c r="C661" s="14">
        <v>534</v>
      </c>
      <c r="D661" s="14">
        <v>1</v>
      </c>
      <c r="E661" s="14">
        <v>2</v>
      </c>
      <c r="F661" s="114" t="str">
        <f t="shared" si="20"/>
        <v>202223_534_1_2</v>
      </c>
      <c r="G661" s="115">
        <f t="shared" si="21"/>
        <v>3721</v>
      </c>
    </row>
    <row r="662" spans="1:7">
      <c r="A662" s="14" t="s">
        <v>1328</v>
      </c>
      <c r="B662" s="15">
        <v>0</v>
      </c>
      <c r="C662" s="14">
        <v>534</v>
      </c>
      <c r="D662" s="14">
        <v>10.1</v>
      </c>
      <c r="E662" s="14">
        <v>3</v>
      </c>
      <c r="F662" s="114" t="str">
        <f t="shared" si="20"/>
        <v>202223_534_10.1_3</v>
      </c>
      <c r="G662" s="115">
        <f t="shared" si="21"/>
        <v>0</v>
      </c>
    </row>
    <row r="663" spans="1:7">
      <c r="A663" s="14" t="s">
        <v>1329</v>
      </c>
      <c r="B663" s="15">
        <v>0</v>
      </c>
      <c r="C663" s="14">
        <v>534</v>
      </c>
      <c r="D663" s="14">
        <v>10.199999999999999</v>
      </c>
      <c r="E663" s="14">
        <v>3</v>
      </c>
      <c r="F663" s="114" t="str">
        <f t="shared" si="20"/>
        <v>202223_534_10.2_3</v>
      </c>
      <c r="G663" s="115">
        <f t="shared" si="21"/>
        <v>0</v>
      </c>
    </row>
    <row r="664" spans="1:7">
      <c r="A664" s="14" t="s">
        <v>1330</v>
      </c>
      <c r="B664" s="15">
        <v>0</v>
      </c>
      <c r="C664" s="14">
        <v>534</v>
      </c>
      <c r="D664" s="14">
        <v>10.3</v>
      </c>
      <c r="E664" s="14">
        <v>3</v>
      </c>
      <c r="F664" s="114" t="str">
        <f t="shared" si="20"/>
        <v>202223_534_10.3_3</v>
      </c>
      <c r="G664" s="115">
        <f t="shared" si="21"/>
        <v>0</v>
      </c>
    </row>
    <row r="665" spans="1:7">
      <c r="A665" s="14" t="s">
        <v>1331</v>
      </c>
      <c r="B665" s="15">
        <v>0</v>
      </c>
      <c r="C665" s="14">
        <v>534</v>
      </c>
      <c r="D665" s="14">
        <v>10.4</v>
      </c>
      <c r="E665" s="14">
        <v>3</v>
      </c>
      <c r="F665" s="114" t="str">
        <f t="shared" si="20"/>
        <v>202223_534_10.4_3</v>
      </c>
      <c r="G665" s="115">
        <f t="shared" si="21"/>
        <v>0</v>
      </c>
    </row>
    <row r="666" spans="1:7">
      <c r="A666" s="14" t="s">
        <v>1332</v>
      </c>
      <c r="B666" s="15">
        <v>43142</v>
      </c>
      <c r="C666" s="14">
        <v>534</v>
      </c>
      <c r="D666" s="14">
        <v>10.5</v>
      </c>
      <c r="E666" s="14">
        <v>4</v>
      </c>
      <c r="F666" s="114" t="str">
        <f t="shared" si="20"/>
        <v>202223_534_10.5_4</v>
      </c>
      <c r="G666" s="115">
        <f t="shared" si="21"/>
        <v>43142</v>
      </c>
    </row>
    <row r="667" spans="1:7">
      <c r="A667" s="14" t="s">
        <v>1333</v>
      </c>
      <c r="B667" s="15">
        <v>42642</v>
      </c>
      <c r="C667" s="14">
        <v>534</v>
      </c>
      <c r="D667" s="14">
        <v>11</v>
      </c>
      <c r="E667" s="14">
        <v>4</v>
      </c>
      <c r="F667" s="114" t="str">
        <f t="shared" si="20"/>
        <v>202223_534_11_4</v>
      </c>
      <c r="G667" s="115">
        <f t="shared" si="21"/>
        <v>42642</v>
      </c>
    </row>
    <row r="668" spans="1:7">
      <c r="A668" s="14" t="s">
        <v>1334</v>
      </c>
      <c r="B668" s="15">
        <v>-21</v>
      </c>
      <c r="C668" s="14">
        <v>534</v>
      </c>
      <c r="D668" s="14">
        <v>12</v>
      </c>
      <c r="E668" s="14">
        <v>4</v>
      </c>
      <c r="F668" s="114" t="str">
        <f t="shared" si="20"/>
        <v>202223_534_12_4</v>
      </c>
      <c r="G668" s="115">
        <f t="shared" si="21"/>
        <v>-21</v>
      </c>
    </row>
    <row r="669" spans="1:7">
      <c r="A669" s="14" t="s">
        <v>1335</v>
      </c>
      <c r="B669" s="15">
        <v>98.841036576885628</v>
      </c>
      <c r="C669" s="14">
        <v>534</v>
      </c>
      <c r="D669" s="14">
        <v>12.5</v>
      </c>
      <c r="E669" s="14">
        <v>4</v>
      </c>
      <c r="F669" s="114" t="str">
        <f t="shared" si="20"/>
        <v>202223_534_12.5_4</v>
      </c>
      <c r="G669" s="115">
        <f t="shared" si="21"/>
        <v>98.841036576885628</v>
      </c>
    </row>
    <row r="670" spans="1:7">
      <c r="A670" s="14" t="s">
        <v>1336</v>
      </c>
      <c r="B670" s="15">
        <v>-106</v>
      </c>
      <c r="C670" s="14">
        <v>534</v>
      </c>
      <c r="D670" s="14">
        <v>2</v>
      </c>
      <c r="E670" s="14">
        <v>2</v>
      </c>
      <c r="F670" s="114" t="str">
        <f t="shared" si="20"/>
        <v>202223_534_2_2</v>
      </c>
      <c r="G670" s="115">
        <f t="shared" si="21"/>
        <v>-106</v>
      </c>
    </row>
    <row r="671" spans="1:7">
      <c r="A671" s="14" t="s">
        <v>1337</v>
      </c>
      <c r="B671" s="15">
        <v>81181</v>
      </c>
      <c r="C671" s="14">
        <v>534</v>
      </c>
      <c r="D671" s="14">
        <v>2</v>
      </c>
      <c r="E671" s="14">
        <v>3</v>
      </c>
      <c r="F671" s="114" t="str">
        <f t="shared" si="20"/>
        <v>202223_534_2_3</v>
      </c>
      <c r="G671" s="115">
        <f t="shared" si="21"/>
        <v>81181</v>
      </c>
    </row>
    <row r="672" spans="1:7">
      <c r="A672" s="14" t="s">
        <v>1338</v>
      </c>
      <c r="B672" s="15">
        <v>3615</v>
      </c>
      <c r="C672" s="14">
        <v>534</v>
      </c>
      <c r="D672" s="14">
        <v>3</v>
      </c>
      <c r="E672" s="14">
        <v>2</v>
      </c>
      <c r="F672" s="114" t="str">
        <f t="shared" si="20"/>
        <v>202223_534_3_2</v>
      </c>
      <c r="G672" s="115">
        <f t="shared" si="21"/>
        <v>3615</v>
      </c>
    </row>
    <row r="673" spans="1:7">
      <c r="A673" s="14" t="s">
        <v>1339</v>
      </c>
      <c r="B673" s="15">
        <v>81181</v>
      </c>
      <c r="C673" s="14">
        <v>534</v>
      </c>
      <c r="D673" s="14">
        <v>3</v>
      </c>
      <c r="E673" s="14">
        <v>3</v>
      </c>
      <c r="F673" s="114" t="str">
        <f t="shared" si="20"/>
        <v>202223_534_3_3</v>
      </c>
      <c r="G673" s="115">
        <f t="shared" si="21"/>
        <v>81181</v>
      </c>
    </row>
    <row r="674" spans="1:7">
      <c r="A674" s="14" t="s">
        <v>1340</v>
      </c>
      <c r="B674" s="15">
        <v>1086</v>
      </c>
      <c r="C674" s="14">
        <v>534</v>
      </c>
      <c r="D674" s="14">
        <v>4</v>
      </c>
      <c r="E674" s="14">
        <v>2</v>
      </c>
      <c r="F674" s="114" t="str">
        <f t="shared" si="20"/>
        <v>202223_534_4_2</v>
      </c>
      <c r="G674" s="115">
        <f t="shared" si="21"/>
        <v>1086</v>
      </c>
    </row>
    <row r="675" spans="1:7">
      <c r="A675" s="14" t="s">
        <v>1341</v>
      </c>
      <c r="B675" s="15">
        <v>79401</v>
      </c>
      <c r="C675" s="14">
        <v>534</v>
      </c>
      <c r="D675" s="14">
        <v>4</v>
      </c>
      <c r="E675" s="14">
        <v>3</v>
      </c>
      <c r="F675" s="114" t="str">
        <f t="shared" si="20"/>
        <v>202223_534_4_3</v>
      </c>
      <c r="G675" s="115">
        <f t="shared" si="21"/>
        <v>79401</v>
      </c>
    </row>
    <row r="676" spans="1:7">
      <c r="A676" s="14" t="s">
        <v>1342</v>
      </c>
      <c r="B676" s="15">
        <v>350</v>
      </c>
      <c r="C676" s="14">
        <v>534</v>
      </c>
      <c r="D676" s="14">
        <v>5</v>
      </c>
      <c r="E676" s="14">
        <v>2</v>
      </c>
      <c r="F676" s="114" t="str">
        <f t="shared" si="20"/>
        <v>202223_534_5_2</v>
      </c>
      <c r="G676" s="115">
        <f t="shared" si="21"/>
        <v>350</v>
      </c>
    </row>
    <row r="677" spans="1:7">
      <c r="A677" s="14" t="s">
        <v>1343</v>
      </c>
      <c r="B677" s="15">
        <v>12</v>
      </c>
      <c r="C677" s="14">
        <v>534</v>
      </c>
      <c r="D677" s="14">
        <v>5</v>
      </c>
      <c r="E677" s="14">
        <v>3</v>
      </c>
      <c r="F677" s="114" t="str">
        <f t="shared" si="20"/>
        <v>202223_534_5_3</v>
      </c>
      <c r="G677" s="115">
        <f t="shared" si="21"/>
        <v>12</v>
      </c>
    </row>
    <row r="678" spans="1:7">
      <c r="A678" s="14" t="s">
        <v>1344</v>
      </c>
      <c r="B678" s="15">
        <v>2179</v>
      </c>
      <c r="C678" s="14">
        <v>534</v>
      </c>
      <c r="D678" s="14">
        <v>6</v>
      </c>
      <c r="E678" s="14">
        <v>2</v>
      </c>
      <c r="F678" s="114" t="str">
        <f t="shared" si="20"/>
        <v>202223_534_6_2</v>
      </c>
      <c r="G678" s="115">
        <f t="shared" si="21"/>
        <v>2179</v>
      </c>
    </row>
    <row r="679" spans="1:7">
      <c r="A679" s="14" t="s">
        <v>1345</v>
      </c>
      <c r="B679" s="15">
        <v>1768</v>
      </c>
      <c r="C679" s="14">
        <v>534</v>
      </c>
      <c r="D679" s="14">
        <v>6</v>
      </c>
      <c r="E679" s="14">
        <v>3</v>
      </c>
      <c r="F679" s="114" t="str">
        <f t="shared" si="20"/>
        <v>202223_534_6_3</v>
      </c>
      <c r="G679" s="115">
        <f t="shared" si="21"/>
        <v>1768</v>
      </c>
    </row>
    <row r="680" spans="1:7">
      <c r="A680" s="14" t="s">
        <v>1346</v>
      </c>
      <c r="B680" s="15">
        <v>77739</v>
      </c>
      <c r="C680" s="14">
        <v>534</v>
      </c>
      <c r="D680" s="14">
        <v>7</v>
      </c>
      <c r="E680" s="14">
        <v>3</v>
      </c>
      <c r="F680" s="114" t="str">
        <f t="shared" si="20"/>
        <v>202223_534_7_3</v>
      </c>
      <c r="G680" s="115">
        <f t="shared" si="21"/>
        <v>77739</v>
      </c>
    </row>
    <row r="681" spans="1:7">
      <c r="A681" s="14" t="s">
        <v>1347</v>
      </c>
      <c r="B681" s="15">
        <v>97.807368719281612</v>
      </c>
      <c r="C681" s="14">
        <v>534</v>
      </c>
      <c r="D681" s="14">
        <v>8</v>
      </c>
      <c r="E681" s="14">
        <v>3</v>
      </c>
      <c r="F681" s="114" t="str">
        <f t="shared" si="20"/>
        <v>202223_534_8_3</v>
      </c>
      <c r="G681" s="115">
        <f t="shared" si="21"/>
        <v>97.807368719281612</v>
      </c>
    </row>
    <row r="682" spans="1:7">
      <c r="A682" s="14" t="s">
        <v>1348</v>
      </c>
      <c r="B682" s="15">
        <v>102.13792305020645</v>
      </c>
      <c r="C682" s="14">
        <v>534</v>
      </c>
      <c r="D682" s="14">
        <v>9</v>
      </c>
      <c r="E682" s="14">
        <v>3</v>
      </c>
      <c r="F682" s="114" t="str">
        <f t="shared" si="20"/>
        <v>202223_534_9_3</v>
      </c>
      <c r="G682" s="115">
        <f t="shared" si="21"/>
        <v>102.13792305020645</v>
      </c>
    </row>
    <row r="683" spans="1:7">
      <c r="A683" s="14" t="s">
        <v>1349</v>
      </c>
      <c r="B683" s="15">
        <v>11275</v>
      </c>
      <c r="C683" s="14">
        <v>536</v>
      </c>
      <c r="D683" s="14">
        <v>1</v>
      </c>
      <c r="E683" s="14">
        <v>2</v>
      </c>
      <c r="F683" s="114" t="str">
        <f t="shared" si="20"/>
        <v>202223_536_1_2</v>
      </c>
      <c r="G683" s="115">
        <f t="shared" si="21"/>
        <v>11275</v>
      </c>
    </row>
    <row r="684" spans="1:7">
      <c r="A684" s="14" t="s">
        <v>1350</v>
      </c>
      <c r="B684" s="15">
        <v>0</v>
      </c>
      <c r="C684" s="14">
        <v>536</v>
      </c>
      <c r="D684" s="14">
        <v>10.1</v>
      </c>
      <c r="E684" s="14">
        <v>3</v>
      </c>
      <c r="F684" s="114" t="str">
        <f t="shared" si="20"/>
        <v>202223_536_10.1_3</v>
      </c>
      <c r="G684" s="115">
        <f t="shared" si="21"/>
        <v>0</v>
      </c>
    </row>
    <row r="685" spans="1:7">
      <c r="A685" s="14" t="s">
        <v>1351</v>
      </c>
      <c r="B685" s="15">
        <v>0</v>
      </c>
      <c r="C685" s="14">
        <v>536</v>
      </c>
      <c r="D685" s="14">
        <v>10.199999999999999</v>
      </c>
      <c r="E685" s="14">
        <v>3</v>
      </c>
      <c r="F685" s="114" t="str">
        <f t="shared" si="20"/>
        <v>202223_536_10.2_3</v>
      </c>
      <c r="G685" s="115">
        <f t="shared" si="21"/>
        <v>0</v>
      </c>
    </row>
    <row r="686" spans="1:7">
      <c r="A686" s="14" t="s">
        <v>1352</v>
      </c>
      <c r="B686" s="15">
        <v>0</v>
      </c>
      <c r="C686" s="14">
        <v>536</v>
      </c>
      <c r="D686" s="14">
        <v>10.3</v>
      </c>
      <c r="E686" s="14">
        <v>3</v>
      </c>
      <c r="F686" s="114" t="str">
        <f t="shared" si="20"/>
        <v>202223_536_10.3_3</v>
      </c>
      <c r="G686" s="115">
        <f t="shared" si="21"/>
        <v>0</v>
      </c>
    </row>
    <row r="687" spans="1:7">
      <c r="A687" s="14" t="s">
        <v>1353</v>
      </c>
      <c r="B687" s="15">
        <v>0</v>
      </c>
      <c r="C687" s="14">
        <v>536</v>
      </c>
      <c r="D687" s="14">
        <v>10.4</v>
      </c>
      <c r="E687" s="14">
        <v>3</v>
      </c>
      <c r="F687" s="114" t="str">
        <f t="shared" si="20"/>
        <v>202223_536_10.4_3</v>
      </c>
      <c r="G687" s="115">
        <f t="shared" si="21"/>
        <v>0</v>
      </c>
    </row>
    <row r="688" spans="1:7">
      <c r="A688" s="14" t="s">
        <v>1354</v>
      </c>
      <c r="B688" s="15">
        <v>40044</v>
      </c>
      <c r="C688" s="14">
        <v>536</v>
      </c>
      <c r="D688" s="14">
        <v>10.5</v>
      </c>
      <c r="E688" s="14">
        <v>4</v>
      </c>
      <c r="F688" s="114" t="str">
        <f t="shared" si="20"/>
        <v>202223_536_10.5_4</v>
      </c>
      <c r="G688" s="115">
        <f t="shared" si="21"/>
        <v>40044</v>
      </c>
    </row>
    <row r="689" spans="1:7">
      <c r="A689" s="14" t="s">
        <v>1355</v>
      </c>
      <c r="B689" s="15">
        <v>38311</v>
      </c>
      <c r="C689" s="14">
        <v>536</v>
      </c>
      <c r="D689" s="14">
        <v>11</v>
      </c>
      <c r="E689" s="14">
        <v>4</v>
      </c>
      <c r="F689" s="114" t="str">
        <f t="shared" si="20"/>
        <v>202223_536_11_4</v>
      </c>
      <c r="G689" s="115">
        <f t="shared" si="21"/>
        <v>38311</v>
      </c>
    </row>
    <row r="690" spans="1:7">
      <c r="A690" s="14" t="s">
        <v>1356</v>
      </c>
      <c r="B690" s="15">
        <v>4774</v>
      </c>
      <c r="C690" s="14">
        <v>536</v>
      </c>
      <c r="D690" s="14">
        <v>12</v>
      </c>
      <c r="E690" s="14">
        <v>4</v>
      </c>
      <c r="F690" s="114" t="str">
        <f t="shared" si="20"/>
        <v>202223_536_12_4</v>
      </c>
      <c r="G690" s="115">
        <f t="shared" si="21"/>
        <v>4774</v>
      </c>
    </row>
    <row r="691" spans="1:7">
      <c r="A691" s="14" t="s">
        <v>1357</v>
      </c>
      <c r="B691" s="15">
        <v>95.672260513435219</v>
      </c>
      <c r="C691" s="14">
        <v>536</v>
      </c>
      <c r="D691" s="14">
        <v>12.5</v>
      </c>
      <c r="E691" s="14">
        <v>4</v>
      </c>
      <c r="F691" s="114" t="str">
        <f t="shared" si="20"/>
        <v>202223_536_12.5_4</v>
      </c>
      <c r="G691" s="115">
        <f t="shared" si="21"/>
        <v>95.672260513435219</v>
      </c>
    </row>
    <row r="692" spans="1:7">
      <c r="A692" s="14" t="s">
        <v>1358</v>
      </c>
      <c r="B692" s="15">
        <v>-529</v>
      </c>
      <c r="C692" s="14">
        <v>536</v>
      </c>
      <c r="D692" s="14">
        <v>2</v>
      </c>
      <c r="E692" s="14">
        <v>2</v>
      </c>
      <c r="F692" s="114" t="str">
        <f t="shared" si="20"/>
        <v>202223_536_2_2</v>
      </c>
      <c r="G692" s="115">
        <f t="shared" si="21"/>
        <v>-529</v>
      </c>
    </row>
    <row r="693" spans="1:7">
      <c r="A693" s="14" t="s">
        <v>1359</v>
      </c>
      <c r="B693" s="15">
        <v>93188</v>
      </c>
      <c r="C693" s="14">
        <v>536</v>
      </c>
      <c r="D693" s="14">
        <v>2</v>
      </c>
      <c r="E693" s="14">
        <v>3</v>
      </c>
      <c r="F693" s="114" t="str">
        <f t="shared" si="20"/>
        <v>202223_536_2_3</v>
      </c>
      <c r="G693" s="115">
        <f t="shared" si="21"/>
        <v>93188</v>
      </c>
    </row>
    <row r="694" spans="1:7">
      <c r="A694" s="14" t="s">
        <v>1360</v>
      </c>
      <c r="B694" s="15">
        <v>10746</v>
      </c>
      <c r="C694" s="14">
        <v>536</v>
      </c>
      <c r="D694" s="14">
        <v>3</v>
      </c>
      <c r="E694" s="14">
        <v>2</v>
      </c>
      <c r="F694" s="114" t="str">
        <f t="shared" si="20"/>
        <v>202223_536_3_2</v>
      </c>
      <c r="G694" s="115">
        <f t="shared" si="21"/>
        <v>10746</v>
      </c>
    </row>
    <row r="695" spans="1:7">
      <c r="A695" s="14" t="s">
        <v>1361</v>
      </c>
      <c r="B695" s="15">
        <v>93188</v>
      </c>
      <c r="C695" s="14">
        <v>536</v>
      </c>
      <c r="D695" s="14">
        <v>3</v>
      </c>
      <c r="E695" s="14">
        <v>3</v>
      </c>
      <c r="F695" s="114" t="str">
        <f t="shared" si="20"/>
        <v>202223_536_3_3</v>
      </c>
      <c r="G695" s="115">
        <f t="shared" si="21"/>
        <v>93188</v>
      </c>
    </row>
    <row r="696" spans="1:7">
      <c r="A696" s="14" t="s">
        <v>1362</v>
      </c>
      <c r="B696" s="15">
        <v>2554</v>
      </c>
      <c r="C696" s="14">
        <v>536</v>
      </c>
      <c r="D696" s="14">
        <v>4</v>
      </c>
      <c r="E696" s="14">
        <v>2</v>
      </c>
      <c r="F696" s="114" t="str">
        <f t="shared" si="20"/>
        <v>202223_536_4_2</v>
      </c>
      <c r="G696" s="115">
        <f t="shared" si="21"/>
        <v>2554</v>
      </c>
    </row>
    <row r="697" spans="1:7">
      <c r="A697" s="14" t="s">
        <v>1363</v>
      </c>
      <c r="B697" s="15">
        <v>89383</v>
      </c>
      <c r="C697" s="14">
        <v>536</v>
      </c>
      <c r="D697" s="14">
        <v>4</v>
      </c>
      <c r="E697" s="14">
        <v>3</v>
      </c>
      <c r="F697" s="114" t="str">
        <f t="shared" si="20"/>
        <v>202223_536_4_3</v>
      </c>
      <c r="G697" s="115">
        <f t="shared" si="21"/>
        <v>89383</v>
      </c>
    </row>
    <row r="698" spans="1:7">
      <c r="A698" s="14" t="s">
        <v>1364</v>
      </c>
      <c r="B698" s="15">
        <v>247</v>
      </c>
      <c r="C698" s="14">
        <v>536</v>
      </c>
      <c r="D698" s="14">
        <v>5</v>
      </c>
      <c r="E698" s="14">
        <v>2</v>
      </c>
      <c r="F698" s="114" t="str">
        <f t="shared" si="20"/>
        <v>202223_536_5_2</v>
      </c>
      <c r="G698" s="115">
        <f t="shared" si="21"/>
        <v>247</v>
      </c>
    </row>
    <row r="699" spans="1:7">
      <c r="A699" s="14" t="s">
        <v>1365</v>
      </c>
      <c r="B699" s="15">
        <v>42</v>
      </c>
      <c r="C699" s="14">
        <v>536</v>
      </c>
      <c r="D699" s="14">
        <v>5</v>
      </c>
      <c r="E699" s="14">
        <v>3</v>
      </c>
      <c r="F699" s="114" t="str">
        <f t="shared" si="20"/>
        <v>202223_536_5_3</v>
      </c>
      <c r="G699" s="115">
        <f t="shared" si="21"/>
        <v>42</v>
      </c>
    </row>
    <row r="700" spans="1:7">
      <c r="A700" s="14" t="s">
        <v>1366</v>
      </c>
      <c r="B700" s="15">
        <v>7945</v>
      </c>
      <c r="C700" s="14">
        <v>536</v>
      </c>
      <c r="D700" s="14">
        <v>6</v>
      </c>
      <c r="E700" s="14">
        <v>2</v>
      </c>
      <c r="F700" s="114" t="str">
        <f t="shared" si="20"/>
        <v>202223_536_6_2</v>
      </c>
      <c r="G700" s="115">
        <f t="shared" si="21"/>
        <v>7945</v>
      </c>
    </row>
    <row r="701" spans="1:7">
      <c r="A701" s="14" t="s">
        <v>1367</v>
      </c>
      <c r="B701" s="15">
        <v>3763</v>
      </c>
      <c r="C701" s="14">
        <v>536</v>
      </c>
      <c r="D701" s="14">
        <v>6</v>
      </c>
      <c r="E701" s="14">
        <v>3</v>
      </c>
      <c r="F701" s="114" t="str">
        <f t="shared" si="20"/>
        <v>202223_536_6_3</v>
      </c>
      <c r="G701" s="115">
        <f t="shared" si="21"/>
        <v>3763</v>
      </c>
    </row>
    <row r="702" spans="1:7">
      <c r="A702" s="14" t="s">
        <v>1368</v>
      </c>
      <c r="B702" s="15">
        <v>89995</v>
      </c>
      <c r="C702" s="14">
        <v>536</v>
      </c>
      <c r="D702" s="14">
        <v>7</v>
      </c>
      <c r="E702" s="14">
        <v>3</v>
      </c>
      <c r="F702" s="114" t="str">
        <f t="shared" si="20"/>
        <v>202223_536_7_3</v>
      </c>
      <c r="G702" s="115">
        <f t="shared" si="21"/>
        <v>89995</v>
      </c>
    </row>
    <row r="703" spans="1:7">
      <c r="A703" s="14" t="s">
        <v>1369</v>
      </c>
      <c r="B703" s="15">
        <v>95.916856247585528</v>
      </c>
      <c r="C703" s="14">
        <v>536</v>
      </c>
      <c r="D703" s="14">
        <v>8</v>
      </c>
      <c r="E703" s="14">
        <v>3</v>
      </c>
      <c r="F703" s="114" t="str">
        <f t="shared" si="20"/>
        <v>202223_536_8_3</v>
      </c>
      <c r="G703" s="115">
        <f t="shared" si="21"/>
        <v>95.916856247585528</v>
      </c>
    </row>
    <row r="704" spans="1:7">
      <c r="A704" s="14" t="s">
        <v>1370</v>
      </c>
      <c r="B704" s="15">
        <v>99.31996222012333</v>
      </c>
      <c r="C704" s="14">
        <v>536</v>
      </c>
      <c r="D704" s="14">
        <v>9</v>
      </c>
      <c r="E704" s="14">
        <v>3</v>
      </c>
      <c r="F704" s="114" t="str">
        <f t="shared" si="20"/>
        <v>202223_536_9_3</v>
      </c>
      <c r="G704" s="115">
        <f t="shared" si="21"/>
        <v>99.31996222012333</v>
      </c>
    </row>
    <row r="705" spans="1:7">
      <c r="A705" s="14" t="s">
        <v>1371</v>
      </c>
      <c r="B705" s="15">
        <v>6677</v>
      </c>
      <c r="C705" s="14">
        <v>538</v>
      </c>
      <c r="D705" s="14">
        <v>1</v>
      </c>
      <c r="E705" s="14">
        <v>2</v>
      </c>
      <c r="F705" s="114" t="str">
        <f t="shared" si="20"/>
        <v>202223_538_1_2</v>
      </c>
      <c r="G705" s="115">
        <f t="shared" si="21"/>
        <v>6677</v>
      </c>
    </row>
    <row r="706" spans="1:7">
      <c r="A706" s="14" t="s">
        <v>1372</v>
      </c>
      <c r="B706" s="15">
        <v>0</v>
      </c>
      <c r="C706" s="14">
        <v>538</v>
      </c>
      <c r="D706" s="14">
        <v>10.1</v>
      </c>
      <c r="E706" s="14">
        <v>3</v>
      </c>
      <c r="F706" s="114" t="str">
        <f t="shared" si="20"/>
        <v>202223_538_10.1_3</v>
      </c>
      <c r="G706" s="115">
        <f t="shared" si="21"/>
        <v>0</v>
      </c>
    </row>
    <row r="707" spans="1:7">
      <c r="A707" s="14" t="s">
        <v>1373</v>
      </c>
      <c r="B707" s="15">
        <v>0</v>
      </c>
      <c r="C707" s="14">
        <v>538</v>
      </c>
      <c r="D707" s="14">
        <v>10.199999999999999</v>
      </c>
      <c r="E707" s="14">
        <v>3</v>
      </c>
      <c r="F707" s="114" t="str">
        <f t="shared" si="20"/>
        <v>202223_538_10.2_3</v>
      </c>
      <c r="G707" s="115">
        <f t="shared" si="21"/>
        <v>0</v>
      </c>
    </row>
    <row r="708" spans="1:7">
      <c r="A708" s="14" t="s">
        <v>1374</v>
      </c>
      <c r="B708" s="15">
        <v>0</v>
      </c>
      <c r="C708" s="14">
        <v>538</v>
      </c>
      <c r="D708" s="14">
        <v>10.3</v>
      </c>
      <c r="E708" s="14">
        <v>3</v>
      </c>
      <c r="F708" s="114" t="str">
        <f t="shared" si="20"/>
        <v>202223_538_10.3_3</v>
      </c>
      <c r="G708" s="115">
        <f t="shared" si="21"/>
        <v>0</v>
      </c>
    </row>
    <row r="709" spans="1:7">
      <c r="A709" s="14" t="s">
        <v>1375</v>
      </c>
      <c r="B709" s="15">
        <v>0</v>
      </c>
      <c r="C709" s="14">
        <v>538</v>
      </c>
      <c r="D709" s="14">
        <v>10.4</v>
      </c>
      <c r="E709" s="14">
        <v>3</v>
      </c>
      <c r="F709" s="114" t="str">
        <f t="shared" ref="F709:F772" si="22">LEFT(A709,6)&amp;"_"&amp;C709&amp;"_"&amp;D709&amp;"_"&amp;E709</f>
        <v>202223_538_10.4_3</v>
      </c>
      <c r="G709" s="115">
        <f t="shared" ref="G709:G772" si="23">B709</f>
        <v>0</v>
      </c>
    </row>
    <row r="710" spans="1:7">
      <c r="A710" s="14" t="s">
        <v>1376</v>
      </c>
      <c r="B710" s="15">
        <v>31780</v>
      </c>
      <c r="C710" s="14">
        <v>538</v>
      </c>
      <c r="D710" s="14">
        <v>10.5</v>
      </c>
      <c r="E710" s="14">
        <v>4</v>
      </c>
      <c r="F710" s="114" t="str">
        <f t="shared" si="22"/>
        <v>202223_538_10.5_4</v>
      </c>
      <c r="G710" s="115">
        <f t="shared" si="23"/>
        <v>31780</v>
      </c>
    </row>
    <row r="711" spans="1:7">
      <c r="A711" s="14" t="s">
        <v>1377</v>
      </c>
      <c r="B711" s="15">
        <v>29323</v>
      </c>
      <c r="C711" s="14">
        <v>538</v>
      </c>
      <c r="D711" s="14">
        <v>11</v>
      </c>
      <c r="E711" s="14">
        <v>4</v>
      </c>
      <c r="F711" s="114" t="str">
        <f t="shared" si="22"/>
        <v>202223_538_11_4</v>
      </c>
      <c r="G711" s="115">
        <f t="shared" si="23"/>
        <v>29323</v>
      </c>
    </row>
    <row r="712" spans="1:7">
      <c r="A712" s="14" t="s">
        <v>1378</v>
      </c>
      <c r="B712" s="15">
        <v>758</v>
      </c>
      <c r="C712" s="14">
        <v>538</v>
      </c>
      <c r="D712" s="14">
        <v>12</v>
      </c>
      <c r="E712" s="14">
        <v>4</v>
      </c>
      <c r="F712" s="114" t="str">
        <f t="shared" si="22"/>
        <v>202223_538_12_4</v>
      </c>
      <c r="G712" s="115">
        <f t="shared" si="23"/>
        <v>758</v>
      </c>
    </row>
    <row r="713" spans="1:7">
      <c r="A713" s="14" t="s">
        <v>1379</v>
      </c>
      <c r="B713" s="15">
        <v>92.268722466960355</v>
      </c>
      <c r="C713" s="14">
        <v>538</v>
      </c>
      <c r="D713" s="14">
        <v>12.5</v>
      </c>
      <c r="E713" s="14">
        <v>4</v>
      </c>
      <c r="F713" s="114" t="str">
        <f t="shared" si="22"/>
        <v>202223_538_12.5_4</v>
      </c>
      <c r="G713" s="115">
        <f t="shared" si="23"/>
        <v>92.268722466960355</v>
      </c>
    </row>
    <row r="714" spans="1:7">
      <c r="A714" s="14" t="s">
        <v>1380</v>
      </c>
      <c r="B714" s="15">
        <v>-291</v>
      </c>
      <c r="C714" s="14">
        <v>538</v>
      </c>
      <c r="D714" s="14">
        <v>2</v>
      </c>
      <c r="E714" s="14">
        <v>2</v>
      </c>
      <c r="F714" s="114" t="str">
        <f t="shared" si="22"/>
        <v>202223_538_2_2</v>
      </c>
      <c r="G714" s="115">
        <f t="shared" si="23"/>
        <v>-291</v>
      </c>
    </row>
    <row r="715" spans="1:7">
      <c r="A715" s="14" t="s">
        <v>1381</v>
      </c>
      <c r="B715" s="15">
        <v>100393</v>
      </c>
      <c r="C715" s="14">
        <v>538</v>
      </c>
      <c r="D715" s="14">
        <v>2</v>
      </c>
      <c r="E715" s="14">
        <v>3</v>
      </c>
      <c r="F715" s="114" t="str">
        <f t="shared" si="22"/>
        <v>202223_538_2_3</v>
      </c>
      <c r="G715" s="115">
        <f t="shared" si="23"/>
        <v>100393</v>
      </c>
    </row>
    <row r="716" spans="1:7">
      <c r="A716" s="14" t="s">
        <v>1382</v>
      </c>
      <c r="B716" s="15">
        <v>6386</v>
      </c>
      <c r="C716" s="14">
        <v>538</v>
      </c>
      <c r="D716" s="14">
        <v>3</v>
      </c>
      <c r="E716" s="14">
        <v>2</v>
      </c>
      <c r="F716" s="114" t="str">
        <f t="shared" si="22"/>
        <v>202223_538_3_2</v>
      </c>
      <c r="G716" s="115">
        <f t="shared" si="23"/>
        <v>6386</v>
      </c>
    </row>
    <row r="717" spans="1:7">
      <c r="A717" s="14" t="s">
        <v>1383</v>
      </c>
      <c r="B717" s="15">
        <v>100393</v>
      </c>
      <c r="C717" s="14">
        <v>538</v>
      </c>
      <c r="D717" s="14">
        <v>3</v>
      </c>
      <c r="E717" s="14">
        <v>3</v>
      </c>
      <c r="F717" s="114" t="str">
        <f t="shared" si="22"/>
        <v>202223_538_3_3</v>
      </c>
      <c r="G717" s="115">
        <f t="shared" si="23"/>
        <v>100393</v>
      </c>
    </row>
    <row r="718" spans="1:7">
      <c r="A718" s="14" t="s">
        <v>1384</v>
      </c>
      <c r="B718" s="15">
        <v>1937</v>
      </c>
      <c r="C718" s="14">
        <v>538</v>
      </c>
      <c r="D718" s="14">
        <v>4</v>
      </c>
      <c r="E718" s="14">
        <v>2</v>
      </c>
      <c r="F718" s="114" t="str">
        <f t="shared" si="22"/>
        <v>202223_538_4_2</v>
      </c>
      <c r="G718" s="115">
        <f t="shared" si="23"/>
        <v>1937</v>
      </c>
    </row>
    <row r="719" spans="1:7">
      <c r="A719" s="14" t="s">
        <v>1385</v>
      </c>
      <c r="B719" s="15">
        <v>94940</v>
      </c>
      <c r="C719" s="14">
        <v>538</v>
      </c>
      <c r="D719" s="14">
        <v>4</v>
      </c>
      <c r="E719" s="14">
        <v>3</v>
      </c>
      <c r="F719" s="114" t="str">
        <f t="shared" si="22"/>
        <v>202223_538_4_3</v>
      </c>
      <c r="G719" s="115">
        <f t="shared" si="23"/>
        <v>94940</v>
      </c>
    </row>
    <row r="720" spans="1:7">
      <c r="A720" s="14" t="s">
        <v>1386</v>
      </c>
      <c r="B720" s="15">
        <v>40</v>
      </c>
      <c r="C720" s="14">
        <v>538</v>
      </c>
      <c r="D720" s="14">
        <v>5</v>
      </c>
      <c r="E720" s="14">
        <v>2</v>
      </c>
      <c r="F720" s="114" t="str">
        <f t="shared" si="22"/>
        <v>202223_538_5_2</v>
      </c>
      <c r="G720" s="115">
        <f t="shared" si="23"/>
        <v>40</v>
      </c>
    </row>
    <row r="721" spans="1:7">
      <c r="A721" s="14" t="s">
        <v>1387</v>
      </c>
      <c r="B721" s="15">
        <v>-2</v>
      </c>
      <c r="C721" s="14">
        <v>538</v>
      </c>
      <c r="D721" s="14">
        <v>5</v>
      </c>
      <c r="E721" s="14">
        <v>3</v>
      </c>
      <c r="F721" s="114" t="str">
        <f t="shared" si="22"/>
        <v>202223_538_5_3</v>
      </c>
      <c r="G721" s="115">
        <f t="shared" si="23"/>
        <v>-2</v>
      </c>
    </row>
    <row r="722" spans="1:7">
      <c r="A722" s="14" t="s">
        <v>1388</v>
      </c>
      <c r="B722" s="15">
        <v>4409</v>
      </c>
      <c r="C722" s="14">
        <v>538</v>
      </c>
      <c r="D722" s="14">
        <v>6</v>
      </c>
      <c r="E722" s="14">
        <v>2</v>
      </c>
      <c r="F722" s="114" t="str">
        <f t="shared" si="22"/>
        <v>202223_538_6_2</v>
      </c>
      <c r="G722" s="115">
        <f t="shared" si="23"/>
        <v>4409</v>
      </c>
    </row>
    <row r="723" spans="1:7">
      <c r="A723" s="14" t="s">
        <v>1389</v>
      </c>
      <c r="B723" s="15">
        <v>5455</v>
      </c>
      <c r="C723" s="14">
        <v>538</v>
      </c>
      <c r="D723" s="14">
        <v>6</v>
      </c>
      <c r="E723" s="14">
        <v>3</v>
      </c>
      <c r="F723" s="114" t="str">
        <f t="shared" si="22"/>
        <v>202223_538_6_3</v>
      </c>
      <c r="G723" s="115">
        <f t="shared" si="23"/>
        <v>5455</v>
      </c>
    </row>
    <row r="724" spans="1:7">
      <c r="A724" s="14" t="s">
        <v>1390</v>
      </c>
      <c r="B724" s="15">
        <v>97491</v>
      </c>
      <c r="C724" s="14">
        <v>538</v>
      </c>
      <c r="D724" s="14">
        <v>7</v>
      </c>
      <c r="E724" s="14">
        <v>3</v>
      </c>
      <c r="F724" s="114" t="str">
        <f t="shared" si="22"/>
        <v>202223_538_7_3</v>
      </c>
      <c r="G724" s="115">
        <f t="shared" si="23"/>
        <v>97491</v>
      </c>
    </row>
    <row r="725" spans="1:7">
      <c r="A725" s="14" t="s">
        <v>1391</v>
      </c>
      <c r="B725" s="15">
        <v>94.56834639865329</v>
      </c>
      <c r="C725" s="14">
        <v>538</v>
      </c>
      <c r="D725" s="14">
        <v>8</v>
      </c>
      <c r="E725" s="14">
        <v>3</v>
      </c>
      <c r="F725" s="114" t="str">
        <f t="shared" si="22"/>
        <v>202223_538_8_3</v>
      </c>
      <c r="G725" s="115">
        <f t="shared" si="23"/>
        <v>94.56834639865329</v>
      </c>
    </row>
    <row r="726" spans="1:7">
      <c r="A726" s="14" t="s">
        <v>1392</v>
      </c>
      <c r="B726" s="15">
        <v>97.383348206501111</v>
      </c>
      <c r="C726" s="14">
        <v>538</v>
      </c>
      <c r="D726" s="14">
        <v>9</v>
      </c>
      <c r="E726" s="14">
        <v>3</v>
      </c>
      <c r="F726" s="114" t="str">
        <f t="shared" si="22"/>
        <v>202223_538_9_3</v>
      </c>
      <c r="G726" s="115">
        <f t="shared" si="23"/>
        <v>97.383348206501111</v>
      </c>
    </row>
    <row r="727" spans="1:7">
      <c r="A727" s="14" t="s">
        <v>1393</v>
      </c>
      <c r="B727" s="15">
        <v>9177</v>
      </c>
      <c r="C727" s="14">
        <v>540</v>
      </c>
      <c r="D727" s="14">
        <v>1</v>
      </c>
      <c r="E727" s="14">
        <v>2</v>
      </c>
      <c r="F727" s="114" t="str">
        <f t="shared" si="22"/>
        <v>202223_540_1_2</v>
      </c>
      <c r="G727" s="115">
        <f t="shared" si="23"/>
        <v>9177</v>
      </c>
    </row>
    <row r="728" spans="1:7">
      <c r="A728" s="14" t="s">
        <v>1394</v>
      </c>
      <c r="B728" s="15">
        <v>0</v>
      </c>
      <c r="C728" s="14">
        <v>540</v>
      </c>
      <c r="D728" s="14">
        <v>10.1</v>
      </c>
      <c r="E728" s="14">
        <v>3</v>
      </c>
      <c r="F728" s="114" t="str">
        <f t="shared" si="22"/>
        <v>202223_540_10.1_3</v>
      </c>
      <c r="G728" s="115">
        <f t="shared" si="23"/>
        <v>0</v>
      </c>
    </row>
    <row r="729" spans="1:7">
      <c r="A729" s="14" t="s">
        <v>1395</v>
      </c>
      <c r="B729" s="15">
        <v>0</v>
      </c>
      <c r="C729" s="14">
        <v>540</v>
      </c>
      <c r="D729" s="14">
        <v>10.199999999999999</v>
      </c>
      <c r="E729" s="14">
        <v>3</v>
      </c>
      <c r="F729" s="114" t="str">
        <f t="shared" si="22"/>
        <v>202223_540_10.2_3</v>
      </c>
      <c r="G729" s="115">
        <f t="shared" si="23"/>
        <v>0</v>
      </c>
    </row>
    <row r="730" spans="1:7">
      <c r="A730" s="14" t="s">
        <v>1396</v>
      </c>
      <c r="B730" s="15">
        <v>0</v>
      </c>
      <c r="C730" s="14">
        <v>540</v>
      </c>
      <c r="D730" s="14">
        <v>10.3</v>
      </c>
      <c r="E730" s="14">
        <v>3</v>
      </c>
      <c r="F730" s="114" t="str">
        <f t="shared" si="22"/>
        <v>202223_540_10.3_3</v>
      </c>
      <c r="G730" s="115">
        <f t="shared" si="23"/>
        <v>0</v>
      </c>
    </row>
    <row r="731" spans="1:7">
      <c r="A731" s="14" t="s">
        <v>1397</v>
      </c>
      <c r="B731" s="15">
        <v>0</v>
      </c>
      <c r="C731" s="14">
        <v>540</v>
      </c>
      <c r="D731" s="14">
        <v>10.4</v>
      </c>
      <c r="E731" s="14">
        <v>3</v>
      </c>
      <c r="F731" s="114" t="str">
        <f t="shared" si="22"/>
        <v>202223_540_10.4_3</v>
      </c>
      <c r="G731" s="115">
        <f t="shared" si="23"/>
        <v>0</v>
      </c>
    </row>
    <row r="732" spans="1:7">
      <c r="A732" s="14" t="s">
        <v>1398</v>
      </c>
      <c r="B732" s="15">
        <v>51417</v>
      </c>
      <c r="C732" s="14">
        <v>540</v>
      </c>
      <c r="D732" s="14">
        <v>10.5</v>
      </c>
      <c r="E732" s="14">
        <v>4</v>
      </c>
      <c r="F732" s="114" t="str">
        <f t="shared" si="22"/>
        <v>202223_540_10.5_4</v>
      </c>
      <c r="G732" s="115">
        <f t="shared" si="23"/>
        <v>51417</v>
      </c>
    </row>
    <row r="733" spans="1:7">
      <c r="A733" s="14" t="s">
        <v>1399</v>
      </c>
      <c r="B733" s="15">
        <v>47533</v>
      </c>
      <c r="C733" s="14">
        <v>540</v>
      </c>
      <c r="D733" s="14">
        <v>11</v>
      </c>
      <c r="E733" s="14">
        <v>4</v>
      </c>
      <c r="F733" s="114" t="str">
        <f t="shared" si="22"/>
        <v>202223_540_11_4</v>
      </c>
      <c r="G733" s="115">
        <f t="shared" si="23"/>
        <v>47533</v>
      </c>
    </row>
    <row r="734" spans="1:7">
      <c r="A734" s="14" t="s">
        <v>1400</v>
      </c>
      <c r="B734" s="15">
        <v>-246</v>
      </c>
      <c r="C734" s="14">
        <v>540</v>
      </c>
      <c r="D734" s="14">
        <v>12</v>
      </c>
      <c r="E734" s="14">
        <v>4</v>
      </c>
      <c r="F734" s="114" t="str">
        <f t="shared" si="22"/>
        <v>202223_540_12_4</v>
      </c>
      <c r="G734" s="115">
        <f t="shared" si="23"/>
        <v>-246</v>
      </c>
    </row>
    <row r="735" spans="1:7">
      <c r="A735" s="14" t="s">
        <v>1401</v>
      </c>
      <c r="B735" s="15">
        <v>92.446078145360488</v>
      </c>
      <c r="C735" s="14">
        <v>540</v>
      </c>
      <c r="D735" s="14">
        <v>12.5</v>
      </c>
      <c r="E735" s="14">
        <v>4</v>
      </c>
      <c r="F735" s="114" t="str">
        <f t="shared" si="22"/>
        <v>202223_540_12.5_4</v>
      </c>
      <c r="G735" s="115">
        <f t="shared" si="23"/>
        <v>92.446078145360488</v>
      </c>
    </row>
    <row r="736" spans="1:7">
      <c r="A736" s="14" t="s">
        <v>1402</v>
      </c>
      <c r="B736" s="15">
        <v>-505</v>
      </c>
      <c r="C736" s="14">
        <v>540</v>
      </c>
      <c r="D736" s="14">
        <v>2</v>
      </c>
      <c r="E736" s="14">
        <v>2</v>
      </c>
      <c r="F736" s="114" t="str">
        <f t="shared" si="22"/>
        <v>202223_540_2_2</v>
      </c>
      <c r="G736" s="115">
        <f t="shared" si="23"/>
        <v>-505</v>
      </c>
    </row>
    <row r="737" spans="1:7">
      <c r="A737" s="14" t="s">
        <v>1403</v>
      </c>
      <c r="B737" s="15">
        <v>126258</v>
      </c>
      <c r="C737" s="14">
        <v>540</v>
      </c>
      <c r="D737" s="14">
        <v>2</v>
      </c>
      <c r="E737" s="14">
        <v>3</v>
      </c>
      <c r="F737" s="114" t="str">
        <f t="shared" si="22"/>
        <v>202223_540_2_3</v>
      </c>
      <c r="G737" s="115">
        <f t="shared" si="23"/>
        <v>126258</v>
      </c>
    </row>
    <row r="738" spans="1:7">
      <c r="A738" s="14" t="s">
        <v>1404</v>
      </c>
      <c r="B738" s="15">
        <v>8672</v>
      </c>
      <c r="C738" s="14">
        <v>540</v>
      </c>
      <c r="D738" s="14">
        <v>3</v>
      </c>
      <c r="E738" s="14">
        <v>2</v>
      </c>
      <c r="F738" s="114" t="str">
        <f t="shared" si="22"/>
        <v>202223_540_3_2</v>
      </c>
      <c r="G738" s="115">
        <f t="shared" si="23"/>
        <v>8672</v>
      </c>
    </row>
    <row r="739" spans="1:7">
      <c r="A739" s="14" t="s">
        <v>1405</v>
      </c>
      <c r="B739" s="15">
        <v>126258</v>
      </c>
      <c r="C739" s="14">
        <v>540</v>
      </c>
      <c r="D739" s="14">
        <v>3</v>
      </c>
      <c r="E739" s="14">
        <v>3</v>
      </c>
      <c r="F739" s="114" t="str">
        <f t="shared" si="22"/>
        <v>202223_540_3_3</v>
      </c>
      <c r="G739" s="115">
        <f t="shared" si="23"/>
        <v>126258</v>
      </c>
    </row>
    <row r="740" spans="1:7">
      <c r="A740" s="14" t="s">
        <v>1406</v>
      </c>
      <c r="B740" s="15">
        <v>2312</v>
      </c>
      <c r="C740" s="14">
        <v>540</v>
      </c>
      <c r="D740" s="14">
        <v>4</v>
      </c>
      <c r="E740" s="14">
        <v>2</v>
      </c>
      <c r="F740" s="114" t="str">
        <f t="shared" si="22"/>
        <v>202223_540_4_2</v>
      </c>
      <c r="G740" s="115">
        <f t="shared" si="23"/>
        <v>2312</v>
      </c>
    </row>
    <row r="741" spans="1:7">
      <c r="A741" s="14" t="s">
        <v>1407</v>
      </c>
      <c r="B741" s="15">
        <v>121534</v>
      </c>
      <c r="C741" s="14">
        <v>540</v>
      </c>
      <c r="D741" s="14">
        <v>4</v>
      </c>
      <c r="E741" s="14">
        <v>3</v>
      </c>
      <c r="F741" s="114" t="str">
        <f t="shared" si="22"/>
        <v>202223_540_4_3</v>
      </c>
      <c r="G741" s="115">
        <f t="shared" si="23"/>
        <v>121534</v>
      </c>
    </row>
    <row r="742" spans="1:7">
      <c r="A742" s="14" t="s">
        <v>1408</v>
      </c>
      <c r="B742" s="15">
        <v>361</v>
      </c>
      <c r="C742" s="14">
        <v>540</v>
      </c>
      <c r="D742" s="14">
        <v>5</v>
      </c>
      <c r="E742" s="14">
        <v>2</v>
      </c>
      <c r="F742" s="114" t="str">
        <f t="shared" si="22"/>
        <v>202223_540_5_2</v>
      </c>
      <c r="G742" s="115">
        <f t="shared" si="23"/>
        <v>361</v>
      </c>
    </row>
    <row r="743" spans="1:7">
      <c r="A743" s="14" t="s">
        <v>1409</v>
      </c>
      <c r="B743" s="15">
        <v>75</v>
      </c>
      <c r="C743" s="14">
        <v>540</v>
      </c>
      <c r="D743" s="14">
        <v>5</v>
      </c>
      <c r="E743" s="14">
        <v>3</v>
      </c>
      <c r="F743" s="114" t="str">
        <f t="shared" si="22"/>
        <v>202223_540_5_3</v>
      </c>
      <c r="G743" s="115">
        <f t="shared" si="23"/>
        <v>75</v>
      </c>
    </row>
    <row r="744" spans="1:7">
      <c r="A744" s="14" t="s">
        <v>1410</v>
      </c>
      <c r="B744" s="15">
        <v>5999</v>
      </c>
      <c r="C744" s="14">
        <v>540</v>
      </c>
      <c r="D744" s="14">
        <v>6</v>
      </c>
      <c r="E744" s="14">
        <v>2</v>
      </c>
      <c r="F744" s="114" t="str">
        <f t="shared" si="22"/>
        <v>202223_540_6_2</v>
      </c>
      <c r="G744" s="115">
        <f t="shared" si="23"/>
        <v>5999</v>
      </c>
    </row>
    <row r="745" spans="1:7">
      <c r="A745" s="14" t="s">
        <v>1411</v>
      </c>
      <c r="B745" s="15">
        <v>4649</v>
      </c>
      <c r="C745" s="14">
        <v>540</v>
      </c>
      <c r="D745" s="14">
        <v>6</v>
      </c>
      <c r="E745" s="14">
        <v>3</v>
      </c>
      <c r="F745" s="114" t="str">
        <f t="shared" si="22"/>
        <v>202223_540_6_3</v>
      </c>
      <c r="G745" s="115">
        <f t="shared" si="23"/>
        <v>4649</v>
      </c>
    </row>
    <row r="746" spans="1:7">
      <c r="A746" s="14" t="s">
        <v>1412</v>
      </c>
      <c r="B746" s="15">
        <v>121982</v>
      </c>
      <c r="C746" s="14">
        <v>540</v>
      </c>
      <c r="D746" s="14">
        <v>7</v>
      </c>
      <c r="E746" s="14">
        <v>3</v>
      </c>
      <c r="F746" s="114" t="str">
        <f t="shared" si="22"/>
        <v>202223_540_7_3</v>
      </c>
      <c r="G746" s="115">
        <f t="shared" si="23"/>
        <v>121982</v>
      </c>
    </row>
    <row r="747" spans="1:7">
      <c r="A747" s="14" t="s">
        <v>1413</v>
      </c>
      <c r="B747" s="15">
        <v>96.258454909787901</v>
      </c>
      <c r="C747" s="14">
        <v>540</v>
      </c>
      <c r="D747" s="14">
        <v>8</v>
      </c>
      <c r="E747" s="14">
        <v>3</v>
      </c>
      <c r="F747" s="114" t="str">
        <f t="shared" si="22"/>
        <v>202223_540_8_3</v>
      </c>
      <c r="G747" s="115">
        <f t="shared" si="23"/>
        <v>96.258454909787901</v>
      </c>
    </row>
    <row r="748" spans="1:7">
      <c r="A748" s="14" t="s">
        <v>1414</v>
      </c>
      <c r="B748" s="15">
        <v>99.632732698266963</v>
      </c>
      <c r="C748" s="14">
        <v>540</v>
      </c>
      <c r="D748" s="14">
        <v>9</v>
      </c>
      <c r="E748" s="14">
        <v>3</v>
      </c>
      <c r="F748" s="114" t="str">
        <f t="shared" si="22"/>
        <v>202223_540_9_3</v>
      </c>
      <c r="G748" s="115">
        <f t="shared" si="23"/>
        <v>99.632732698266963</v>
      </c>
    </row>
    <row r="749" spans="1:7">
      <c r="A749" s="14" t="s">
        <v>1415</v>
      </c>
      <c r="B749" s="15">
        <v>7099</v>
      </c>
      <c r="C749" s="14">
        <v>542</v>
      </c>
      <c r="D749" s="14">
        <v>1</v>
      </c>
      <c r="E749" s="14">
        <v>2</v>
      </c>
      <c r="F749" s="114" t="str">
        <f t="shared" si="22"/>
        <v>202223_542_1_2</v>
      </c>
      <c r="G749" s="115">
        <f t="shared" si="23"/>
        <v>7099</v>
      </c>
    </row>
    <row r="750" spans="1:7">
      <c r="A750" s="14" t="s">
        <v>1416</v>
      </c>
      <c r="B750" s="15">
        <v>0</v>
      </c>
      <c r="C750" s="14">
        <v>542</v>
      </c>
      <c r="D750" s="14">
        <v>10.1</v>
      </c>
      <c r="E750" s="14">
        <v>3</v>
      </c>
      <c r="F750" s="114" t="str">
        <f t="shared" si="22"/>
        <v>202223_542_10.1_3</v>
      </c>
      <c r="G750" s="115">
        <f t="shared" si="23"/>
        <v>0</v>
      </c>
    </row>
    <row r="751" spans="1:7">
      <c r="A751" s="14" t="s">
        <v>1417</v>
      </c>
      <c r="B751" s="15">
        <v>0</v>
      </c>
      <c r="C751" s="14">
        <v>542</v>
      </c>
      <c r="D751" s="14">
        <v>10.199999999999999</v>
      </c>
      <c r="E751" s="14">
        <v>3</v>
      </c>
      <c r="F751" s="114" t="str">
        <f t="shared" si="22"/>
        <v>202223_542_10.2_3</v>
      </c>
      <c r="G751" s="115">
        <f t="shared" si="23"/>
        <v>0</v>
      </c>
    </row>
    <row r="752" spans="1:7">
      <c r="A752" s="14" t="s">
        <v>1418</v>
      </c>
      <c r="B752" s="15">
        <v>0</v>
      </c>
      <c r="C752" s="14">
        <v>542</v>
      </c>
      <c r="D752" s="14">
        <v>10.3</v>
      </c>
      <c r="E752" s="14">
        <v>3</v>
      </c>
      <c r="F752" s="114" t="str">
        <f t="shared" si="22"/>
        <v>202223_542_10.3_3</v>
      </c>
      <c r="G752" s="115">
        <f t="shared" si="23"/>
        <v>0</v>
      </c>
    </row>
    <row r="753" spans="1:7">
      <c r="A753" s="14" t="s">
        <v>1419</v>
      </c>
      <c r="B753" s="15">
        <v>0</v>
      </c>
      <c r="C753" s="14">
        <v>542</v>
      </c>
      <c r="D753" s="14">
        <v>10.4</v>
      </c>
      <c r="E753" s="14">
        <v>3</v>
      </c>
      <c r="F753" s="114" t="str">
        <f t="shared" si="22"/>
        <v>202223_542_10.4_3</v>
      </c>
      <c r="G753" s="115">
        <f t="shared" si="23"/>
        <v>0</v>
      </c>
    </row>
    <row r="754" spans="1:7">
      <c r="A754" s="14" t="s">
        <v>1420</v>
      </c>
      <c r="B754" s="15">
        <v>16363</v>
      </c>
      <c r="C754" s="14">
        <v>542</v>
      </c>
      <c r="D754" s="14">
        <v>10.5</v>
      </c>
      <c r="E754" s="14">
        <v>4</v>
      </c>
      <c r="F754" s="114" t="str">
        <f t="shared" si="22"/>
        <v>202223_542_10.5_4</v>
      </c>
      <c r="G754" s="115">
        <f t="shared" si="23"/>
        <v>16363</v>
      </c>
    </row>
    <row r="755" spans="1:7">
      <c r="A755" s="14" t="s">
        <v>1421</v>
      </c>
      <c r="B755" s="15">
        <v>16707</v>
      </c>
      <c r="C755" s="14">
        <v>542</v>
      </c>
      <c r="D755" s="14">
        <v>11</v>
      </c>
      <c r="E755" s="14">
        <v>4</v>
      </c>
      <c r="F755" s="114" t="str">
        <f t="shared" si="22"/>
        <v>202223_542_11_4</v>
      </c>
      <c r="G755" s="115">
        <f t="shared" si="23"/>
        <v>16707</v>
      </c>
    </row>
    <row r="756" spans="1:7">
      <c r="A756" s="14" t="s">
        <v>1422</v>
      </c>
      <c r="B756" s="15">
        <v>600</v>
      </c>
      <c r="C756" s="14">
        <v>542</v>
      </c>
      <c r="D756" s="14">
        <v>12</v>
      </c>
      <c r="E756" s="14">
        <v>4</v>
      </c>
      <c r="F756" s="114" t="str">
        <f t="shared" si="22"/>
        <v>202223_542_12_4</v>
      </c>
      <c r="G756" s="115">
        <f t="shared" si="23"/>
        <v>600</v>
      </c>
    </row>
    <row r="757" spans="1:7">
      <c r="A757" s="14" t="s">
        <v>1423</v>
      </c>
      <c r="B757" s="15">
        <v>102.10230397848805</v>
      </c>
      <c r="C757" s="14">
        <v>542</v>
      </c>
      <c r="D757" s="14">
        <v>12.5</v>
      </c>
      <c r="E757" s="14">
        <v>4</v>
      </c>
      <c r="F757" s="114" t="str">
        <f t="shared" si="22"/>
        <v>202223_542_12.5_4</v>
      </c>
      <c r="G757" s="115">
        <f t="shared" si="23"/>
        <v>102.10230397848805</v>
      </c>
    </row>
    <row r="758" spans="1:7">
      <c r="A758" s="14" t="s">
        <v>1424</v>
      </c>
      <c r="B758" s="15">
        <v>-163</v>
      </c>
      <c r="C758" s="14">
        <v>542</v>
      </c>
      <c r="D758" s="14">
        <v>2</v>
      </c>
      <c r="E758" s="14">
        <v>2</v>
      </c>
      <c r="F758" s="114" t="str">
        <f t="shared" si="22"/>
        <v>202223_542_2_2</v>
      </c>
      <c r="G758" s="115">
        <f t="shared" si="23"/>
        <v>-163</v>
      </c>
    </row>
    <row r="759" spans="1:7">
      <c r="A759" s="14" t="s">
        <v>1425</v>
      </c>
      <c r="B759" s="15">
        <v>32601</v>
      </c>
      <c r="C759" s="14">
        <v>542</v>
      </c>
      <c r="D759" s="14">
        <v>2</v>
      </c>
      <c r="E759" s="14">
        <v>3</v>
      </c>
      <c r="F759" s="114" t="str">
        <f t="shared" si="22"/>
        <v>202223_542_2_3</v>
      </c>
      <c r="G759" s="115">
        <f t="shared" si="23"/>
        <v>32601</v>
      </c>
    </row>
    <row r="760" spans="1:7">
      <c r="A760" s="14" t="s">
        <v>1426</v>
      </c>
      <c r="B760" s="15">
        <v>6936</v>
      </c>
      <c r="C760" s="14">
        <v>542</v>
      </c>
      <c r="D760" s="14">
        <v>3</v>
      </c>
      <c r="E760" s="14">
        <v>2</v>
      </c>
      <c r="F760" s="114" t="str">
        <f t="shared" si="22"/>
        <v>202223_542_3_2</v>
      </c>
      <c r="G760" s="115">
        <f t="shared" si="23"/>
        <v>6936</v>
      </c>
    </row>
    <row r="761" spans="1:7">
      <c r="A761" s="14" t="s">
        <v>1427</v>
      </c>
      <c r="B761" s="15">
        <v>32601</v>
      </c>
      <c r="C761" s="14">
        <v>542</v>
      </c>
      <c r="D761" s="14">
        <v>3</v>
      </c>
      <c r="E761" s="14">
        <v>3</v>
      </c>
      <c r="F761" s="114" t="str">
        <f t="shared" si="22"/>
        <v>202223_542_3_3</v>
      </c>
      <c r="G761" s="115">
        <f t="shared" si="23"/>
        <v>32601</v>
      </c>
    </row>
    <row r="762" spans="1:7">
      <c r="A762" s="14" t="s">
        <v>1428</v>
      </c>
      <c r="B762" s="15">
        <v>1027</v>
      </c>
      <c r="C762" s="14">
        <v>542</v>
      </c>
      <c r="D762" s="14">
        <v>4</v>
      </c>
      <c r="E762" s="14">
        <v>2</v>
      </c>
      <c r="F762" s="114" t="str">
        <f t="shared" si="22"/>
        <v>202223_542_4_2</v>
      </c>
      <c r="G762" s="115">
        <f t="shared" si="23"/>
        <v>1027</v>
      </c>
    </row>
    <row r="763" spans="1:7">
      <c r="A763" s="14" t="s">
        <v>1429</v>
      </c>
      <c r="B763" s="15">
        <v>30859</v>
      </c>
      <c r="C763" s="14">
        <v>542</v>
      </c>
      <c r="D763" s="14">
        <v>4</v>
      </c>
      <c r="E763" s="14">
        <v>3</v>
      </c>
      <c r="F763" s="114" t="str">
        <f t="shared" si="22"/>
        <v>202223_542_4_3</v>
      </c>
      <c r="G763" s="115">
        <f t="shared" si="23"/>
        <v>30859</v>
      </c>
    </row>
    <row r="764" spans="1:7">
      <c r="A764" s="14" t="s">
        <v>1430</v>
      </c>
      <c r="B764" s="15">
        <v>134</v>
      </c>
      <c r="C764" s="14">
        <v>542</v>
      </c>
      <c r="D764" s="14">
        <v>5</v>
      </c>
      <c r="E764" s="14">
        <v>2</v>
      </c>
      <c r="F764" s="114" t="str">
        <f t="shared" si="22"/>
        <v>202223_542_5_2</v>
      </c>
      <c r="G764" s="115">
        <f t="shared" si="23"/>
        <v>134</v>
      </c>
    </row>
    <row r="765" spans="1:7">
      <c r="A765" s="14" t="s">
        <v>1431</v>
      </c>
      <c r="B765" s="15">
        <v>10</v>
      </c>
      <c r="C765" s="14">
        <v>542</v>
      </c>
      <c r="D765" s="14">
        <v>5</v>
      </c>
      <c r="E765" s="14">
        <v>3</v>
      </c>
      <c r="F765" s="114" t="str">
        <f t="shared" si="22"/>
        <v>202223_542_5_3</v>
      </c>
      <c r="G765" s="115">
        <f t="shared" si="23"/>
        <v>10</v>
      </c>
    </row>
    <row r="766" spans="1:7">
      <c r="A766" s="14" t="s">
        <v>1432</v>
      </c>
      <c r="B766" s="15">
        <v>5775</v>
      </c>
      <c r="C766" s="14">
        <v>542</v>
      </c>
      <c r="D766" s="14">
        <v>6</v>
      </c>
      <c r="E766" s="14">
        <v>2</v>
      </c>
      <c r="F766" s="114" t="str">
        <f t="shared" si="22"/>
        <v>202223_542_6_2</v>
      </c>
      <c r="G766" s="115">
        <f t="shared" si="23"/>
        <v>5775</v>
      </c>
    </row>
    <row r="767" spans="1:7">
      <c r="A767" s="14" t="s">
        <v>1433</v>
      </c>
      <c r="B767" s="15">
        <v>1732</v>
      </c>
      <c r="C767" s="14">
        <v>542</v>
      </c>
      <c r="D767" s="14">
        <v>6</v>
      </c>
      <c r="E767" s="14">
        <v>3</v>
      </c>
      <c r="F767" s="114" t="str">
        <f t="shared" si="22"/>
        <v>202223_542_6_3</v>
      </c>
      <c r="G767" s="115">
        <f t="shared" si="23"/>
        <v>1732</v>
      </c>
    </row>
    <row r="768" spans="1:7">
      <c r="A768" s="14" t="s">
        <v>1434</v>
      </c>
      <c r="B768" s="15">
        <v>31248</v>
      </c>
      <c r="C768" s="14">
        <v>542</v>
      </c>
      <c r="D768" s="14">
        <v>7</v>
      </c>
      <c r="E768" s="14">
        <v>3</v>
      </c>
      <c r="F768" s="114" t="str">
        <f t="shared" si="22"/>
        <v>202223_542_7_3</v>
      </c>
      <c r="G768" s="115">
        <f t="shared" si="23"/>
        <v>31248</v>
      </c>
    </row>
    <row r="769" spans="1:7">
      <c r="A769" s="14" t="s">
        <v>1435</v>
      </c>
      <c r="B769" s="15">
        <v>94.65660562559431</v>
      </c>
      <c r="C769" s="14">
        <v>542</v>
      </c>
      <c r="D769" s="14">
        <v>8</v>
      </c>
      <c r="E769" s="14">
        <v>3</v>
      </c>
      <c r="F769" s="114" t="str">
        <f t="shared" si="22"/>
        <v>202223_542_8_3</v>
      </c>
      <c r="G769" s="115">
        <f t="shared" si="23"/>
        <v>94.65660562559431</v>
      </c>
    </row>
    <row r="770" spans="1:7">
      <c r="A770" s="14" t="s">
        <v>1436</v>
      </c>
      <c r="B770" s="15">
        <v>98.755120327700979</v>
      </c>
      <c r="C770" s="14">
        <v>542</v>
      </c>
      <c r="D770" s="14">
        <v>9</v>
      </c>
      <c r="E770" s="14">
        <v>3</v>
      </c>
      <c r="F770" s="114" t="str">
        <f t="shared" si="22"/>
        <v>202223_542_9_3</v>
      </c>
      <c r="G770" s="115">
        <f t="shared" si="23"/>
        <v>98.755120327700979</v>
      </c>
    </row>
    <row r="771" spans="1:7">
      <c r="A771" s="14" t="s">
        <v>1437</v>
      </c>
      <c r="B771" s="15">
        <v>7922</v>
      </c>
      <c r="C771" s="14">
        <v>544</v>
      </c>
      <c r="D771" s="14">
        <v>1</v>
      </c>
      <c r="E771" s="14">
        <v>2</v>
      </c>
      <c r="F771" s="114" t="str">
        <f t="shared" si="22"/>
        <v>202223_544_1_2</v>
      </c>
      <c r="G771" s="115">
        <f t="shared" si="23"/>
        <v>7922</v>
      </c>
    </row>
    <row r="772" spans="1:7">
      <c r="A772" s="14" t="s">
        <v>1438</v>
      </c>
      <c r="B772" s="15">
        <v>0</v>
      </c>
      <c r="C772" s="14">
        <v>544</v>
      </c>
      <c r="D772" s="14">
        <v>10.1</v>
      </c>
      <c r="E772" s="14">
        <v>3</v>
      </c>
      <c r="F772" s="114" t="str">
        <f t="shared" si="22"/>
        <v>202223_544_10.1_3</v>
      </c>
      <c r="G772" s="115">
        <f t="shared" si="23"/>
        <v>0</v>
      </c>
    </row>
    <row r="773" spans="1:7">
      <c r="A773" s="14" t="s">
        <v>1439</v>
      </c>
      <c r="B773" s="15">
        <v>0</v>
      </c>
      <c r="C773" s="14">
        <v>544</v>
      </c>
      <c r="D773" s="14">
        <v>10.199999999999999</v>
      </c>
      <c r="E773" s="14">
        <v>3</v>
      </c>
      <c r="F773" s="114" t="str">
        <f t="shared" ref="F773:F831" si="24">LEFT(A773,6)&amp;"_"&amp;C773&amp;"_"&amp;D773&amp;"_"&amp;E773</f>
        <v>202223_544_10.2_3</v>
      </c>
      <c r="G773" s="115">
        <f t="shared" ref="G773:G831" si="25">B773</f>
        <v>0</v>
      </c>
    </row>
    <row r="774" spans="1:7">
      <c r="A774" s="14" t="s">
        <v>1440</v>
      </c>
      <c r="B774" s="15">
        <v>0</v>
      </c>
      <c r="C774" s="14">
        <v>544</v>
      </c>
      <c r="D774" s="14">
        <v>10.3</v>
      </c>
      <c r="E774" s="14">
        <v>3</v>
      </c>
      <c r="F774" s="114" t="str">
        <f t="shared" si="24"/>
        <v>202223_544_10.3_3</v>
      </c>
      <c r="G774" s="115">
        <f t="shared" si="25"/>
        <v>0</v>
      </c>
    </row>
    <row r="775" spans="1:7">
      <c r="A775" s="14" t="s">
        <v>1441</v>
      </c>
      <c r="B775" s="15">
        <v>0</v>
      </c>
      <c r="C775" s="14">
        <v>544</v>
      </c>
      <c r="D775" s="14">
        <v>10.4</v>
      </c>
      <c r="E775" s="14">
        <v>3</v>
      </c>
      <c r="F775" s="114" t="str">
        <f t="shared" si="24"/>
        <v>202223_544_10.4_3</v>
      </c>
      <c r="G775" s="115">
        <f t="shared" si="25"/>
        <v>0</v>
      </c>
    </row>
    <row r="776" spans="1:7">
      <c r="A776" s="14" t="s">
        <v>1442</v>
      </c>
      <c r="B776" s="15">
        <v>35343</v>
      </c>
      <c r="C776" s="14">
        <v>544</v>
      </c>
      <c r="D776" s="14">
        <v>10.5</v>
      </c>
      <c r="E776" s="14">
        <v>4</v>
      </c>
      <c r="F776" s="114" t="str">
        <f t="shared" si="24"/>
        <v>202223_544_10.5_4</v>
      </c>
      <c r="G776" s="115">
        <f t="shared" si="25"/>
        <v>35343</v>
      </c>
    </row>
    <row r="777" spans="1:7">
      <c r="A777" s="14" t="s">
        <v>1443</v>
      </c>
      <c r="B777" s="15">
        <v>34446</v>
      </c>
      <c r="C777" s="14">
        <v>544</v>
      </c>
      <c r="D777" s="14">
        <v>11</v>
      </c>
      <c r="E777" s="14">
        <v>4</v>
      </c>
      <c r="F777" s="114" t="str">
        <f t="shared" si="24"/>
        <v>202223_544_11_4</v>
      </c>
      <c r="G777" s="115">
        <f t="shared" si="25"/>
        <v>34446</v>
      </c>
    </row>
    <row r="778" spans="1:7">
      <c r="A778" s="14" t="s">
        <v>1444</v>
      </c>
      <c r="B778" s="15">
        <v>289</v>
      </c>
      <c r="C778" s="14">
        <v>544</v>
      </c>
      <c r="D778" s="14">
        <v>12</v>
      </c>
      <c r="E778" s="14">
        <v>4</v>
      </c>
      <c r="F778" s="114" t="str">
        <f t="shared" si="24"/>
        <v>202223_544_12_4</v>
      </c>
      <c r="G778" s="115">
        <f t="shared" si="25"/>
        <v>289</v>
      </c>
    </row>
    <row r="779" spans="1:7">
      <c r="A779" s="14" t="s">
        <v>1445</v>
      </c>
      <c r="B779" s="15">
        <v>97.462015109073931</v>
      </c>
      <c r="C779" s="14">
        <v>544</v>
      </c>
      <c r="D779" s="14">
        <v>12.5</v>
      </c>
      <c r="E779" s="14">
        <v>4</v>
      </c>
      <c r="F779" s="114" t="str">
        <f t="shared" si="24"/>
        <v>202223_544_12.5_4</v>
      </c>
      <c r="G779" s="115">
        <f t="shared" si="25"/>
        <v>97.462015109073931</v>
      </c>
    </row>
    <row r="780" spans="1:7">
      <c r="A780" s="14" t="s">
        <v>1446</v>
      </c>
      <c r="B780" s="15">
        <v>-406</v>
      </c>
      <c r="C780" s="14">
        <v>544</v>
      </c>
      <c r="D780" s="14">
        <v>2</v>
      </c>
      <c r="E780" s="14">
        <v>2</v>
      </c>
      <c r="F780" s="114" t="str">
        <f t="shared" si="24"/>
        <v>202223_544_2_2</v>
      </c>
      <c r="G780" s="115">
        <f t="shared" si="25"/>
        <v>-406</v>
      </c>
    </row>
    <row r="781" spans="1:7">
      <c r="A781" s="14" t="s">
        <v>1447</v>
      </c>
      <c r="B781" s="15">
        <v>82348</v>
      </c>
      <c r="C781" s="14">
        <v>544</v>
      </c>
      <c r="D781" s="14">
        <v>2</v>
      </c>
      <c r="E781" s="14">
        <v>3</v>
      </c>
      <c r="F781" s="114" t="str">
        <f t="shared" si="24"/>
        <v>202223_544_2_3</v>
      </c>
      <c r="G781" s="115">
        <f t="shared" si="25"/>
        <v>82348</v>
      </c>
    </row>
    <row r="782" spans="1:7">
      <c r="A782" s="14" t="s">
        <v>1448</v>
      </c>
      <c r="B782" s="15">
        <v>7516</v>
      </c>
      <c r="C782" s="14">
        <v>544</v>
      </c>
      <c r="D782" s="14">
        <v>3</v>
      </c>
      <c r="E782" s="14">
        <v>2</v>
      </c>
      <c r="F782" s="114" t="str">
        <f t="shared" si="24"/>
        <v>202223_544_3_2</v>
      </c>
      <c r="G782" s="115">
        <f t="shared" si="25"/>
        <v>7516</v>
      </c>
    </row>
    <row r="783" spans="1:7">
      <c r="A783" s="14" t="s">
        <v>1449</v>
      </c>
      <c r="B783" s="15">
        <v>82348</v>
      </c>
      <c r="C783" s="14">
        <v>544</v>
      </c>
      <c r="D783" s="14">
        <v>3</v>
      </c>
      <c r="E783" s="14">
        <v>3</v>
      </c>
      <c r="F783" s="114" t="str">
        <f t="shared" si="24"/>
        <v>202223_544_3_3</v>
      </c>
      <c r="G783" s="115">
        <f t="shared" si="25"/>
        <v>82348</v>
      </c>
    </row>
    <row r="784" spans="1:7">
      <c r="A784" s="14" t="s">
        <v>1450</v>
      </c>
      <c r="B784" s="15">
        <v>2112</v>
      </c>
      <c r="C784" s="14">
        <v>544</v>
      </c>
      <c r="D784" s="14">
        <v>4</v>
      </c>
      <c r="E784" s="14">
        <v>2</v>
      </c>
      <c r="F784" s="114" t="str">
        <f t="shared" si="24"/>
        <v>202223_544_4_2</v>
      </c>
      <c r="G784" s="115">
        <f t="shared" si="25"/>
        <v>2112</v>
      </c>
    </row>
    <row r="785" spans="1:7">
      <c r="A785" s="14" t="s">
        <v>1451</v>
      </c>
      <c r="B785" s="15">
        <v>78151</v>
      </c>
      <c r="C785" s="14">
        <v>544</v>
      </c>
      <c r="D785" s="14">
        <v>4</v>
      </c>
      <c r="E785" s="14">
        <v>3</v>
      </c>
      <c r="F785" s="114" t="str">
        <f t="shared" si="24"/>
        <v>202223_544_4_3</v>
      </c>
      <c r="G785" s="115">
        <f t="shared" si="25"/>
        <v>78151</v>
      </c>
    </row>
    <row r="786" spans="1:7">
      <c r="A786" s="14" t="s">
        <v>1452</v>
      </c>
      <c r="B786" s="15">
        <v>270</v>
      </c>
      <c r="C786" s="14">
        <v>544</v>
      </c>
      <c r="D786" s="14">
        <v>5</v>
      </c>
      <c r="E786" s="14">
        <v>2</v>
      </c>
      <c r="F786" s="114" t="str">
        <f t="shared" si="24"/>
        <v>202223_544_5_2</v>
      </c>
      <c r="G786" s="115">
        <f t="shared" si="25"/>
        <v>270</v>
      </c>
    </row>
    <row r="787" spans="1:7">
      <c r="A787" s="14" t="s">
        <v>1453</v>
      </c>
      <c r="B787" s="15">
        <v>37</v>
      </c>
      <c r="C787" s="14">
        <v>544</v>
      </c>
      <c r="D787" s="14">
        <v>5</v>
      </c>
      <c r="E787" s="14">
        <v>3</v>
      </c>
      <c r="F787" s="114" t="str">
        <f t="shared" si="24"/>
        <v>202223_544_5_3</v>
      </c>
      <c r="G787" s="115">
        <f t="shared" si="25"/>
        <v>37</v>
      </c>
    </row>
    <row r="788" spans="1:7">
      <c r="A788" s="14" t="s">
        <v>1454</v>
      </c>
      <c r="B788" s="15">
        <v>5134</v>
      </c>
      <c r="C788" s="14">
        <v>544</v>
      </c>
      <c r="D788" s="14">
        <v>6</v>
      </c>
      <c r="E788" s="14">
        <v>2</v>
      </c>
      <c r="F788" s="114" t="str">
        <f t="shared" si="24"/>
        <v>202223_544_6_2</v>
      </c>
      <c r="G788" s="115">
        <f t="shared" si="25"/>
        <v>5134</v>
      </c>
    </row>
    <row r="789" spans="1:7">
      <c r="A789" s="14" t="s">
        <v>1455</v>
      </c>
      <c r="B789" s="15">
        <v>4160</v>
      </c>
      <c r="C789" s="14">
        <v>544</v>
      </c>
      <c r="D789" s="14">
        <v>6</v>
      </c>
      <c r="E789" s="14">
        <v>3</v>
      </c>
      <c r="F789" s="114" t="str">
        <f t="shared" si="24"/>
        <v>202223_544_6_3</v>
      </c>
      <c r="G789" s="115">
        <f t="shared" si="25"/>
        <v>4160</v>
      </c>
    </row>
    <row r="790" spans="1:7">
      <c r="A790" s="14" t="s">
        <v>1456</v>
      </c>
      <c r="B790" s="15">
        <v>80007</v>
      </c>
      <c r="C790" s="14">
        <v>544</v>
      </c>
      <c r="D790" s="14">
        <v>7</v>
      </c>
      <c r="E790" s="14">
        <v>3</v>
      </c>
      <c r="F790" s="114" t="str">
        <f t="shared" si="24"/>
        <v>202223_544_7_3</v>
      </c>
      <c r="G790" s="115">
        <f t="shared" si="25"/>
        <v>80007</v>
      </c>
    </row>
    <row r="791" spans="1:7">
      <c r="A791" s="14" t="s">
        <v>1457</v>
      </c>
      <c r="B791" s="15">
        <v>94.903337057366301</v>
      </c>
      <c r="C791" s="14">
        <v>544</v>
      </c>
      <c r="D791" s="14">
        <v>8</v>
      </c>
      <c r="E791" s="14">
        <v>3</v>
      </c>
      <c r="F791" s="114" t="str">
        <f t="shared" si="24"/>
        <v>202223_544_8_3</v>
      </c>
      <c r="G791" s="115">
        <f t="shared" si="25"/>
        <v>94.903337057366301</v>
      </c>
    </row>
    <row r="792" spans="1:7">
      <c r="A792" s="14" t="s">
        <v>1458</v>
      </c>
      <c r="B792" s="15">
        <v>97.680202982239052</v>
      </c>
      <c r="C792" s="14">
        <v>544</v>
      </c>
      <c r="D792" s="14">
        <v>9</v>
      </c>
      <c r="E792" s="14">
        <v>3</v>
      </c>
      <c r="F792" s="114" t="str">
        <f t="shared" si="24"/>
        <v>202223_544_9_3</v>
      </c>
      <c r="G792" s="115">
        <f t="shared" si="25"/>
        <v>97.680202982239052</v>
      </c>
    </row>
    <row r="793" spans="1:7">
      <c r="A793" s="14" t="s">
        <v>1459</v>
      </c>
      <c r="B793" s="15">
        <v>7397</v>
      </c>
      <c r="C793" s="14">
        <v>545</v>
      </c>
      <c r="D793" s="14">
        <v>1</v>
      </c>
      <c r="E793" s="14">
        <v>2</v>
      </c>
      <c r="F793" s="114" t="str">
        <f t="shared" si="24"/>
        <v>202223_545_1_2</v>
      </c>
      <c r="G793" s="115">
        <f t="shared" si="25"/>
        <v>7397</v>
      </c>
    </row>
    <row r="794" spans="1:7">
      <c r="A794" s="14" t="s">
        <v>1460</v>
      </c>
      <c r="B794" s="15">
        <v>0</v>
      </c>
      <c r="C794" s="14">
        <v>545</v>
      </c>
      <c r="D794" s="14">
        <v>10.1</v>
      </c>
      <c r="E794" s="14">
        <v>3</v>
      </c>
      <c r="F794" s="114" t="str">
        <f t="shared" si="24"/>
        <v>202223_545_10.1_3</v>
      </c>
      <c r="G794" s="115">
        <f t="shared" si="25"/>
        <v>0</v>
      </c>
    </row>
    <row r="795" spans="1:7">
      <c r="A795" s="14" t="s">
        <v>1461</v>
      </c>
      <c r="B795" s="15">
        <v>0</v>
      </c>
      <c r="C795" s="14">
        <v>545</v>
      </c>
      <c r="D795" s="14">
        <v>10.199999999999999</v>
      </c>
      <c r="E795" s="14">
        <v>3</v>
      </c>
      <c r="F795" s="114" t="str">
        <f t="shared" si="24"/>
        <v>202223_545_10.2_3</v>
      </c>
      <c r="G795" s="115">
        <f t="shared" si="25"/>
        <v>0</v>
      </c>
    </row>
    <row r="796" spans="1:7">
      <c r="A796" s="14" t="s">
        <v>1462</v>
      </c>
      <c r="B796" s="15">
        <v>0</v>
      </c>
      <c r="C796" s="14">
        <v>545</v>
      </c>
      <c r="D796" s="14">
        <v>10.3</v>
      </c>
      <c r="E796" s="14">
        <v>3</v>
      </c>
      <c r="F796" s="114" t="str">
        <f t="shared" si="24"/>
        <v>202223_545_10.3_3</v>
      </c>
      <c r="G796" s="115">
        <f t="shared" si="25"/>
        <v>0</v>
      </c>
    </row>
    <row r="797" spans="1:7">
      <c r="A797" s="14" t="s">
        <v>1463</v>
      </c>
      <c r="B797" s="15">
        <v>0</v>
      </c>
      <c r="C797" s="14">
        <v>545</v>
      </c>
      <c r="D797" s="14">
        <v>10.4</v>
      </c>
      <c r="E797" s="14">
        <v>3</v>
      </c>
      <c r="F797" s="114" t="str">
        <f t="shared" si="24"/>
        <v>202223_545_10.4_3</v>
      </c>
      <c r="G797" s="115">
        <f t="shared" si="25"/>
        <v>0</v>
      </c>
    </row>
    <row r="798" spans="1:7">
      <c r="A798" s="14" t="s">
        <v>1464</v>
      </c>
      <c r="B798" s="15">
        <v>11997</v>
      </c>
      <c r="C798" s="14">
        <v>545</v>
      </c>
      <c r="D798" s="14">
        <v>10.5</v>
      </c>
      <c r="E798" s="14">
        <v>4</v>
      </c>
      <c r="F798" s="114" t="str">
        <f t="shared" si="24"/>
        <v>202223_545_10.5_4</v>
      </c>
      <c r="G798" s="115">
        <f t="shared" si="25"/>
        <v>11997</v>
      </c>
    </row>
    <row r="799" spans="1:7">
      <c r="A799" s="14" t="s">
        <v>1465</v>
      </c>
      <c r="B799" s="15">
        <v>9691</v>
      </c>
      <c r="C799" s="14">
        <v>545</v>
      </c>
      <c r="D799" s="14">
        <v>11</v>
      </c>
      <c r="E799" s="14">
        <v>4</v>
      </c>
      <c r="F799" s="114" t="str">
        <f t="shared" si="24"/>
        <v>202223_545_11_4</v>
      </c>
      <c r="G799" s="115">
        <f t="shared" si="25"/>
        <v>9691</v>
      </c>
    </row>
    <row r="800" spans="1:7">
      <c r="A800" s="14" t="s">
        <v>1466</v>
      </c>
      <c r="B800" s="15">
        <v>-508</v>
      </c>
      <c r="C800" s="14">
        <v>545</v>
      </c>
      <c r="D800" s="14">
        <v>12</v>
      </c>
      <c r="E800" s="14">
        <v>4</v>
      </c>
      <c r="F800" s="114" t="str">
        <f t="shared" si="24"/>
        <v>202223_545_12_4</v>
      </c>
      <c r="G800" s="115">
        <f t="shared" si="25"/>
        <v>-508</v>
      </c>
    </row>
    <row r="801" spans="1:7">
      <c r="A801" s="14" t="s">
        <v>1467</v>
      </c>
      <c r="B801" s="15">
        <v>80.77852796532467</v>
      </c>
      <c r="C801" s="14">
        <v>545</v>
      </c>
      <c r="D801" s="14">
        <v>12.5</v>
      </c>
      <c r="E801" s="14">
        <v>4</v>
      </c>
      <c r="F801" s="114" t="str">
        <f t="shared" si="24"/>
        <v>202223_545_12.5_4</v>
      </c>
      <c r="G801" s="115">
        <f t="shared" si="25"/>
        <v>80.77852796532467</v>
      </c>
    </row>
    <row r="802" spans="1:7">
      <c r="A802" s="14" t="s">
        <v>1468</v>
      </c>
      <c r="B802" s="15">
        <v>-140</v>
      </c>
      <c r="C802" s="14">
        <v>545</v>
      </c>
      <c r="D802" s="14">
        <v>2</v>
      </c>
      <c r="E802" s="14">
        <v>2</v>
      </c>
      <c r="F802" s="114" t="str">
        <f t="shared" si="24"/>
        <v>202223_545_2_2</v>
      </c>
      <c r="G802" s="115">
        <f t="shared" si="25"/>
        <v>-140</v>
      </c>
    </row>
    <row r="803" spans="1:7">
      <c r="A803" s="14" t="s">
        <v>1469</v>
      </c>
      <c r="B803" s="15">
        <v>36167</v>
      </c>
      <c r="C803" s="14">
        <v>545</v>
      </c>
      <c r="D803" s="14">
        <v>2</v>
      </c>
      <c r="E803" s="14">
        <v>3</v>
      </c>
      <c r="F803" s="114" t="str">
        <f t="shared" si="24"/>
        <v>202223_545_2_3</v>
      </c>
      <c r="G803" s="115">
        <f t="shared" si="25"/>
        <v>36167</v>
      </c>
    </row>
    <row r="804" spans="1:7">
      <c r="A804" s="14" t="s">
        <v>1470</v>
      </c>
      <c r="B804" s="15">
        <v>7257</v>
      </c>
      <c r="C804" s="14">
        <v>545</v>
      </c>
      <c r="D804" s="14">
        <v>3</v>
      </c>
      <c r="E804" s="14">
        <v>2</v>
      </c>
      <c r="F804" s="114" t="str">
        <f t="shared" si="24"/>
        <v>202223_545_3_2</v>
      </c>
      <c r="G804" s="115">
        <f t="shared" si="25"/>
        <v>7257</v>
      </c>
    </row>
    <row r="805" spans="1:7">
      <c r="A805" s="14" t="s">
        <v>1471</v>
      </c>
      <c r="B805" s="15">
        <v>36167</v>
      </c>
      <c r="C805" s="14">
        <v>545</v>
      </c>
      <c r="D805" s="14">
        <v>3</v>
      </c>
      <c r="E805" s="14">
        <v>3</v>
      </c>
      <c r="F805" s="114" t="str">
        <f t="shared" si="24"/>
        <v>202223_545_3_3</v>
      </c>
      <c r="G805" s="115">
        <f t="shared" si="25"/>
        <v>36167</v>
      </c>
    </row>
    <row r="806" spans="1:7">
      <c r="A806" s="14" t="s">
        <v>1472</v>
      </c>
      <c r="B806" s="15">
        <v>1526</v>
      </c>
      <c r="C806" s="14">
        <v>545</v>
      </c>
      <c r="D806" s="14">
        <v>4</v>
      </c>
      <c r="E806" s="14">
        <v>2</v>
      </c>
      <c r="F806" s="114" t="str">
        <f t="shared" si="24"/>
        <v>202223_545_4_2</v>
      </c>
      <c r="G806" s="115">
        <f t="shared" si="25"/>
        <v>1526</v>
      </c>
    </row>
    <row r="807" spans="1:7">
      <c r="A807" s="14" t="s">
        <v>1473</v>
      </c>
      <c r="B807" s="15">
        <v>33540</v>
      </c>
      <c r="C807" s="14">
        <v>545</v>
      </c>
      <c r="D807" s="14">
        <v>4</v>
      </c>
      <c r="E807" s="14">
        <v>3</v>
      </c>
      <c r="F807" s="114" t="str">
        <f t="shared" si="24"/>
        <v>202223_545_4_3</v>
      </c>
      <c r="G807" s="115">
        <f t="shared" si="25"/>
        <v>33540</v>
      </c>
    </row>
    <row r="808" spans="1:7">
      <c r="A808" s="14" t="s">
        <v>1474</v>
      </c>
      <c r="B808" s="15">
        <v>442</v>
      </c>
      <c r="C808" s="14">
        <v>545</v>
      </c>
      <c r="D808" s="14">
        <v>5</v>
      </c>
      <c r="E808" s="14">
        <v>2</v>
      </c>
      <c r="F808" s="114" t="str">
        <f t="shared" si="24"/>
        <v>202223_545_5_2</v>
      </c>
      <c r="G808" s="115">
        <f t="shared" si="25"/>
        <v>442</v>
      </c>
    </row>
    <row r="809" spans="1:7">
      <c r="A809" s="14" t="s">
        <v>1475</v>
      </c>
      <c r="B809" s="15">
        <v>15</v>
      </c>
      <c r="C809" s="14">
        <v>545</v>
      </c>
      <c r="D809" s="14">
        <v>5</v>
      </c>
      <c r="E809" s="14">
        <v>3</v>
      </c>
      <c r="F809" s="114" t="str">
        <f t="shared" si="24"/>
        <v>202223_545_5_3</v>
      </c>
      <c r="G809" s="115">
        <f t="shared" si="25"/>
        <v>15</v>
      </c>
    </row>
    <row r="810" spans="1:7">
      <c r="A810" s="14" t="s">
        <v>1476</v>
      </c>
      <c r="B810" s="15">
        <v>5289</v>
      </c>
      <c r="C810" s="14">
        <v>545</v>
      </c>
      <c r="D810" s="14">
        <v>6</v>
      </c>
      <c r="E810" s="14">
        <v>2</v>
      </c>
      <c r="F810" s="114" t="str">
        <f t="shared" si="24"/>
        <v>202223_545_6_2</v>
      </c>
      <c r="G810" s="115">
        <f t="shared" si="25"/>
        <v>5289</v>
      </c>
    </row>
    <row r="811" spans="1:7">
      <c r="A811" s="14" t="s">
        <v>1477</v>
      </c>
      <c r="B811" s="15">
        <v>2612</v>
      </c>
      <c r="C811" s="14">
        <v>545</v>
      </c>
      <c r="D811" s="14">
        <v>6</v>
      </c>
      <c r="E811" s="14">
        <v>3</v>
      </c>
      <c r="F811" s="114" t="str">
        <f t="shared" si="24"/>
        <v>202223_545_6_3</v>
      </c>
      <c r="G811" s="115">
        <f t="shared" si="25"/>
        <v>2612</v>
      </c>
    </row>
    <row r="812" spans="1:7">
      <c r="A812" s="14" t="s">
        <v>1478</v>
      </c>
      <c r="B812" s="15">
        <v>34343</v>
      </c>
      <c r="C812" s="14">
        <v>545</v>
      </c>
      <c r="D812" s="14">
        <v>7</v>
      </c>
      <c r="E812" s="14">
        <v>3</v>
      </c>
      <c r="F812" s="114" t="str">
        <f t="shared" si="24"/>
        <v>202223_545_7_3</v>
      </c>
      <c r="G812" s="115">
        <f t="shared" si="25"/>
        <v>34343</v>
      </c>
    </row>
    <row r="813" spans="1:7">
      <c r="A813" s="14" t="s">
        <v>1479</v>
      </c>
      <c r="B813" s="15">
        <v>92.736472474908055</v>
      </c>
      <c r="C813" s="14">
        <v>545</v>
      </c>
      <c r="D813" s="14">
        <v>8</v>
      </c>
      <c r="E813" s="14">
        <v>3</v>
      </c>
      <c r="F813" s="114" t="str">
        <f t="shared" si="24"/>
        <v>202223_545_8_3</v>
      </c>
      <c r="G813" s="115">
        <f t="shared" si="25"/>
        <v>92.736472474908055</v>
      </c>
    </row>
    <row r="814" spans="1:7">
      <c r="A814" s="14" t="s">
        <v>1480</v>
      </c>
      <c r="B814" s="15">
        <v>97.661823370119095</v>
      </c>
      <c r="C814" s="14">
        <v>545</v>
      </c>
      <c r="D814" s="14">
        <v>9</v>
      </c>
      <c r="E814" s="14">
        <v>3</v>
      </c>
      <c r="F814" s="114" t="str">
        <f t="shared" si="24"/>
        <v>202223_545_9_3</v>
      </c>
      <c r="G814" s="115">
        <f t="shared" si="25"/>
        <v>97.661823370119095</v>
      </c>
    </row>
    <row r="815" spans="1:7">
      <c r="A815" s="14" t="s">
        <v>1481</v>
      </c>
      <c r="B815" s="15">
        <v>6395</v>
      </c>
      <c r="C815" s="14">
        <v>546</v>
      </c>
      <c r="D815" s="14">
        <v>1</v>
      </c>
      <c r="E815" s="14">
        <v>2</v>
      </c>
      <c r="F815" s="114" t="str">
        <f t="shared" si="24"/>
        <v>202223_546_1_2</v>
      </c>
      <c r="G815" s="115">
        <f t="shared" si="25"/>
        <v>6395</v>
      </c>
    </row>
    <row r="816" spans="1:7">
      <c r="A816" s="14" t="s">
        <v>1482</v>
      </c>
      <c r="B816" s="15">
        <v>0</v>
      </c>
      <c r="C816" s="14">
        <v>546</v>
      </c>
      <c r="D816" s="14">
        <v>10.1</v>
      </c>
      <c r="E816" s="14">
        <v>3</v>
      </c>
      <c r="F816" s="114" t="str">
        <f t="shared" si="24"/>
        <v>202223_546_10.1_3</v>
      </c>
      <c r="G816" s="115">
        <f t="shared" si="25"/>
        <v>0</v>
      </c>
    </row>
    <row r="817" spans="1:7">
      <c r="A817" s="14" t="s">
        <v>1483</v>
      </c>
      <c r="B817" s="15">
        <v>0</v>
      </c>
      <c r="C817" s="14">
        <v>546</v>
      </c>
      <c r="D817" s="14">
        <v>10.199999999999999</v>
      </c>
      <c r="E817" s="14">
        <v>3</v>
      </c>
      <c r="F817" s="114" t="str">
        <f t="shared" si="24"/>
        <v>202223_546_10.2_3</v>
      </c>
      <c r="G817" s="115">
        <f t="shared" si="25"/>
        <v>0</v>
      </c>
    </row>
    <row r="818" spans="1:7">
      <c r="A818" s="14" t="s">
        <v>1484</v>
      </c>
      <c r="B818" s="15">
        <v>0</v>
      </c>
      <c r="C818" s="14">
        <v>546</v>
      </c>
      <c r="D818" s="14">
        <v>10.3</v>
      </c>
      <c r="E818" s="14">
        <v>3</v>
      </c>
      <c r="F818" s="114" t="str">
        <f t="shared" si="24"/>
        <v>202223_546_10.3_3</v>
      </c>
      <c r="G818" s="115">
        <f t="shared" si="25"/>
        <v>0</v>
      </c>
    </row>
    <row r="819" spans="1:7">
      <c r="A819" s="14" t="s">
        <v>1485</v>
      </c>
      <c r="B819" s="15">
        <v>0</v>
      </c>
      <c r="C819" s="14">
        <v>546</v>
      </c>
      <c r="D819" s="14">
        <v>10.4</v>
      </c>
      <c r="E819" s="14">
        <v>3</v>
      </c>
      <c r="F819" s="114" t="str">
        <f t="shared" si="24"/>
        <v>202223_546_10.4_3</v>
      </c>
      <c r="G819" s="115">
        <f t="shared" si="25"/>
        <v>0</v>
      </c>
    </row>
    <row r="820" spans="1:7">
      <c r="A820" s="14" t="s">
        <v>1486</v>
      </c>
      <c r="B820" s="15">
        <v>24802</v>
      </c>
      <c r="C820" s="14">
        <v>546</v>
      </c>
      <c r="D820" s="14">
        <v>10.5</v>
      </c>
      <c r="E820" s="14">
        <v>4</v>
      </c>
      <c r="F820" s="114" t="str">
        <f t="shared" si="24"/>
        <v>202223_546_10.5_4</v>
      </c>
      <c r="G820" s="115">
        <f t="shared" si="25"/>
        <v>24802</v>
      </c>
    </row>
    <row r="821" spans="1:7">
      <c r="A821" s="14" t="s">
        <v>1487</v>
      </c>
      <c r="B821" s="15">
        <v>22901</v>
      </c>
      <c r="C821" s="14">
        <v>546</v>
      </c>
      <c r="D821" s="14">
        <v>11</v>
      </c>
      <c r="E821" s="14">
        <v>4</v>
      </c>
      <c r="F821" s="114" t="str">
        <f t="shared" si="24"/>
        <v>202223_546_11_4</v>
      </c>
      <c r="G821" s="115">
        <f t="shared" si="25"/>
        <v>22901</v>
      </c>
    </row>
    <row r="822" spans="1:7">
      <c r="A822" s="14" t="s">
        <v>1488</v>
      </c>
      <c r="B822" s="15">
        <v>521</v>
      </c>
      <c r="C822" s="14">
        <v>546</v>
      </c>
      <c r="D822" s="14">
        <v>12</v>
      </c>
      <c r="E822" s="14">
        <v>4</v>
      </c>
      <c r="F822" s="114" t="str">
        <f t="shared" si="24"/>
        <v>202223_546_12_4</v>
      </c>
      <c r="G822" s="115">
        <f t="shared" si="25"/>
        <v>521</v>
      </c>
    </row>
    <row r="823" spans="1:7">
      <c r="A823" s="14" t="s">
        <v>1489</v>
      </c>
      <c r="B823" s="15">
        <v>92.33529554068221</v>
      </c>
      <c r="C823" s="14">
        <v>546</v>
      </c>
      <c r="D823" s="14">
        <v>12.5</v>
      </c>
      <c r="E823" s="14">
        <v>4</v>
      </c>
      <c r="F823" s="114" t="str">
        <f t="shared" si="24"/>
        <v>202223_546_12.5_4</v>
      </c>
      <c r="G823" s="115">
        <f t="shared" si="25"/>
        <v>92.33529554068221</v>
      </c>
    </row>
    <row r="824" spans="1:7">
      <c r="A824" s="14" t="s">
        <v>1490</v>
      </c>
      <c r="B824" s="15">
        <v>-218</v>
      </c>
      <c r="C824" s="14">
        <v>546</v>
      </c>
      <c r="D824" s="14">
        <v>2</v>
      </c>
      <c r="E824" s="14">
        <v>2</v>
      </c>
      <c r="F824" s="114" t="str">
        <f t="shared" si="24"/>
        <v>202223_546_2_2</v>
      </c>
      <c r="G824" s="115">
        <f t="shared" si="25"/>
        <v>-218</v>
      </c>
    </row>
    <row r="825" spans="1:7">
      <c r="A825" s="14" t="s">
        <v>1491</v>
      </c>
      <c r="B825" s="15">
        <v>52275</v>
      </c>
      <c r="C825" s="14">
        <v>546</v>
      </c>
      <c r="D825" s="14">
        <v>2</v>
      </c>
      <c r="E825" s="14">
        <v>3</v>
      </c>
      <c r="F825" s="114" t="str">
        <f t="shared" si="24"/>
        <v>202223_546_2_3</v>
      </c>
      <c r="G825" s="115">
        <f t="shared" si="25"/>
        <v>52275</v>
      </c>
    </row>
    <row r="826" spans="1:7">
      <c r="A826" s="14" t="s">
        <v>1492</v>
      </c>
      <c r="B826" s="15">
        <v>6177</v>
      </c>
      <c r="C826" s="14">
        <v>546</v>
      </c>
      <c r="D826" s="14">
        <v>3</v>
      </c>
      <c r="E826" s="14">
        <v>2</v>
      </c>
      <c r="F826" s="114" t="str">
        <f t="shared" si="24"/>
        <v>202223_546_3_2</v>
      </c>
      <c r="G826" s="115">
        <f t="shared" si="25"/>
        <v>6177</v>
      </c>
    </row>
    <row r="827" spans="1:7">
      <c r="A827" s="14" t="s">
        <v>1493</v>
      </c>
      <c r="B827" s="15">
        <v>52275</v>
      </c>
      <c r="C827" s="14">
        <v>546</v>
      </c>
      <c r="D827" s="14">
        <v>3</v>
      </c>
      <c r="E827" s="14">
        <v>3</v>
      </c>
      <c r="F827" s="114" t="str">
        <f t="shared" si="24"/>
        <v>202223_546_3_3</v>
      </c>
      <c r="G827" s="115">
        <f t="shared" si="25"/>
        <v>52275</v>
      </c>
    </row>
    <row r="828" spans="1:7">
      <c r="A828" s="14" t="s">
        <v>1494</v>
      </c>
      <c r="B828" s="15">
        <v>1353</v>
      </c>
      <c r="C828" s="14">
        <v>546</v>
      </c>
      <c r="D828" s="14">
        <v>4</v>
      </c>
      <c r="E828" s="14">
        <v>2</v>
      </c>
      <c r="F828" s="114" t="str">
        <f t="shared" si="24"/>
        <v>202223_546_4_2</v>
      </c>
      <c r="G828" s="115">
        <f t="shared" si="25"/>
        <v>1353</v>
      </c>
    </row>
    <row r="829" spans="1:7">
      <c r="A829" s="14" t="s">
        <v>1495</v>
      </c>
      <c r="B829" s="15">
        <v>49172</v>
      </c>
      <c r="C829" s="14">
        <v>546</v>
      </c>
      <c r="D829" s="14">
        <v>4</v>
      </c>
      <c r="E829" s="14">
        <v>3</v>
      </c>
      <c r="F829" s="114" t="str">
        <f t="shared" si="24"/>
        <v>202223_546_4_3</v>
      </c>
      <c r="G829" s="115">
        <f t="shared" si="25"/>
        <v>49172</v>
      </c>
    </row>
    <row r="830" spans="1:7">
      <c r="A830" s="14" t="s">
        <v>1496</v>
      </c>
      <c r="B830" s="15">
        <v>67</v>
      </c>
      <c r="C830" s="14">
        <v>546</v>
      </c>
      <c r="D830" s="14">
        <v>5</v>
      </c>
      <c r="E830" s="14">
        <v>2</v>
      </c>
      <c r="F830" s="114" t="str">
        <f t="shared" si="24"/>
        <v>202223_546_5_2</v>
      </c>
      <c r="G830" s="115">
        <f t="shared" si="25"/>
        <v>67</v>
      </c>
    </row>
    <row r="831" spans="1:7">
      <c r="A831" s="14" t="s">
        <v>1497</v>
      </c>
      <c r="B831" s="15">
        <v>9</v>
      </c>
      <c r="C831" s="14">
        <v>546</v>
      </c>
      <c r="D831" s="14">
        <v>5</v>
      </c>
      <c r="E831" s="14">
        <v>3</v>
      </c>
      <c r="F831" s="114" t="str">
        <f t="shared" si="24"/>
        <v>202223_546_5_3</v>
      </c>
      <c r="G831" s="115">
        <f t="shared" si="25"/>
        <v>9</v>
      </c>
    </row>
    <row r="832" spans="1:7">
      <c r="A832" s="14" t="s">
        <v>1498</v>
      </c>
      <c r="B832" s="15">
        <v>4757</v>
      </c>
      <c r="C832" s="14">
        <v>546</v>
      </c>
      <c r="D832" s="14">
        <v>6</v>
      </c>
      <c r="E832" s="14">
        <v>2</v>
      </c>
      <c r="F832" s="114" t="str">
        <f t="shared" ref="F832:F864" si="26">LEFT(A832,6)&amp;"_"&amp;C832&amp;"_"&amp;D832&amp;"_"&amp;E832</f>
        <v>202223_546_6_2</v>
      </c>
      <c r="G832" s="115">
        <f t="shared" ref="G832:G864" si="27">B832</f>
        <v>4757</v>
      </c>
    </row>
    <row r="833" spans="1:7">
      <c r="A833" s="14" t="s">
        <v>1499</v>
      </c>
      <c r="B833" s="15">
        <v>3094</v>
      </c>
      <c r="C833" s="14">
        <v>546</v>
      </c>
      <c r="D833" s="14">
        <v>6</v>
      </c>
      <c r="E833" s="14">
        <v>3</v>
      </c>
      <c r="F833" s="114" t="str">
        <f t="shared" si="26"/>
        <v>202223_546_6_3</v>
      </c>
      <c r="G833" s="115">
        <f t="shared" si="27"/>
        <v>3094</v>
      </c>
    </row>
    <row r="834" spans="1:7">
      <c r="A834" s="14" t="s">
        <v>1500</v>
      </c>
      <c r="B834" s="15">
        <v>51188</v>
      </c>
      <c r="C834" s="14">
        <v>546</v>
      </c>
      <c r="D834" s="14">
        <v>7</v>
      </c>
      <c r="E834" s="14">
        <v>3</v>
      </c>
      <c r="F834" s="114" t="str">
        <f t="shared" si="26"/>
        <v>202223_546_7_3</v>
      </c>
      <c r="G834" s="115">
        <f t="shared" si="27"/>
        <v>51188</v>
      </c>
    </row>
    <row r="835" spans="1:7">
      <c r="A835" s="14" t="s">
        <v>1501</v>
      </c>
      <c r="B835" s="15">
        <v>94.064084170253466</v>
      </c>
      <c r="C835" s="14">
        <v>546</v>
      </c>
      <c r="D835" s="14">
        <v>8</v>
      </c>
      <c r="E835" s="14">
        <v>3</v>
      </c>
      <c r="F835" s="114" t="str">
        <f t="shared" si="26"/>
        <v>202223_546_8_3</v>
      </c>
      <c r="G835" s="115">
        <f t="shared" si="27"/>
        <v>94.064084170253466</v>
      </c>
    </row>
    <row r="836" spans="1:7">
      <c r="A836" s="14" t="s">
        <v>1502</v>
      </c>
      <c r="B836" s="15">
        <v>96.061576932093459</v>
      </c>
      <c r="C836" s="14">
        <v>546</v>
      </c>
      <c r="D836" s="14">
        <v>9</v>
      </c>
      <c r="E836" s="14">
        <v>3</v>
      </c>
      <c r="F836" s="114" t="str">
        <f t="shared" si="26"/>
        <v>202223_546_9_3</v>
      </c>
      <c r="G836" s="115">
        <f t="shared" si="27"/>
        <v>96.061576932093459</v>
      </c>
    </row>
    <row r="837" spans="1:7">
      <c r="A837" s="14" t="s">
        <v>1503</v>
      </c>
      <c r="B837" s="15">
        <v>4274</v>
      </c>
      <c r="C837" s="14">
        <v>548</v>
      </c>
      <c r="D837" s="14">
        <v>1</v>
      </c>
      <c r="E837" s="14">
        <v>2</v>
      </c>
      <c r="F837" s="114" t="str">
        <f t="shared" si="26"/>
        <v>202223_548_1_2</v>
      </c>
      <c r="G837" s="115">
        <f t="shared" si="27"/>
        <v>4274</v>
      </c>
    </row>
    <row r="838" spans="1:7">
      <c r="A838" s="14" t="s">
        <v>1504</v>
      </c>
      <c r="B838" s="15">
        <v>0</v>
      </c>
      <c r="C838" s="14">
        <v>548</v>
      </c>
      <c r="D838" s="14">
        <v>10.1</v>
      </c>
      <c r="E838" s="14">
        <v>3</v>
      </c>
      <c r="F838" s="114" t="str">
        <f t="shared" si="26"/>
        <v>202223_548_10.1_3</v>
      </c>
      <c r="G838" s="115">
        <f t="shared" si="27"/>
        <v>0</v>
      </c>
    </row>
    <row r="839" spans="1:7">
      <c r="A839" s="14" t="s">
        <v>1505</v>
      </c>
      <c r="B839" s="15">
        <v>0</v>
      </c>
      <c r="C839" s="14">
        <v>548</v>
      </c>
      <c r="D839" s="14">
        <v>10.199999999999999</v>
      </c>
      <c r="E839" s="14">
        <v>3</v>
      </c>
      <c r="F839" s="114" t="str">
        <f t="shared" si="26"/>
        <v>202223_548_10.2_3</v>
      </c>
      <c r="G839" s="115">
        <f t="shared" si="27"/>
        <v>0</v>
      </c>
    </row>
    <row r="840" spans="1:7">
      <c r="A840" s="14" t="s">
        <v>1506</v>
      </c>
      <c r="B840" s="15">
        <v>0</v>
      </c>
      <c r="C840" s="14">
        <v>548</v>
      </c>
      <c r="D840" s="14">
        <v>10.3</v>
      </c>
      <c r="E840" s="14">
        <v>3</v>
      </c>
      <c r="F840" s="114" t="str">
        <f t="shared" si="26"/>
        <v>202223_548_10.3_3</v>
      </c>
      <c r="G840" s="115">
        <f t="shared" si="27"/>
        <v>0</v>
      </c>
    </row>
    <row r="841" spans="1:7">
      <c r="A841" s="14" t="s">
        <v>1507</v>
      </c>
      <c r="B841" s="15">
        <v>0</v>
      </c>
      <c r="C841" s="14">
        <v>548</v>
      </c>
      <c r="D841" s="14">
        <v>10.4</v>
      </c>
      <c r="E841" s="14">
        <v>3</v>
      </c>
      <c r="F841" s="114" t="str">
        <f t="shared" si="26"/>
        <v>202223_548_10.4_3</v>
      </c>
      <c r="G841" s="115">
        <f t="shared" si="27"/>
        <v>0</v>
      </c>
    </row>
    <row r="842" spans="1:7">
      <c r="A842" s="14" t="s">
        <v>1508</v>
      </c>
      <c r="B842" s="15">
        <v>23466</v>
      </c>
      <c r="C842" s="14">
        <v>548</v>
      </c>
      <c r="D842" s="14">
        <v>10.5</v>
      </c>
      <c r="E842" s="14">
        <v>4</v>
      </c>
      <c r="F842" s="114" t="str">
        <f t="shared" si="26"/>
        <v>202223_548_10.5_4</v>
      </c>
      <c r="G842" s="115">
        <f t="shared" si="27"/>
        <v>23466</v>
      </c>
    </row>
    <row r="843" spans="1:7">
      <c r="A843" s="14" t="s">
        <v>1509</v>
      </c>
      <c r="B843" s="15">
        <v>22074</v>
      </c>
      <c r="C843" s="14">
        <v>548</v>
      </c>
      <c r="D843" s="14">
        <v>11</v>
      </c>
      <c r="E843" s="14">
        <v>4</v>
      </c>
      <c r="F843" s="114" t="str">
        <f t="shared" si="26"/>
        <v>202223_548_11_4</v>
      </c>
      <c r="G843" s="115">
        <f t="shared" si="27"/>
        <v>22074</v>
      </c>
    </row>
    <row r="844" spans="1:7">
      <c r="A844" s="14" t="s">
        <v>1510</v>
      </c>
      <c r="B844" s="15">
        <v>-317</v>
      </c>
      <c r="C844" s="14">
        <v>548</v>
      </c>
      <c r="D844" s="14">
        <v>12</v>
      </c>
      <c r="E844" s="14">
        <v>4</v>
      </c>
      <c r="F844" s="114" t="str">
        <f t="shared" si="26"/>
        <v>202223_548_12_4</v>
      </c>
      <c r="G844" s="115">
        <f t="shared" si="27"/>
        <v>-317</v>
      </c>
    </row>
    <row r="845" spans="1:7">
      <c r="A845" s="14" t="s">
        <v>1511</v>
      </c>
      <c r="B845" s="15">
        <v>94.068013295832259</v>
      </c>
      <c r="C845" s="14">
        <v>548</v>
      </c>
      <c r="D845" s="14">
        <v>12.5</v>
      </c>
      <c r="E845" s="14">
        <v>4</v>
      </c>
      <c r="F845" s="114" t="str">
        <f t="shared" si="26"/>
        <v>202223_548_12.5_4</v>
      </c>
      <c r="G845" s="115">
        <f t="shared" si="27"/>
        <v>94.068013295832259</v>
      </c>
    </row>
    <row r="846" spans="1:7">
      <c r="A846" s="14" t="s">
        <v>1512</v>
      </c>
      <c r="B846" s="15">
        <v>-211</v>
      </c>
      <c r="C846" s="14">
        <v>548</v>
      </c>
      <c r="D846" s="14">
        <v>2</v>
      </c>
      <c r="E846" s="14">
        <v>2</v>
      </c>
      <c r="F846" s="114" t="str">
        <f t="shared" si="26"/>
        <v>202223_548_2_2</v>
      </c>
      <c r="G846" s="115">
        <f t="shared" si="27"/>
        <v>-211</v>
      </c>
    </row>
    <row r="847" spans="1:7">
      <c r="A847" s="14" t="s">
        <v>1513</v>
      </c>
      <c r="B847" s="15">
        <v>81371</v>
      </c>
      <c r="C847" s="14">
        <v>548</v>
      </c>
      <c r="D847" s="14">
        <v>2</v>
      </c>
      <c r="E847" s="14">
        <v>3</v>
      </c>
      <c r="F847" s="114" t="str">
        <f t="shared" si="26"/>
        <v>202223_548_2_3</v>
      </c>
      <c r="G847" s="115">
        <f t="shared" si="27"/>
        <v>81371</v>
      </c>
    </row>
    <row r="848" spans="1:7">
      <c r="A848" s="14" t="s">
        <v>1514</v>
      </c>
      <c r="B848" s="15">
        <v>4063</v>
      </c>
      <c r="C848" s="14">
        <v>548</v>
      </c>
      <c r="D848" s="14">
        <v>3</v>
      </c>
      <c r="E848" s="14">
        <v>2</v>
      </c>
      <c r="F848" s="114" t="str">
        <f t="shared" si="26"/>
        <v>202223_548_3_2</v>
      </c>
      <c r="G848" s="115">
        <f t="shared" si="27"/>
        <v>4063</v>
      </c>
    </row>
    <row r="849" spans="1:7">
      <c r="A849" s="14" t="s">
        <v>1515</v>
      </c>
      <c r="B849" s="15">
        <v>81371</v>
      </c>
      <c r="C849" s="14">
        <v>548</v>
      </c>
      <c r="D849" s="14">
        <v>3</v>
      </c>
      <c r="E849" s="14">
        <v>3</v>
      </c>
      <c r="F849" s="114" t="str">
        <f t="shared" si="26"/>
        <v>202223_548_3_3</v>
      </c>
      <c r="G849" s="115">
        <f t="shared" si="27"/>
        <v>81371</v>
      </c>
    </row>
    <row r="850" spans="1:7">
      <c r="A850" s="14" t="s">
        <v>1516</v>
      </c>
      <c r="B850" s="15">
        <v>1213</v>
      </c>
      <c r="C850" s="14">
        <v>548</v>
      </c>
      <c r="D850" s="14">
        <v>4</v>
      </c>
      <c r="E850" s="14">
        <v>2</v>
      </c>
      <c r="F850" s="114" t="str">
        <f t="shared" si="26"/>
        <v>202223_548_4_2</v>
      </c>
      <c r="G850" s="115">
        <f t="shared" si="27"/>
        <v>1213</v>
      </c>
    </row>
    <row r="851" spans="1:7">
      <c r="A851" s="14" t="s">
        <v>1517</v>
      </c>
      <c r="B851" s="15">
        <v>78237</v>
      </c>
      <c r="C851" s="14">
        <v>548</v>
      </c>
      <c r="D851" s="14">
        <v>4</v>
      </c>
      <c r="E851" s="14">
        <v>3</v>
      </c>
      <c r="F851" s="114" t="str">
        <f t="shared" si="26"/>
        <v>202223_548_4_3</v>
      </c>
      <c r="G851" s="115">
        <f t="shared" si="27"/>
        <v>78237</v>
      </c>
    </row>
    <row r="852" spans="1:7">
      <c r="A852" s="14" t="s">
        <v>1518</v>
      </c>
      <c r="B852" s="15">
        <v>50</v>
      </c>
      <c r="C852" s="14">
        <v>548</v>
      </c>
      <c r="D852" s="14">
        <v>5</v>
      </c>
      <c r="E852" s="14">
        <v>2</v>
      </c>
      <c r="F852" s="114" t="str">
        <f t="shared" si="26"/>
        <v>202223_548_5_2</v>
      </c>
      <c r="G852" s="115">
        <f t="shared" si="27"/>
        <v>50</v>
      </c>
    </row>
    <row r="853" spans="1:7">
      <c r="A853" s="14" t="s">
        <v>1519</v>
      </c>
      <c r="B853" s="15">
        <v>5</v>
      </c>
      <c r="C853" s="14">
        <v>548</v>
      </c>
      <c r="D853" s="14">
        <v>5</v>
      </c>
      <c r="E853" s="14">
        <v>3</v>
      </c>
      <c r="F853" s="114" t="str">
        <f t="shared" si="26"/>
        <v>202223_548_5_3</v>
      </c>
      <c r="G853" s="115">
        <f t="shared" si="27"/>
        <v>5</v>
      </c>
    </row>
    <row r="854" spans="1:7">
      <c r="A854" s="14" t="s">
        <v>1520</v>
      </c>
      <c r="B854" s="15">
        <v>2800</v>
      </c>
      <c r="C854" s="14">
        <v>548</v>
      </c>
      <c r="D854" s="14">
        <v>6</v>
      </c>
      <c r="E854" s="14">
        <v>2</v>
      </c>
      <c r="F854" s="114" t="str">
        <f t="shared" si="26"/>
        <v>202223_548_6_2</v>
      </c>
      <c r="G854" s="115">
        <f t="shared" si="27"/>
        <v>2800</v>
      </c>
    </row>
    <row r="855" spans="1:7">
      <c r="A855" s="14" t="s">
        <v>1521</v>
      </c>
      <c r="B855" s="15">
        <v>3129</v>
      </c>
      <c r="C855" s="14">
        <v>548</v>
      </c>
      <c r="D855" s="14">
        <v>6</v>
      </c>
      <c r="E855" s="14">
        <v>3</v>
      </c>
      <c r="F855" s="114" t="str">
        <f t="shared" si="26"/>
        <v>202223_548_6_3</v>
      </c>
      <c r="G855" s="115">
        <f t="shared" si="27"/>
        <v>3129</v>
      </c>
    </row>
    <row r="856" spans="1:7">
      <c r="A856" s="14" t="s">
        <v>1522</v>
      </c>
      <c r="B856" s="15">
        <v>80146</v>
      </c>
      <c r="C856" s="14">
        <v>548</v>
      </c>
      <c r="D856" s="14">
        <v>7</v>
      </c>
      <c r="E856" s="14">
        <v>3</v>
      </c>
      <c r="F856" s="114" t="str">
        <f t="shared" si="26"/>
        <v>202223_548_7_3</v>
      </c>
      <c r="G856" s="115">
        <f t="shared" si="27"/>
        <v>80146</v>
      </c>
    </row>
    <row r="857" spans="1:7">
      <c r="A857" s="14" t="s">
        <v>1523</v>
      </c>
      <c r="B857" s="15">
        <v>96.148504995637268</v>
      </c>
      <c r="C857" s="14">
        <v>548</v>
      </c>
      <c r="D857" s="14">
        <v>8</v>
      </c>
      <c r="E857" s="14">
        <v>3</v>
      </c>
      <c r="F857" s="114" t="str">
        <f t="shared" si="26"/>
        <v>202223_548_8_3</v>
      </c>
      <c r="G857" s="115">
        <f t="shared" si="27"/>
        <v>96.148504995637268</v>
      </c>
    </row>
    <row r="858" spans="1:7">
      <c r="A858" s="14" t="s">
        <v>1524</v>
      </c>
      <c r="B858" s="15">
        <v>97.618096973024223</v>
      </c>
      <c r="C858" s="14">
        <v>548</v>
      </c>
      <c r="D858" s="14">
        <v>9</v>
      </c>
      <c r="E858" s="14">
        <v>3</v>
      </c>
      <c r="F858" s="114" t="str">
        <f t="shared" si="26"/>
        <v>202223_548_9_3</v>
      </c>
      <c r="G858" s="115">
        <f t="shared" si="27"/>
        <v>97.618096973024223</v>
      </c>
    </row>
    <row r="859" spans="1:7">
      <c r="A859" s="14" t="s">
        <v>1525</v>
      </c>
      <c r="B859" s="15">
        <v>9819</v>
      </c>
      <c r="C859" s="14">
        <v>550</v>
      </c>
      <c r="D859" s="14">
        <v>1</v>
      </c>
      <c r="E859" s="14">
        <v>2</v>
      </c>
      <c r="F859" s="114" t="str">
        <f t="shared" si="26"/>
        <v>202223_550_1_2</v>
      </c>
      <c r="G859" s="115">
        <f t="shared" si="27"/>
        <v>9819</v>
      </c>
    </row>
    <row r="860" spans="1:7">
      <c r="A860" s="14" t="s">
        <v>1526</v>
      </c>
      <c r="B860" s="15">
        <v>0</v>
      </c>
      <c r="C860" s="14">
        <v>550</v>
      </c>
      <c r="D860" s="14">
        <v>10.1</v>
      </c>
      <c r="E860" s="14">
        <v>3</v>
      </c>
      <c r="F860" s="114" t="str">
        <f t="shared" si="26"/>
        <v>202223_550_10.1_3</v>
      </c>
      <c r="G860" s="115">
        <f t="shared" si="27"/>
        <v>0</v>
      </c>
    </row>
    <row r="861" spans="1:7">
      <c r="A861" s="14" t="s">
        <v>1527</v>
      </c>
      <c r="B861" s="15">
        <v>0</v>
      </c>
      <c r="C861" s="14">
        <v>550</v>
      </c>
      <c r="D861" s="14">
        <v>10.199999999999999</v>
      </c>
      <c r="E861" s="14">
        <v>3</v>
      </c>
      <c r="F861" s="114" t="str">
        <f t="shared" si="26"/>
        <v>202223_550_10.2_3</v>
      </c>
      <c r="G861" s="115">
        <f t="shared" si="27"/>
        <v>0</v>
      </c>
    </row>
    <row r="862" spans="1:7">
      <c r="A862" s="14" t="s">
        <v>1528</v>
      </c>
      <c r="B862" s="15">
        <v>0</v>
      </c>
      <c r="C862" s="14">
        <v>550</v>
      </c>
      <c r="D862" s="14">
        <v>10.3</v>
      </c>
      <c r="E862" s="14">
        <v>3</v>
      </c>
      <c r="F862" s="114" t="str">
        <f t="shared" si="26"/>
        <v>202223_550_10.3_3</v>
      </c>
      <c r="G862" s="115">
        <f t="shared" si="27"/>
        <v>0</v>
      </c>
    </row>
    <row r="863" spans="1:7">
      <c r="A863" s="14" t="s">
        <v>1529</v>
      </c>
      <c r="B863" s="15">
        <v>0</v>
      </c>
      <c r="C863" s="14">
        <v>550</v>
      </c>
      <c r="D863" s="14">
        <v>10.4</v>
      </c>
      <c r="E863" s="14">
        <v>3</v>
      </c>
      <c r="F863" s="114" t="str">
        <f t="shared" si="26"/>
        <v>202223_550_10.4_3</v>
      </c>
      <c r="G863" s="115">
        <f t="shared" si="27"/>
        <v>0</v>
      </c>
    </row>
    <row r="864" spans="1:7">
      <c r="A864" s="14" t="s">
        <v>1530</v>
      </c>
      <c r="B864" s="15">
        <v>61054</v>
      </c>
      <c r="C864" s="14">
        <v>550</v>
      </c>
      <c r="D864" s="14">
        <v>10.5</v>
      </c>
      <c r="E864" s="14">
        <v>4</v>
      </c>
      <c r="F864" s="114" t="str">
        <f t="shared" si="26"/>
        <v>202223_550_10.5_4</v>
      </c>
      <c r="G864" s="115">
        <f t="shared" si="27"/>
        <v>61054</v>
      </c>
    </row>
    <row r="865" spans="1:7">
      <c r="A865" s="14" t="s">
        <v>1531</v>
      </c>
      <c r="B865" s="15">
        <v>59681</v>
      </c>
      <c r="C865" s="14">
        <v>550</v>
      </c>
      <c r="D865" s="14">
        <v>11</v>
      </c>
      <c r="E865" s="14">
        <v>4</v>
      </c>
      <c r="F865" s="114" t="str">
        <f t="shared" ref="F865:F924" si="28">LEFT(A865,6)&amp;"_"&amp;C865&amp;"_"&amp;D865&amp;"_"&amp;E865</f>
        <v>202223_550_11_4</v>
      </c>
      <c r="G865" s="115">
        <f t="shared" ref="G865:G924" si="29">B865</f>
        <v>59681</v>
      </c>
    </row>
    <row r="866" spans="1:7">
      <c r="A866" s="14" t="s">
        <v>1532</v>
      </c>
      <c r="B866" s="15">
        <v>1499</v>
      </c>
      <c r="C866" s="14">
        <v>550</v>
      </c>
      <c r="D866" s="14">
        <v>12</v>
      </c>
      <c r="E866" s="14">
        <v>4</v>
      </c>
      <c r="F866" s="114" t="str">
        <f t="shared" si="28"/>
        <v>202223_550_12_4</v>
      </c>
      <c r="G866" s="115">
        <f t="shared" si="29"/>
        <v>1499</v>
      </c>
    </row>
    <row r="867" spans="1:7">
      <c r="A867" s="14" t="s">
        <v>1533</v>
      </c>
      <c r="B867" s="15">
        <v>97.751171094440991</v>
      </c>
      <c r="C867" s="14">
        <v>550</v>
      </c>
      <c r="D867" s="14">
        <v>12.5</v>
      </c>
      <c r="E867" s="14">
        <v>4</v>
      </c>
      <c r="F867" s="114" t="str">
        <f t="shared" si="28"/>
        <v>202223_550_12.5_4</v>
      </c>
      <c r="G867" s="115">
        <f t="shared" si="29"/>
        <v>97.751171094440991</v>
      </c>
    </row>
    <row r="868" spans="1:7">
      <c r="A868" s="14" t="s">
        <v>1534</v>
      </c>
      <c r="B868" s="15">
        <v>-259</v>
      </c>
      <c r="C868" s="14">
        <v>550</v>
      </c>
      <c r="D868" s="14">
        <v>2</v>
      </c>
      <c r="E868" s="14">
        <v>2</v>
      </c>
      <c r="F868" s="114" t="str">
        <f t="shared" si="28"/>
        <v>202223_550_2_2</v>
      </c>
      <c r="G868" s="115">
        <f t="shared" si="29"/>
        <v>-259</v>
      </c>
    </row>
    <row r="869" spans="1:7">
      <c r="A869" s="14" t="s">
        <v>1535</v>
      </c>
      <c r="B869" s="15">
        <v>85322</v>
      </c>
      <c r="C869" s="14">
        <v>550</v>
      </c>
      <c r="D869" s="14">
        <v>2</v>
      </c>
      <c r="E869" s="14">
        <v>3</v>
      </c>
      <c r="F869" s="114" t="str">
        <f t="shared" si="28"/>
        <v>202223_550_2_3</v>
      </c>
      <c r="G869" s="115">
        <f t="shared" si="29"/>
        <v>85322</v>
      </c>
    </row>
    <row r="870" spans="1:7">
      <c r="A870" s="14" t="s">
        <v>1536</v>
      </c>
      <c r="B870" s="15">
        <v>9560</v>
      </c>
      <c r="C870" s="14">
        <v>550</v>
      </c>
      <c r="D870" s="14">
        <v>3</v>
      </c>
      <c r="E870" s="14">
        <v>2</v>
      </c>
      <c r="F870" s="114" t="str">
        <f t="shared" si="28"/>
        <v>202223_550_3_2</v>
      </c>
      <c r="G870" s="115">
        <f t="shared" si="29"/>
        <v>9560</v>
      </c>
    </row>
    <row r="871" spans="1:7">
      <c r="A871" s="14" t="s">
        <v>1537</v>
      </c>
      <c r="B871" s="15">
        <v>85322</v>
      </c>
      <c r="C871" s="14">
        <v>550</v>
      </c>
      <c r="D871" s="14">
        <v>3</v>
      </c>
      <c r="E871" s="14">
        <v>3</v>
      </c>
      <c r="F871" s="114" t="str">
        <f t="shared" si="28"/>
        <v>202223_550_3_3</v>
      </c>
      <c r="G871" s="115">
        <f t="shared" si="29"/>
        <v>85322</v>
      </c>
    </row>
    <row r="872" spans="1:7">
      <c r="A872" s="14" t="s">
        <v>1538</v>
      </c>
      <c r="B872" s="15">
        <v>1757</v>
      </c>
      <c r="C872" s="14">
        <v>550</v>
      </c>
      <c r="D872" s="14">
        <v>4</v>
      </c>
      <c r="E872" s="14">
        <v>2</v>
      </c>
      <c r="F872" s="114" t="str">
        <f t="shared" si="28"/>
        <v>202223_550_4_2</v>
      </c>
      <c r="G872" s="115">
        <f t="shared" si="29"/>
        <v>1757</v>
      </c>
    </row>
    <row r="873" spans="1:7">
      <c r="A873" s="14" t="s">
        <v>1539</v>
      </c>
      <c r="B873" s="15">
        <v>81975</v>
      </c>
      <c r="C873" s="14">
        <v>550</v>
      </c>
      <c r="D873" s="14">
        <v>4</v>
      </c>
      <c r="E873" s="14">
        <v>3</v>
      </c>
      <c r="F873" s="114" t="str">
        <f t="shared" si="28"/>
        <v>202223_550_4_3</v>
      </c>
      <c r="G873" s="115">
        <f t="shared" si="29"/>
        <v>81975</v>
      </c>
    </row>
    <row r="874" spans="1:7">
      <c r="A874" s="14" t="s">
        <v>1540</v>
      </c>
      <c r="B874" s="15">
        <v>379</v>
      </c>
      <c r="C874" s="14">
        <v>550</v>
      </c>
      <c r="D874" s="14">
        <v>5</v>
      </c>
      <c r="E874" s="14">
        <v>2</v>
      </c>
      <c r="F874" s="114" t="str">
        <f t="shared" si="28"/>
        <v>202223_550_5_2</v>
      </c>
      <c r="G874" s="115">
        <f t="shared" si="29"/>
        <v>379</v>
      </c>
    </row>
    <row r="875" spans="1:7">
      <c r="A875" s="14" t="s">
        <v>1541</v>
      </c>
      <c r="B875" s="15">
        <v>23</v>
      </c>
      <c r="C875" s="14">
        <v>550</v>
      </c>
      <c r="D875" s="14">
        <v>5</v>
      </c>
      <c r="E875" s="14">
        <v>3</v>
      </c>
      <c r="F875" s="114" t="str">
        <f t="shared" si="28"/>
        <v>202223_550_5_3</v>
      </c>
      <c r="G875" s="115">
        <f t="shared" si="29"/>
        <v>23</v>
      </c>
    </row>
    <row r="876" spans="1:7">
      <c r="A876" s="14" t="s">
        <v>1542</v>
      </c>
      <c r="B876" s="15">
        <v>7424</v>
      </c>
      <c r="C876" s="14">
        <v>550</v>
      </c>
      <c r="D876" s="14">
        <v>6</v>
      </c>
      <c r="E876" s="14">
        <v>2</v>
      </c>
      <c r="F876" s="114" t="str">
        <f t="shared" si="28"/>
        <v>202223_550_6_2</v>
      </c>
      <c r="G876" s="115">
        <f t="shared" si="29"/>
        <v>7424</v>
      </c>
    </row>
    <row r="877" spans="1:7">
      <c r="A877" s="14" t="s">
        <v>1543</v>
      </c>
      <c r="B877" s="15">
        <v>3324</v>
      </c>
      <c r="C877" s="14">
        <v>550</v>
      </c>
      <c r="D877" s="14">
        <v>6</v>
      </c>
      <c r="E877" s="14">
        <v>3</v>
      </c>
      <c r="F877" s="114" t="str">
        <f t="shared" si="28"/>
        <v>202223_550_6_3</v>
      </c>
      <c r="G877" s="115">
        <f t="shared" si="29"/>
        <v>3324</v>
      </c>
    </row>
    <row r="878" spans="1:7">
      <c r="A878" s="14" t="s">
        <v>1544</v>
      </c>
      <c r="B878" s="15">
        <v>83915</v>
      </c>
      <c r="C878" s="14">
        <v>550</v>
      </c>
      <c r="D878" s="14">
        <v>7</v>
      </c>
      <c r="E878" s="14">
        <v>3</v>
      </c>
      <c r="F878" s="114" t="str">
        <f t="shared" si="28"/>
        <v>202223_550_7_3</v>
      </c>
      <c r="G878" s="115">
        <f t="shared" si="29"/>
        <v>83915</v>
      </c>
    </row>
    <row r="879" spans="1:7">
      <c r="A879" s="14" t="s">
        <v>1545</v>
      </c>
      <c r="B879" s="15">
        <v>96.07721337990202</v>
      </c>
      <c r="C879" s="14">
        <v>550</v>
      </c>
      <c r="D879" s="14">
        <v>8</v>
      </c>
      <c r="E879" s="14">
        <v>3</v>
      </c>
      <c r="F879" s="114" t="str">
        <f t="shared" si="28"/>
        <v>202223_550_8_3</v>
      </c>
      <c r="G879" s="115">
        <f t="shared" si="29"/>
        <v>96.07721337990202</v>
      </c>
    </row>
    <row r="880" spans="1:7">
      <c r="A880" s="14" t="s">
        <v>1546</v>
      </c>
      <c r="B880" s="15">
        <v>97.688136805100399</v>
      </c>
      <c r="C880" s="14">
        <v>550</v>
      </c>
      <c r="D880" s="14">
        <v>9</v>
      </c>
      <c r="E880" s="14">
        <v>3</v>
      </c>
      <c r="F880" s="114" t="str">
        <f t="shared" si="28"/>
        <v>202223_550_9_3</v>
      </c>
      <c r="G880" s="115">
        <f t="shared" si="29"/>
        <v>97.688136805100399</v>
      </c>
    </row>
    <row r="881" spans="1:7">
      <c r="A881" s="14" t="s">
        <v>1547</v>
      </c>
      <c r="B881" s="15">
        <v>17335</v>
      </c>
      <c r="C881" s="14">
        <v>552</v>
      </c>
      <c r="D881" s="14">
        <v>1</v>
      </c>
      <c r="E881" s="14">
        <v>2</v>
      </c>
      <c r="F881" s="114" t="str">
        <f t="shared" si="28"/>
        <v>202223_552_1_2</v>
      </c>
      <c r="G881" s="115">
        <f t="shared" si="29"/>
        <v>17335</v>
      </c>
    </row>
    <row r="882" spans="1:7">
      <c r="A882" s="14" t="s">
        <v>1548</v>
      </c>
      <c r="B882" s="15">
        <v>1367</v>
      </c>
      <c r="C882" s="14">
        <v>552</v>
      </c>
      <c r="D882" s="14">
        <v>10.1</v>
      </c>
      <c r="E882" s="14">
        <v>3</v>
      </c>
      <c r="F882" s="114" t="str">
        <f t="shared" si="28"/>
        <v>202223_552_10.1_3</v>
      </c>
      <c r="G882" s="115">
        <f t="shared" si="29"/>
        <v>1367</v>
      </c>
    </row>
    <row r="883" spans="1:7">
      <c r="A883" s="14" t="s">
        <v>1549</v>
      </c>
      <c r="B883" s="15">
        <v>0</v>
      </c>
      <c r="C883" s="14">
        <v>552</v>
      </c>
      <c r="D883" s="14">
        <v>10.199999999999999</v>
      </c>
      <c r="E883" s="14">
        <v>3</v>
      </c>
      <c r="F883" s="114" t="str">
        <f t="shared" si="28"/>
        <v>202223_552_10.2_3</v>
      </c>
      <c r="G883" s="115">
        <f t="shared" si="29"/>
        <v>0</v>
      </c>
    </row>
    <row r="884" spans="1:7">
      <c r="A884" s="14" t="s">
        <v>1550</v>
      </c>
      <c r="B884" s="15">
        <v>483</v>
      </c>
      <c r="C884" s="14">
        <v>552</v>
      </c>
      <c r="D884" s="14">
        <v>10.3</v>
      </c>
      <c r="E884" s="14">
        <v>3</v>
      </c>
      <c r="F884" s="114" t="str">
        <f t="shared" si="28"/>
        <v>202223_552_10.3_3</v>
      </c>
      <c r="G884" s="115">
        <f t="shared" si="29"/>
        <v>483</v>
      </c>
    </row>
    <row r="885" spans="1:7">
      <c r="A885" s="14" t="s">
        <v>1551</v>
      </c>
      <c r="B885" s="15">
        <v>0</v>
      </c>
      <c r="C885" s="14">
        <v>552</v>
      </c>
      <c r="D885" s="14">
        <v>10.4</v>
      </c>
      <c r="E885" s="14">
        <v>3</v>
      </c>
      <c r="F885" s="114" t="str">
        <f t="shared" si="28"/>
        <v>202223_552_10.4_3</v>
      </c>
      <c r="G885" s="115">
        <f t="shared" si="29"/>
        <v>0</v>
      </c>
    </row>
    <row r="886" spans="1:7">
      <c r="A886" s="14" t="s">
        <v>1552</v>
      </c>
      <c r="B886" s="15">
        <v>190046</v>
      </c>
      <c r="C886" s="14">
        <v>552</v>
      </c>
      <c r="D886" s="14">
        <v>10.5</v>
      </c>
      <c r="E886" s="14">
        <v>4</v>
      </c>
      <c r="F886" s="114" t="str">
        <f t="shared" si="28"/>
        <v>202223_552_10.5_4</v>
      </c>
      <c r="G886" s="115">
        <f t="shared" si="29"/>
        <v>190046</v>
      </c>
    </row>
    <row r="887" spans="1:7">
      <c r="A887" s="14" t="s">
        <v>1553</v>
      </c>
      <c r="B887" s="15">
        <v>177708</v>
      </c>
      <c r="C887" s="14">
        <v>552</v>
      </c>
      <c r="D887" s="14">
        <v>11</v>
      </c>
      <c r="E887" s="14">
        <v>4</v>
      </c>
      <c r="F887" s="114" t="str">
        <f t="shared" si="28"/>
        <v>202223_552_11_4</v>
      </c>
      <c r="G887" s="115">
        <f t="shared" si="29"/>
        <v>177708</v>
      </c>
    </row>
    <row r="888" spans="1:7">
      <c r="A888" s="14" t="s">
        <v>1554</v>
      </c>
      <c r="B888" s="15">
        <v>2638</v>
      </c>
      <c r="C888" s="14">
        <v>552</v>
      </c>
      <c r="D888" s="14">
        <v>12</v>
      </c>
      <c r="E888" s="14">
        <v>4</v>
      </c>
      <c r="F888" s="114" t="str">
        <f t="shared" si="28"/>
        <v>202223_552_12_4</v>
      </c>
      <c r="G888" s="115">
        <f t="shared" si="29"/>
        <v>2638</v>
      </c>
    </row>
    <row r="889" spans="1:7">
      <c r="A889" s="14" t="s">
        <v>1555</v>
      </c>
      <c r="B889" s="15">
        <v>93.507887564063438</v>
      </c>
      <c r="C889" s="14">
        <v>552</v>
      </c>
      <c r="D889" s="14">
        <v>12.5</v>
      </c>
      <c r="E889" s="14">
        <v>4</v>
      </c>
      <c r="F889" s="114" t="str">
        <f t="shared" si="28"/>
        <v>202223_552_12.5_4</v>
      </c>
      <c r="G889" s="115">
        <f t="shared" si="29"/>
        <v>93.507887564063438</v>
      </c>
    </row>
    <row r="890" spans="1:7">
      <c r="A890" s="14" t="s">
        <v>1556</v>
      </c>
      <c r="B890" s="15">
        <v>-973</v>
      </c>
      <c r="C890" s="14">
        <v>552</v>
      </c>
      <c r="D890" s="14">
        <v>2</v>
      </c>
      <c r="E890" s="14">
        <v>2</v>
      </c>
      <c r="F890" s="114" t="str">
        <f t="shared" si="28"/>
        <v>202223_552_2_2</v>
      </c>
      <c r="G890" s="115">
        <f t="shared" si="29"/>
        <v>-973</v>
      </c>
    </row>
    <row r="891" spans="1:7">
      <c r="A891" s="14" t="s">
        <v>1557</v>
      </c>
      <c r="B891" s="15">
        <v>215740</v>
      </c>
      <c r="C891" s="14">
        <v>552</v>
      </c>
      <c r="D891" s="14">
        <v>2</v>
      </c>
      <c r="E891" s="14">
        <v>3</v>
      </c>
      <c r="F891" s="114" t="str">
        <f t="shared" si="28"/>
        <v>202223_552_2_3</v>
      </c>
      <c r="G891" s="115">
        <f t="shared" si="29"/>
        <v>215740</v>
      </c>
    </row>
    <row r="892" spans="1:7">
      <c r="A892" s="14" t="s">
        <v>1558</v>
      </c>
      <c r="B892" s="15">
        <v>16362</v>
      </c>
      <c r="C892" s="14">
        <v>552</v>
      </c>
      <c r="D892" s="14">
        <v>3</v>
      </c>
      <c r="E892" s="14">
        <v>2</v>
      </c>
      <c r="F892" s="114" t="str">
        <f t="shared" si="28"/>
        <v>202223_552_3_2</v>
      </c>
      <c r="G892" s="115">
        <f t="shared" si="29"/>
        <v>16362</v>
      </c>
    </row>
    <row r="893" spans="1:7">
      <c r="A893" s="14" t="s">
        <v>1559</v>
      </c>
      <c r="B893" s="15">
        <v>215740</v>
      </c>
      <c r="C893" s="14">
        <v>552</v>
      </c>
      <c r="D893" s="14">
        <v>3</v>
      </c>
      <c r="E893" s="14">
        <v>3</v>
      </c>
      <c r="F893" s="114" t="str">
        <f t="shared" si="28"/>
        <v>202223_552_3_3</v>
      </c>
      <c r="G893" s="115">
        <f t="shared" si="29"/>
        <v>215740</v>
      </c>
    </row>
    <row r="894" spans="1:7">
      <c r="A894" s="14" t="s">
        <v>1560</v>
      </c>
      <c r="B894" s="15">
        <v>4730</v>
      </c>
      <c r="C894" s="14">
        <v>552</v>
      </c>
      <c r="D894" s="14">
        <v>4</v>
      </c>
      <c r="E894" s="14">
        <v>2</v>
      </c>
      <c r="F894" s="114" t="str">
        <f t="shared" si="28"/>
        <v>202223_552_4_2</v>
      </c>
      <c r="G894" s="115">
        <f t="shared" si="29"/>
        <v>4730</v>
      </c>
    </row>
    <row r="895" spans="1:7">
      <c r="A895" s="14" t="s">
        <v>1561</v>
      </c>
      <c r="B895" s="15">
        <v>207504</v>
      </c>
      <c r="C895" s="14">
        <v>552</v>
      </c>
      <c r="D895" s="14">
        <v>4</v>
      </c>
      <c r="E895" s="14">
        <v>3</v>
      </c>
      <c r="F895" s="114" t="str">
        <f t="shared" si="28"/>
        <v>202223_552_4_3</v>
      </c>
      <c r="G895" s="115">
        <f t="shared" si="29"/>
        <v>207504</v>
      </c>
    </row>
    <row r="896" spans="1:7">
      <c r="A896" s="14" t="s">
        <v>1562</v>
      </c>
      <c r="B896" s="15">
        <v>1360</v>
      </c>
      <c r="C896" s="14">
        <v>552</v>
      </c>
      <c r="D896" s="14">
        <v>5</v>
      </c>
      <c r="E896" s="14">
        <v>2</v>
      </c>
      <c r="F896" s="114" t="str">
        <f t="shared" si="28"/>
        <v>202223_552_5_2</v>
      </c>
      <c r="G896" s="115">
        <f t="shared" si="29"/>
        <v>1360</v>
      </c>
    </row>
    <row r="897" spans="1:7">
      <c r="A897" s="14" t="s">
        <v>1563</v>
      </c>
      <c r="B897" s="15">
        <v>194</v>
      </c>
      <c r="C897" s="14">
        <v>552</v>
      </c>
      <c r="D897" s="14">
        <v>5</v>
      </c>
      <c r="E897" s="14">
        <v>3</v>
      </c>
      <c r="F897" s="114" t="str">
        <f t="shared" si="28"/>
        <v>202223_552_5_3</v>
      </c>
      <c r="G897" s="115">
        <f t="shared" si="29"/>
        <v>194</v>
      </c>
    </row>
    <row r="898" spans="1:7">
      <c r="A898" s="14" t="s">
        <v>1564</v>
      </c>
      <c r="B898" s="15">
        <v>10272</v>
      </c>
      <c r="C898" s="14">
        <v>552</v>
      </c>
      <c r="D898" s="14">
        <v>6</v>
      </c>
      <c r="E898" s="14">
        <v>2</v>
      </c>
      <c r="F898" s="114" t="str">
        <f t="shared" si="28"/>
        <v>202223_552_6_2</v>
      </c>
      <c r="G898" s="115">
        <f t="shared" si="29"/>
        <v>10272</v>
      </c>
    </row>
    <row r="899" spans="1:7">
      <c r="A899" s="14" t="s">
        <v>1565</v>
      </c>
      <c r="B899" s="15">
        <v>8042</v>
      </c>
      <c r="C899" s="14">
        <v>552</v>
      </c>
      <c r="D899" s="14">
        <v>6</v>
      </c>
      <c r="E899" s="14">
        <v>3</v>
      </c>
      <c r="F899" s="114" t="str">
        <f t="shared" si="28"/>
        <v>202223_552_6_3</v>
      </c>
      <c r="G899" s="115">
        <f t="shared" si="29"/>
        <v>8042</v>
      </c>
    </row>
    <row r="900" spans="1:7">
      <c r="A900" s="14" t="s">
        <v>1566</v>
      </c>
      <c r="B900" s="15">
        <v>210864</v>
      </c>
      <c r="C900" s="14">
        <v>552</v>
      </c>
      <c r="D900" s="14">
        <v>7</v>
      </c>
      <c r="E900" s="14">
        <v>3</v>
      </c>
      <c r="F900" s="114" t="str">
        <f t="shared" si="28"/>
        <v>202223_552_7_3</v>
      </c>
      <c r="G900" s="115">
        <f t="shared" si="29"/>
        <v>210864</v>
      </c>
    </row>
    <row r="901" spans="1:7">
      <c r="A901" s="14" t="s">
        <v>1567</v>
      </c>
      <c r="B901" s="15">
        <v>96.182441828126457</v>
      </c>
      <c r="C901" s="14">
        <v>552</v>
      </c>
      <c r="D901" s="14">
        <v>8</v>
      </c>
      <c r="E901" s="14">
        <v>3</v>
      </c>
      <c r="F901" s="114" t="str">
        <f t="shared" si="28"/>
        <v>202223_552_8_3</v>
      </c>
      <c r="G901" s="115">
        <f t="shared" si="29"/>
        <v>96.182441828126457</v>
      </c>
    </row>
    <row r="902" spans="1:7">
      <c r="A902" s="14" t="s">
        <v>1568</v>
      </c>
      <c r="B902" s="15">
        <v>98.406555884361481</v>
      </c>
      <c r="C902" s="14">
        <v>552</v>
      </c>
      <c r="D902" s="14">
        <v>9</v>
      </c>
      <c r="E902" s="14">
        <v>3</v>
      </c>
      <c r="F902" s="114" t="str">
        <f t="shared" si="28"/>
        <v>202223_552_9_3</v>
      </c>
      <c r="G902" s="115">
        <f t="shared" si="29"/>
        <v>98.406555884361481</v>
      </c>
    </row>
    <row r="903" spans="1:7">
      <c r="A903" s="14" t="s">
        <v>1569</v>
      </c>
      <c r="B903" s="15">
        <v>173608</v>
      </c>
      <c r="C903" s="14">
        <v>596</v>
      </c>
      <c r="D903" s="14">
        <v>1</v>
      </c>
      <c r="E903" s="14">
        <v>2</v>
      </c>
      <c r="F903" s="114" t="str">
        <f t="shared" si="28"/>
        <v>202223_596_1_2</v>
      </c>
      <c r="G903" s="115">
        <f t="shared" si="29"/>
        <v>173608</v>
      </c>
    </row>
    <row r="904" spans="1:7">
      <c r="A904" s="14" t="s">
        <v>1570</v>
      </c>
      <c r="B904" s="15">
        <v>9569</v>
      </c>
      <c r="C904" s="14">
        <v>596</v>
      </c>
      <c r="D904" s="14">
        <v>10.1</v>
      </c>
      <c r="E904" s="14">
        <v>3</v>
      </c>
      <c r="F904" s="114" t="str">
        <f t="shared" si="28"/>
        <v>202223_596_10.1_3</v>
      </c>
      <c r="G904" s="115">
        <f t="shared" si="29"/>
        <v>9569</v>
      </c>
    </row>
    <row r="905" spans="1:7">
      <c r="A905" s="14" t="s">
        <v>1571</v>
      </c>
      <c r="B905" s="15">
        <v>21580</v>
      </c>
      <c r="C905" s="14">
        <v>596</v>
      </c>
      <c r="D905" s="14">
        <v>10.199999999999999</v>
      </c>
      <c r="E905" s="14">
        <v>3</v>
      </c>
      <c r="F905" s="114" t="str">
        <f t="shared" si="28"/>
        <v>202223_596_10.2_3</v>
      </c>
      <c r="G905" s="115">
        <f t="shared" si="29"/>
        <v>21580</v>
      </c>
    </row>
    <row r="906" spans="1:7">
      <c r="A906" s="14" t="s">
        <v>1572</v>
      </c>
      <c r="B906" s="15">
        <v>6726.6499999999651</v>
      </c>
      <c r="C906" s="14">
        <v>596</v>
      </c>
      <c r="D906" s="14">
        <v>10.3</v>
      </c>
      <c r="E906" s="14">
        <v>3</v>
      </c>
      <c r="F906" s="114" t="str">
        <f t="shared" si="28"/>
        <v>202223_596_10.3_3</v>
      </c>
      <c r="G906" s="115">
        <f t="shared" si="29"/>
        <v>6726.6499999999651</v>
      </c>
    </row>
    <row r="907" spans="1:7">
      <c r="A907" s="14" t="s">
        <v>1573</v>
      </c>
      <c r="B907" s="15">
        <v>21061.119000000006</v>
      </c>
      <c r="C907" s="14">
        <v>596</v>
      </c>
      <c r="D907" s="14">
        <v>10.4</v>
      </c>
      <c r="E907" s="14">
        <v>3</v>
      </c>
      <c r="F907" s="114" t="str">
        <f t="shared" si="28"/>
        <v>202223_596_10.4_3</v>
      </c>
      <c r="G907" s="115">
        <f t="shared" si="29"/>
        <v>21061.119000000006</v>
      </c>
    </row>
    <row r="908" spans="1:7">
      <c r="A908" s="14" t="s">
        <v>1574</v>
      </c>
      <c r="B908" s="15">
        <v>964174</v>
      </c>
      <c r="C908" s="14">
        <v>596</v>
      </c>
      <c r="D908" s="14">
        <v>10.5</v>
      </c>
      <c r="E908" s="14">
        <v>4</v>
      </c>
      <c r="F908" s="114" t="str">
        <f t="shared" si="28"/>
        <v>202223_596_10.5_4</v>
      </c>
      <c r="G908" s="115">
        <f t="shared" si="29"/>
        <v>964174</v>
      </c>
    </row>
    <row r="909" spans="1:7">
      <c r="A909" s="14" t="s">
        <v>1575</v>
      </c>
      <c r="B909" s="15">
        <v>920849</v>
      </c>
      <c r="C909" s="14">
        <v>596</v>
      </c>
      <c r="D909" s="14">
        <v>11</v>
      </c>
      <c r="E909" s="14">
        <v>4</v>
      </c>
      <c r="F909" s="114" t="str">
        <f t="shared" si="28"/>
        <v>202223_596_11_4</v>
      </c>
      <c r="G909" s="115">
        <f t="shared" si="29"/>
        <v>920849</v>
      </c>
    </row>
    <row r="910" spans="1:7">
      <c r="A910" s="14" t="s">
        <v>1576</v>
      </c>
      <c r="B910" s="15">
        <v>23005</v>
      </c>
      <c r="C910" s="14">
        <v>596</v>
      </c>
      <c r="D910" s="14">
        <v>12</v>
      </c>
      <c r="E910" s="14">
        <v>4</v>
      </c>
      <c r="F910" s="114" t="str">
        <f t="shared" si="28"/>
        <v>202223_596_12_4</v>
      </c>
      <c r="G910" s="115">
        <f t="shared" si="29"/>
        <v>23005</v>
      </c>
    </row>
    <row r="911" spans="1:7">
      <c r="A911" s="14" t="s">
        <v>1577</v>
      </c>
      <c r="B911" s="15">
        <v>95.51</v>
      </c>
      <c r="C911" s="14">
        <v>596</v>
      </c>
      <c r="D911" s="14">
        <v>12.5</v>
      </c>
      <c r="E911" s="14">
        <v>4</v>
      </c>
      <c r="F911" s="114" t="str">
        <f t="shared" si="28"/>
        <v>202223_596_12.5_4</v>
      </c>
      <c r="G911" s="115">
        <f t="shared" si="29"/>
        <v>95.51</v>
      </c>
    </row>
    <row r="912" spans="1:7">
      <c r="A912" s="14" t="s">
        <v>1578</v>
      </c>
      <c r="B912" s="15">
        <v>-4852</v>
      </c>
      <c r="C912" s="14">
        <v>596</v>
      </c>
      <c r="D912" s="14">
        <v>2</v>
      </c>
      <c r="E912" s="14">
        <v>2</v>
      </c>
      <c r="F912" s="114" t="str">
        <f t="shared" si="28"/>
        <v>202223_596_2_2</v>
      </c>
      <c r="G912" s="115">
        <f t="shared" si="29"/>
        <v>-4852</v>
      </c>
    </row>
    <row r="913" spans="1:7">
      <c r="A913" s="14" t="s">
        <v>1579</v>
      </c>
      <c r="B913" s="15">
        <v>1981608</v>
      </c>
      <c r="C913" s="14">
        <v>596</v>
      </c>
      <c r="D913" s="14">
        <v>2</v>
      </c>
      <c r="E913" s="14">
        <v>3</v>
      </c>
      <c r="F913" s="114" t="str">
        <f t="shared" si="28"/>
        <v>202223_596_2_3</v>
      </c>
      <c r="G913" s="115">
        <f t="shared" si="29"/>
        <v>1981608</v>
      </c>
    </row>
    <row r="914" spans="1:7">
      <c r="A914" s="14" t="s">
        <v>1580</v>
      </c>
      <c r="B914" s="15">
        <v>168756</v>
      </c>
      <c r="C914" s="14">
        <v>596</v>
      </c>
      <c r="D914" s="14">
        <v>3</v>
      </c>
      <c r="E914" s="14">
        <v>2</v>
      </c>
      <c r="F914" s="114" t="str">
        <f t="shared" si="28"/>
        <v>202223_596_3_2</v>
      </c>
      <c r="G914" s="115">
        <f t="shared" si="29"/>
        <v>168756</v>
      </c>
    </row>
    <row r="915" spans="1:7">
      <c r="A915" s="14" t="s">
        <v>1581</v>
      </c>
      <c r="B915" s="15">
        <v>1981608</v>
      </c>
      <c r="C915" s="14">
        <v>596</v>
      </c>
      <c r="D915" s="14">
        <v>3</v>
      </c>
      <c r="E915" s="14">
        <v>3</v>
      </c>
      <c r="F915" s="114" t="str">
        <f t="shared" si="28"/>
        <v>202223_596_3_3</v>
      </c>
      <c r="G915" s="115">
        <f t="shared" si="29"/>
        <v>1981608</v>
      </c>
    </row>
    <row r="916" spans="1:7">
      <c r="A916" s="14" t="s">
        <v>1582</v>
      </c>
      <c r="B916" s="15">
        <v>40230</v>
      </c>
      <c r="C916" s="14">
        <v>596</v>
      </c>
      <c r="D916" s="14">
        <v>4</v>
      </c>
      <c r="E916" s="14">
        <v>2</v>
      </c>
      <c r="F916" s="114" t="str">
        <f t="shared" si="28"/>
        <v>202223_596_4_2</v>
      </c>
      <c r="G916" s="115">
        <f t="shared" si="29"/>
        <v>40230</v>
      </c>
    </row>
    <row r="917" spans="1:7">
      <c r="A917" s="14" t="s">
        <v>1583</v>
      </c>
      <c r="B917" s="15">
        <v>1903717</v>
      </c>
      <c r="C917" s="14">
        <v>596</v>
      </c>
      <c r="D917" s="14">
        <v>4</v>
      </c>
      <c r="E917" s="14">
        <v>3</v>
      </c>
      <c r="F917" s="114" t="str">
        <f t="shared" si="28"/>
        <v>202223_596_4_3</v>
      </c>
      <c r="G917" s="115">
        <f t="shared" si="29"/>
        <v>1903717</v>
      </c>
    </row>
    <row r="918" spans="1:7">
      <c r="A918" s="14" t="s">
        <v>1584</v>
      </c>
      <c r="B918" s="15">
        <v>7397</v>
      </c>
      <c r="C918" s="14">
        <v>596</v>
      </c>
      <c r="D918" s="14">
        <v>5</v>
      </c>
      <c r="E918" s="14">
        <v>2</v>
      </c>
      <c r="F918" s="114" t="str">
        <f t="shared" si="28"/>
        <v>202223_596_5_2</v>
      </c>
      <c r="G918" s="115">
        <f t="shared" si="29"/>
        <v>7397</v>
      </c>
    </row>
    <row r="919" spans="1:7">
      <c r="A919" s="14" t="s">
        <v>1585</v>
      </c>
      <c r="B919" s="15">
        <v>736</v>
      </c>
      <c r="C919" s="14">
        <v>596</v>
      </c>
      <c r="D919" s="14">
        <v>5</v>
      </c>
      <c r="E919" s="14">
        <v>3</v>
      </c>
      <c r="F919" s="114" t="str">
        <f t="shared" si="28"/>
        <v>202223_596_5_3</v>
      </c>
      <c r="G919" s="115">
        <f t="shared" si="29"/>
        <v>736</v>
      </c>
    </row>
    <row r="920" spans="1:7">
      <c r="A920" s="14" t="s">
        <v>1586</v>
      </c>
      <c r="B920" s="15">
        <v>121129</v>
      </c>
      <c r="C920" s="14">
        <v>596</v>
      </c>
      <c r="D920" s="14">
        <v>6</v>
      </c>
      <c r="E920" s="14">
        <v>2</v>
      </c>
      <c r="F920" s="114" t="str">
        <f t="shared" si="28"/>
        <v>202223_596_6_2</v>
      </c>
      <c r="G920" s="115">
        <f t="shared" si="29"/>
        <v>121129</v>
      </c>
    </row>
    <row r="921" spans="1:7">
      <c r="A921" s="14" t="s">
        <v>1587</v>
      </c>
      <c r="B921" s="15">
        <v>77155</v>
      </c>
      <c r="C921" s="14">
        <v>596</v>
      </c>
      <c r="D921" s="14">
        <v>6</v>
      </c>
      <c r="E921" s="14">
        <v>3</v>
      </c>
      <c r="F921" s="114" t="str">
        <f t="shared" si="28"/>
        <v>202223_596_6_3</v>
      </c>
      <c r="G921" s="115">
        <f t="shared" si="29"/>
        <v>77155</v>
      </c>
    </row>
    <row r="922" spans="1:7">
      <c r="A922" s="14" t="s">
        <v>1588</v>
      </c>
      <c r="B922" s="15">
        <v>1926655</v>
      </c>
      <c r="C922" s="14">
        <v>596</v>
      </c>
      <c r="D922" s="14">
        <v>7</v>
      </c>
      <c r="E922" s="14">
        <v>3</v>
      </c>
      <c r="F922" s="114" t="str">
        <f t="shared" si="28"/>
        <v>202223_596_7_3</v>
      </c>
      <c r="G922" s="115">
        <f t="shared" si="29"/>
        <v>1926655</v>
      </c>
    </row>
    <row r="923" spans="1:7">
      <c r="A923" s="14" t="s">
        <v>1589</v>
      </c>
      <c r="B923" s="15">
        <v>96.08</v>
      </c>
      <c r="C923" s="14">
        <v>596</v>
      </c>
      <c r="D923" s="14">
        <v>8</v>
      </c>
      <c r="E923" s="14">
        <v>3</v>
      </c>
      <c r="F923" s="114" t="str">
        <f t="shared" si="28"/>
        <v>202223_596_8_3</v>
      </c>
      <c r="G923" s="115">
        <f t="shared" si="29"/>
        <v>96.08</v>
      </c>
    </row>
    <row r="924" spans="1:7">
      <c r="A924" s="14" t="s">
        <v>1590</v>
      </c>
      <c r="B924" s="15">
        <v>98.81</v>
      </c>
      <c r="C924" s="14">
        <v>596</v>
      </c>
      <c r="D924" s="14">
        <v>9</v>
      </c>
      <c r="E924" s="14">
        <v>3</v>
      </c>
      <c r="F924" s="114" t="str">
        <f t="shared" si="28"/>
        <v>202223_596_9_3</v>
      </c>
      <c r="G924" s="115">
        <f t="shared" si="29"/>
        <v>98.81</v>
      </c>
    </row>
  </sheetData>
  <phoneticPr fontId="14" type="noConversion"/>
  <pageMargins left="0.75" right="0.75" top="1" bottom="1" header="0.5" footer="0.5"/>
  <pageSetup paperSize="9" orientation="portrait" horizontalDpi="300" verticalDpi="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9" tint="0.59999389629810485"/>
  </sheetPr>
  <dimension ref="A1:G73"/>
  <sheetViews>
    <sheetView zoomScale="86" workbookViewId="0">
      <selection activeCell="A5" sqref="A5"/>
    </sheetView>
  </sheetViews>
  <sheetFormatPr defaultRowHeight="15.5"/>
  <cols>
    <col min="1" max="1" width="17.84375" bestFit="1" customWidth="1"/>
    <col min="2" max="2" width="10.3046875" bestFit="1" customWidth="1"/>
    <col min="7" max="7" width="10.4609375" bestFit="1" customWidth="1"/>
  </cols>
  <sheetData>
    <row r="1" spans="1:7" ht="15" customHeight="1">
      <c r="A1" s="289" t="str">
        <f>"For "&amp;Year&amp;", set to "&amp;Year</f>
        <v>For 2023-24, set to 2023-24</v>
      </c>
      <c r="B1" s="290"/>
      <c r="E1" s="22"/>
      <c r="F1" s="165" t="s">
        <v>508</v>
      </c>
      <c r="G1" s="286" t="s">
        <v>957</v>
      </c>
    </row>
    <row r="2" spans="1:7" ht="15" customHeight="1">
      <c r="B2" s="17"/>
      <c r="F2" s="165" t="s">
        <v>507</v>
      </c>
      <c r="G2" s="291">
        <v>45372</v>
      </c>
    </row>
    <row r="3" spans="1:7" ht="15" customHeight="1">
      <c r="A3" s="18" t="s">
        <v>28</v>
      </c>
      <c r="B3" s="17"/>
    </row>
    <row r="4" spans="1:7">
      <c r="A4" s="300" t="s">
        <v>41</v>
      </c>
      <c r="B4" s="300" t="s">
        <v>24</v>
      </c>
    </row>
    <row r="5" spans="1:7">
      <c r="A5" s="17" t="s">
        <v>1016</v>
      </c>
      <c r="B5" s="16">
        <v>0.98499999999999999</v>
      </c>
    </row>
    <row r="6" spans="1:7">
      <c r="A6" s="17" t="s">
        <v>1017</v>
      </c>
      <c r="B6" s="19">
        <v>10931867</v>
      </c>
    </row>
    <row r="7" spans="1:7">
      <c r="A7" s="17" t="s">
        <v>1018</v>
      </c>
      <c r="B7" s="19">
        <v>48973749</v>
      </c>
    </row>
    <row r="8" spans="1:7">
      <c r="A8" s="17" t="s">
        <v>1019</v>
      </c>
      <c r="B8" s="20">
        <v>0.99</v>
      </c>
    </row>
    <row r="9" spans="1:7">
      <c r="A9" s="17" t="s">
        <v>1020</v>
      </c>
      <c r="B9" s="19">
        <v>18713919</v>
      </c>
    </row>
    <row r="10" spans="1:7">
      <c r="A10" s="17" t="s">
        <v>1021</v>
      </c>
      <c r="B10" s="19">
        <v>92932618</v>
      </c>
    </row>
    <row r="11" spans="1:7">
      <c r="A11" s="17" t="s">
        <v>1022</v>
      </c>
      <c r="B11" s="20">
        <v>0.98</v>
      </c>
    </row>
    <row r="12" spans="1:7">
      <c r="A12" s="17" t="s">
        <v>1023</v>
      </c>
      <c r="B12" s="19">
        <v>17113511</v>
      </c>
    </row>
    <row r="13" spans="1:7">
      <c r="A13" s="17" t="s">
        <v>1024</v>
      </c>
      <c r="B13" s="19">
        <v>83783608</v>
      </c>
    </row>
    <row r="14" spans="1:7">
      <c r="A14" s="14" t="s">
        <v>1025</v>
      </c>
      <c r="B14" s="16">
        <v>0.98599999999999999</v>
      </c>
    </row>
    <row r="15" spans="1:7">
      <c r="A15" s="14" t="s">
        <v>1026</v>
      </c>
      <c r="B15" s="15">
        <v>13630439</v>
      </c>
    </row>
    <row r="16" spans="1:7">
      <c r="A16" s="14" t="s">
        <v>1027</v>
      </c>
      <c r="B16" s="15">
        <v>65259156</v>
      </c>
    </row>
    <row r="17" spans="1:2">
      <c r="A17" s="14" t="s">
        <v>1028</v>
      </c>
      <c r="B17" s="16">
        <v>0.98799999999999999</v>
      </c>
    </row>
    <row r="18" spans="1:2">
      <c r="A18" s="14" t="s">
        <v>1029</v>
      </c>
      <c r="B18" s="15">
        <v>21922318</v>
      </c>
    </row>
    <row r="19" spans="1:2">
      <c r="A19" s="14" t="s">
        <v>1030</v>
      </c>
      <c r="B19" s="15">
        <v>103547441</v>
      </c>
    </row>
    <row r="20" spans="1:2">
      <c r="A20" s="14" t="s">
        <v>1031</v>
      </c>
      <c r="B20" s="16">
        <v>0.98</v>
      </c>
    </row>
    <row r="21" spans="1:2">
      <c r="A21" s="14" t="s">
        <v>1032</v>
      </c>
      <c r="B21" s="15">
        <v>17932233</v>
      </c>
    </row>
    <row r="22" spans="1:2">
      <c r="A22" s="14" t="s">
        <v>1033</v>
      </c>
      <c r="B22" s="15">
        <v>81292433</v>
      </c>
    </row>
    <row r="23" spans="1:2">
      <c r="A23" s="14" t="s">
        <v>1034</v>
      </c>
      <c r="B23" s="16">
        <v>0.98499999999999999</v>
      </c>
    </row>
    <row r="24" spans="1:2">
      <c r="A24" s="14" t="s">
        <v>1035</v>
      </c>
      <c r="B24" s="15">
        <v>20089798</v>
      </c>
    </row>
    <row r="25" spans="1:2">
      <c r="A25" s="14" t="s">
        <v>1036</v>
      </c>
      <c r="B25" s="15">
        <v>102857846</v>
      </c>
    </row>
    <row r="26" spans="1:2">
      <c r="A26" s="14" t="s">
        <v>1037</v>
      </c>
      <c r="B26" s="16">
        <v>0.98750000000000004</v>
      </c>
    </row>
    <row r="27" spans="1:2">
      <c r="A27" s="14" t="s">
        <v>1038</v>
      </c>
      <c r="B27" s="15">
        <v>10244912</v>
      </c>
    </row>
    <row r="28" spans="1:2">
      <c r="A28" s="14" t="s">
        <v>1039</v>
      </c>
      <c r="B28" s="15">
        <v>52284012</v>
      </c>
    </row>
    <row r="29" spans="1:2">
      <c r="A29" s="14" t="s">
        <v>1040</v>
      </c>
      <c r="B29" s="16">
        <v>0.98</v>
      </c>
    </row>
    <row r="30" spans="1:2">
      <c r="A30" s="14" t="s">
        <v>1041</v>
      </c>
      <c r="B30" s="15">
        <v>18712475</v>
      </c>
    </row>
    <row r="31" spans="1:2">
      <c r="A31" s="14" t="s">
        <v>1042</v>
      </c>
      <c r="B31" s="15">
        <v>82799319</v>
      </c>
    </row>
    <row r="32" spans="1:2">
      <c r="A32" s="14" t="s">
        <v>1043</v>
      </c>
      <c r="B32" s="16">
        <v>0.97499999999999998</v>
      </c>
    </row>
    <row r="33" spans="1:2">
      <c r="A33" s="14" t="s">
        <v>1044</v>
      </c>
      <c r="B33" s="15">
        <v>23471245</v>
      </c>
    </row>
    <row r="34" spans="1:2">
      <c r="A34" s="14" t="s">
        <v>1045</v>
      </c>
      <c r="B34" s="15">
        <v>119816134</v>
      </c>
    </row>
    <row r="35" spans="1:2">
      <c r="A35" s="14" t="s">
        <v>1046</v>
      </c>
      <c r="B35" s="16">
        <v>0.94499999999999995</v>
      </c>
    </row>
    <row r="36" spans="1:2">
      <c r="A36" s="14" t="s">
        <v>1047</v>
      </c>
      <c r="B36" s="15">
        <v>29674079</v>
      </c>
    </row>
    <row r="37" spans="1:2">
      <c r="A37" s="14" t="s">
        <v>1048</v>
      </c>
      <c r="B37" s="15">
        <v>143499514</v>
      </c>
    </row>
    <row r="38" spans="1:2">
      <c r="A38" s="14" t="s">
        <v>1049</v>
      </c>
      <c r="B38" s="16">
        <v>0.98</v>
      </c>
    </row>
    <row r="39" spans="1:2">
      <c r="A39" s="14" t="s">
        <v>1050</v>
      </c>
      <c r="B39" s="15">
        <v>15836764</v>
      </c>
    </row>
    <row r="40" spans="1:2">
      <c r="A40" s="14" t="s">
        <v>1051</v>
      </c>
      <c r="B40" s="15">
        <v>87247429</v>
      </c>
    </row>
    <row r="41" spans="1:2">
      <c r="A41" s="14" t="s">
        <v>1052</v>
      </c>
      <c r="B41" s="16">
        <v>0.97499999999999998</v>
      </c>
    </row>
    <row r="42" spans="1:2">
      <c r="A42" s="14" t="s">
        <v>1053</v>
      </c>
      <c r="B42" s="15">
        <v>17848387</v>
      </c>
    </row>
    <row r="43" spans="1:2">
      <c r="A43" s="14" t="s">
        <v>1054</v>
      </c>
      <c r="B43" s="15">
        <v>95049832</v>
      </c>
    </row>
    <row r="44" spans="1:2">
      <c r="A44" s="14" t="s">
        <v>1055</v>
      </c>
      <c r="B44" s="16">
        <v>0.97099999999999997</v>
      </c>
    </row>
    <row r="45" spans="1:2">
      <c r="A45" s="14" t="s">
        <v>1056</v>
      </c>
      <c r="B45" s="15">
        <v>20225513</v>
      </c>
    </row>
    <row r="46" spans="1:2">
      <c r="A46" s="14" t="s">
        <v>1057</v>
      </c>
      <c r="B46" s="15">
        <v>94710237</v>
      </c>
    </row>
    <row r="47" spans="1:2">
      <c r="A47" s="14" t="s">
        <v>1058</v>
      </c>
      <c r="B47" s="16">
        <v>0.97250000000000003</v>
      </c>
    </row>
    <row r="48" spans="1:2">
      <c r="A48" s="14" t="s">
        <v>1059</v>
      </c>
      <c r="B48" s="15">
        <v>25301470</v>
      </c>
    </row>
    <row r="49" spans="1:2">
      <c r="A49" s="14" t="s">
        <v>1060</v>
      </c>
      <c r="B49" s="15">
        <v>128472561.60000002</v>
      </c>
    </row>
    <row r="50" spans="1:2">
      <c r="A50" s="14" t="s">
        <v>1061</v>
      </c>
      <c r="B50" s="16">
        <v>0.96</v>
      </c>
    </row>
    <row r="51" spans="1:2">
      <c r="A51" s="14" t="s">
        <v>1062</v>
      </c>
      <c r="B51" s="15">
        <v>6040911</v>
      </c>
    </row>
    <row r="52" spans="1:2">
      <c r="A52" s="14" t="s">
        <v>1063</v>
      </c>
      <c r="B52" s="15">
        <v>34078634</v>
      </c>
    </row>
    <row r="53" spans="1:2">
      <c r="A53" s="14" t="s">
        <v>1064</v>
      </c>
      <c r="B53" s="16">
        <v>0.97499999999999998</v>
      </c>
    </row>
    <row r="54" spans="1:2">
      <c r="A54" s="14" t="s">
        <v>1065</v>
      </c>
      <c r="B54" s="15">
        <v>19839572</v>
      </c>
    </row>
    <row r="55" spans="1:2">
      <c r="A55" s="14" t="s">
        <v>1066</v>
      </c>
      <c r="B55" s="15">
        <v>83681243</v>
      </c>
    </row>
    <row r="56" spans="1:2">
      <c r="A56" s="14" t="s">
        <v>1067</v>
      </c>
      <c r="B56" s="16">
        <v>0.95</v>
      </c>
    </row>
    <row r="57" spans="1:2">
      <c r="A57" s="14" t="s">
        <v>1068</v>
      </c>
      <c r="B57" s="15">
        <v>6752190</v>
      </c>
    </row>
    <row r="58" spans="1:2">
      <c r="A58" s="14" t="s">
        <v>1069</v>
      </c>
      <c r="B58" s="15">
        <v>38644786</v>
      </c>
    </row>
    <row r="59" spans="1:2">
      <c r="A59" s="14" t="s">
        <v>1070</v>
      </c>
      <c r="B59" s="16">
        <v>0.98</v>
      </c>
    </row>
    <row r="60" spans="1:2">
      <c r="A60" s="14" t="s">
        <v>1071</v>
      </c>
      <c r="B60" s="15">
        <v>11113697</v>
      </c>
    </row>
    <row r="61" spans="1:2">
      <c r="A61" s="14" t="s">
        <v>1072</v>
      </c>
      <c r="B61" s="15">
        <v>52296400</v>
      </c>
    </row>
    <row r="62" spans="1:2">
      <c r="A62" s="14" t="s">
        <v>1073</v>
      </c>
      <c r="B62" s="16">
        <v>0.99</v>
      </c>
    </row>
    <row r="63" spans="1:2">
      <c r="A63" s="14" t="s">
        <v>1074</v>
      </c>
      <c r="B63" s="15">
        <v>15504946</v>
      </c>
    </row>
    <row r="64" spans="1:2">
      <c r="A64" s="14" t="s">
        <v>1075</v>
      </c>
      <c r="B64" s="15">
        <v>78137347</v>
      </c>
    </row>
    <row r="65" spans="1:2">
      <c r="A65" s="14" t="s">
        <v>1076</v>
      </c>
      <c r="B65" s="16">
        <v>0.98</v>
      </c>
    </row>
    <row r="66" spans="1:2">
      <c r="A66" s="14" t="s">
        <v>1077</v>
      </c>
      <c r="B66" s="15">
        <v>19787775.75</v>
      </c>
    </row>
    <row r="67" spans="1:2">
      <c r="A67" s="14" t="s">
        <v>1078</v>
      </c>
      <c r="B67" s="15">
        <v>84656965.530000001</v>
      </c>
    </row>
    <row r="68" spans="1:2">
      <c r="A68" s="14" t="s">
        <v>1079</v>
      </c>
      <c r="B68" s="16">
        <v>0.98499999999999999</v>
      </c>
    </row>
    <row r="69" spans="1:2">
      <c r="A69" s="14" t="s">
        <v>1080</v>
      </c>
      <c r="B69" s="15">
        <v>48826895</v>
      </c>
    </row>
    <row r="70" spans="1:2">
      <c r="A70" s="14" t="s">
        <v>1081</v>
      </c>
      <c r="B70" s="15">
        <v>209330693</v>
      </c>
    </row>
    <row r="71" spans="1:2">
      <c r="A71" s="14" t="s">
        <v>1082</v>
      </c>
      <c r="B71" s="16">
        <v>0.97747919534631755</v>
      </c>
    </row>
    <row r="72" spans="1:2">
      <c r="A72" s="14" t="s">
        <v>1083</v>
      </c>
      <c r="B72" s="15">
        <v>409514916.75</v>
      </c>
    </row>
    <row r="73" spans="1:2">
      <c r="A73" s="14" t="s">
        <v>1084</v>
      </c>
      <c r="B73" s="15">
        <v>1963351958.1299999</v>
      </c>
    </row>
  </sheetData>
  <sheetProtection sheet="1" objects="1" scenarios="1"/>
  <phoneticPr fontId="14" type="noConversion"/>
  <pageMargins left="0.75" right="0.75" top="1" bottom="1" header="0.5" footer="0.5"/>
  <pageSetup paperSize="9" orientation="portrait" horizontalDpi="300"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C115"/>
  <sheetViews>
    <sheetView workbookViewId="0">
      <selection activeCell="B16" sqref="B16"/>
    </sheetView>
  </sheetViews>
  <sheetFormatPr defaultColWidth="8.84375" defaultRowHeight="12.5"/>
  <cols>
    <col min="1" max="1" width="75.69140625" style="29" customWidth="1"/>
    <col min="2" max="2" width="72.3046875" style="29" bestFit="1" customWidth="1"/>
    <col min="3" max="3" width="67.4609375" style="29" customWidth="1"/>
    <col min="4" max="16384" width="8.84375" style="30"/>
  </cols>
  <sheetData>
    <row r="1" spans="1:3" ht="15.5">
      <c r="A1" s="165" t="s">
        <v>508</v>
      </c>
      <c r="B1" s="286" t="s">
        <v>964</v>
      </c>
    </row>
    <row r="2" spans="1:3" ht="15.5">
      <c r="A2" s="165" t="s">
        <v>507</v>
      </c>
      <c r="B2" s="286"/>
    </row>
    <row r="3" spans="1:3" ht="13">
      <c r="A3" s="28" t="s">
        <v>250</v>
      </c>
    </row>
    <row r="5" spans="1:3" ht="13">
      <c r="A5" s="28" t="s">
        <v>251</v>
      </c>
      <c r="B5" s="28" t="s">
        <v>252</v>
      </c>
      <c r="C5" s="28" t="s">
        <v>253</v>
      </c>
    </row>
    <row r="7" spans="1:3" ht="13">
      <c r="A7" s="31" t="s">
        <v>254</v>
      </c>
      <c r="B7" s="32"/>
      <c r="C7" s="32"/>
    </row>
    <row r="8" spans="1:3">
      <c r="A8" s="162" t="str">
        <f>"Council tax collection return for "&amp;Year</f>
        <v>Council tax collection return for 2023-24</v>
      </c>
      <c r="B8" s="162" t="str">
        <f>"Ffurflen gasglu'r dreth gyngor ar gyfer "&amp;Year</f>
        <v>Ffurflen gasglu'r dreth gyngor ar gyfer 2023-24</v>
      </c>
      <c r="C8" s="162" t="str">
        <f>IF(FrontPage!$E$7=1,Text!B8,Text!A8)</f>
        <v>Council tax collection return for 2023-24</v>
      </c>
    </row>
    <row r="9" spans="1:3">
      <c r="A9" s="29" t="s">
        <v>25</v>
      </c>
      <c r="B9" s="29" t="s">
        <v>25</v>
      </c>
      <c r="C9" s="29" t="str">
        <f>IF(FrontPage!$E$7=1,Text!B9,Text!A9)</f>
        <v>CTC</v>
      </c>
    </row>
    <row r="10" spans="1:3">
      <c r="A10" s="29" t="s">
        <v>11</v>
      </c>
      <c r="B10" s="29" t="s">
        <v>261</v>
      </c>
      <c r="C10" s="29" t="str">
        <f>IF(FrontPage!$E$7=1,Text!B10,Text!A10)</f>
        <v>County and County borough councils only</v>
      </c>
    </row>
    <row r="11" spans="1:3">
      <c r="A11" s="29" t="s">
        <v>493</v>
      </c>
      <c r="B11" s="29" t="s">
        <v>494</v>
      </c>
      <c r="C11" s="29" t="str">
        <f>IF(FrontPage!$E$7=1,Text!B11,Text!A11)</f>
        <v>Please select your authority and if necessary, amend any incorrect details</v>
      </c>
    </row>
    <row r="12" spans="1:3">
      <c r="A12" s="29" t="s">
        <v>490</v>
      </c>
      <c r="B12" s="29" t="s">
        <v>262</v>
      </c>
      <c r="C12" s="29" t="str">
        <f>IF(FrontPage!$E$7=1,Text!B12,Text!A12)</f>
        <v>Contact name:</v>
      </c>
    </row>
    <row r="13" spans="1:3">
      <c r="A13" s="29" t="s">
        <v>491</v>
      </c>
      <c r="B13" s="29" t="s">
        <v>263</v>
      </c>
      <c r="C13" s="29" t="str">
        <f>IF(FrontPage!$E$7=1,Text!B13,Text!A13)</f>
        <v>Contact E-mail:</v>
      </c>
    </row>
    <row r="14" spans="1:3">
      <c r="A14" s="29" t="s">
        <v>492</v>
      </c>
      <c r="B14" s="29" t="s">
        <v>264</v>
      </c>
      <c r="C14" s="29" t="str">
        <f>IF(FrontPage!$E$7=1,Text!B14,Text!A14)</f>
        <v>Telephone:</v>
      </c>
    </row>
    <row r="15" spans="1:3" ht="25">
      <c r="A15" s="29" t="s">
        <v>224</v>
      </c>
      <c r="B15" s="29" t="s">
        <v>265</v>
      </c>
      <c r="C15" s="29" t="str">
        <f>IF(FrontPage!$E$7=1,Text!B15,Text!A15)</f>
        <v>The information on this form must be submitted to the Welsh Government under section 65 of the Local Government and Housing Act 1989.</v>
      </c>
    </row>
    <row r="16" spans="1:3">
      <c r="A16" s="162" t="str">
        <f>"Please complete and return this form by "&amp;Details!F60</f>
        <v>Please complete and return this form by 7 May 2024</v>
      </c>
      <c r="B16" s="162" t="str">
        <f>"Llenwch a dychwelwch y ffurflen hon erbyn "&amp;Details!F61</f>
        <v>Llenwch a dychwelwch y ffurflen hon erbyn 7 Mai 2024</v>
      </c>
      <c r="C16" s="162" t="str">
        <f>IF(FrontPage!$E$7=1,Text!B16,Text!A16)</f>
        <v>Please complete and return this form by 7 May 2024</v>
      </c>
    </row>
    <row r="17" spans="1:3" ht="25">
      <c r="A17" s="29" t="s">
        <v>137</v>
      </c>
      <c r="B17" s="29" t="s">
        <v>266</v>
      </c>
      <c r="C17" s="29" t="str">
        <f>IF(FrontPage!$E$7=1,Text!B17,Text!A17)</f>
        <v>Please email the spreadsheet to the address below, please note that we no longer require a signed hard-copy of this return.</v>
      </c>
    </row>
    <row r="18" spans="1:3" ht="25">
      <c r="A18" s="29" t="s">
        <v>367</v>
      </c>
      <c r="B18" s="29" t="s">
        <v>369</v>
      </c>
      <c r="C18" s="29" t="str">
        <f>IF(FrontPage!$E$7=1,Text!B18,Text!A18)</f>
        <v>Any queries on completion of the form or spreadsheet should be directed to Bruce Anderson or Frank Kelly, via telephone, e-mail as directed below.</v>
      </c>
    </row>
    <row r="19" spans="1:3" ht="37.5">
      <c r="A19" s="29" t="s">
        <v>228</v>
      </c>
      <c r="B19" s="29" t="s">
        <v>267</v>
      </c>
      <c r="C19" s="29" t="str">
        <f>IF(FrontPage!$E$7=1,Text!B19,Text!A19)</f>
        <v>It is a Welsh Government audit requirement that all cells are completed.  Please ensure that all blank cells are populated with zeros, those that are not will be assumed to be zero.</v>
      </c>
    </row>
    <row r="20" spans="1:3">
      <c r="A20" s="29" t="s">
        <v>229</v>
      </c>
      <c r="B20" s="29" t="s">
        <v>268</v>
      </c>
      <c r="C20" s="29" t="str">
        <f>IF(FrontPage!$E$7=1,Text!B20,Text!A20)</f>
        <v>Local Government Finance Statistics,</v>
      </c>
    </row>
    <row r="21" spans="1:3">
      <c r="A21" s="29" t="s">
        <v>225</v>
      </c>
      <c r="B21" s="29" t="s">
        <v>269</v>
      </c>
      <c r="C21" s="29" t="str">
        <f>IF(FrontPage!$E$7=1,Text!B21,Text!A21)</f>
        <v>Knowledge and Analytical Services,</v>
      </c>
    </row>
    <row r="22" spans="1:3">
      <c r="A22" s="29" t="s">
        <v>226</v>
      </c>
      <c r="B22" s="29" t="s">
        <v>270</v>
      </c>
      <c r="C22" s="29" t="str">
        <f>IF(FrontPage!$E$7=1,Text!B22,Text!A22)</f>
        <v>Welsh Government,</v>
      </c>
    </row>
    <row r="23" spans="1:3">
      <c r="A23" s="29" t="s">
        <v>5</v>
      </c>
      <c r="B23" s="29" t="s">
        <v>271</v>
      </c>
      <c r="C23" s="29" t="str">
        <f>IF(FrontPage!$E$7=1,Text!B23,Text!A23)</f>
        <v>Cathays Park,</v>
      </c>
    </row>
    <row r="24" spans="1:3">
      <c r="A24" s="29" t="s">
        <v>6</v>
      </c>
      <c r="B24" s="29" t="s">
        <v>272</v>
      </c>
      <c r="C24" s="29" t="str">
        <f>IF(FrontPage!$E$7=1,Text!B24,Text!A24)</f>
        <v>CARDIFF,</v>
      </c>
    </row>
    <row r="25" spans="1:3">
      <c r="A25" s="29" t="s">
        <v>7</v>
      </c>
      <c r="B25" s="29" t="s">
        <v>7</v>
      </c>
      <c r="C25" s="29" t="str">
        <f>IF(FrontPage!$E$7=1,Text!B25,Text!A25)</f>
        <v>CF10 3NQ.</v>
      </c>
    </row>
    <row r="26" spans="1:3">
      <c r="A26" s="29" t="s">
        <v>273</v>
      </c>
      <c r="B26" s="29" t="s">
        <v>274</v>
      </c>
      <c r="C26" s="29" t="str">
        <f>IF(FrontPage!$E$7=1,Text!B26,Text!A26)</f>
        <v>E-mail:</v>
      </c>
    </row>
    <row r="27" spans="1:3">
      <c r="A27" s="29" t="s">
        <v>379</v>
      </c>
      <c r="B27" s="29" t="s">
        <v>380</v>
      </c>
      <c r="C27" s="29" t="str">
        <f>IF(FrontPage!$E$7=1,Text!B27,Text!A27)</f>
        <v>LGFS.Transfer@gov.wales</v>
      </c>
    </row>
    <row r="28" spans="1:3" ht="13">
      <c r="A28" s="31" t="s">
        <v>255</v>
      </c>
      <c r="B28" s="32"/>
      <c r="C28" s="32"/>
    </row>
    <row r="29" spans="1:3">
      <c r="A29" s="29" t="s">
        <v>166</v>
      </c>
      <c r="B29" s="29" t="s">
        <v>500</v>
      </c>
      <c r="C29" s="29" t="str">
        <f>IF(FrontPage!$E$7=1,Text!B29,Text!A29)</f>
        <v>Code:</v>
      </c>
    </row>
    <row r="30" spans="1:3">
      <c r="A30" s="29" t="s">
        <v>501</v>
      </c>
      <c r="B30" s="29" t="s">
        <v>502</v>
      </c>
      <c r="C30" s="29" t="str">
        <f>IF(FrontPage!$E$7=1,Text!B30,Text!A30)</f>
        <v>Authority:</v>
      </c>
    </row>
    <row r="31" spans="1:3">
      <c r="A31" s="29" t="s">
        <v>499</v>
      </c>
      <c r="B31" s="29" t="s">
        <v>498</v>
      </c>
      <c r="C31" s="29" t="str">
        <f>IF(FrontPage!$E$7=1,Text!B31,Text!A31)</f>
        <v>Please select your authority on the front page</v>
      </c>
    </row>
    <row r="32" spans="1:3">
      <c r="A32" s="29" t="s">
        <v>495</v>
      </c>
      <c r="B32" s="29" t="s">
        <v>496</v>
      </c>
      <c r="C32" s="29" t="str">
        <f>IF(FrontPage!$E$7=1,Text!B32,Text!A32)</f>
        <v>Link</v>
      </c>
    </row>
    <row r="33" spans="1:3">
      <c r="A33" s="29" t="s">
        <v>338</v>
      </c>
      <c r="B33" s="29" t="s">
        <v>341</v>
      </c>
      <c r="C33" s="29" t="str">
        <f>IF(FrontPage!$E$7=1,Text!B33,Text!A33)</f>
        <v>Editable area</v>
      </c>
    </row>
    <row r="34" spans="1:3">
      <c r="A34" s="29" t="s">
        <v>503</v>
      </c>
      <c r="B34" s="29" t="s">
        <v>504</v>
      </c>
      <c r="C34" s="29" t="str">
        <f>IF(FrontPage!$E$7=1,Text!B34,Text!A34)</f>
        <v>Notes for guidance hyperlink:</v>
      </c>
    </row>
    <row r="35" spans="1:3">
      <c r="A35" s="29" t="s">
        <v>8</v>
      </c>
      <c r="B35" s="29" t="s">
        <v>275</v>
      </c>
      <c r="C35" s="29" t="str">
        <f>IF(FrontPage!$E$7=1,Text!B35,Text!A35)</f>
        <v>SECTION A - Council tax</v>
      </c>
    </row>
    <row r="36" spans="1:3">
      <c r="A36" s="29" t="s">
        <v>339</v>
      </c>
      <c r="B36" s="29" t="s">
        <v>340</v>
      </c>
      <c r="C36" s="29" t="str">
        <f>IF(FrontPage!$E$7=1,Text!B36,Text!A36)</f>
        <v>£ thousand</v>
      </c>
    </row>
    <row r="37" spans="1:3">
      <c r="A37" s="29" t="s">
        <v>12</v>
      </c>
      <c r="B37" s="29" t="s">
        <v>276</v>
      </c>
      <c r="C37" s="29" t="str">
        <f>IF(FrontPage!$E$7=1,Text!B37,Text!A37)</f>
        <v>Council tax arrears</v>
      </c>
    </row>
    <row r="38" spans="1:3">
      <c r="A38" s="29" t="s">
        <v>140</v>
      </c>
      <c r="B38" s="29" t="s">
        <v>277</v>
      </c>
      <c r="C38" s="29" t="str">
        <f>IF(FrontPage!$E$7=1,Text!B38,Text!A38)</f>
        <v>In-year council tax</v>
      </c>
    </row>
    <row r="39" spans="1:3">
      <c r="A39" s="29" t="s">
        <v>13</v>
      </c>
      <c r="B39" s="29" t="s">
        <v>278</v>
      </c>
      <c r="C39" s="29" t="str">
        <f>IF(FrontPage!$E$7=1,Text!B39,Text!A39)</f>
        <v>All amounts are to be net of council tax benefits (see notes)</v>
      </c>
    </row>
    <row r="40" spans="1:3">
      <c r="A40" s="162" t="str">
        <f>"1 April 1993 to 31 March "&amp;LEFT(Year,4)</f>
        <v>1 April 1993 to 31 March 2023</v>
      </c>
      <c r="B40" s="162" t="str">
        <f>"1 Ebrill 1993 i 31 Mawrth "&amp;LEFT(Year,4)</f>
        <v>1 Ebrill 1993 i 31 Mawrth 2023</v>
      </c>
      <c r="C40" s="162" t="str">
        <f>IF(FrontPage!$E$7=1,Text!B40,Text!A40)</f>
        <v>1 April 1993 to 31 March 2023</v>
      </c>
    </row>
    <row r="41" spans="1:3">
      <c r="A41" s="29" t="s">
        <v>134</v>
      </c>
      <c r="B41" s="29" t="s">
        <v>279</v>
      </c>
      <c r="C41" s="29" t="str">
        <f>IF(FrontPage!$E$7=1,Text!B41,Text!A41)</f>
        <v>Total arrears brought forward at the start of the year</v>
      </c>
    </row>
    <row r="42" spans="1:3">
      <c r="A42" s="29" t="s">
        <v>14</v>
      </c>
      <c r="B42" s="29" t="s">
        <v>280</v>
      </c>
      <c r="C42" s="29" t="str">
        <f>IF(FrontPage!$E$7=1,Text!B42,Text!A42)</f>
        <v>In-year debit for the year</v>
      </c>
    </row>
    <row r="43" spans="1:3">
      <c r="A43" s="29" t="s">
        <v>135</v>
      </c>
      <c r="B43" s="29" t="s">
        <v>281</v>
      </c>
      <c r="C43" s="29" t="str">
        <f>IF(FrontPage!$E$7=1,Text!B43,Text!A43)</f>
        <v>Total amount due in year (line 1 + line 2):</v>
      </c>
    </row>
    <row r="44" spans="1:3">
      <c r="A44" s="29" t="s">
        <v>15</v>
      </c>
      <c r="B44" s="29" t="s">
        <v>282</v>
      </c>
      <c r="C44" s="29" t="str">
        <f>IF(FrontPage!$E$7=1,Text!B44,Text!A44)</f>
        <v>of which:</v>
      </c>
    </row>
    <row r="45" spans="1:3">
      <c r="A45" s="29" t="s">
        <v>230</v>
      </c>
      <c r="B45" s="29" t="s">
        <v>283</v>
      </c>
      <c r="C45" s="29" t="str">
        <f>IF(FrontPage!$E$7=1,Text!B45,Text!A45)</f>
        <v xml:space="preserve">   Received in-year</v>
      </c>
    </row>
    <row r="46" spans="1:3">
      <c r="A46" s="29" t="s">
        <v>231</v>
      </c>
      <c r="B46" s="29" t="s">
        <v>284</v>
      </c>
      <c r="C46" s="29" t="str">
        <f>IF(FrontPage!$E$7=1,Text!B46,Text!A46)</f>
        <v xml:space="preserve">   Written off as bad debts in-year</v>
      </c>
    </row>
    <row r="47" spans="1:3">
      <c r="A47" s="29" t="s">
        <v>136</v>
      </c>
      <c r="B47" s="34" t="s">
        <v>461</v>
      </c>
      <c r="C47" s="29" t="str">
        <f>IF(FrontPage!$E$7=1,Text!B47,Text!A47)</f>
        <v xml:space="preserve">   Arrears outstanding at the end of the year (line 3 - line 4 - line 5)</v>
      </c>
    </row>
    <row r="48" spans="1:3">
      <c r="A48" s="29" t="s">
        <v>16</v>
      </c>
      <c r="B48" s="29" t="s">
        <v>285</v>
      </c>
      <c r="C48" s="29" t="str">
        <f>IF(FrontPage!$E$7=1,Text!B48,Text!A48)</f>
        <v>Amount originally budgeted to be collected for the year when the council tax was set</v>
      </c>
    </row>
    <row r="49" spans="1:3">
      <c r="A49" s="162" t="str">
        <f>"Collection rates for "&amp;Year&amp;":"</f>
        <v>Collection rates for 2023-24:</v>
      </c>
      <c r="B49" s="162" t="str">
        <f>"Cyfraddau casglu ar gyfer "&amp;Year&amp;":"</f>
        <v>Cyfraddau casglu ar gyfer 2023-24:</v>
      </c>
      <c r="C49" s="162" t="str">
        <f>IF(FrontPage!$E$7=1,Text!B49,Text!A49)</f>
        <v>Collection rates for 2023-24:</v>
      </c>
    </row>
    <row r="50" spans="1:3">
      <c r="A50" s="29" t="s">
        <v>207</v>
      </c>
      <c r="B50" s="29" t="s">
        <v>286</v>
      </c>
      <c r="C50" s="29" t="str">
        <f>IF(FrontPage!$E$7=1,Text!B50,Text!A50)</f>
        <v>Line 4 as a % of total amount due: (line 4 / line 3 x 100)</v>
      </c>
    </row>
    <row r="51" spans="1:3">
      <c r="A51" s="29" t="s">
        <v>208</v>
      </c>
      <c r="B51" s="29" t="s">
        <v>287</v>
      </c>
      <c r="C51" s="29" t="str">
        <f>IF(FrontPage!$E$7=1,Text!B51,Text!A51)</f>
        <v>Line 4 as a % of budgeted amount: (line 4 / line 7 x 100)</v>
      </c>
    </row>
    <row r="52" spans="1:3">
      <c r="A52" s="29" t="s">
        <v>967</v>
      </c>
      <c r="B52" s="29" t="s">
        <v>974</v>
      </c>
      <c r="C52" s="29" t="str">
        <f>IF(FrontPage!$E$7=1,Text!B52,Text!A52)</f>
        <v>Memorandum</v>
      </c>
    </row>
    <row r="53" spans="1:3">
      <c r="A53" s="303" t="s">
        <v>965</v>
      </c>
      <c r="B53" s="303" t="s">
        <v>969</v>
      </c>
      <c r="C53" s="29" t="str">
        <f>IF(FrontPage!$E$7=1,Text!B53,Text!A53)</f>
        <v>Number of properties liable for long term empty property premium</v>
      </c>
    </row>
    <row r="54" spans="1:3">
      <c r="A54" s="303" t="s">
        <v>966</v>
      </c>
      <c r="B54" s="304" t="s">
        <v>970</v>
      </c>
      <c r="C54" s="29" t="str">
        <f>IF(FrontPage!$E$7=1,Text!B54,Text!A54)</f>
        <v>Number of properties liable for second home premium</v>
      </c>
    </row>
    <row r="55" spans="1:3">
      <c r="A55" s="303" t="s">
        <v>968</v>
      </c>
      <c r="B55" s="304" t="s">
        <v>972</v>
      </c>
      <c r="C55" s="29" t="str">
        <f>IF(FrontPage!$E$7=1,Text!B55,Text!A55)</f>
        <v>Income received from charging a premium on long term empty properties</v>
      </c>
    </row>
    <row r="56" spans="1:3">
      <c r="A56" s="303" t="s">
        <v>971</v>
      </c>
      <c r="B56" s="304" t="s">
        <v>973</v>
      </c>
      <c r="C56" s="29" t="str">
        <f>IF(FrontPage!$E$7=1,Text!B56,Text!A56)</f>
        <v>Income received from charging a premium on second homes</v>
      </c>
    </row>
    <row r="57" spans="1:3">
      <c r="A57" s="29" t="s">
        <v>17</v>
      </c>
      <c r="B57" s="29" t="s">
        <v>288</v>
      </c>
      <c r="C57" s="29" t="str">
        <f>IF(FrontPage!$E$7=1,Text!B57,Text!A57)</f>
        <v>SECTION B - Non-domestic rates</v>
      </c>
    </row>
    <row r="58" spans="1:3">
      <c r="A58" s="29" t="s">
        <v>232</v>
      </c>
      <c r="B58" s="29" t="s">
        <v>289</v>
      </c>
      <c r="C58" s="29" t="str">
        <f>IF(FrontPage!$E$7=1,Text!B58,Text!A58)</f>
        <v>Estimated in-year net collectable debit</v>
      </c>
    </row>
    <row r="59" spans="1:3">
      <c r="A59" s="29" t="s">
        <v>233</v>
      </c>
      <c r="B59" s="29" t="s">
        <v>290</v>
      </c>
      <c r="C59" s="29" t="str">
        <f>IF(FrontPage!$E$7=1,Text!B59,Text!A59)</f>
        <v>Receipts of in-year non-domestic rates (net of refunds)</v>
      </c>
    </row>
    <row r="60" spans="1:3">
      <c r="A60" s="29" t="s">
        <v>292</v>
      </c>
      <c r="B60" s="29" t="s">
        <v>291</v>
      </c>
      <c r="C60" s="29" t="str">
        <f>IF(FrontPage!$E$7=1,Text!B60,Text!A60)</f>
        <v>Receipts of non-domestic rates for earlier years (net of refunds)</v>
      </c>
    </row>
    <row r="61" spans="1:3">
      <c r="A61" s="29" t="s">
        <v>18</v>
      </c>
      <c r="B61" s="29" t="s">
        <v>306</v>
      </c>
      <c r="C61" s="29" t="str">
        <f>IF(FrontPage!$E$7=1,Text!B61,Text!A61)</f>
        <v>NDR collection rate  (%) (line 11 / line 10.5 x 100)</v>
      </c>
    </row>
    <row r="62" spans="1:3" ht="13">
      <c r="A62" s="31" t="s">
        <v>258</v>
      </c>
      <c r="B62" s="32"/>
      <c r="C62" s="32"/>
    </row>
    <row r="63" spans="1:3">
      <c r="A63" s="29" t="s">
        <v>181</v>
      </c>
      <c r="B63" s="29" t="s">
        <v>307</v>
      </c>
      <c r="C63" s="29" t="str">
        <f>IF(FrontPage!$E$7=1,Text!B63,Text!A63)</f>
        <v>Validation checks</v>
      </c>
    </row>
    <row r="64" spans="1:3">
      <c r="A64" s="29" t="s">
        <v>145</v>
      </c>
      <c r="B64" s="29" t="s">
        <v>308</v>
      </c>
      <c r="C64" s="29" t="str">
        <f>IF(FrontPage!$E$7=1,Text!B64,Text!A64)</f>
        <v>Tolerance</v>
      </c>
    </row>
    <row r="65" spans="1:3">
      <c r="A65" s="29" t="s">
        <v>212</v>
      </c>
      <c r="B65" s="29" t="s">
        <v>309</v>
      </c>
      <c r="C65" s="29" t="str">
        <f>IF(FrontPage!$E$7=1,Text!B65,Text!A65)</f>
        <v>Please comment below if necessary</v>
      </c>
    </row>
    <row r="66" spans="1:3">
      <c r="A66" s="29" t="s">
        <v>193</v>
      </c>
      <c r="B66" s="29" t="s">
        <v>310</v>
      </c>
      <c r="C66" s="29" t="str">
        <f>IF(FrontPage!$E$7=1,Text!B66,Text!A66)</f>
        <v>ARREARS OF COUNCIL TAX</v>
      </c>
    </row>
    <row r="67" spans="1:3">
      <c r="A67" s="29" t="s">
        <v>173</v>
      </c>
      <c r="B67" s="29" t="s">
        <v>368</v>
      </c>
      <c r="C67" s="29" t="str">
        <f>IF(FrontPage!$E$7=1,Text!B67,Text!A67)</f>
        <v>Arrears brought forward</v>
      </c>
    </row>
    <row r="68" spans="1:3">
      <c r="A68" s="163" t="str">
        <f>"Arrears O/S, "&amp;Details!F58&amp;" (row 6, cols. 1 and 2)"</f>
        <v>Arrears O/S, 2022-23 (row 6, cols. 1 and 2)</v>
      </c>
      <c r="B68" s="162" t="str">
        <f>"Ôl-ddyledion sy’n aros, "&amp;Details!F58&amp;" (rhes 6, cholofnau 1 a 2)"</f>
        <v>Ôl-ddyledion sy’n aros, 2022-23 (rhes 6, cholofnau 1 a 2)</v>
      </c>
      <c r="C68" s="162" t="str">
        <f>IF(FrontPage!$E$7=1,Text!B68,Text!A68)</f>
        <v>Arrears O/S, 2022-23 (row 6, cols. 1 and 2)</v>
      </c>
    </row>
    <row r="69" spans="1:3">
      <c r="A69" s="163" t="str">
        <f>"Arrears B/F at "&amp;Year&amp;" (row 1, col. 2)"</f>
        <v>Arrears B/F at 2023-24 (row 1, col. 2)</v>
      </c>
      <c r="B69" s="162" t="str">
        <f>"Ôl-ddyledion a ddygwyd ymlaen ar "&amp;Year&amp;" (rhes 1, colofn 2)"</f>
        <v>Ôl-ddyledion a ddygwyd ymlaen ar 2023-24 (rhes 1, colofn 2)</v>
      </c>
      <c r="C69" s="162" t="str">
        <f>IF(FrontPage!$E$7=1,Text!B69,Text!A69)</f>
        <v>Arrears B/F at 2023-24 (row 1, col. 2)</v>
      </c>
    </row>
    <row r="70" spans="1:3">
      <c r="A70" s="29" t="s">
        <v>147</v>
      </c>
      <c r="B70" s="29" t="s">
        <v>311</v>
      </c>
      <c r="C70" s="29" t="str">
        <f>IF(FrontPage!$E$7=1,Text!B70,Text!A70)</f>
        <v>Difference</v>
      </c>
    </row>
    <row r="71" spans="1:3">
      <c r="A71" s="29" t="s">
        <v>259</v>
      </c>
      <c r="B71" s="29" t="s">
        <v>312</v>
      </c>
      <c r="C71" s="29" t="str">
        <f>IF(FrontPage!$E$7=1,Text!B71,Text!A71)</f>
        <v>Please Comment</v>
      </c>
    </row>
    <row r="72" spans="1:3">
      <c r="A72" s="29" t="s">
        <v>260</v>
      </c>
      <c r="B72" s="29" t="s">
        <v>342</v>
      </c>
      <c r="C72" s="29" t="str">
        <f>IF(FrontPage!$E$7=1,Text!B72,Text!A72)</f>
        <v>Clear</v>
      </c>
    </row>
    <row r="73" spans="1:3">
      <c r="A73" s="29" t="s">
        <v>194</v>
      </c>
      <c r="B73" s="29" t="s">
        <v>313</v>
      </c>
      <c r="C73" s="29" t="str">
        <f>IF(FrontPage!$E$7=1,Text!B73,Text!A73)</f>
        <v>YEAR ON YEAR COMPARISON</v>
      </c>
    </row>
    <row r="74" spans="1:3">
      <c r="A74" s="162" t="str">
        <f>"Amount received as a % of amount due, "&amp;Details!F58&amp;" and "&amp;Year</f>
        <v>Amount received as a % of amount due, 2022-23 and 2023-24</v>
      </c>
      <c r="B74" s="162" t="str">
        <f>"Y swm a gafwyd fel % o'r swm sy'n ddyledus, "&amp;Details!F58&amp;" a "&amp;Year</f>
        <v>Y swm a gafwyd fel % o'r swm sy'n ddyledus, 2022-23 a 2023-24</v>
      </c>
      <c r="C74" s="162" t="str">
        <f>IF(FrontPage!$E$7=1,Text!B74,Text!A74)</f>
        <v>Amount received as a % of amount due, 2022-23 and 2023-24</v>
      </c>
    </row>
    <row r="75" spans="1:3">
      <c r="A75" s="162" t="str">
        <f>"CTC (row 8), "&amp;Details!F58</f>
        <v>CTC (row 8), 2022-23</v>
      </c>
      <c r="B75" s="162" t="str">
        <f>"Casglu'r Dreth Gyngor (rhes 8), "&amp;Details!F58</f>
        <v>Casglu'r Dreth Gyngor (rhes 8), 2022-23</v>
      </c>
      <c r="C75" s="162" t="str">
        <f>IF(FrontPage!$E$7=1,Text!B75,Text!A75)</f>
        <v>CTC (row 8), 2022-23</v>
      </c>
    </row>
    <row r="76" spans="1:3">
      <c r="A76" s="162" t="str">
        <f>"CTC (row 8), "&amp;Year</f>
        <v>CTC (row 8), 2023-24</v>
      </c>
      <c r="B76" s="162" t="str">
        <f>"Casglu'r Dreth Gyngor (rhes 8), "&amp;Year</f>
        <v>Casglu'r Dreth Gyngor (rhes 8), 2023-24</v>
      </c>
      <c r="C76" s="162" t="str">
        <f>IF(FrontPage!$E$7=1,Text!B76,Text!A76)</f>
        <v>CTC (row 8), 2023-24</v>
      </c>
    </row>
    <row r="77" spans="1:3">
      <c r="A77" s="29" t="s">
        <v>195</v>
      </c>
      <c r="B77" s="29" t="s">
        <v>314</v>
      </c>
      <c r="C77" s="29" t="str">
        <f>IF(FrontPage!$E$7=1,Text!B77,Text!A77)</f>
        <v>IN-YEAR COUNCIL TAX</v>
      </c>
    </row>
    <row r="78" spans="1:3">
      <c r="A78" s="29" t="s">
        <v>210</v>
      </c>
      <c r="B78" s="29" t="s">
        <v>320</v>
      </c>
      <c r="C78" s="29" t="str">
        <f>IF(FrontPage!$E$7=1,Text!B78,Text!A78)</f>
        <v>Received (row 4, col. 2)</v>
      </c>
    </row>
    <row r="79" spans="1:3">
      <c r="A79" s="29" t="s">
        <v>211</v>
      </c>
      <c r="B79" s="29" t="s">
        <v>322</v>
      </c>
      <c r="C79" s="29" t="str">
        <f>IF(FrontPage!$E$7=1,Text!B79,Text!A79)</f>
        <v>Total amount due (row 3, col. 2)</v>
      </c>
    </row>
    <row r="80" spans="1:3">
      <c r="A80" s="29" t="s">
        <v>172</v>
      </c>
      <c r="B80" s="29" t="s">
        <v>315</v>
      </c>
      <c r="C80" s="29" t="str">
        <f>IF(FrontPage!$E$7=1,Text!B80,Text!A80)</f>
        <v>Percentage</v>
      </c>
    </row>
    <row r="81" spans="1:3">
      <c r="A81" s="29" t="s">
        <v>192</v>
      </c>
      <c r="B81" s="29" t="s">
        <v>316</v>
      </c>
      <c r="C81" s="29" t="str">
        <f>IF(FrontPage!$E$7=1,Text!B81,Text!A81)</f>
        <v>In-year debit compared to amount originally budgeted to be collected</v>
      </c>
    </row>
    <row r="82" spans="1:3">
      <c r="A82" s="29" t="s">
        <v>209</v>
      </c>
      <c r="B82" s="29" t="s">
        <v>317</v>
      </c>
      <c r="C82" s="29" t="str">
        <f>IF(FrontPage!$E$7=1,Text!B82,Text!A82)</f>
        <v>Debit for the year (row 2, col. 2)</v>
      </c>
    </row>
    <row r="83" spans="1:3">
      <c r="A83" s="29" t="s">
        <v>197</v>
      </c>
      <c r="B83" s="29" t="s">
        <v>318</v>
      </c>
      <c r="C83" s="29" t="str">
        <f>IF(FrontPage!$E$7=1,Text!B83,Text!A83)</f>
        <v>Amount originally budgeted (row 7)</v>
      </c>
    </row>
    <row r="84" spans="1:3">
      <c r="A84" s="29" t="s">
        <v>203</v>
      </c>
      <c r="B84" s="29" t="s">
        <v>321</v>
      </c>
      <c r="C84" s="29" t="str">
        <f>IF(FrontPage!$E$7=1,Text!B84,Text!A84)</f>
        <v>row 2 &gt;= row 7</v>
      </c>
    </row>
    <row r="85" spans="1:3">
      <c r="A85" s="29" t="s">
        <v>183</v>
      </c>
      <c r="B85" s="29" t="s">
        <v>319</v>
      </c>
      <c r="C85" s="29" t="str">
        <f>IF(FrontPage!$E$7=1,Text!B85,Text!A85)</f>
        <v>Amount received as a percentage of amount due</v>
      </c>
    </row>
    <row r="86" spans="1:3">
      <c r="A86" s="29" t="s">
        <v>484</v>
      </c>
      <c r="B86" s="29" t="s">
        <v>486</v>
      </c>
      <c r="C86" s="29" t="str">
        <f>IF(FrontPage!$E$7=1,Text!B86,Text!A86)</f>
        <v>Received (row 4, col. 3)</v>
      </c>
    </row>
    <row r="87" spans="1:3">
      <c r="A87" s="29" t="s">
        <v>485</v>
      </c>
      <c r="B87" s="29" t="s">
        <v>487</v>
      </c>
      <c r="C87" s="29" t="str">
        <f>IF(FrontPage!$E$7=1,Text!B87,Text!A87)</f>
        <v>Total amount due (row 3, col. 3)</v>
      </c>
    </row>
    <row r="88" spans="1:3">
      <c r="A88" s="29" t="s">
        <v>182</v>
      </c>
      <c r="B88" s="29" t="s">
        <v>323</v>
      </c>
      <c r="C88" s="29" t="str">
        <f>IF(FrontPage!$E$7=1,Text!B88,Text!A88)</f>
        <v>Amount received compared to amount originally budgeted to be collected</v>
      </c>
    </row>
    <row r="89" spans="1:3">
      <c r="A89" s="29" t="s">
        <v>198</v>
      </c>
      <c r="B89" s="29" t="s">
        <v>330</v>
      </c>
      <c r="C89" s="29" t="str">
        <f>IF(FrontPage!$E$7=1,Text!B89,Text!A89)</f>
        <v>CTC, row 8</v>
      </c>
    </row>
    <row r="90" spans="1:3">
      <c r="A90" s="162" t="str">
        <f>"COMPARISONS WITH THE BUDGET REQUIREMENT RETURN (BR1), "&amp;Year</f>
        <v>COMPARISONS WITH THE BUDGET REQUIREMENT RETURN (BR1), 2023-24</v>
      </c>
      <c r="B90" s="162" t="str">
        <f>"CYMHARU Â'R FFURFLEN GOFYNION CYLLIDEB (BR1), "&amp;Year</f>
        <v>CYMHARU Â'R FFURFLEN GOFYNION CYLLIDEB (BR1), 2023-24</v>
      </c>
      <c r="C90" s="162" t="str">
        <f>IF(FrontPage!$E$7=1,Text!B90,Text!A90)</f>
        <v>COMPARISONS WITH THE BUDGET REQUIREMENT RETURN (BR1), 2023-24</v>
      </c>
    </row>
    <row r="91" spans="1:3">
      <c r="A91" s="29" t="s">
        <v>488</v>
      </c>
      <c r="B91" s="29" t="s">
        <v>489</v>
      </c>
      <c r="C91" s="29" t="str">
        <f>IF(FrontPage!$E$7=1,Text!B91,Text!A91)</f>
        <v>CTC, line 7 minus BR1 lines 5 + 16 (in thousands)</v>
      </c>
    </row>
    <row r="92" spans="1:3">
      <c r="A92" s="29" t="s">
        <v>196</v>
      </c>
      <c r="B92" s="29" t="s">
        <v>331</v>
      </c>
      <c r="C92" s="29" t="str">
        <f>IF(FrontPage!$E$7=1,Text!B92,Text!A92)</f>
        <v>CTC, row 7</v>
      </c>
    </row>
    <row r="93" spans="1:3">
      <c r="A93" s="281" t="s">
        <v>505</v>
      </c>
      <c r="B93" s="281" t="s">
        <v>324</v>
      </c>
      <c r="C93" s="29" t="str">
        <f>IF(FrontPage!$E$7=1,Text!B93,Text!A93)</f>
        <v>+ row 10</v>
      </c>
    </row>
    <row r="94" spans="1:3">
      <c r="A94" s="29" t="s">
        <v>190</v>
      </c>
      <c r="B94" s="29" t="s">
        <v>325</v>
      </c>
      <c r="C94" s="29" t="str">
        <f>IF(FrontPage!$E$7=1,Text!B94,Text!A94)</f>
        <v>Totals</v>
      </c>
    </row>
    <row r="95" spans="1:3">
      <c r="A95" s="29" t="s">
        <v>175</v>
      </c>
      <c r="B95" s="29" t="s">
        <v>326</v>
      </c>
      <c r="C95" s="29" t="str">
        <f>IF(FrontPage!$E$7=1,Text!B95,Text!A95)</f>
        <v>BR1, line 5 (£K)</v>
      </c>
    </row>
    <row r="96" spans="1:3">
      <c r="A96" s="281" t="s">
        <v>184</v>
      </c>
      <c r="B96" s="281" t="s">
        <v>327</v>
      </c>
      <c r="C96" s="29" t="str">
        <f>IF(FrontPage!$E$7=1,Text!B96,Text!A96)</f>
        <v>+ Line 16 (£K)</v>
      </c>
    </row>
    <row r="97" spans="1:3">
      <c r="A97" s="29" t="s">
        <v>186</v>
      </c>
      <c r="B97" s="33" t="s">
        <v>328</v>
      </c>
      <c r="C97" s="29" t="str">
        <f>IF(FrontPage!$E$7=1,Text!B97,Text!A97)</f>
        <v>Amount received as a % of amount due with BR1 equivalent</v>
      </c>
    </row>
    <row r="98" spans="1:3">
      <c r="A98" s="29" t="s">
        <v>189</v>
      </c>
      <c r="B98" s="33" t="s">
        <v>329</v>
      </c>
      <c r="C98" s="29" t="str">
        <f>IF(FrontPage!$E$7=1,Text!B98,Text!A98)</f>
        <v>BR1, line 7</v>
      </c>
    </row>
    <row r="99" spans="1:3">
      <c r="A99" s="29" t="s">
        <v>332</v>
      </c>
      <c r="B99" s="33" t="s">
        <v>333</v>
      </c>
      <c r="C99" s="29" t="str">
        <f>IF(FrontPage!$E$7=1,Text!B99,Text!A99)</f>
        <v>to</v>
      </c>
    </row>
    <row r="100" spans="1:3" ht="13">
      <c r="A100" s="31" t="s">
        <v>257</v>
      </c>
      <c r="B100" s="32"/>
      <c r="C100" s="32"/>
    </row>
    <row r="101" spans="1:3" ht="37.5">
      <c r="A101" s="29" t="s">
        <v>256</v>
      </c>
      <c r="B101" s="29" t="s">
        <v>293</v>
      </c>
      <c r="C101" s="29" t="str">
        <f>IF(FrontPage!$E$7=1,Text!B101,Text!A101)</f>
        <v>We are continually striving to improve the form to make it easier to complete, whilst still ensuring data integrity and consistency across all authorities. If you have any comments or suggestions that may be useful,  please note them below:</v>
      </c>
    </row>
    <row r="102" spans="1:3">
      <c r="A102" s="29" t="s">
        <v>213</v>
      </c>
      <c r="B102" s="29" t="s">
        <v>294</v>
      </c>
      <c r="C102" s="29" t="str">
        <f>IF(FrontPage!$E$7=1,Text!B102,Text!A102)</f>
        <v>Form Design</v>
      </c>
    </row>
    <row r="103" spans="1:3">
      <c r="A103" s="29" t="s">
        <v>214</v>
      </c>
      <c r="B103" s="29" t="s">
        <v>295</v>
      </c>
      <c r="C103" s="29" t="str">
        <f>IF(FrontPage!$E$7=1,Text!B103,Text!A103)</f>
        <v>Validation</v>
      </c>
    </row>
    <row r="104" spans="1:3">
      <c r="A104" s="29" t="s">
        <v>215</v>
      </c>
      <c r="B104" s="29" t="s">
        <v>296</v>
      </c>
      <c r="C104" s="29" t="str">
        <f>IF(FrontPage!$E$7=1,Text!B104,Text!A104)</f>
        <v>Documentation</v>
      </c>
    </row>
    <row r="105" spans="1:3">
      <c r="A105" s="29" t="s">
        <v>216</v>
      </c>
      <c r="B105" s="29" t="s">
        <v>297</v>
      </c>
      <c r="C105" s="29" t="str">
        <f>IF(FrontPage!$E$7=1,Text!B105,Text!A105)</f>
        <v>General Comments</v>
      </c>
    </row>
    <row r="106" spans="1:3" ht="13">
      <c r="A106" s="31" t="s">
        <v>217</v>
      </c>
      <c r="B106" s="32"/>
      <c r="C106" s="32"/>
    </row>
    <row r="107" spans="1:3">
      <c r="A107" s="29" t="s">
        <v>217</v>
      </c>
      <c r="B107" s="29" t="s">
        <v>298</v>
      </c>
      <c r="C107" s="29" t="str">
        <f>IF(FrontPage!$E$7=1,Text!B107,Text!A107)</f>
        <v>Survey Response Burden</v>
      </c>
    </row>
    <row r="108" spans="1:3">
      <c r="A108" s="29" t="s">
        <v>227</v>
      </c>
      <c r="B108" s="29" t="s">
        <v>299</v>
      </c>
      <c r="C108" s="29" t="str">
        <f>IF(FrontPage!$E$7=1,Text!B108,Text!A108)</f>
        <v xml:space="preserve">The Welsh Government are monitoring the burden of completing this data collection form. </v>
      </c>
    </row>
    <row r="109" spans="1:3">
      <c r="A109" s="29" t="s">
        <v>218</v>
      </c>
      <c r="B109" s="29" t="s">
        <v>300</v>
      </c>
      <c r="C109" s="29" t="str">
        <f>IF(FrontPage!$E$7=1,Text!B109,Text!A109)</f>
        <v>Please enter the time it has taken you (and any colleagues) to prepare and send the return.</v>
      </c>
    </row>
    <row r="110" spans="1:3">
      <c r="A110" s="29" t="s">
        <v>219</v>
      </c>
      <c r="B110" s="29" t="s">
        <v>301</v>
      </c>
      <c r="C110" s="29" t="str">
        <f>IF(FrontPage!$E$7=1,Text!B110,Text!A110)</f>
        <v>Please only include time spent on activities to prepare and send this return, such as:</v>
      </c>
    </row>
    <row r="111" spans="1:3">
      <c r="A111" s="29" t="s">
        <v>220</v>
      </c>
      <c r="B111" s="29" t="s">
        <v>302</v>
      </c>
      <c r="C111" s="29" t="str">
        <f>IF(FrontPage!$E$7=1,Text!B111,Text!A111)</f>
        <v>● collection, analysis and aggregation of records and data required;</v>
      </c>
    </row>
    <row r="112" spans="1:3">
      <c r="A112" s="29" t="s">
        <v>221</v>
      </c>
      <c r="B112" s="29" t="s">
        <v>303</v>
      </c>
      <c r="C112" s="29" t="str">
        <f>IF(FrontPage!$E$7=1,Text!B112,Text!A112)</f>
        <v>● completing, checking, amending and approving the form.</v>
      </c>
    </row>
    <row r="113" spans="1:3">
      <c r="A113" s="29" t="s">
        <v>222</v>
      </c>
      <c r="B113" s="29" t="s">
        <v>304</v>
      </c>
      <c r="C113" s="29" t="str">
        <f>IF(FrontPage!$E$7=1,Text!B113,Text!A113)</f>
        <v>Hours taken</v>
      </c>
    </row>
    <row r="114" spans="1:3">
      <c r="A114" s="29" t="s">
        <v>223</v>
      </c>
      <c r="B114" s="29" t="s">
        <v>305</v>
      </c>
      <c r="C114" s="29" t="str">
        <f>IF(FrontPage!$E$7=1,Text!B114,Text!A114)</f>
        <v>Please feel free to add any comments</v>
      </c>
    </row>
    <row r="115" spans="1:3">
      <c r="A115" s="29" t="s">
        <v>180</v>
      </c>
      <c r="B115" s="29" t="s">
        <v>462</v>
      </c>
      <c r="C115" s="29" t="str">
        <f>IF(FrontPage!$E$7=1,Text!B115,Text!A115)</f>
        <v>Amount received in relation to the total amount due</v>
      </c>
    </row>
  </sheetData>
  <sheetProtection sheet="1" selectLockedCells="1"/>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A51568735</value>
    </field>
    <field name="Objective-Title">
      <value order="0">CTC 2023-24</value>
    </field>
    <field name="Objective-Description">
      <value order="0"/>
    </field>
    <field name="Objective-CreationStamp">
      <value order="0">2024-03-21T10:17:06Z</value>
    </field>
    <field name="Objective-IsApproved">
      <value order="0">false</value>
    </field>
    <field name="Objective-IsPublished">
      <value order="0">false</value>
    </field>
    <field name="Objective-DatePublished">
      <value order="0"/>
    </field>
    <field name="Objective-ModificationStamp">
      <value order="0">2024-04-15T17:26:32Z</value>
    </field>
    <field name="Objective-Owner">
      <value order="0">Anderson, Bruce (COOG - DDAT - KAS - Statistical Services)</value>
    </field>
    <field name="Objective-Path">
      <value order="0">Objective Global Folder:#Business File Plan:WG Organisational Groups:OLD - Pre April 2024 - Chief Operating Officer:Chief Operating Officer (COO) - KAS - Chief Statistician:1 - Save:# LEGACY VFP - Statistical Services:Economic, Finance &amp; Transport:Local Government Finance Statistics:Forms-Revenue:Local Government Finance Statistics - Revenue - Council Tax Collections Return (CTC) - 2019-2024</value>
    </field>
    <field name="Objective-Parent">
      <value order="0">Local Government Finance Statistics - Revenue - Council Tax Collections Return (CTC) - 2019-2024</value>
    </field>
    <field name="Objective-State">
      <value order="0">Being Drafted</value>
    </field>
    <field name="Objective-VersionId">
      <value order="0">vA96192667</value>
    </field>
    <field name="Objective-Version">
      <value order="0">0.7</value>
    </field>
    <field name="Objective-VersionNumber">
      <value order="0">7</value>
    </field>
    <field name="Objective-VersionComment">
      <value order="0"/>
    </field>
    <field name="Objective-FileNumber">
      <value order="0">qA1364042</value>
    </field>
    <field name="Objective-Classification">
      <value order="0">Official</value>
    </field>
    <field name="Objective-Caveats">
      <value order="0"/>
    </field>
  </systemFields>
  <catalogues>
    <catalogue name="Document Type Catalogue" type="type" ori="id:cA14">
      <field name="Objective-Date Acquired">
        <value order="0">2024-03-20T23:00:00Z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FrontPage</vt:lpstr>
      <vt:lpstr>Page1</vt:lpstr>
      <vt:lpstr>Validations</vt:lpstr>
      <vt:lpstr>Comments</vt:lpstr>
      <vt:lpstr>Survey Response Burden</vt:lpstr>
      <vt:lpstr>Transfer</vt:lpstr>
      <vt:lpstr>CTC_LY_Data</vt:lpstr>
      <vt:lpstr>BRData</vt:lpstr>
      <vt:lpstr>Text</vt:lpstr>
      <vt:lpstr>Details</vt:lpstr>
      <vt:lpstr>ValData</vt:lpstr>
      <vt:lpstr>_tab1</vt:lpstr>
      <vt:lpstr>Addresses</vt:lpstr>
      <vt:lpstr>Authority</vt:lpstr>
      <vt:lpstr>BRData</vt:lpstr>
      <vt:lpstr>CTC_LY_Data</vt:lpstr>
      <vt:lpstr>CTCData</vt:lpstr>
      <vt:lpstr>CTCP1</vt:lpstr>
      <vt:lpstr>CTCPrev</vt:lpstr>
      <vt:lpstr>Page1</vt:lpstr>
      <vt:lpstr>Comments!Print_Area</vt:lpstr>
      <vt:lpstr>FrontPage!Print_Area</vt:lpstr>
      <vt:lpstr>Page1!Print_Area</vt:lpstr>
      <vt:lpstr>'Survey Response Burden'!Print_Area</vt:lpstr>
      <vt:lpstr>Validations!Print_Area</vt:lpstr>
      <vt:lpstr>BRData!Query_from_Local_Government_Finance_1</vt:lpstr>
      <vt:lpstr>CTC_LY_Data!Query_from_Local_Government_Finance_1</vt:lpstr>
      <vt:lpstr>UAnumber</vt:lpstr>
      <vt:lpstr>ValYOY</vt:lpstr>
      <vt:lpstr>vtab</vt:lpstr>
      <vt:lpstr>Year</vt:lpstr>
    </vt:vector>
  </TitlesOfParts>
  <Company>National Assembly for Wales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Newby</dc:creator>
  <cp:lastModifiedBy>Williams, Megan (COOG - DDAT - KAS - Statistical Servi</cp:lastModifiedBy>
  <cp:lastPrinted>2023-04-26T08:52:46Z</cp:lastPrinted>
  <dcterms:created xsi:type="dcterms:W3CDTF">2007-03-14T12:11:50Z</dcterms:created>
  <dcterms:modified xsi:type="dcterms:W3CDTF">2024-04-17T07:03:14Z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A51568735</vt:lpwstr>
  </property>
  <property fmtid="{D5CDD505-2E9C-101B-9397-08002B2CF9AE}" pid="3" name="Objective-Title">
    <vt:lpwstr>CTC 2023-24</vt:lpwstr>
  </property>
  <property fmtid="{D5CDD505-2E9C-101B-9397-08002B2CF9AE}" pid="4" name="Objective-Comment">
    <vt:lpwstr/>
  </property>
  <property fmtid="{D5CDD505-2E9C-101B-9397-08002B2CF9AE}" pid="5" name="Objective-CreationStamp">
    <vt:filetime>2024-03-21T10:17:06Z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2024-04-15T17:26:32Z</vt:filetime>
  </property>
  <property fmtid="{D5CDD505-2E9C-101B-9397-08002B2CF9AE}" pid="10" name="Objective-Owner">
    <vt:lpwstr>Anderson, Bruce (COOG - DDAT - KAS - Statistical Services)</vt:lpwstr>
  </property>
  <property fmtid="{D5CDD505-2E9C-101B-9397-08002B2CF9AE}" pid="11" name="Objective-Path">
    <vt:lpwstr>Objective Global Folder:#Business File Plan:WG Organisational Groups:OLD - Pre April 2024 - Chief Operating Officer:Chief Operating Officer (COO) - KAS - Chief Statistician:1 - Save:# LEGACY VFP - Statistical Services:Economic, Finance &amp; Transport:Local Government Finance Statistics:Forms-Revenue:Local Government Finance Statistics - Revenue - Council Tax Collections Return (CTC) - 2019-2024:</vt:lpwstr>
  </property>
  <property fmtid="{D5CDD505-2E9C-101B-9397-08002B2CF9AE}" pid="12" name="Objective-Parent">
    <vt:lpwstr>Local Government Finance Statistics - Revenue - Council Tax Collections Return (CTC) - 2019-2024</vt:lpwstr>
  </property>
  <property fmtid="{D5CDD505-2E9C-101B-9397-08002B2CF9AE}" pid="13" name="Objective-State">
    <vt:lpwstr>Being Drafted</vt:lpwstr>
  </property>
  <property fmtid="{D5CDD505-2E9C-101B-9397-08002B2CF9AE}" pid="14" name="Objective-Version">
    <vt:lpwstr>0.7</vt:lpwstr>
  </property>
  <property fmtid="{D5CDD505-2E9C-101B-9397-08002B2CF9AE}" pid="15" name="Objective-VersionNumber">
    <vt:r8>7</vt:r8>
  </property>
  <property fmtid="{D5CDD505-2E9C-101B-9397-08002B2CF9AE}" pid="16" name="Objective-VersionComment">
    <vt:lpwstr/>
  </property>
  <property fmtid="{D5CDD505-2E9C-101B-9397-08002B2CF9AE}" pid="17" name="Objective-FileNumber">
    <vt:lpwstr>qA1364042</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2019-03-08T00:00:00Z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vA96192667</vt:lpwstr>
  </property>
  <property fmtid="{D5CDD505-2E9C-101B-9397-08002B2CF9AE}" pid="27" name="Objective-Language">
    <vt:lpwstr/>
  </property>
  <property fmtid="{D5CDD505-2E9C-101B-9397-08002B2CF9AE}" pid="28" name="Objective-Date Acquired">
    <vt:filetime>2024-03-20T23:00:00Z</vt:filetime>
  </property>
  <property fmtid="{D5CDD505-2E9C-101B-9397-08002B2CF9AE}" pid="29" name="Objective-What to Keep">
    <vt:lpwstr/>
  </property>
  <property fmtid="{D5CDD505-2E9C-101B-9397-08002B2CF9AE}" pid="30" name="Objective-Official Translation">
    <vt:lpwstr/>
  </property>
  <property fmtid="{D5CDD505-2E9C-101B-9397-08002B2CF9AE}" pid="31" name="Objective-Connect Creator">
    <vt:lpwstr/>
  </property>
</Properties>
</file>